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док\"/>
    </mc:Choice>
  </mc:AlternateContent>
  <bookViews>
    <workbookView xWindow="0" yWindow="0" windowWidth="20496" windowHeight="6228" tabRatio="763"/>
  </bookViews>
  <sheets>
    <sheet name="4А для публікації " sheetId="54" r:id="rId1"/>
    <sheet name="Форма 5" sheetId="29" state="hidden" r:id="rId2"/>
    <sheet name="Форма 6" sheetId="30" state="hidden" r:id="rId3"/>
  </sheets>
  <definedNames>
    <definedName name="_xlnm._FilterDatabase" localSheetId="0" hidden="1">'4А для публікації '!$A$8:$O$9434</definedName>
    <definedName name="_xlnm.Print_Titles" localSheetId="0">'4А для публікації '!$8:$8</definedName>
    <definedName name="_xlnm.Print_Titles" localSheetId="1">'Форма 5'!$13:$13</definedName>
    <definedName name="_xlnm.Print_Titles" localSheetId="2">'Форма 6'!$10:$10</definedName>
    <definedName name="_xlnm.Print_Area" localSheetId="0">'4А для публікації '!$A$1:$L$2153</definedName>
    <definedName name="_xlnm.Print_Area" localSheetId="1">'Форма 5'!$A$1:$AB$78</definedName>
    <definedName name="_xlnm.Print_Area" localSheetId="2">'Форма 6'!$A$1:$Y$74</definedName>
  </definedNames>
  <calcPr calcId="162913"/>
</workbook>
</file>

<file path=xl/calcChain.xml><?xml version="1.0" encoding="utf-8"?>
<calcChain xmlns="http://schemas.openxmlformats.org/spreadsheetml/2006/main">
  <c r="L9433" i="54" l="1"/>
  <c r="K9433" i="54"/>
  <c r="J9433" i="54"/>
  <c r="K9430" i="54" l="1"/>
  <c r="J9430" i="54"/>
  <c r="L9429" i="54"/>
  <c r="L9428" i="54"/>
  <c r="L9427" i="54"/>
  <c r="L9426" i="54"/>
  <c r="L9425" i="54"/>
  <c r="L9424" i="54"/>
  <c r="L9423" i="54"/>
  <c r="L9422" i="54"/>
  <c r="L9421" i="54"/>
  <c r="L9420" i="54"/>
  <c r="L9419" i="54"/>
  <c r="L9418" i="54"/>
  <c r="L9417" i="54"/>
  <c r="L9416" i="54"/>
  <c r="L9415" i="54"/>
  <c r="L9414" i="54"/>
  <c r="L9413" i="54"/>
  <c r="L9412" i="54"/>
  <c r="L9411" i="54"/>
  <c r="L9410" i="54"/>
  <c r="L9409" i="54"/>
  <c r="L9408" i="54"/>
  <c r="L9407" i="54"/>
  <c r="L9406" i="54"/>
  <c r="L9405" i="54"/>
  <c r="L9404" i="54"/>
  <c r="L9403" i="54"/>
  <c r="L9402" i="54"/>
  <c r="L9401" i="54"/>
  <c r="L9400" i="54"/>
  <c r="L9399" i="54"/>
  <c r="L9398" i="54"/>
  <c r="L9397" i="54"/>
  <c r="L9396" i="54"/>
  <c r="L9395" i="54"/>
  <c r="L9394" i="54"/>
  <c r="L9393" i="54"/>
  <c r="L9392" i="54"/>
  <c r="L9391" i="54"/>
  <c r="L9390" i="54"/>
  <c r="L9389" i="54"/>
  <c r="L9388" i="54"/>
  <c r="L9387" i="54"/>
  <c r="L9386" i="54"/>
  <c r="L9385" i="54"/>
  <c r="L9384" i="54"/>
  <c r="L9383" i="54"/>
  <c r="L9382" i="54"/>
  <c r="L9381" i="54"/>
  <c r="L9380" i="54"/>
  <c r="L9379" i="54"/>
  <c r="L9378" i="54"/>
  <c r="L9377" i="54"/>
  <c r="L9376" i="54"/>
  <c r="L9375" i="54"/>
  <c r="L9374" i="54"/>
  <c r="L9373" i="54"/>
  <c r="L9372" i="54"/>
  <c r="L9371" i="54"/>
  <c r="L9370" i="54"/>
  <c r="L9369" i="54"/>
  <c r="L9368" i="54"/>
  <c r="L9367" i="54"/>
  <c r="L9366" i="54"/>
  <c r="L9365" i="54"/>
  <c r="L9364" i="54"/>
  <c r="L9363" i="54"/>
  <c r="L9362" i="54"/>
  <c r="L9361" i="54"/>
  <c r="L9360" i="54"/>
  <c r="L9359" i="54"/>
  <c r="L9358" i="54"/>
  <c r="L9357" i="54"/>
  <c r="L9356" i="54"/>
  <c r="L9355" i="54"/>
  <c r="L9354" i="54"/>
  <c r="L9353" i="54"/>
  <c r="L9352" i="54"/>
  <c r="L9351" i="54"/>
  <c r="L9350" i="54"/>
  <c r="L9349" i="54"/>
  <c r="L9348" i="54"/>
  <c r="L9347" i="54"/>
  <c r="L9346" i="54"/>
  <c r="L9345" i="54"/>
  <c r="L9344" i="54"/>
  <c r="L9343" i="54"/>
  <c r="L9342" i="54"/>
  <c r="L9341" i="54"/>
  <c r="L9340" i="54"/>
  <c r="L9339" i="54"/>
  <c r="L9338" i="54"/>
  <c r="L9337" i="54"/>
  <c r="L9336" i="54"/>
  <c r="L9335" i="54"/>
  <c r="L9334" i="54"/>
  <c r="L9333" i="54"/>
  <c r="L9332" i="54"/>
  <c r="L9331" i="54"/>
  <c r="L9330" i="54"/>
  <c r="L9329" i="54"/>
  <c r="L9328" i="54"/>
  <c r="L9327" i="54"/>
  <c r="L9326" i="54"/>
  <c r="L9325" i="54"/>
  <c r="L9324" i="54"/>
  <c r="L9323" i="54"/>
  <c r="L9322" i="54"/>
  <c r="L9321" i="54"/>
  <c r="L9320" i="54"/>
  <c r="L9319" i="54"/>
  <c r="L9318" i="54"/>
  <c r="L9317" i="54"/>
  <c r="L9316" i="54"/>
  <c r="L9315" i="54"/>
  <c r="L9314" i="54"/>
  <c r="L9313" i="54"/>
  <c r="L9312" i="54"/>
  <c r="L9311" i="54"/>
  <c r="L9310" i="54"/>
  <c r="L9309" i="54"/>
  <c r="L9308" i="54"/>
  <c r="L9307" i="54"/>
  <c r="L9306" i="54"/>
  <c r="L9305" i="54"/>
  <c r="L9304" i="54"/>
  <c r="L9303" i="54"/>
  <c r="L9302" i="54"/>
  <c r="L9301" i="54"/>
  <c r="L9300" i="54"/>
  <c r="L9299" i="54"/>
  <c r="L9298" i="54"/>
  <c r="L9297" i="54"/>
  <c r="L9296" i="54"/>
  <c r="L9295" i="54"/>
  <c r="L9294" i="54"/>
  <c r="L9293" i="54"/>
  <c r="L9292" i="54"/>
  <c r="L9291" i="54"/>
  <c r="L9290" i="54"/>
  <c r="L9289" i="54"/>
  <c r="L9288" i="54"/>
  <c r="L9287" i="54"/>
  <c r="L9286" i="54"/>
  <c r="L9285" i="54"/>
  <c r="L9284" i="54"/>
  <c r="L9283" i="54"/>
  <c r="L9282" i="54"/>
  <c r="L9281" i="54"/>
  <c r="L9280" i="54"/>
  <c r="L9279" i="54"/>
  <c r="L9278" i="54"/>
  <c r="L9277" i="54"/>
  <c r="L9276" i="54"/>
  <c r="L9275" i="54"/>
  <c r="L9274" i="54"/>
  <c r="L9273" i="54"/>
  <c r="L9272" i="54"/>
  <c r="L9271" i="54"/>
  <c r="L9270" i="54"/>
  <c r="L9269" i="54"/>
  <c r="L9268" i="54"/>
  <c r="L9267" i="54"/>
  <c r="L9266" i="54"/>
  <c r="L9265" i="54"/>
  <c r="L9264" i="54"/>
  <c r="L9263" i="54"/>
  <c r="L9262" i="54"/>
  <c r="L9261" i="54"/>
  <c r="L9260" i="54"/>
  <c r="L9259" i="54"/>
  <c r="L9258" i="54"/>
  <c r="L9257" i="54"/>
  <c r="L9256" i="54"/>
  <c r="L9255" i="54"/>
  <c r="L9254" i="54"/>
  <c r="L9253" i="54"/>
  <c r="L9252" i="54"/>
  <c r="L9251" i="54"/>
  <c r="L9250" i="54"/>
  <c r="L9249" i="54"/>
  <c r="L9248" i="54"/>
  <c r="L9247" i="54"/>
  <c r="L9246" i="54"/>
  <c r="L9245" i="54"/>
  <c r="L9244" i="54"/>
  <c r="L9243" i="54"/>
  <c r="L9242" i="54"/>
  <c r="L9241" i="54"/>
  <c r="L9240" i="54"/>
  <c r="L9239" i="54"/>
  <c r="L9238" i="54"/>
  <c r="L9237" i="54"/>
  <c r="L9236" i="54"/>
  <c r="L9235" i="54"/>
  <c r="L9234" i="54"/>
  <c r="L9233" i="54"/>
  <c r="L9232" i="54"/>
  <c r="L9231" i="54"/>
  <c r="L9230" i="54"/>
  <c r="L9229" i="54"/>
  <c r="L9228" i="54"/>
  <c r="L9227" i="54"/>
  <c r="L9226" i="54"/>
  <c r="L9225" i="54"/>
  <c r="L9224" i="54"/>
  <c r="L9223" i="54"/>
  <c r="L9222" i="54"/>
  <c r="L9221" i="54"/>
  <c r="L9220" i="54"/>
  <c r="L9219" i="54"/>
  <c r="L9218" i="54"/>
  <c r="L9217" i="54"/>
  <c r="L9216" i="54"/>
  <c r="L9215" i="54"/>
  <c r="L9214" i="54"/>
  <c r="L9213" i="54"/>
  <c r="L9212" i="54"/>
  <c r="L9211" i="54"/>
  <c r="L9210" i="54"/>
  <c r="L9209" i="54"/>
  <c r="L9208" i="54"/>
  <c r="L9207" i="54"/>
  <c r="L9206" i="54"/>
  <c r="L9205" i="54"/>
  <c r="L9204" i="54"/>
  <c r="L9203" i="54"/>
  <c r="L9202" i="54"/>
  <c r="L9201" i="54"/>
  <c r="L9200" i="54"/>
  <c r="L9199" i="54"/>
  <c r="L9198" i="54"/>
  <c r="L9197" i="54"/>
  <c r="L9196" i="54"/>
  <c r="L9195" i="54"/>
  <c r="L9194" i="54"/>
  <c r="L9193" i="54"/>
  <c r="L9192" i="54"/>
  <c r="L9191" i="54"/>
  <c r="L9190" i="54"/>
  <c r="L9189" i="54"/>
  <c r="L9188" i="54"/>
  <c r="L9187" i="54"/>
  <c r="L9186" i="54"/>
  <c r="L9185" i="54"/>
  <c r="L9184" i="54"/>
  <c r="L9183" i="54"/>
  <c r="L9182" i="54"/>
  <c r="L9181" i="54"/>
  <c r="L9180" i="54"/>
  <c r="L9179" i="54"/>
  <c r="L9178" i="54"/>
  <c r="L9177" i="54"/>
  <c r="L9176" i="54"/>
  <c r="L9175" i="54"/>
  <c r="L9174" i="54"/>
  <c r="L9173" i="54"/>
  <c r="L9172" i="54"/>
  <c r="L9171" i="54"/>
  <c r="L9170" i="54"/>
  <c r="L9169" i="54"/>
  <c r="L9168" i="54"/>
  <c r="L9167" i="54"/>
  <c r="L9166" i="54"/>
  <c r="L9165" i="54"/>
  <c r="L9164" i="54"/>
  <c r="L9163" i="54"/>
  <c r="L9162" i="54"/>
  <c r="L9161" i="54"/>
  <c r="L9160" i="54"/>
  <c r="L9159" i="54"/>
  <c r="L9158" i="54"/>
  <c r="L9157" i="54"/>
  <c r="L9156" i="54"/>
  <c r="L9155" i="54"/>
  <c r="L9154" i="54"/>
  <c r="L9153" i="54"/>
  <c r="L9152" i="54"/>
  <c r="L9151" i="54"/>
  <c r="L9150" i="54"/>
  <c r="L9149" i="54"/>
  <c r="L9148" i="54"/>
  <c r="L9147" i="54"/>
  <c r="L9146" i="54"/>
  <c r="L9145" i="54"/>
  <c r="L9144" i="54"/>
  <c r="L9143" i="54"/>
  <c r="L9142" i="54"/>
  <c r="L9141" i="54"/>
  <c r="L9140" i="54"/>
  <c r="L9139" i="54"/>
  <c r="L9138" i="54"/>
  <c r="L9137" i="54"/>
  <c r="L9136" i="54"/>
  <c r="L9135" i="54"/>
  <c r="L9134" i="54"/>
  <c r="L9133" i="54"/>
  <c r="L9132" i="54"/>
  <c r="L9131" i="54"/>
  <c r="L9130" i="54"/>
  <c r="L9129" i="54"/>
  <c r="L9128" i="54"/>
  <c r="L9127" i="54"/>
  <c r="L9126" i="54"/>
  <c r="L9125" i="54"/>
  <c r="L9124" i="54"/>
  <c r="L9123" i="54"/>
  <c r="L9122" i="54"/>
  <c r="L9121" i="54"/>
  <c r="L9120" i="54"/>
  <c r="L9119" i="54"/>
  <c r="L9118" i="54"/>
  <c r="L9117" i="54"/>
  <c r="L9116" i="54"/>
  <c r="L9115" i="54"/>
  <c r="L9114" i="54"/>
  <c r="L9113" i="54"/>
  <c r="L9112" i="54"/>
  <c r="L9111" i="54"/>
  <c r="L9110" i="54"/>
  <c r="L9109" i="54"/>
  <c r="L9108" i="54"/>
  <c r="L9107" i="54"/>
  <c r="L9106" i="54"/>
  <c r="L9105" i="54"/>
  <c r="L9104" i="54"/>
  <c r="L9103" i="54"/>
  <c r="L9102" i="54"/>
  <c r="L9101" i="54"/>
  <c r="L9100" i="54"/>
  <c r="L9099" i="54"/>
  <c r="L9098" i="54"/>
  <c r="L9097" i="54"/>
  <c r="L9096" i="54"/>
  <c r="L9095" i="54"/>
  <c r="L9094" i="54"/>
  <c r="L9093" i="54"/>
  <c r="L9092" i="54"/>
  <c r="L9091" i="54"/>
  <c r="L9090" i="54"/>
  <c r="L9089" i="54"/>
  <c r="L9088" i="54"/>
  <c r="L9087" i="54"/>
  <c r="L9086" i="54"/>
  <c r="L9085" i="54"/>
  <c r="L9084" i="54"/>
  <c r="L9083" i="54"/>
  <c r="L9082" i="54"/>
  <c r="L9081" i="54"/>
  <c r="L9080" i="54"/>
  <c r="L9079" i="54"/>
  <c r="L9078" i="54"/>
  <c r="L9077" i="54"/>
  <c r="L9076" i="54"/>
  <c r="L9075" i="54"/>
  <c r="L9074" i="54"/>
  <c r="L9073" i="54"/>
  <c r="L9072" i="54"/>
  <c r="L9071" i="54"/>
  <c r="L9070" i="54"/>
  <c r="L9069" i="54"/>
  <c r="L9068" i="54"/>
  <c r="L9067" i="54"/>
  <c r="L9066" i="54"/>
  <c r="L9065" i="54"/>
  <c r="L9064" i="54"/>
  <c r="L9063" i="54"/>
  <c r="L9062" i="54"/>
  <c r="L9061" i="54"/>
  <c r="L9060" i="54"/>
  <c r="L9059" i="54"/>
  <c r="L9058" i="54"/>
  <c r="L9057" i="54"/>
  <c r="L9056" i="54"/>
  <c r="L9055" i="54"/>
  <c r="L9054" i="54"/>
  <c r="L9053" i="54"/>
  <c r="L9052" i="54"/>
  <c r="L9051" i="54"/>
  <c r="L9050" i="54"/>
  <c r="L9049" i="54"/>
  <c r="L9048" i="54"/>
  <c r="L9047" i="54"/>
  <c r="L9046" i="54"/>
  <c r="L9045" i="54"/>
  <c r="L9044" i="54"/>
  <c r="L9043" i="54"/>
  <c r="L9042" i="54"/>
  <c r="L9041" i="54"/>
  <c r="L9040" i="54"/>
  <c r="L9039" i="54"/>
  <c r="L9038" i="54"/>
  <c r="L9037" i="54"/>
  <c r="L9036" i="54"/>
  <c r="L9035" i="54"/>
  <c r="L9034" i="54"/>
  <c r="L9033" i="54"/>
  <c r="L9032" i="54"/>
  <c r="L9031" i="54"/>
  <c r="L9030" i="54"/>
  <c r="L9029" i="54"/>
  <c r="L9028" i="54"/>
  <c r="L9027" i="54"/>
  <c r="L9026" i="54"/>
  <c r="L9025" i="54"/>
  <c r="L9024" i="54"/>
  <c r="L9023" i="54"/>
  <c r="L9022" i="54"/>
  <c r="L9021" i="54"/>
  <c r="L9020" i="54"/>
  <c r="L9019" i="54"/>
  <c r="L9018" i="54"/>
  <c r="L9017" i="54"/>
  <c r="L9016" i="54"/>
  <c r="L9015" i="54"/>
  <c r="L9014" i="54"/>
  <c r="L9013" i="54"/>
  <c r="L9012" i="54"/>
  <c r="L9011" i="54"/>
  <c r="L9010" i="54"/>
  <c r="L9009" i="54"/>
  <c r="L9008" i="54"/>
  <c r="L9007" i="54"/>
  <c r="L9006" i="54"/>
  <c r="L9005" i="54"/>
  <c r="L9004" i="54"/>
  <c r="L9003" i="54"/>
  <c r="L9002" i="54"/>
  <c r="L9001" i="54"/>
  <c r="L9000" i="54"/>
  <c r="L8999" i="54"/>
  <c r="L8998" i="54"/>
  <c r="L8997" i="54"/>
  <c r="L8996" i="54"/>
  <c r="L8995" i="54"/>
  <c r="L8994" i="54"/>
  <c r="L8993" i="54"/>
  <c r="L8992" i="54"/>
  <c r="L8991" i="54"/>
  <c r="L8990" i="54"/>
  <c r="L8989" i="54"/>
  <c r="L8988" i="54"/>
  <c r="L8987" i="54"/>
  <c r="L8986" i="54"/>
  <c r="L8985" i="54"/>
  <c r="L8984" i="54"/>
  <c r="L8983" i="54"/>
  <c r="L8982" i="54"/>
  <c r="L8981" i="54"/>
  <c r="L8980" i="54"/>
  <c r="L8979" i="54"/>
  <c r="L8978" i="54"/>
  <c r="L8977" i="54"/>
  <c r="L8976" i="54"/>
  <c r="L8975" i="54"/>
  <c r="L8974" i="54"/>
  <c r="L8973" i="54"/>
  <c r="L8972" i="54"/>
  <c r="L8971" i="54"/>
  <c r="L8970" i="54"/>
  <c r="L8969" i="54"/>
  <c r="L8968" i="54"/>
  <c r="L8967" i="54"/>
  <c r="L8966" i="54"/>
  <c r="L8965" i="54"/>
  <c r="L8964" i="54"/>
  <c r="L8963" i="54"/>
  <c r="L8962" i="54"/>
  <c r="L8961" i="54"/>
  <c r="L8960" i="54"/>
  <c r="L8959" i="54"/>
  <c r="L8958" i="54"/>
  <c r="L8957" i="54"/>
  <c r="L8956" i="54"/>
  <c r="L8955" i="54"/>
  <c r="L8954" i="54"/>
  <c r="L8953" i="54"/>
  <c r="L8952" i="54"/>
  <c r="L8951" i="54"/>
  <c r="L8950" i="54"/>
  <c r="L8949" i="54"/>
  <c r="L8948" i="54"/>
  <c r="L8947" i="54"/>
  <c r="L8946" i="54"/>
  <c r="L8945" i="54"/>
  <c r="L8944" i="54"/>
  <c r="L8943" i="54"/>
  <c r="L8942" i="54"/>
  <c r="L8941" i="54"/>
  <c r="L8940" i="54"/>
  <c r="L8939" i="54"/>
  <c r="L8938" i="54"/>
  <c r="L8937" i="54"/>
  <c r="L8936" i="54"/>
  <c r="L8935" i="54"/>
  <c r="L8934" i="54"/>
  <c r="L8933" i="54"/>
  <c r="L8932" i="54"/>
  <c r="L8931" i="54"/>
  <c r="L8930" i="54"/>
  <c r="L8929" i="54"/>
  <c r="L8928" i="54"/>
  <c r="L8927" i="54"/>
  <c r="L8926" i="54"/>
  <c r="L8925" i="54"/>
  <c r="L8924" i="54"/>
  <c r="L8923" i="54"/>
  <c r="L8922" i="54"/>
  <c r="L8921" i="54"/>
  <c r="L8920" i="54"/>
  <c r="L8919" i="54"/>
  <c r="L8918" i="54"/>
  <c r="L8917" i="54"/>
  <c r="L8916" i="54"/>
  <c r="L8915" i="54"/>
  <c r="L8914" i="54"/>
  <c r="L8913" i="54"/>
  <c r="L8912" i="54"/>
  <c r="L8911" i="54"/>
  <c r="L8910" i="54"/>
  <c r="L8909" i="54"/>
  <c r="L8908" i="54"/>
  <c r="L8907" i="54"/>
  <c r="L8906" i="54"/>
  <c r="L8905" i="54"/>
  <c r="L8904" i="54"/>
  <c r="L8903" i="54"/>
  <c r="L8902" i="54"/>
  <c r="L8901" i="54"/>
  <c r="L8900" i="54"/>
  <c r="L8899" i="54"/>
  <c r="L8898" i="54"/>
  <c r="L8897" i="54"/>
  <c r="L8896" i="54"/>
  <c r="L8895" i="54"/>
  <c r="L8894" i="54"/>
  <c r="L8893" i="54"/>
  <c r="L8892" i="54"/>
  <c r="L8891" i="54"/>
  <c r="L8890" i="54"/>
  <c r="L8889" i="54"/>
  <c r="L8888" i="54"/>
  <c r="L8887" i="54"/>
  <c r="L8886" i="54"/>
  <c r="L8885" i="54"/>
  <c r="L8884" i="54"/>
  <c r="L8883" i="54"/>
  <c r="L8882" i="54"/>
  <c r="L8881" i="54"/>
  <c r="L8880" i="54"/>
  <c r="L8879" i="54"/>
  <c r="L8878" i="54"/>
  <c r="L8877" i="54"/>
  <c r="L8876" i="54"/>
  <c r="L8875" i="54"/>
  <c r="L8874" i="54"/>
  <c r="L8873" i="54"/>
  <c r="L8872" i="54"/>
  <c r="L8871" i="54"/>
  <c r="L8870" i="54"/>
  <c r="L8869" i="54"/>
  <c r="L8868" i="54"/>
  <c r="L8867" i="54"/>
  <c r="L8866" i="54"/>
  <c r="L8865" i="54"/>
  <c r="L8864" i="54"/>
  <c r="L8863" i="54"/>
  <c r="L8862" i="54"/>
  <c r="L8861" i="54"/>
  <c r="L8860" i="54"/>
  <c r="L8859" i="54"/>
  <c r="L8858" i="54"/>
  <c r="L8857" i="54"/>
  <c r="L8856" i="54"/>
  <c r="L8855" i="54"/>
  <c r="L8854" i="54"/>
  <c r="L8853" i="54"/>
  <c r="L8852" i="54"/>
  <c r="L8851" i="54"/>
  <c r="L8850" i="54"/>
  <c r="L8849" i="54"/>
  <c r="L8848" i="54"/>
  <c r="L8847" i="54"/>
  <c r="L8846" i="54"/>
  <c r="L8845" i="54"/>
  <c r="L8844" i="54"/>
  <c r="L8843" i="54"/>
  <c r="L8842" i="54"/>
  <c r="L8841" i="54"/>
  <c r="L8840" i="54"/>
  <c r="L8839" i="54"/>
  <c r="L8838" i="54"/>
  <c r="L8837" i="54"/>
  <c r="L8836" i="54"/>
  <c r="L8835" i="54"/>
  <c r="L8834" i="54"/>
  <c r="L8833" i="54"/>
  <c r="L8832" i="54"/>
  <c r="L8831" i="54"/>
  <c r="L8830" i="54"/>
  <c r="L8829" i="54"/>
  <c r="L8828" i="54"/>
  <c r="L8827" i="54"/>
  <c r="L8826" i="54"/>
  <c r="L8825" i="54"/>
  <c r="L8824" i="54"/>
  <c r="L8823" i="54"/>
  <c r="L8822" i="54"/>
  <c r="L8821" i="54"/>
  <c r="L8820" i="54"/>
  <c r="L8819" i="54"/>
  <c r="L8818" i="54"/>
  <c r="L8817" i="54"/>
  <c r="L8816" i="54"/>
  <c r="L8815" i="54"/>
  <c r="L8814" i="54"/>
  <c r="L8813" i="54"/>
  <c r="L8812" i="54"/>
  <c r="L8811" i="54"/>
  <c r="L8810" i="54"/>
  <c r="L8809" i="54"/>
  <c r="L8808" i="54"/>
  <c r="L8807" i="54"/>
  <c r="L8806" i="54"/>
  <c r="L8805" i="54"/>
  <c r="L8804" i="54"/>
  <c r="L8803" i="54"/>
  <c r="L8802" i="54"/>
  <c r="L8801" i="54"/>
  <c r="L8800" i="54"/>
  <c r="L8799" i="54"/>
  <c r="L8798" i="54"/>
  <c r="L8797" i="54"/>
  <c r="L8796" i="54"/>
  <c r="L8795" i="54"/>
  <c r="L8794" i="54"/>
  <c r="L8793" i="54"/>
  <c r="L8792" i="54"/>
  <c r="L8791" i="54"/>
  <c r="L8790" i="54"/>
  <c r="L8789" i="54"/>
  <c r="L8788" i="54"/>
  <c r="L8787" i="54"/>
  <c r="L8786" i="54"/>
  <c r="L8785" i="54"/>
  <c r="L8784" i="54"/>
  <c r="L8783" i="54"/>
  <c r="L8782" i="54"/>
  <c r="L8781" i="54"/>
  <c r="L8780" i="54"/>
  <c r="L8779" i="54"/>
  <c r="L8778" i="54"/>
  <c r="L8777" i="54"/>
  <c r="L8776" i="54"/>
  <c r="L8775" i="54"/>
  <c r="L8774" i="54"/>
  <c r="L8773" i="54"/>
  <c r="L8772" i="54"/>
  <c r="L8771" i="54"/>
  <c r="L8770" i="54"/>
  <c r="L8769" i="54"/>
  <c r="L8768" i="54"/>
  <c r="L8767" i="54"/>
  <c r="K8766" i="54"/>
  <c r="J8766" i="54"/>
  <c r="L8765" i="54"/>
  <c r="L8764" i="54"/>
  <c r="L8763" i="54"/>
  <c r="L8762" i="54"/>
  <c r="L8761" i="54"/>
  <c r="L8760" i="54"/>
  <c r="L8759" i="54"/>
  <c r="L8758" i="54"/>
  <c r="L8757" i="54"/>
  <c r="L8756" i="54"/>
  <c r="L8755" i="54"/>
  <c r="L8754" i="54"/>
  <c r="L8753" i="54"/>
  <c r="L8752" i="54"/>
  <c r="L8751" i="54"/>
  <c r="L8750" i="54"/>
  <c r="L8749" i="54"/>
  <c r="L8748" i="54"/>
  <c r="L8747" i="54"/>
  <c r="L8746" i="54"/>
  <c r="L8745" i="54"/>
  <c r="L8744" i="54"/>
  <c r="L8743" i="54"/>
  <c r="L8742" i="54"/>
  <c r="L8741" i="54"/>
  <c r="L8740" i="54"/>
  <c r="L8739" i="54"/>
  <c r="L8738" i="54"/>
  <c r="L8737" i="54"/>
  <c r="L8736" i="54"/>
  <c r="L8735" i="54"/>
  <c r="L8734" i="54"/>
  <c r="L8733" i="54"/>
  <c r="L8732" i="54"/>
  <c r="L8731" i="54"/>
  <c r="L8730" i="54"/>
  <c r="L8729" i="54"/>
  <c r="L8728" i="54"/>
  <c r="L8727" i="54"/>
  <c r="L8726" i="54"/>
  <c r="L8725" i="54"/>
  <c r="L8724" i="54"/>
  <c r="L8723" i="54"/>
  <c r="L8722" i="54"/>
  <c r="L8721" i="54"/>
  <c r="L8720" i="54"/>
  <c r="L8719" i="54"/>
  <c r="L8718" i="54"/>
  <c r="L8717" i="54"/>
  <c r="L8716" i="54"/>
  <c r="L8715" i="54"/>
  <c r="L8714" i="54"/>
  <c r="L8713" i="54"/>
  <c r="L8712" i="54"/>
  <c r="L8711" i="54"/>
  <c r="L8710" i="54"/>
  <c r="L8709" i="54"/>
  <c r="L8708" i="54"/>
  <c r="L8707" i="54"/>
  <c r="L8706" i="54"/>
  <c r="L8705" i="54"/>
  <c r="L8704" i="54"/>
  <c r="L8703" i="54"/>
  <c r="L8702" i="54"/>
  <c r="L8701" i="54"/>
  <c r="L8700" i="54"/>
  <c r="L8699" i="54"/>
  <c r="L8698" i="54"/>
  <c r="L8697" i="54"/>
  <c r="L8696" i="54"/>
  <c r="L8695" i="54"/>
  <c r="L8694" i="54"/>
  <c r="L8693" i="54"/>
  <c r="L8692" i="54"/>
  <c r="L8691" i="54"/>
  <c r="L8690" i="54"/>
  <c r="L8689" i="54"/>
  <c r="L8688" i="54"/>
  <c r="L8687" i="54"/>
  <c r="L8686" i="54"/>
  <c r="L8685" i="54"/>
  <c r="L8684" i="54"/>
  <c r="L8683" i="54"/>
  <c r="L8682" i="54"/>
  <c r="L8681" i="54"/>
  <c r="L8680" i="54"/>
  <c r="L8679" i="54"/>
  <c r="L8678" i="54"/>
  <c r="L8677" i="54"/>
  <c r="L8676" i="54"/>
  <c r="L8675" i="54"/>
  <c r="L8674" i="54"/>
  <c r="L8673" i="54"/>
  <c r="L8672" i="54"/>
  <c r="L8671" i="54"/>
  <c r="L8670" i="54"/>
  <c r="L8669" i="54"/>
  <c r="L8668" i="54"/>
  <c r="L8667" i="54"/>
  <c r="L8666" i="54"/>
  <c r="L8665" i="54"/>
  <c r="L8664" i="54"/>
  <c r="L8663" i="54"/>
  <c r="L8662" i="54"/>
  <c r="L8661" i="54"/>
  <c r="L8660" i="54"/>
  <c r="L8659" i="54"/>
  <c r="L8658" i="54"/>
  <c r="L8657" i="54"/>
  <c r="L8656" i="54"/>
  <c r="L8655" i="54"/>
  <c r="L8654" i="54"/>
  <c r="L8653" i="54"/>
  <c r="L8652" i="54"/>
  <c r="L8651" i="54"/>
  <c r="L8650" i="54"/>
  <c r="L8649" i="54"/>
  <c r="L8648" i="54"/>
  <c r="L8647" i="54"/>
  <c r="L8646" i="54"/>
  <c r="L8645" i="54"/>
  <c r="L8644" i="54"/>
  <c r="L8643" i="54"/>
  <c r="L8642" i="54"/>
  <c r="L8641" i="54"/>
  <c r="L8640" i="54"/>
  <c r="L8639" i="54"/>
  <c r="L8638" i="54"/>
  <c r="L8637" i="54"/>
  <c r="L8636" i="54"/>
  <c r="L8635" i="54"/>
  <c r="L8634" i="54"/>
  <c r="L8633" i="54"/>
  <c r="L8632" i="54"/>
  <c r="L8631" i="54"/>
  <c r="L8630" i="54"/>
  <c r="L8629" i="54"/>
  <c r="L8628" i="54"/>
  <c r="L8627" i="54"/>
  <c r="L8626" i="54"/>
  <c r="L8625" i="54"/>
  <c r="L8624" i="54"/>
  <c r="L8623" i="54"/>
  <c r="L8622" i="54"/>
  <c r="L8621" i="54"/>
  <c r="L8620" i="54"/>
  <c r="L8619" i="54"/>
  <c r="L8618" i="54"/>
  <c r="L8617" i="54"/>
  <c r="L8616" i="54"/>
  <c r="L8615" i="54"/>
  <c r="L8614" i="54"/>
  <c r="L8613" i="54"/>
  <c r="L8612" i="54"/>
  <c r="L8611" i="54"/>
  <c r="L8610" i="54"/>
  <c r="L8609" i="54"/>
  <c r="L8608" i="54"/>
  <c r="L8607" i="54"/>
  <c r="L8606" i="54"/>
  <c r="L8605" i="54"/>
  <c r="L8604" i="54"/>
  <c r="L8603" i="54"/>
  <c r="L8602" i="54"/>
  <c r="L8601" i="54"/>
  <c r="L8600" i="54"/>
  <c r="L8599" i="54"/>
  <c r="L8598" i="54"/>
  <c r="L8597" i="54"/>
  <c r="L8596" i="54"/>
  <c r="L8595" i="54"/>
  <c r="L8594" i="54"/>
  <c r="L8593" i="54"/>
  <c r="L8592" i="54"/>
  <c r="L8591" i="54"/>
  <c r="L8590" i="54"/>
  <c r="L8589" i="54"/>
  <c r="L8588" i="54"/>
  <c r="L8587" i="54"/>
  <c r="L8586" i="54"/>
  <c r="L8585" i="54"/>
  <c r="L8584" i="54"/>
  <c r="L8583" i="54"/>
  <c r="L8582" i="54"/>
  <c r="L8581" i="54"/>
  <c r="L8580" i="54"/>
  <c r="L8579" i="54"/>
  <c r="L8578" i="54"/>
  <c r="L8577" i="54"/>
  <c r="L8576" i="54"/>
  <c r="L8575" i="54"/>
  <c r="L8574" i="54"/>
  <c r="L8573" i="54"/>
  <c r="L8572" i="54"/>
  <c r="L8571" i="54"/>
  <c r="L8570" i="54"/>
  <c r="L8569" i="54"/>
  <c r="L8568" i="54"/>
  <c r="L8567" i="54"/>
  <c r="L8566" i="54"/>
  <c r="L8565" i="54"/>
  <c r="L8564" i="54"/>
  <c r="L8563" i="54"/>
  <c r="L8562" i="54"/>
  <c r="L8561" i="54"/>
  <c r="L8560" i="54"/>
  <c r="L8559" i="54"/>
  <c r="L8558" i="54"/>
  <c r="L8557" i="54"/>
  <c r="L8556" i="54"/>
  <c r="L8555" i="54"/>
  <c r="L8554" i="54"/>
  <c r="L8553" i="54"/>
  <c r="L8552" i="54"/>
  <c r="L8551" i="54"/>
  <c r="L8550" i="54"/>
  <c r="L8549" i="54"/>
  <c r="L8548" i="54"/>
  <c r="L8547" i="54"/>
  <c r="L8546" i="54"/>
  <c r="L8545" i="54"/>
  <c r="L8544" i="54"/>
  <c r="L8543" i="54"/>
  <c r="L8542" i="54"/>
  <c r="L8541" i="54"/>
  <c r="L8540" i="54"/>
  <c r="L8539" i="54"/>
  <c r="L8538" i="54"/>
  <c r="L8537" i="54"/>
  <c r="L8536" i="54"/>
  <c r="L8535" i="54"/>
  <c r="L8534" i="54"/>
  <c r="L8533" i="54"/>
  <c r="L8532" i="54"/>
  <c r="L8531" i="54"/>
  <c r="L8530" i="54"/>
  <c r="L8529" i="54"/>
  <c r="L8528" i="54"/>
  <c r="L8527" i="54"/>
  <c r="L8526" i="54"/>
  <c r="L8525" i="54"/>
  <c r="L8524" i="54"/>
  <c r="L8523" i="54"/>
  <c r="L8522" i="54"/>
  <c r="L8521" i="54"/>
  <c r="L8520" i="54"/>
  <c r="L8519" i="54"/>
  <c r="L8518" i="54"/>
  <c r="L8517" i="54"/>
  <c r="L8516" i="54"/>
  <c r="L8515" i="54"/>
  <c r="L8514" i="54"/>
  <c r="L8513" i="54"/>
  <c r="L8512" i="54"/>
  <c r="L8511" i="54"/>
  <c r="L8510" i="54"/>
  <c r="L8509" i="54"/>
  <c r="L8508" i="54"/>
  <c r="L8507" i="54"/>
  <c r="L8506" i="54"/>
  <c r="L8505" i="54"/>
  <c r="L8504" i="54"/>
  <c r="L8503" i="54"/>
  <c r="L8502" i="54"/>
  <c r="L8501" i="54"/>
  <c r="L8500" i="54"/>
  <c r="L8499" i="54"/>
  <c r="L8498" i="54"/>
  <c r="L8497" i="54"/>
  <c r="L8496" i="54"/>
  <c r="L8495" i="54"/>
  <c r="L8494" i="54"/>
  <c r="L8493" i="54"/>
  <c r="L8492" i="54"/>
  <c r="L8491" i="54"/>
  <c r="L8490" i="54"/>
  <c r="L8489" i="54"/>
  <c r="L8488" i="54"/>
  <c r="L8487" i="54"/>
  <c r="L8486" i="54"/>
  <c r="L8485" i="54"/>
  <c r="L8484" i="54"/>
  <c r="L8483" i="54"/>
  <c r="L8482" i="54"/>
  <c r="L8481" i="54"/>
  <c r="L8480" i="54"/>
  <c r="L8479" i="54"/>
  <c r="L8478" i="54"/>
  <c r="L8477" i="54"/>
  <c r="L8476" i="54"/>
  <c r="L8475" i="54"/>
  <c r="L8474" i="54"/>
  <c r="L8473" i="54"/>
  <c r="L8472" i="54"/>
  <c r="L8471" i="54"/>
  <c r="L8470" i="54"/>
  <c r="L8469" i="54"/>
  <c r="L8468" i="54"/>
  <c r="L8467" i="54"/>
  <c r="L8466" i="54"/>
  <c r="L8465" i="54"/>
  <c r="L8464" i="54"/>
  <c r="L8463" i="54"/>
  <c r="L8462" i="54"/>
  <c r="L8461" i="54"/>
  <c r="L8460" i="54"/>
  <c r="L8459" i="54"/>
  <c r="L8458" i="54"/>
  <c r="L8457" i="54"/>
  <c r="L8456" i="54"/>
  <c r="L8455" i="54"/>
  <c r="L8454" i="54"/>
  <c r="L8453" i="54"/>
  <c r="L8452" i="54"/>
  <c r="L8451" i="54"/>
  <c r="L8450" i="54"/>
  <c r="L8449" i="54"/>
  <c r="L8448" i="54"/>
  <c r="L8447" i="54"/>
  <c r="L8446" i="54"/>
  <c r="L8445" i="54"/>
  <c r="L8444" i="54"/>
  <c r="L8443" i="54"/>
  <c r="L8442" i="54"/>
  <c r="L8441" i="54"/>
  <c r="L8440" i="54"/>
  <c r="L8439" i="54"/>
  <c r="L8438" i="54"/>
  <c r="L8437" i="54"/>
  <c r="L8436" i="54"/>
  <c r="L8435" i="54"/>
  <c r="L8434" i="54"/>
  <c r="L8433" i="54"/>
  <c r="L8432" i="54"/>
  <c r="L8431" i="54"/>
  <c r="L8430" i="54"/>
  <c r="L8429" i="54"/>
  <c r="L8428" i="54"/>
  <c r="L8427" i="54"/>
  <c r="L8426" i="54"/>
  <c r="L8425" i="54"/>
  <c r="L8424" i="54"/>
  <c r="L8423" i="54"/>
  <c r="L8422" i="54"/>
  <c r="L8421" i="54"/>
  <c r="L8420" i="54"/>
  <c r="L8419" i="54"/>
  <c r="L8418" i="54"/>
  <c r="L8417" i="54"/>
  <c r="L8416" i="54"/>
  <c r="L8415" i="54"/>
  <c r="L8414" i="54"/>
  <c r="L8413" i="54"/>
  <c r="L8412" i="54"/>
  <c r="L8411" i="54"/>
  <c r="L8410" i="54"/>
  <c r="L8409" i="54"/>
  <c r="L8408" i="54"/>
  <c r="L8407" i="54"/>
  <c r="L8406" i="54"/>
  <c r="L8405" i="54"/>
  <c r="L8404" i="54"/>
  <c r="L8403" i="54"/>
  <c r="L8402" i="54"/>
  <c r="L8401" i="54"/>
  <c r="L8400" i="54"/>
  <c r="L8399" i="54"/>
  <c r="L8398" i="54"/>
  <c r="L8397" i="54"/>
  <c r="L8396" i="54"/>
  <c r="L8395" i="54"/>
  <c r="L8394" i="54"/>
  <c r="L8393" i="54"/>
  <c r="L8392" i="54"/>
  <c r="L8391" i="54"/>
  <c r="L8390" i="54"/>
  <c r="L8389" i="54"/>
  <c r="L8388" i="54"/>
  <c r="L8387" i="54"/>
  <c r="L8386" i="54"/>
  <c r="L8385" i="54"/>
  <c r="L8384" i="54"/>
  <c r="L8383" i="54"/>
  <c r="L8382" i="54"/>
  <c r="L8381" i="54"/>
  <c r="L8380" i="54"/>
  <c r="L8379" i="54"/>
  <c r="L8378" i="54"/>
  <c r="L8377" i="54"/>
  <c r="L8376" i="54"/>
  <c r="L8375" i="54"/>
  <c r="L8374" i="54"/>
  <c r="L8373" i="54"/>
  <c r="L8372" i="54"/>
  <c r="L8371" i="54"/>
  <c r="L8370" i="54"/>
  <c r="L8369" i="54"/>
  <c r="L8368" i="54"/>
  <c r="L8367" i="54"/>
  <c r="L8366" i="54"/>
  <c r="L8365" i="54"/>
  <c r="L8364" i="54"/>
  <c r="L8363" i="54"/>
  <c r="L8362" i="54"/>
  <c r="L8361" i="54"/>
  <c r="L8360" i="54"/>
  <c r="L8359" i="54"/>
  <c r="L8358" i="54"/>
  <c r="L8357" i="54"/>
  <c r="L8356" i="54"/>
  <c r="L8355" i="54"/>
  <c r="L8354" i="54"/>
  <c r="L8353" i="54"/>
  <c r="L8352" i="54"/>
  <c r="L8351" i="54"/>
  <c r="L8350" i="54"/>
  <c r="L8349" i="54"/>
  <c r="L8348" i="54"/>
  <c r="L8347" i="54"/>
  <c r="L8346" i="54"/>
  <c r="L8345" i="54"/>
  <c r="L8344" i="54"/>
  <c r="L8343" i="54"/>
  <c r="L8342" i="54"/>
  <c r="L8341" i="54"/>
  <c r="L8340" i="54"/>
  <c r="L8339" i="54"/>
  <c r="L8338" i="54"/>
  <c r="L8337" i="54"/>
  <c r="L8336" i="54"/>
  <c r="L8335" i="54"/>
  <c r="L8334" i="54"/>
  <c r="L8333" i="54"/>
  <c r="L8332" i="54"/>
  <c r="L8331" i="54"/>
  <c r="L8330" i="54"/>
  <c r="L8329" i="54"/>
  <c r="L8328" i="54"/>
  <c r="L8327" i="54"/>
  <c r="L8326" i="54"/>
  <c r="L8325" i="54"/>
  <c r="L8324" i="54"/>
  <c r="L8323" i="54"/>
  <c r="L8322" i="54"/>
  <c r="L8321" i="54"/>
  <c r="L8320" i="54"/>
  <c r="L8319" i="54"/>
  <c r="L8318" i="54"/>
  <c r="L8317" i="54"/>
  <c r="L8316" i="54"/>
  <c r="L8315" i="54"/>
  <c r="L8314" i="54"/>
  <c r="L8313" i="54"/>
  <c r="L8312" i="54"/>
  <c r="L8311" i="54"/>
  <c r="L8310" i="54"/>
  <c r="L8309" i="54"/>
  <c r="L8308" i="54"/>
  <c r="L8307" i="54"/>
  <c r="L8306" i="54"/>
  <c r="L8305" i="54"/>
  <c r="L8304" i="54"/>
  <c r="L8303" i="54"/>
  <c r="L8302" i="54"/>
  <c r="L8301" i="54"/>
  <c r="L8300" i="54"/>
  <c r="L8299" i="54"/>
  <c r="L8298" i="54"/>
  <c r="L8297" i="54"/>
  <c r="L8296" i="54"/>
  <c r="L8295" i="54"/>
  <c r="L8294" i="54"/>
  <c r="L8293" i="54"/>
  <c r="L8292" i="54"/>
  <c r="L8291" i="54"/>
  <c r="L8290" i="54"/>
  <c r="L8289" i="54"/>
  <c r="L8288" i="54"/>
  <c r="L8287" i="54"/>
  <c r="L8286" i="54"/>
  <c r="L8285" i="54"/>
  <c r="L8284" i="54"/>
  <c r="L8283" i="54"/>
  <c r="L8282" i="54"/>
  <c r="L8281" i="54"/>
  <c r="L8280" i="54"/>
  <c r="L8279" i="54"/>
  <c r="L8278" i="54"/>
  <c r="L8277" i="54"/>
  <c r="L8276" i="54"/>
  <c r="L8275" i="54"/>
  <c r="L8274" i="54"/>
  <c r="L8273" i="54"/>
  <c r="L8272" i="54"/>
  <c r="L8271" i="54"/>
  <c r="L8270" i="54"/>
  <c r="L8269" i="54"/>
  <c r="L8268" i="54"/>
  <c r="L8267" i="54"/>
  <c r="L8266" i="54"/>
  <c r="L8265" i="54"/>
  <c r="L8264" i="54"/>
  <c r="L8263" i="54"/>
  <c r="L8262" i="54"/>
  <c r="L8261" i="54"/>
  <c r="L8260" i="54"/>
  <c r="L8259" i="54"/>
  <c r="L8258" i="54"/>
  <c r="L8257" i="54"/>
  <c r="L8256" i="54"/>
  <c r="L8255" i="54"/>
  <c r="L8254" i="54"/>
  <c r="L8253" i="54"/>
  <c r="L8252" i="54"/>
  <c r="L8251" i="54"/>
  <c r="L8250" i="54"/>
  <c r="L8249" i="54"/>
  <c r="L8248" i="54"/>
  <c r="L8247" i="54"/>
  <c r="L8246" i="54"/>
  <c r="L8245" i="54"/>
  <c r="L8244" i="54"/>
  <c r="L8243" i="54"/>
  <c r="L8242" i="54"/>
  <c r="L8241" i="54"/>
  <c r="L8240" i="54"/>
  <c r="L8239" i="54"/>
  <c r="L8238" i="54"/>
  <c r="L8237" i="54"/>
  <c r="L8236" i="54"/>
  <c r="L8235" i="54"/>
  <c r="L8234" i="54"/>
  <c r="L8233" i="54"/>
  <c r="L8232" i="54"/>
  <c r="L8231" i="54"/>
  <c r="L8230" i="54"/>
  <c r="L8229" i="54"/>
  <c r="L8228" i="54"/>
  <c r="L8227" i="54"/>
  <c r="L8226" i="54"/>
  <c r="L8225" i="54"/>
  <c r="L8224" i="54"/>
  <c r="L8223" i="54"/>
  <c r="L8222" i="54"/>
  <c r="L8221" i="54"/>
  <c r="L8220" i="54"/>
  <c r="L8219" i="54"/>
  <c r="L8218" i="54"/>
  <c r="L8217" i="54"/>
  <c r="L8216" i="54"/>
  <c r="L8215" i="54"/>
  <c r="L8214" i="54"/>
  <c r="L8213" i="54"/>
  <c r="L8212" i="54"/>
  <c r="L8211" i="54"/>
  <c r="L8210" i="54"/>
  <c r="L8209" i="54"/>
  <c r="L8208" i="54"/>
  <c r="L8207" i="54"/>
  <c r="L8206" i="54"/>
  <c r="L8205" i="54"/>
  <c r="L8204" i="54"/>
  <c r="L8203" i="54"/>
  <c r="L8202" i="54"/>
  <c r="K8201" i="54"/>
  <c r="J8201" i="54"/>
  <c r="L8200" i="54"/>
  <c r="L8199" i="54"/>
  <c r="L8198" i="54"/>
  <c r="L8197" i="54"/>
  <c r="L8196" i="54"/>
  <c r="L8195" i="54"/>
  <c r="L8194" i="54"/>
  <c r="L8193" i="54"/>
  <c r="L8192" i="54"/>
  <c r="L8191" i="54"/>
  <c r="L8190" i="54"/>
  <c r="L8189" i="54"/>
  <c r="L8188" i="54"/>
  <c r="L8187" i="54"/>
  <c r="L8186" i="54"/>
  <c r="L8185" i="54"/>
  <c r="L8184" i="54"/>
  <c r="L8183" i="54"/>
  <c r="L8182" i="54"/>
  <c r="L8181" i="54"/>
  <c r="L8180" i="54"/>
  <c r="L8179" i="54"/>
  <c r="L8178" i="54"/>
  <c r="L8177" i="54"/>
  <c r="L8176" i="54"/>
  <c r="L8175" i="54"/>
  <c r="L8174" i="54"/>
  <c r="L8173" i="54"/>
  <c r="L8172" i="54"/>
  <c r="L8171" i="54"/>
  <c r="L8170" i="54"/>
  <c r="L8169" i="54"/>
  <c r="L8168" i="54"/>
  <c r="L8167" i="54"/>
  <c r="L8166" i="54"/>
  <c r="L8165" i="54"/>
  <c r="L8164" i="54"/>
  <c r="L8163" i="54"/>
  <c r="L8162" i="54"/>
  <c r="L8161" i="54"/>
  <c r="L8160" i="54"/>
  <c r="L8159" i="54"/>
  <c r="L8158" i="54"/>
  <c r="L8157" i="54"/>
  <c r="L8156" i="54"/>
  <c r="L8155" i="54"/>
  <c r="L8154" i="54"/>
  <c r="L8153" i="54"/>
  <c r="L8152" i="54"/>
  <c r="L8151" i="54"/>
  <c r="L8150" i="54"/>
  <c r="L8149" i="54"/>
  <c r="L8148" i="54"/>
  <c r="L8147" i="54"/>
  <c r="L8146" i="54"/>
  <c r="L8145" i="54"/>
  <c r="L8144" i="54"/>
  <c r="L8143" i="54"/>
  <c r="L8142" i="54"/>
  <c r="L8141" i="54"/>
  <c r="L8140" i="54"/>
  <c r="L8139" i="54"/>
  <c r="L8138" i="54"/>
  <c r="L8137" i="54"/>
  <c r="L8136" i="54"/>
  <c r="L8135" i="54"/>
  <c r="L8134" i="54"/>
  <c r="L8133" i="54"/>
  <c r="L8132" i="54"/>
  <c r="L8131" i="54"/>
  <c r="L8130" i="54"/>
  <c r="L8129" i="54"/>
  <c r="L8128" i="54"/>
  <c r="L8127" i="54"/>
  <c r="L8126" i="54"/>
  <c r="L8125" i="54"/>
  <c r="L8124" i="54"/>
  <c r="L8123" i="54"/>
  <c r="L8122" i="54"/>
  <c r="L8121" i="54"/>
  <c r="L8120" i="54"/>
  <c r="L8119" i="54"/>
  <c r="L8118" i="54"/>
  <c r="L8117" i="54"/>
  <c r="L8116" i="54"/>
  <c r="L8115" i="54"/>
  <c r="L8114" i="54"/>
  <c r="L8113" i="54"/>
  <c r="L8112" i="54"/>
  <c r="L8111" i="54"/>
  <c r="L8110" i="54"/>
  <c r="L8109" i="54"/>
  <c r="L8108" i="54"/>
  <c r="L8107" i="54"/>
  <c r="L8106" i="54"/>
  <c r="L8105" i="54"/>
  <c r="L8104" i="54"/>
  <c r="L8103" i="54"/>
  <c r="L8102" i="54"/>
  <c r="L8101" i="54"/>
  <c r="L8100" i="54"/>
  <c r="L8099" i="54"/>
  <c r="L8098" i="54"/>
  <c r="L8097" i="54"/>
  <c r="L8096" i="54"/>
  <c r="L8095" i="54"/>
  <c r="L8094" i="54"/>
  <c r="L8093" i="54"/>
  <c r="L8092" i="54"/>
  <c r="L8091" i="54"/>
  <c r="L8090" i="54"/>
  <c r="L8089" i="54"/>
  <c r="L8088" i="54"/>
  <c r="L8087" i="54"/>
  <c r="L8086" i="54"/>
  <c r="L8085" i="54"/>
  <c r="L8084" i="54"/>
  <c r="L8083" i="54"/>
  <c r="L8082" i="54"/>
  <c r="L8081" i="54"/>
  <c r="L8080" i="54"/>
  <c r="L8079" i="54"/>
  <c r="L8078" i="54"/>
  <c r="L8077" i="54"/>
  <c r="L8076" i="54"/>
  <c r="L8075" i="54"/>
  <c r="L8074" i="54"/>
  <c r="L8073" i="54"/>
  <c r="L8072" i="54"/>
  <c r="L8071" i="54"/>
  <c r="L8070" i="54"/>
  <c r="L8069" i="54"/>
  <c r="L8068" i="54"/>
  <c r="L8067" i="54"/>
  <c r="L8066" i="54"/>
  <c r="L8065" i="54"/>
  <c r="L8064" i="54"/>
  <c r="L8063" i="54"/>
  <c r="L8062" i="54"/>
  <c r="L8061" i="54"/>
  <c r="L8060" i="54"/>
  <c r="L8059" i="54"/>
  <c r="L8058" i="54"/>
  <c r="L8057" i="54"/>
  <c r="L8056" i="54"/>
  <c r="L8055" i="54"/>
  <c r="L8054" i="54"/>
  <c r="L8053" i="54"/>
  <c r="L8052" i="54"/>
  <c r="L8051" i="54"/>
  <c r="L8050" i="54"/>
  <c r="L8049" i="54"/>
  <c r="L8048" i="54"/>
  <c r="L8047" i="54"/>
  <c r="L8046" i="54"/>
  <c r="L8045" i="54"/>
  <c r="L8044" i="54"/>
  <c r="L8043" i="54"/>
  <c r="L8042" i="54"/>
  <c r="L8041" i="54"/>
  <c r="L8040" i="54"/>
  <c r="L8039" i="54"/>
  <c r="L8038" i="54"/>
  <c r="L8037" i="54"/>
  <c r="L8036" i="54"/>
  <c r="L8035" i="54"/>
  <c r="L8034" i="54"/>
  <c r="L8033" i="54"/>
  <c r="L8032" i="54"/>
  <c r="L8031" i="54"/>
  <c r="L8030" i="54"/>
  <c r="L8029" i="54"/>
  <c r="L8028" i="54"/>
  <c r="L8027" i="54"/>
  <c r="L8026" i="54"/>
  <c r="L8025" i="54"/>
  <c r="L8024" i="54"/>
  <c r="L8023" i="54"/>
  <c r="L8022" i="54"/>
  <c r="L8021" i="54"/>
  <c r="L8020" i="54"/>
  <c r="L8019" i="54"/>
  <c r="L8018" i="54"/>
  <c r="L8017" i="54"/>
  <c r="L8016" i="54"/>
  <c r="L8015" i="54"/>
  <c r="L8014" i="54"/>
  <c r="L8013" i="54"/>
  <c r="L8012" i="54"/>
  <c r="L8011" i="54"/>
  <c r="L8010" i="54"/>
  <c r="L8009" i="54"/>
  <c r="L8008" i="54"/>
  <c r="L8007" i="54"/>
  <c r="L8006" i="54"/>
  <c r="L8005" i="54"/>
  <c r="L8004" i="54"/>
  <c r="L8003" i="54"/>
  <c r="L8002" i="54"/>
  <c r="L8001" i="54"/>
  <c r="L8000" i="54"/>
  <c r="L7999" i="54"/>
  <c r="L7998" i="54"/>
  <c r="L7997" i="54"/>
  <c r="L7996" i="54"/>
  <c r="L7995" i="54"/>
  <c r="L7994" i="54"/>
  <c r="L7993" i="54"/>
  <c r="L7992" i="54"/>
  <c r="L7991" i="54"/>
  <c r="L7990" i="54"/>
  <c r="L7989" i="54"/>
  <c r="L7988" i="54"/>
  <c r="L7987" i="54"/>
  <c r="L7986" i="54"/>
  <c r="L7985" i="54"/>
  <c r="L7984" i="54"/>
  <c r="L7983" i="54"/>
  <c r="L7982" i="54"/>
  <c r="L7981" i="54"/>
  <c r="L7980" i="54"/>
  <c r="L7979" i="54"/>
  <c r="L7978" i="54"/>
  <c r="L7977" i="54"/>
  <c r="L7976" i="54"/>
  <c r="L7975" i="54"/>
  <c r="L7974" i="54"/>
  <c r="L7973" i="54"/>
  <c r="L7972" i="54"/>
  <c r="L7971" i="54"/>
  <c r="L7970" i="54"/>
  <c r="L7969" i="54"/>
  <c r="L7968" i="54"/>
  <c r="L7967" i="54"/>
  <c r="L7966" i="54"/>
  <c r="L7965" i="54"/>
  <c r="L7964" i="54"/>
  <c r="L7963" i="54"/>
  <c r="L7962" i="54"/>
  <c r="L7961" i="54"/>
  <c r="L7960" i="54"/>
  <c r="L7959" i="54"/>
  <c r="L7958" i="54"/>
  <c r="L7957" i="54"/>
  <c r="L7956" i="54"/>
  <c r="L7955" i="54"/>
  <c r="L7954" i="54"/>
  <c r="L7953" i="54"/>
  <c r="L7952" i="54"/>
  <c r="L7951" i="54"/>
  <c r="L7950" i="54"/>
  <c r="L7949" i="54"/>
  <c r="L7948" i="54"/>
  <c r="L7947" i="54"/>
  <c r="L7946" i="54"/>
  <c r="L7945" i="54"/>
  <c r="L7944" i="54"/>
  <c r="L7943" i="54"/>
  <c r="L7942" i="54"/>
  <c r="L7941" i="54"/>
  <c r="L7940" i="54"/>
  <c r="L7939" i="54"/>
  <c r="L7938" i="54"/>
  <c r="L7937" i="54"/>
  <c r="L7936" i="54"/>
  <c r="L7935" i="54"/>
  <c r="L7934" i="54"/>
  <c r="L7933" i="54"/>
  <c r="L7932" i="54"/>
  <c r="L7931" i="54"/>
  <c r="L7930" i="54"/>
  <c r="L7929" i="54"/>
  <c r="L7928" i="54"/>
  <c r="L7927" i="54"/>
  <c r="L7926" i="54"/>
  <c r="L7925" i="54"/>
  <c r="L7924" i="54"/>
  <c r="L7923" i="54"/>
  <c r="L7922" i="54"/>
  <c r="L7921" i="54"/>
  <c r="L7920" i="54"/>
  <c r="L7919" i="54"/>
  <c r="L7918" i="54"/>
  <c r="L7917" i="54"/>
  <c r="L7916" i="54"/>
  <c r="L7915" i="54"/>
  <c r="L7914" i="54"/>
  <c r="L7913" i="54"/>
  <c r="L7912" i="54"/>
  <c r="L7911" i="54"/>
  <c r="L7910" i="54"/>
  <c r="L7909" i="54"/>
  <c r="L7908" i="54"/>
  <c r="L7907" i="54"/>
  <c r="L7906" i="54"/>
  <c r="L7905" i="54"/>
  <c r="L7904" i="54"/>
  <c r="L7903" i="54"/>
  <c r="L7902" i="54"/>
  <c r="L7901" i="54"/>
  <c r="L7900" i="54"/>
  <c r="L7899" i="54"/>
  <c r="L7898" i="54"/>
  <c r="L7897" i="54"/>
  <c r="L7896" i="54"/>
  <c r="L7895" i="54"/>
  <c r="L7894" i="54"/>
  <c r="L7893" i="54"/>
  <c r="L7892" i="54"/>
  <c r="L7891" i="54"/>
  <c r="L7890" i="54"/>
  <c r="L7889" i="54"/>
  <c r="L7888" i="54"/>
  <c r="L7887" i="54"/>
  <c r="L7886" i="54"/>
  <c r="L7885" i="54"/>
  <c r="L7884" i="54"/>
  <c r="L7883" i="54"/>
  <c r="L7882" i="54"/>
  <c r="L7881" i="54"/>
  <c r="L7880" i="54"/>
  <c r="L7879" i="54"/>
  <c r="L7878" i="54"/>
  <c r="L7877" i="54"/>
  <c r="L7876" i="54"/>
  <c r="L7875" i="54"/>
  <c r="L7874" i="54"/>
  <c r="L7873" i="54"/>
  <c r="L7872" i="54"/>
  <c r="L7871" i="54"/>
  <c r="L7870" i="54"/>
  <c r="L7869" i="54"/>
  <c r="L7868" i="54"/>
  <c r="L7867" i="54"/>
  <c r="L7866" i="54"/>
  <c r="L7865" i="54"/>
  <c r="L7864" i="54"/>
  <c r="L7863" i="54"/>
  <c r="L7862" i="54"/>
  <c r="L7861" i="54"/>
  <c r="L7860" i="54"/>
  <c r="L7859" i="54"/>
  <c r="L7858" i="54"/>
  <c r="L7857" i="54"/>
  <c r="L7856" i="54"/>
  <c r="L7855" i="54"/>
  <c r="L7854" i="54"/>
  <c r="L7853" i="54"/>
  <c r="L7852" i="54"/>
  <c r="L7851" i="54"/>
  <c r="L7850" i="54"/>
  <c r="L7849" i="54"/>
  <c r="L7848" i="54"/>
  <c r="L7847" i="54"/>
  <c r="L7846" i="54"/>
  <c r="L7845" i="54"/>
  <c r="L7844" i="54"/>
  <c r="L7843" i="54"/>
  <c r="L7842" i="54"/>
  <c r="L7841" i="54"/>
  <c r="L7840" i="54"/>
  <c r="L7839" i="54"/>
  <c r="L7838" i="54"/>
  <c r="L7837" i="54"/>
  <c r="L7836" i="54"/>
  <c r="L7835" i="54"/>
  <c r="L7834" i="54"/>
  <c r="L7833" i="54"/>
  <c r="L7832" i="54"/>
  <c r="L7831" i="54"/>
  <c r="L7830" i="54"/>
  <c r="L7829" i="54"/>
  <c r="L7828" i="54"/>
  <c r="L7827" i="54"/>
  <c r="L7826" i="54"/>
  <c r="L7825" i="54"/>
  <c r="L7824" i="54"/>
  <c r="L7823" i="54"/>
  <c r="L7822" i="54"/>
  <c r="L7821" i="54"/>
  <c r="L7820" i="54"/>
  <c r="L7819" i="54"/>
  <c r="L7818" i="54"/>
  <c r="L7817" i="54"/>
  <c r="L7816" i="54"/>
  <c r="L7815" i="54"/>
  <c r="L7814" i="54"/>
  <c r="L7813" i="54"/>
  <c r="L7812" i="54"/>
  <c r="L7811" i="54"/>
  <c r="L7810" i="54"/>
  <c r="L7809" i="54"/>
  <c r="L7808" i="54"/>
  <c r="L7807" i="54"/>
  <c r="L7806" i="54"/>
  <c r="L7805" i="54"/>
  <c r="L7804" i="54"/>
  <c r="L7803" i="54"/>
  <c r="L7802" i="54"/>
  <c r="L7801" i="54"/>
  <c r="L7800" i="54"/>
  <c r="L7799" i="54"/>
  <c r="L7798" i="54"/>
  <c r="L7797" i="54"/>
  <c r="L7796" i="54"/>
  <c r="L7795" i="54"/>
  <c r="L7794" i="54"/>
  <c r="L7793" i="54"/>
  <c r="L7792" i="54"/>
  <c r="L7791" i="54"/>
  <c r="L7790" i="54"/>
  <c r="L7789" i="54"/>
  <c r="L7788" i="54"/>
  <c r="L7787" i="54"/>
  <c r="L7786" i="54"/>
  <c r="L7785" i="54"/>
  <c r="L7784" i="54"/>
  <c r="L7783" i="54"/>
  <c r="L7782" i="54"/>
  <c r="L7781" i="54"/>
  <c r="L7780" i="54"/>
  <c r="L7779" i="54"/>
  <c r="L7778" i="54"/>
  <c r="L7777" i="54"/>
  <c r="L7776" i="54"/>
  <c r="L7775" i="54"/>
  <c r="L7774" i="54"/>
  <c r="L7773" i="54"/>
  <c r="L7772" i="54"/>
  <c r="L7771" i="54"/>
  <c r="L7770" i="54"/>
  <c r="L7769" i="54"/>
  <c r="L7768" i="54"/>
  <c r="L7767" i="54"/>
  <c r="L7766" i="54"/>
  <c r="L7765" i="54"/>
  <c r="L7764" i="54"/>
  <c r="L7763" i="54"/>
  <c r="L7762" i="54"/>
  <c r="L7761" i="54"/>
  <c r="L7760" i="54"/>
  <c r="L7759" i="54"/>
  <c r="L7758" i="54"/>
  <c r="L7757" i="54"/>
  <c r="L7756" i="54"/>
  <c r="L7755" i="54"/>
  <c r="L7754" i="54"/>
  <c r="L7753" i="54"/>
  <c r="L7752" i="54"/>
  <c r="L7751" i="54"/>
  <c r="L7750" i="54"/>
  <c r="L7749" i="54"/>
  <c r="L7748" i="54"/>
  <c r="L7747" i="54"/>
  <c r="L7746" i="54"/>
  <c r="L7745" i="54"/>
  <c r="L7744" i="54"/>
  <c r="L7743" i="54"/>
  <c r="L7742" i="54"/>
  <c r="L7741" i="54"/>
  <c r="L7740" i="54"/>
  <c r="L7739" i="54"/>
  <c r="L7738" i="54"/>
  <c r="L7737" i="54"/>
  <c r="L7736" i="54"/>
  <c r="L7735" i="54"/>
  <c r="L7734" i="54"/>
  <c r="L7733" i="54"/>
  <c r="L7732" i="54"/>
  <c r="L7731" i="54"/>
  <c r="L7730" i="54"/>
  <c r="L7729" i="54"/>
  <c r="L7728" i="54"/>
  <c r="L7727" i="54"/>
  <c r="L7726" i="54"/>
  <c r="L7725" i="54"/>
  <c r="L7724" i="54"/>
  <c r="L7723" i="54"/>
  <c r="L7722" i="54"/>
  <c r="L7721" i="54"/>
  <c r="L7720" i="54"/>
  <c r="L7719" i="54"/>
  <c r="L7718" i="54"/>
  <c r="L7717" i="54"/>
  <c r="L7716" i="54"/>
  <c r="L7715" i="54"/>
  <c r="L7714" i="54"/>
  <c r="L7713" i="54"/>
  <c r="L7712" i="54"/>
  <c r="L7711" i="54"/>
  <c r="L7710" i="54"/>
  <c r="L7709" i="54"/>
  <c r="L7708" i="54"/>
  <c r="L7707" i="54"/>
  <c r="L7706" i="54"/>
  <c r="L7705" i="54"/>
  <c r="L7704" i="54"/>
  <c r="L7703" i="54"/>
  <c r="L7702" i="54"/>
  <c r="L7701" i="54"/>
  <c r="L7700" i="54"/>
  <c r="L7699" i="54"/>
  <c r="L7698" i="54"/>
  <c r="L7697" i="54"/>
  <c r="L7696" i="54"/>
  <c r="L7695" i="54"/>
  <c r="L7694" i="54"/>
  <c r="L7693" i="54"/>
  <c r="L7692" i="54"/>
  <c r="L7691" i="54"/>
  <c r="L7690" i="54"/>
  <c r="L7689" i="54"/>
  <c r="L7688" i="54"/>
  <c r="L7687" i="54"/>
  <c r="L7686" i="54"/>
  <c r="L7685" i="54"/>
  <c r="L7684" i="54"/>
  <c r="L7683" i="54"/>
  <c r="L7682" i="54"/>
  <c r="L7681" i="54"/>
  <c r="L7680" i="54"/>
  <c r="L7679" i="54"/>
  <c r="L7678" i="54"/>
  <c r="L7677" i="54"/>
  <c r="L7676" i="54"/>
  <c r="L7675" i="54"/>
  <c r="L7674" i="54"/>
  <c r="L7673" i="54"/>
  <c r="L7672" i="54"/>
  <c r="L7671" i="54"/>
  <c r="L7670" i="54"/>
  <c r="L7669" i="54"/>
  <c r="L7668" i="54"/>
  <c r="L7667" i="54"/>
  <c r="L7666" i="54"/>
  <c r="L7665" i="54"/>
  <c r="L7664" i="54"/>
  <c r="L7663" i="54"/>
  <c r="L7662" i="54"/>
  <c r="L7661" i="54"/>
  <c r="L7660" i="54"/>
  <c r="L7659" i="54"/>
  <c r="L7658" i="54"/>
  <c r="L7657" i="54"/>
  <c r="L7656" i="54"/>
  <c r="L7655" i="54"/>
  <c r="L7654" i="54"/>
  <c r="L7653" i="54"/>
  <c r="L7652" i="54"/>
  <c r="L7651" i="54"/>
  <c r="L7650" i="54"/>
  <c r="L7649" i="54"/>
  <c r="L7648" i="54"/>
  <c r="L7647" i="54"/>
  <c r="L7646" i="54"/>
  <c r="L7645" i="54"/>
  <c r="L7644" i="54"/>
  <c r="L7643" i="54"/>
  <c r="L7642" i="54"/>
  <c r="L7641" i="54"/>
  <c r="L7640" i="54"/>
  <c r="L7639" i="54"/>
  <c r="L7638" i="54"/>
  <c r="L7637" i="54"/>
  <c r="L7636" i="54"/>
  <c r="L7635" i="54"/>
  <c r="L7634" i="54"/>
  <c r="L7633" i="54"/>
  <c r="L7632" i="54"/>
  <c r="L7631" i="54"/>
  <c r="L7630" i="54"/>
  <c r="L7629" i="54"/>
  <c r="L7628" i="54"/>
  <c r="L7627" i="54"/>
  <c r="L7626" i="54"/>
  <c r="L7625" i="54"/>
  <c r="L7624" i="54"/>
  <c r="L7623" i="54"/>
  <c r="L7622" i="54"/>
  <c r="L7621" i="54"/>
  <c r="L7620" i="54"/>
  <c r="L7619" i="54"/>
  <c r="L7618" i="54"/>
  <c r="L7617" i="54"/>
  <c r="L7616" i="54"/>
  <c r="L7615" i="54"/>
  <c r="L7614" i="54"/>
  <c r="L7613" i="54"/>
  <c r="L7612" i="54"/>
  <c r="L7611" i="54"/>
  <c r="L7610" i="54"/>
  <c r="L7609" i="54"/>
  <c r="L7608" i="54"/>
  <c r="L7607" i="54"/>
  <c r="L7606" i="54"/>
  <c r="L7605" i="54"/>
  <c r="L7604" i="54"/>
  <c r="L7603" i="54"/>
  <c r="K7602" i="54"/>
  <c r="J7602" i="54"/>
  <c r="L7601" i="54"/>
  <c r="L7600" i="54"/>
  <c r="L7599" i="54"/>
  <c r="L7598" i="54"/>
  <c r="L7597" i="54"/>
  <c r="L7596" i="54"/>
  <c r="L7595" i="54"/>
  <c r="L7594" i="54"/>
  <c r="L7593" i="54"/>
  <c r="L7592" i="54"/>
  <c r="L7591" i="54"/>
  <c r="L7590" i="54"/>
  <c r="L7589" i="54"/>
  <c r="L7588" i="54"/>
  <c r="L7587" i="54"/>
  <c r="L7586" i="54"/>
  <c r="L7585" i="54"/>
  <c r="L7584" i="54"/>
  <c r="L7583" i="54"/>
  <c r="L7582" i="54"/>
  <c r="L7581" i="54"/>
  <c r="L7580" i="54"/>
  <c r="L7579" i="54"/>
  <c r="L7578" i="54"/>
  <c r="L7577" i="54"/>
  <c r="L7576" i="54"/>
  <c r="L7575" i="54"/>
  <c r="L7574" i="54"/>
  <c r="L7573" i="54"/>
  <c r="L7572" i="54"/>
  <c r="L7571" i="54"/>
  <c r="L7570" i="54"/>
  <c r="L7569" i="54"/>
  <c r="L7568" i="54"/>
  <c r="L7567" i="54"/>
  <c r="L7566" i="54"/>
  <c r="L7565" i="54"/>
  <c r="L7564" i="54"/>
  <c r="L7563" i="54"/>
  <c r="L7562" i="54"/>
  <c r="L7561" i="54"/>
  <c r="L7559" i="54"/>
  <c r="L7558" i="54"/>
  <c r="L7557" i="54"/>
  <c r="L7556" i="54"/>
  <c r="L7555" i="54"/>
  <c r="L7554" i="54"/>
  <c r="L7553" i="54"/>
  <c r="L7552" i="54"/>
  <c r="L7551" i="54"/>
  <c r="L7550" i="54"/>
  <c r="L7549" i="54"/>
  <c r="L7548" i="54"/>
  <c r="L7547" i="54"/>
  <c r="L7546" i="54"/>
  <c r="L7545" i="54"/>
  <c r="L7544" i="54"/>
  <c r="L7543" i="54"/>
  <c r="L7542" i="54"/>
  <c r="L7541" i="54"/>
  <c r="L7540" i="54"/>
  <c r="L7539" i="54"/>
  <c r="L7538" i="54"/>
  <c r="L7537" i="54"/>
  <c r="L7536" i="54"/>
  <c r="L7535" i="54"/>
  <c r="L7534" i="54"/>
  <c r="L7533" i="54"/>
  <c r="L7532" i="54"/>
  <c r="L7531" i="54"/>
  <c r="L7530" i="54"/>
  <c r="L7529" i="54"/>
  <c r="L7528" i="54"/>
  <c r="L7527" i="54"/>
  <c r="L7526" i="54"/>
  <c r="L7525" i="54"/>
  <c r="L7524" i="54"/>
  <c r="L7523" i="54"/>
  <c r="L7522" i="54"/>
  <c r="L7521" i="54"/>
  <c r="L7520" i="54"/>
  <c r="L7519" i="54"/>
  <c r="L7518" i="54"/>
  <c r="L7517" i="54"/>
  <c r="L7516" i="54"/>
  <c r="L7515" i="54"/>
  <c r="L7514" i="54"/>
  <c r="L7513" i="54"/>
  <c r="L7512" i="54"/>
  <c r="L7511" i="54"/>
  <c r="L7510" i="54"/>
  <c r="L7508" i="54"/>
  <c r="L7507" i="54"/>
  <c r="L7506" i="54"/>
  <c r="L7505" i="54"/>
  <c r="L7504" i="54"/>
  <c r="L7503" i="54"/>
  <c r="L7502" i="54"/>
  <c r="L7501" i="54"/>
  <c r="L7500" i="54"/>
  <c r="L7499" i="54"/>
  <c r="L7498" i="54"/>
  <c r="L7497" i="54"/>
  <c r="L7496" i="54"/>
  <c r="L7495" i="54"/>
  <c r="L7494" i="54"/>
  <c r="L7493" i="54"/>
  <c r="L7492" i="54"/>
  <c r="L7491" i="54"/>
  <c r="L7490" i="54"/>
  <c r="L7489" i="54"/>
  <c r="L7488" i="54"/>
  <c r="L7487" i="54"/>
  <c r="L7486" i="54"/>
  <c r="L7485" i="54"/>
  <c r="L7484" i="54"/>
  <c r="L7482" i="54"/>
  <c r="L7481" i="54"/>
  <c r="L7480" i="54"/>
  <c r="L7479" i="54"/>
  <c r="L7478" i="54"/>
  <c r="L7477" i="54"/>
  <c r="L7476" i="54"/>
  <c r="L7475" i="54"/>
  <c r="L7474" i="54"/>
  <c r="L7473" i="54"/>
  <c r="L7471" i="54"/>
  <c r="L7468" i="54"/>
  <c r="L7467" i="54"/>
  <c r="L7466" i="54"/>
  <c r="L7465" i="54"/>
  <c r="L7464" i="54"/>
  <c r="L7463" i="54"/>
  <c r="L7462" i="54"/>
  <c r="L7461" i="54"/>
  <c r="L7460" i="54"/>
  <c r="L7459" i="54"/>
  <c r="L7458" i="54"/>
  <c r="L7457" i="54"/>
  <c r="L7456" i="54"/>
  <c r="L7455" i="54"/>
  <c r="L7454" i="54"/>
  <c r="L7453" i="54"/>
  <c r="L7452" i="54"/>
  <c r="L7451" i="54"/>
  <c r="L7450" i="54"/>
  <c r="L7449" i="54"/>
  <c r="L7448" i="54"/>
  <c r="L7447" i="54"/>
  <c r="L7446" i="54"/>
  <c r="L7445" i="54"/>
  <c r="L7444" i="54"/>
  <c r="L7443" i="54"/>
  <c r="L7442" i="54"/>
  <c r="L7441" i="54"/>
  <c r="L7440" i="54"/>
  <c r="L7439" i="54"/>
  <c r="L7438" i="54"/>
  <c r="L7437" i="54"/>
  <c r="L7436" i="54"/>
  <c r="L7435" i="54"/>
  <c r="L7434" i="54"/>
  <c r="L7433" i="54"/>
  <c r="L7432" i="54"/>
  <c r="L7431" i="54"/>
  <c r="L7430" i="54"/>
  <c r="L7429" i="54"/>
  <c r="L7428" i="54"/>
  <c r="L7427" i="54"/>
  <c r="L7426" i="54"/>
  <c r="L7425" i="54"/>
  <c r="L7424" i="54"/>
  <c r="L7423" i="54"/>
  <c r="L7422" i="54"/>
  <c r="L7421" i="54"/>
  <c r="L7420" i="54"/>
  <c r="L7419" i="54"/>
  <c r="L7418" i="54"/>
  <c r="L7417" i="54"/>
  <c r="L7416" i="54"/>
  <c r="L7415" i="54"/>
  <c r="L7414" i="54"/>
  <c r="L7413" i="54"/>
  <c r="L7412" i="54"/>
  <c r="L7411" i="54"/>
  <c r="L7410" i="54"/>
  <c r="L7409" i="54"/>
  <c r="L7408" i="54"/>
  <c r="L7407" i="54"/>
  <c r="L7406" i="54"/>
  <c r="L7405" i="54"/>
  <c r="L7404" i="54"/>
  <c r="L7403" i="54"/>
  <c r="L7402" i="54"/>
  <c r="L7401" i="54"/>
  <c r="L7400" i="54"/>
  <c r="L7399" i="54"/>
  <c r="L7398" i="54"/>
  <c r="L7397" i="54"/>
  <c r="L7396" i="54"/>
  <c r="L7395" i="54"/>
  <c r="L7394" i="54"/>
  <c r="L7393" i="54"/>
  <c r="L7392" i="54"/>
  <c r="L7391" i="54"/>
  <c r="L7390" i="54"/>
  <c r="L7389" i="54"/>
  <c r="L7388" i="54"/>
  <c r="L7387" i="54"/>
  <c r="L7386" i="54"/>
  <c r="L7385" i="54"/>
  <c r="L7384" i="54"/>
  <c r="L7383" i="54"/>
  <c r="L7382" i="54"/>
  <c r="L7381" i="54"/>
  <c r="L7380" i="54"/>
  <c r="L7379" i="54"/>
  <c r="L7378" i="54"/>
  <c r="L7377" i="54"/>
  <c r="L7376" i="54"/>
  <c r="L7375" i="54"/>
  <c r="L7374" i="54"/>
  <c r="L7373" i="54"/>
  <c r="L7372" i="54"/>
  <c r="L7371" i="54"/>
  <c r="L7370" i="54"/>
  <c r="L7369" i="54"/>
  <c r="L7368" i="54"/>
  <c r="L7367" i="54"/>
  <c r="L7366" i="54"/>
  <c r="L7365" i="54"/>
  <c r="L7364" i="54"/>
  <c r="L7363" i="54"/>
  <c r="L7362" i="54"/>
  <c r="L7361" i="54"/>
  <c r="L7360" i="54"/>
  <c r="L7359" i="54"/>
  <c r="L7358" i="54"/>
  <c r="L7357" i="54"/>
  <c r="L7356" i="54"/>
  <c r="L7355" i="54"/>
  <c r="L7354" i="54"/>
  <c r="L7353" i="54"/>
  <c r="L7352" i="54"/>
  <c r="L7351" i="54"/>
  <c r="L7350" i="54"/>
  <c r="L7349" i="54"/>
  <c r="L7348" i="54"/>
  <c r="L7347" i="54"/>
  <c r="L7346" i="54"/>
  <c r="L7345" i="54"/>
  <c r="L7344" i="54"/>
  <c r="L7343" i="54"/>
  <c r="L7342" i="54"/>
  <c r="L7341" i="54"/>
  <c r="L7340" i="54"/>
  <c r="L7339" i="54"/>
  <c r="L7338" i="54"/>
  <c r="L7337" i="54"/>
  <c r="L7336" i="54"/>
  <c r="L7335" i="54"/>
  <c r="L7334" i="54"/>
  <c r="L7333" i="54"/>
  <c r="L7332" i="54"/>
  <c r="L7331" i="54"/>
  <c r="L7330" i="54"/>
  <c r="L7329" i="54"/>
  <c r="L7328" i="54"/>
  <c r="L7327" i="54"/>
  <c r="L7326" i="54"/>
  <c r="L7325" i="54"/>
  <c r="L7324" i="54"/>
  <c r="L7323" i="54"/>
  <c r="L7322" i="54"/>
  <c r="L7321" i="54"/>
  <c r="L7320" i="54"/>
  <c r="L7319" i="54"/>
  <c r="L7318" i="54"/>
  <c r="L7317" i="54"/>
  <c r="L7316" i="54"/>
  <c r="L7315" i="54"/>
  <c r="L7314" i="54"/>
  <c r="L7313" i="54"/>
  <c r="L7312" i="54"/>
  <c r="L7311" i="54"/>
  <c r="L7310" i="54"/>
  <c r="L7309" i="54"/>
  <c r="L7308" i="54"/>
  <c r="L7307" i="54"/>
  <c r="L7306" i="54"/>
  <c r="L7305" i="54"/>
  <c r="L7304" i="54"/>
  <c r="L7303" i="54"/>
  <c r="L7302" i="54"/>
  <c r="L7301" i="54"/>
  <c r="L7300" i="54"/>
  <c r="L7299" i="54"/>
  <c r="L7298" i="54"/>
  <c r="L7297" i="54"/>
  <c r="L7296" i="54"/>
  <c r="L7295" i="54"/>
  <c r="L7294" i="54"/>
  <c r="L7293" i="54"/>
  <c r="L7292" i="54"/>
  <c r="L7291" i="54"/>
  <c r="L7290" i="54"/>
  <c r="L7289" i="54"/>
  <c r="L7288" i="54"/>
  <c r="L7287" i="54"/>
  <c r="L7286" i="54"/>
  <c r="L7285" i="54"/>
  <c r="L7284" i="54"/>
  <c r="L7283" i="54"/>
  <c r="L7282" i="54"/>
  <c r="L7281" i="54"/>
  <c r="L7280" i="54"/>
  <c r="L7279" i="54"/>
  <c r="L7278" i="54"/>
  <c r="L7277" i="54"/>
  <c r="L7276" i="54"/>
  <c r="L7275" i="54"/>
  <c r="L7274" i="54"/>
  <c r="L7273" i="54"/>
  <c r="L7272" i="54"/>
  <c r="L7271" i="54"/>
  <c r="L7270" i="54"/>
  <c r="L7269" i="54"/>
  <c r="L7268" i="54"/>
  <c r="L7267" i="54"/>
  <c r="L7266" i="54"/>
  <c r="L7265" i="54"/>
  <c r="L7264" i="54"/>
  <c r="L7263" i="54"/>
  <c r="L7262" i="54"/>
  <c r="L7261" i="54"/>
  <c r="L7260" i="54"/>
  <c r="L7259" i="54"/>
  <c r="L7258" i="54"/>
  <c r="L7257" i="54"/>
  <c r="L7256" i="54"/>
  <c r="L7255" i="54"/>
  <c r="L7254" i="54"/>
  <c r="L7253" i="54"/>
  <c r="L7252" i="54"/>
  <c r="L7251" i="54"/>
  <c r="L7250" i="54"/>
  <c r="L7249" i="54"/>
  <c r="L7248" i="54"/>
  <c r="L7247" i="54"/>
  <c r="L7246" i="54"/>
  <c r="L7245" i="54"/>
  <c r="L7244" i="54"/>
  <c r="L7243" i="54"/>
  <c r="L7242" i="54"/>
  <c r="L7241" i="54"/>
  <c r="L7240" i="54"/>
  <c r="L7239" i="54"/>
  <c r="L7238" i="54"/>
  <c r="L7237" i="54"/>
  <c r="L7236" i="54"/>
  <c r="L7235" i="54"/>
  <c r="L7234" i="54"/>
  <c r="L7233" i="54"/>
  <c r="L7232" i="54"/>
  <c r="L7231" i="54"/>
  <c r="L7230" i="54"/>
  <c r="L7229" i="54"/>
  <c r="L7228" i="54"/>
  <c r="L7227" i="54"/>
  <c r="L7226" i="54"/>
  <c r="L7225" i="54"/>
  <c r="L7224" i="54"/>
  <c r="L7223" i="54"/>
  <c r="L7222" i="54"/>
  <c r="L7221" i="54"/>
  <c r="L7220" i="54"/>
  <c r="L7219" i="54"/>
  <c r="L7218" i="54"/>
  <c r="L7217" i="54"/>
  <c r="L7216" i="54"/>
  <c r="L7215" i="54"/>
  <c r="L7214" i="54"/>
  <c r="L7213" i="54"/>
  <c r="L7212" i="54"/>
  <c r="L7211" i="54"/>
  <c r="L7210" i="54"/>
  <c r="L7209" i="54"/>
  <c r="L7208" i="54"/>
  <c r="L7207" i="54"/>
  <c r="L7206" i="54"/>
  <c r="L7205" i="54"/>
  <c r="L7204" i="54"/>
  <c r="L7203" i="54"/>
  <c r="L7202" i="54"/>
  <c r="L7201" i="54"/>
  <c r="L7200" i="54"/>
  <c r="L7199" i="54"/>
  <c r="L7198" i="54"/>
  <c r="L7197" i="54"/>
  <c r="L7196" i="54"/>
  <c r="L7195" i="54"/>
  <c r="L7194" i="54"/>
  <c r="L7193" i="54"/>
  <c r="L7192" i="54"/>
  <c r="L7191" i="54"/>
  <c r="L7190" i="54"/>
  <c r="L7189" i="54"/>
  <c r="L7188" i="54"/>
  <c r="L7187" i="54"/>
  <c r="L7186" i="54"/>
  <c r="L7185" i="54"/>
  <c r="L7184" i="54"/>
  <c r="L7183" i="54"/>
  <c r="L7182" i="54"/>
  <c r="L7181" i="54"/>
  <c r="L7180" i="54"/>
  <c r="L7179" i="54"/>
  <c r="L7178" i="54"/>
  <c r="L7177" i="54"/>
  <c r="L7176" i="54"/>
  <c r="L7175" i="54"/>
  <c r="L7174" i="54"/>
  <c r="L7173" i="54"/>
  <c r="L7172" i="54"/>
  <c r="L7171" i="54"/>
  <c r="L7170" i="54"/>
  <c r="L7169" i="54"/>
  <c r="L7168" i="54"/>
  <c r="L7167" i="54"/>
  <c r="L7166" i="54"/>
  <c r="L7165" i="54"/>
  <c r="L7164" i="54"/>
  <c r="L7163" i="54"/>
  <c r="L7162" i="54"/>
  <c r="L7161" i="54"/>
  <c r="L7160" i="54"/>
  <c r="L7159" i="54"/>
  <c r="L7158" i="54"/>
  <c r="L7157" i="54"/>
  <c r="L7156" i="54"/>
  <c r="L7155" i="54"/>
  <c r="L7154" i="54"/>
  <c r="L7153" i="54"/>
  <c r="L7152" i="54"/>
  <c r="L7151" i="54"/>
  <c r="L7150" i="54"/>
  <c r="L7149" i="54"/>
  <c r="L7148" i="54"/>
  <c r="L7147" i="54"/>
  <c r="L7146" i="54"/>
  <c r="L7145" i="54"/>
  <c r="L7144" i="54"/>
  <c r="L7143" i="54"/>
  <c r="L7142" i="54"/>
  <c r="L7141" i="54"/>
  <c r="L7140" i="54"/>
  <c r="L7139" i="54"/>
  <c r="L7138" i="54"/>
  <c r="L7137" i="54"/>
  <c r="L7136" i="54"/>
  <c r="L7135" i="54"/>
  <c r="L7134" i="54"/>
  <c r="L7133" i="54"/>
  <c r="L7132" i="54"/>
  <c r="L7131" i="54"/>
  <c r="L7130" i="54"/>
  <c r="L7129" i="54"/>
  <c r="L7128" i="54"/>
  <c r="L7127" i="54"/>
  <c r="L7126" i="54"/>
  <c r="L7125" i="54"/>
  <c r="L7124" i="54"/>
  <c r="L7123" i="54"/>
  <c r="L7122" i="54"/>
  <c r="L7121" i="54"/>
  <c r="L7120" i="54"/>
  <c r="L7119" i="54"/>
  <c r="L7118" i="54"/>
  <c r="L7117" i="54"/>
  <c r="L7116" i="54"/>
  <c r="L7115" i="54"/>
  <c r="L7114" i="54"/>
  <c r="L7113" i="54"/>
  <c r="L7112" i="54"/>
  <c r="L7111" i="54"/>
  <c r="L7110" i="54"/>
  <c r="L7109" i="54"/>
  <c r="L7108" i="54"/>
  <c r="L7107" i="54"/>
  <c r="L7106" i="54"/>
  <c r="L7105" i="54"/>
  <c r="L7104" i="54"/>
  <c r="L7103" i="54"/>
  <c r="L7102" i="54"/>
  <c r="L7101" i="54"/>
  <c r="L7100" i="54"/>
  <c r="L7099" i="54"/>
  <c r="L7098" i="54"/>
  <c r="L7097" i="54"/>
  <c r="L7096" i="54"/>
  <c r="L7095" i="54"/>
  <c r="L7094" i="54"/>
  <c r="L7093" i="54"/>
  <c r="L7092" i="54"/>
  <c r="L7091" i="54"/>
  <c r="L7090" i="54"/>
  <c r="L7089" i="54"/>
  <c r="L7088" i="54"/>
  <c r="L7087" i="54"/>
  <c r="L7086" i="54"/>
  <c r="L7085" i="54"/>
  <c r="L7084" i="54"/>
  <c r="L7083" i="54"/>
  <c r="L7082" i="54"/>
  <c r="L7081" i="54"/>
  <c r="L7080" i="54"/>
  <c r="L7079" i="54"/>
  <c r="L7078" i="54"/>
  <c r="L7077" i="54"/>
  <c r="L7076" i="54"/>
  <c r="L7075" i="54"/>
  <c r="L7074" i="54"/>
  <c r="L7073" i="54"/>
  <c r="L7072" i="54"/>
  <c r="L7071" i="54"/>
  <c r="L7070" i="54"/>
  <c r="L7069" i="54"/>
  <c r="L7068" i="54"/>
  <c r="L7067" i="54"/>
  <c r="L7066" i="54"/>
  <c r="L7065" i="54"/>
  <c r="L7064" i="54"/>
  <c r="L7063" i="54"/>
  <c r="L7062" i="54"/>
  <c r="L7061" i="54"/>
  <c r="L7060" i="54"/>
  <c r="L7059" i="54"/>
  <c r="L7058" i="54"/>
  <c r="L7057" i="54"/>
  <c r="L7056" i="54"/>
  <c r="L7055" i="54"/>
  <c r="L7054" i="54"/>
  <c r="L7053" i="54"/>
  <c r="L7052" i="54"/>
  <c r="L7051" i="54"/>
  <c r="L7050" i="54"/>
  <c r="L7049" i="54"/>
  <c r="L7048" i="54"/>
  <c r="L7047" i="54"/>
  <c r="L7046" i="54"/>
  <c r="L7045" i="54"/>
  <c r="L7044" i="54"/>
  <c r="L7043" i="54"/>
  <c r="L7042" i="54"/>
  <c r="L7041" i="54"/>
  <c r="L7040" i="54"/>
  <c r="L7039" i="54"/>
  <c r="L7038" i="54"/>
  <c r="L7037" i="54"/>
  <c r="L7036" i="54"/>
  <c r="L7035" i="54"/>
  <c r="L7034" i="54"/>
  <c r="L7033" i="54"/>
  <c r="L7032" i="54"/>
  <c r="L7031" i="54"/>
  <c r="L7030" i="54"/>
  <c r="L7029" i="54"/>
  <c r="L7028" i="54"/>
  <c r="L7027" i="54"/>
  <c r="L7026" i="54"/>
  <c r="L7025" i="54"/>
  <c r="L7024" i="54"/>
  <c r="L7023" i="54"/>
  <c r="L7022" i="54"/>
  <c r="L7021" i="54"/>
  <c r="L7020" i="54"/>
  <c r="L7019" i="54"/>
  <c r="L7018" i="54"/>
  <c r="L7017" i="54"/>
  <c r="L7016" i="54"/>
  <c r="L7015" i="54"/>
  <c r="L7014" i="54"/>
  <c r="L7013" i="54"/>
  <c r="L7012" i="54"/>
  <c r="L7011" i="54"/>
  <c r="L7010" i="54"/>
  <c r="L7009" i="54"/>
  <c r="L7008" i="54"/>
  <c r="L7007" i="54"/>
  <c r="L7006" i="54"/>
  <c r="L7005" i="54"/>
  <c r="L7004" i="54"/>
  <c r="L7003" i="54"/>
  <c r="L7002" i="54"/>
  <c r="L7001" i="54"/>
  <c r="L7000" i="54"/>
  <c r="L6999" i="54"/>
  <c r="L6998" i="54"/>
  <c r="L6997" i="54"/>
  <c r="L6996" i="54"/>
  <c r="L6995" i="54"/>
  <c r="L6994" i="54"/>
  <c r="L6993" i="54"/>
  <c r="L6992" i="54"/>
  <c r="L6991" i="54"/>
  <c r="L6990" i="54"/>
  <c r="L6989" i="54"/>
  <c r="L6988" i="54"/>
  <c r="L6987" i="54"/>
  <c r="L6986" i="54"/>
  <c r="L6985" i="54"/>
  <c r="L6984" i="54"/>
  <c r="L6983" i="54"/>
  <c r="L6982" i="54"/>
  <c r="L6981" i="54"/>
  <c r="L6980" i="54"/>
  <c r="L6979" i="54"/>
  <c r="L6978" i="54"/>
  <c r="L6977" i="54"/>
  <c r="L6976" i="54"/>
  <c r="L6975" i="54"/>
  <c r="L6974" i="54"/>
  <c r="L6973" i="54"/>
  <c r="L6972" i="54"/>
  <c r="L6971" i="54"/>
  <c r="L6970" i="54"/>
  <c r="L6969" i="54"/>
  <c r="L6968" i="54"/>
  <c r="L6967" i="54"/>
  <c r="L6966" i="54"/>
  <c r="L6965" i="54"/>
  <c r="L6964" i="54"/>
  <c r="L6963" i="54"/>
  <c r="L6962" i="54"/>
  <c r="L6961" i="54"/>
  <c r="L6960" i="54"/>
  <c r="L6959" i="54"/>
  <c r="L6958" i="54"/>
  <c r="L6957" i="54"/>
  <c r="L6956" i="54"/>
  <c r="L6955" i="54"/>
  <c r="L6954" i="54"/>
  <c r="L6953" i="54"/>
  <c r="L6952" i="54"/>
  <c r="L6951" i="54"/>
  <c r="L6950" i="54"/>
  <c r="L6949" i="54"/>
  <c r="L6948" i="54"/>
  <c r="L6947" i="54"/>
  <c r="L6946" i="54"/>
  <c r="L6945" i="54"/>
  <c r="L6944" i="54"/>
  <c r="L6943" i="54"/>
  <c r="L6942" i="54"/>
  <c r="L6941" i="54"/>
  <c r="L6940" i="54"/>
  <c r="L6939" i="54"/>
  <c r="L6938" i="54"/>
  <c r="L6937" i="54"/>
  <c r="L6936" i="54"/>
  <c r="L6935" i="54"/>
  <c r="L6934" i="54"/>
  <c r="L6933" i="54"/>
  <c r="L6932" i="54"/>
  <c r="L6931" i="54"/>
  <c r="L6930" i="54"/>
  <c r="L6929" i="54"/>
  <c r="L6928" i="54"/>
  <c r="L6927" i="54"/>
  <c r="L6926" i="54"/>
  <c r="L6925" i="54"/>
  <c r="L6924" i="54"/>
  <c r="L6923" i="54"/>
  <c r="L6922" i="54"/>
  <c r="L6921" i="54"/>
  <c r="L6920" i="54"/>
  <c r="L6919" i="54"/>
  <c r="L6918" i="54"/>
  <c r="L6917" i="54"/>
  <c r="L6916" i="54"/>
  <c r="L6915" i="54"/>
  <c r="L6914" i="54"/>
  <c r="L6913" i="54"/>
  <c r="L6912" i="54"/>
  <c r="L6911" i="54"/>
  <c r="L6910" i="54"/>
  <c r="L6909" i="54"/>
  <c r="L6908" i="54"/>
  <c r="L6907" i="54"/>
  <c r="L6906" i="54"/>
  <c r="L6905" i="54"/>
  <c r="L6904" i="54"/>
  <c r="L6903" i="54"/>
  <c r="L6902" i="54"/>
  <c r="L6901" i="54"/>
  <c r="L6900" i="54"/>
  <c r="L6899" i="54"/>
  <c r="L6898" i="54"/>
  <c r="L6897" i="54"/>
  <c r="L6896" i="54"/>
  <c r="L6895" i="54"/>
  <c r="L6894" i="54"/>
  <c r="L6893" i="54"/>
  <c r="L6892" i="54"/>
  <c r="L6891" i="54"/>
  <c r="L6890" i="54"/>
  <c r="L6889" i="54"/>
  <c r="L6888" i="54"/>
  <c r="L6887" i="54"/>
  <c r="L6886" i="54"/>
  <c r="L6885" i="54"/>
  <c r="L6884" i="54"/>
  <c r="L6883" i="54"/>
  <c r="L6882" i="54"/>
  <c r="L6881" i="54"/>
  <c r="L6880" i="54"/>
  <c r="L6879" i="54"/>
  <c r="L6878" i="54"/>
  <c r="L6877" i="54"/>
  <c r="L6876" i="54"/>
  <c r="L6875" i="54"/>
  <c r="L6874" i="54"/>
  <c r="L6873" i="54"/>
  <c r="L6872" i="54"/>
  <c r="L6871" i="54"/>
  <c r="L6870" i="54"/>
  <c r="L6869" i="54"/>
  <c r="L6868" i="54"/>
  <c r="L6867" i="54"/>
  <c r="L6866" i="54"/>
  <c r="L6865" i="54"/>
  <c r="L6864" i="54"/>
  <c r="L6863" i="54"/>
  <c r="L6862" i="54"/>
  <c r="L6861" i="54"/>
  <c r="L6860" i="54"/>
  <c r="L6859" i="54"/>
  <c r="L6858" i="54"/>
  <c r="L6857" i="54"/>
  <c r="L6856" i="54"/>
  <c r="L6855" i="54"/>
  <c r="L6854" i="54"/>
  <c r="L6853" i="54"/>
  <c r="L6852" i="54"/>
  <c r="L6851" i="54"/>
  <c r="L6850" i="54"/>
  <c r="L6849" i="54"/>
  <c r="L6848" i="54"/>
  <c r="L6847" i="54"/>
  <c r="L6846" i="54"/>
  <c r="L6845" i="54"/>
  <c r="L6844" i="54"/>
  <c r="L6843" i="54"/>
  <c r="L6842" i="54"/>
  <c r="L6841" i="54"/>
  <c r="L6840" i="54"/>
  <c r="L6839" i="54"/>
  <c r="L6838" i="54"/>
  <c r="L6837" i="54"/>
  <c r="L6836" i="54"/>
  <c r="L6835" i="54"/>
  <c r="L6834" i="54"/>
  <c r="L6833" i="54"/>
  <c r="L6832" i="54"/>
  <c r="L6831" i="54"/>
  <c r="L6830" i="54"/>
  <c r="L6829" i="54"/>
  <c r="L6828" i="54"/>
  <c r="L6827" i="54"/>
  <c r="L6826" i="54"/>
  <c r="L6825" i="54"/>
  <c r="L6824" i="54"/>
  <c r="L6823" i="54"/>
  <c r="L6822" i="54"/>
  <c r="L6821" i="54"/>
  <c r="L6820" i="54"/>
  <c r="L6819" i="54"/>
  <c r="L6818" i="54"/>
  <c r="L6817" i="54"/>
  <c r="L6816" i="54"/>
  <c r="L6815" i="54"/>
  <c r="L6814" i="54"/>
  <c r="L6813" i="54"/>
  <c r="L6812" i="54"/>
  <c r="L6811" i="54"/>
  <c r="L6810" i="54"/>
  <c r="L6809" i="54"/>
  <c r="L6808" i="54"/>
  <c r="L6807" i="54"/>
  <c r="L6806" i="54"/>
  <c r="L6805" i="54"/>
  <c r="L6804" i="54"/>
  <c r="L6803" i="54"/>
  <c r="L6802" i="54"/>
  <c r="L6801" i="54"/>
  <c r="L6800" i="54"/>
  <c r="L6799" i="54"/>
  <c r="L6798" i="54"/>
  <c r="L6797" i="54"/>
  <c r="L6796" i="54"/>
  <c r="L6795" i="54"/>
  <c r="L6794" i="54"/>
  <c r="L6793" i="54"/>
  <c r="L6792" i="54"/>
  <c r="L6791" i="54"/>
  <c r="L6790" i="54"/>
  <c r="L6789" i="54"/>
  <c r="L6788" i="54"/>
  <c r="L6787" i="54"/>
  <c r="L6786" i="54"/>
  <c r="L6785" i="54"/>
  <c r="L6784" i="54"/>
  <c r="L6783" i="54"/>
  <c r="L6782" i="54"/>
  <c r="L6781" i="54"/>
  <c r="L6780" i="54"/>
  <c r="L6779" i="54"/>
  <c r="L6778" i="54"/>
  <c r="L6777" i="54"/>
  <c r="L6776" i="54"/>
  <c r="L6775" i="54"/>
  <c r="L6774" i="54"/>
  <c r="L6773" i="54"/>
  <c r="L6772" i="54"/>
  <c r="L6771" i="54"/>
  <c r="L6770" i="54"/>
  <c r="L6769" i="54"/>
  <c r="L6768" i="54"/>
  <c r="L6767" i="54"/>
  <c r="L6766" i="54"/>
  <c r="L6765" i="54"/>
  <c r="L6764" i="54"/>
  <c r="L6763" i="54"/>
  <c r="L6762" i="54"/>
  <c r="L6761" i="54"/>
  <c r="L6760" i="54"/>
  <c r="L6759" i="54"/>
  <c r="L6758" i="54"/>
  <c r="L6757" i="54"/>
  <c r="L6756" i="54"/>
  <c r="L6755" i="54"/>
  <c r="L6754" i="54"/>
  <c r="L6753" i="54"/>
  <c r="L6752" i="54"/>
  <c r="L6751" i="54"/>
  <c r="L6750" i="54"/>
  <c r="L6749" i="54"/>
  <c r="L6748" i="54"/>
  <c r="L6747" i="54"/>
  <c r="L6746" i="54"/>
  <c r="L6745" i="54"/>
  <c r="L6744" i="54"/>
  <c r="L6743" i="54"/>
  <c r="L6742" i="54"/>
  <c r="L6741" i="54"/>
  <c r="L6740" i="54"/>
  <c r="L6739" i="54"/>
  <c r="L6738" i="54"/>
  <c r="L6737" i="54"/>
  <c r="L6736" i="54"/>
  <c r="L6735" i="54"/>
  <c r="L6734" i="54"/>
  <c r="L6733" i="54"/>
  <c r="L6732" i="54"/>
  <c r="L6731" i="54"/>
  <c r="L6730" i="54"/>
  <c r="L6729" i="54"/>
  <c r="L6728" i="54"/>
  <c r="L6727" i="54"/>
  <c r="L6726" i="54"/>
  <c r="L6725" i="54"/>
  <c r="L6724" i="54"/>
  <c r="L6723" i="54"/>
  <c r="L6722" i="54"/>
  <c r="L6721" i="54"/>
  <c r="L6720" i="54"/>
  <c r="L6719" i="54"/>
  <c r="L6718" i="54"/>
  <c r="L6717" i="54"/>
  <c r="L6716" i="54"/>
  <c r="L6715" i="54"/>
  <c r="L6714" i="54"/>
  <c r="L6713" i="54"/>
  <c r="L6712" i="54"/>
  <c r="L6711" i="54"/>
  <c r="L6710" i="54"/>
  <c r="L6709" i="54"/>
  <c r="L6708" i="54"/>
  <c r="L6707" i="54"/>
  <c r="L6706" i="54"/>
  <c r="L6705" i="54"/>
  <c r="L6704" i="54"/>
  <c r="L6703" i="54"/>
  <c r="L6702" i="54"/>
  <c r="L6701" i="54"/>
  <c r="L6700" i="54"/>
  <c r="L6699" i="54"/>
  <c r="L6698" i="54"/>
  <c r="L6697" i="54"/>
  <c r="L6696" i="54"/>
  <c r="L6695" i="54"/>
  <c r="L6694" i="54"/>
  <c r="L6693" i="54"/>
  <c r="L6692" i="54"/>
  <c r="L6691" i="54"/>
  <c r="L6690" i="54"/>
  <c r="L6689" i="54"/>
  <c r="L6688" i="54"/>
  <c r="L6687" i="54"/>
  <c r="L6686" i="54"/>
  <c r="L6685" i="54"/>
  <c r="L6684" i="54"/>
  <c r="L6683" i="54"/>
  <c r="L6682" i="54"/>
  <c r="L6681" i="54"/>
  <c r="L6680" i="54"/>
  <c r="L6679" i="54"/>
  <c r="L6678" i="54"/>
  <c r="L6677" i="54"/>
  <c r="L6676" i="54"/>
  <c r="L6675" i="54"/>
  <c r="L6674" i="54"/>
  <c r="L6673" i="54"/>
  <c r="L6672" i="54"/>
  <c r="L6671" i="54"/>
  <c r="L6670" i="54"/>
  <c r="L6669" i="54"/>
  <c r="L6668" i="54"/>
  <c r="L6667" i="54"/>
  <c r="L6666" i="54"/>
  <c r="L6665" i="54"/>
  <c r="L6664" i="54"/>
  <c r="L6663" i="54"/>
  <c r="L6662" i="54"/>
  <c r="L6661" i="54"/>
  <c r="L6660" i="54"/>
  <c r="L6659" i="54"/>
  <c r="L6658" i="54"/>
  <c r="L6657" i="54"/>
  <c r="L6656" i="54"/>
  <c r="L6655" i="54"/>
  <c r="L6654" i="54"/>
  <c r="L6653" i="54"/>
  <c r="L6652" i="54"/>
  <c r="L6651" i="54"/>
  <c r="L6650" i="54"/>
  <c r="L6649" i="54"/>
  <c r="L6648" i="54"/>
  <c r="L6647" i="54"/>
  <c r="L6646" i="54"/>
  <c r="L6645" i="54"/>
  <c r="L6644" i="54"/>
  <c r="L6643" i="54"/>
  <c r="L6642" i="54"/>
  <c r="L6641" i="54"/>
  <c r="L6640" i="54"/>
  <c r="K6639" i="54"/>
  <c r="J6639" i="54"/>
  <c r="L6638" i="54"/>
  <c r="L6637" i="54"/>
  <c r="L6636" i="54"/>
  <c r="L6635" i="54"/>
  <c r="L6634" i="54"/>
  <c r="L6633" i="54"/>
  <c r="L6632" i="54"/>
  <c r="L6631" i="54"/>
  <c r="L6630" i="54"/>
  <c r="L6629" i="54"/>
  <c r="L6628" i="54"/>
  <c r="L6627" i="54"/>
  <c r="L6626" i="54"/>
  <c r="L6625" i="54"/>
  <c r="L6624" i="54"/>
  <c r="L6623" i="54"/>
  <c r="L6622" i="54"/>
  <c r="L6621" i="54"/>
  <c r="L6620" i="54"/>
  <c r="L6619" i="54"/>
  <c r="L6618" i="54"/>
  <c r="L6617" i="54"/>
  <c r="L6616" i="54"/>
  <c r="L6615" i="54"/>
  <c r="L6614" i="54"/>
  <c r="L6613" i="54"/>
  <c r="L6612" i="54"/>
  <c r="L6611" i="54"/>
  <c r="L6610" i="54"/>
  <c r="L6609" i="54"/>
  <c r="L6608" i="54"/>
  <c r="L6607" i="54"/>
  <c r="L6606" i="54"/>
  <c r="L6605" i="54"/>
  <c r="L6604" i="54"/>
  <c r="L6603" i="54"/>
  <c r="L6602" i="54"/>
  <c r="L6601" i="54"/>
  <c r="L6600" i="54"/>
  <c r="L6599" i="54"/>
  <c r="L6598" i="54"/>
  <c r="L6597" i="54"/>
  <c r="L6596" i="54"/>
  <c r="L6595" i="54"/>
  <c r="L6594" i="54"/>
  <c r="L6593" i="54"/>
  <c r="L6592" i="54"/>
  <c r="L6591" i="54"/>
  <c r="L6590" i="54"/>
  <c r="L6589" i="54"/>
  <c r="L6588" i="54"/>
  <c r="L6587" i="54"/>
  <c r="L6586" i="54"/>
  <c r="L6585" i="54"/>
  <c r="L6584" i="54"/>
  <c r="L6583" i="54"/>
  <c r="L6582" i="54"/>
  <c r="L6581" i="54"/>
  <c r="L6580" i="54"/>
  <c r="L6579" i="54"/>
  <c r="L6578" i="54"/>
  <c r="L6577" i="54"/>
  <c r="L6576" i="54"/>
  <c r="L6575" i="54"/>
  <c r="L6574" i="54"/>
  <c r="L6573" i="54"/>
  <c r="L6572" i="54"/>
  <c r="L6571" i="54"/>
  <c r="L6570" i="54"/>
  <c r="L6569" i="54"/>
  <c r="L6568" i="54"/>
  <c r="L6567" i="54"/>
  <c r="L6566" i="54"/>
  <c r="L6565" i="54"/>
  <c r="L6564" i="54"/>
  <c r="L6563" i="54"/>
  <c r="L6562" i="54"/>
  <c r="L6561" i="54"/>
  <c r="L6560" i="54"/>
  <c r="L6559" i="54"/>
  <c r="L6558" i="54"/>
  <c r="L6557" i="54"/>
  <c r="L6556" i="54"/>
  <c r="L6555" i="54"/>
  <c r="L6554" i="54"/>
  <c r="L6553" i="54"/>
  <c r="L6552" i="54"/>
  <c r="L6551" i="54"/>
  <c r="L6550" i="54"/>
  <c r="L6549" i="54"/>
  <c r="L6548" i="54"/>
  <c r="L6547" i="54"/>
  <c r="L6546" i="54"/>
  <c r="L6545" i="54"/>
  <c r="L6544" i="54"/>
  <c r="L6543" i="54"/>
  <c r="L6542" i="54"/>
  <c r="L6541" i="54"/>
  <c r="L6540" i="54"/>
  <c r="L6539" i="54"/>
  <c r="L6538" i="54"/>
  <c r="L6537" i="54"/>
  <c r="L6536" i="54"/>
  <c r="L6535" i="54"/>
  <c r="L6534" i="54"/>
  <c r="L6533" i="54"/>
  <c r="L6532" i="54"/>
  <c r="L6531" i="54"/>
  <c r="L6530" i="54"/>
  <c r="L6529" i="54"/>
  <c r="L6528" i="54"/>
  <c r="L6527" i="54"/>
  <c r="L6526" i="54"/>
  <c r="L6525" i="54"/>
  <c r="L6524" i="54"/>
  <c r="L6523" i="54"/>
  <c r="L6522" i="54"/>
  <c r="L6521" i="54"/>
  <c r="L6520" i="54"/>
  <c r="L6519" i="54"/>
  <c r="L6518" i="54"/>
  <c r="L6517" i="54"/>
  <c r="L6516" i="54"/>
  <c r="L6515" i="54"/>
  <c r="L6514" i="54"/>
  <c r="L6513" i="54"/>
  <c r="L6512" i="54"/>
  <c r="L6511" i="54"/>
  <c r="L6510" i="54"/>
  <c r="L6509" i="54"/>
  <c r="L6507" i="54"/>
  <c r="L6506" i="54"/>
  <c r="L6505" i="54"/>
  <c r="L6504" i="54"/>
  <c r="L6503" i="54"/>
  <c r="L6502" i="54"/>
  <c r="L6501" i="54"/>
  <c r="L6500" i="54"/>
  <c r="L6499" i="54"/>
  <c r="L6498" i="54"/>
  <c r="L6497" i="54"/>
  <c r="L6496" i="54"/>
  <c r="L6495" i="54"/>
  <c r="L6494" i="54"/>
  <c r="L6493" i="54"/>
  <c r="L6492" i="54"/>
  <c r="L6491" i="54"/>
  <c r="L6490" i="54"/>
  <c r="L6489" i="54"/>
  <c r="L6488" i="54"/>
  <c r="L6487" i="54"/>
  <c r="L6486" i="54"/>
  <c r="L6485" i="54"/>
  <c r="L6484" i="54"/>
  <c r="L6483" i="54"/>
  <c r="L6482" i="54"/>
  <c r="L6481" i="54"/>
  <c r="L6480" i="54"/>
  <c r="L6479" i="54"/>
  <c r="L6478" i="54"/>
  <c r="L6477" i="54"/>
  <c r="L6476" i="54"/>
  <c r="L6475" i="54"/>
  <c r="L6474" i="54"/>
  <c r="L6473" i="54"/>
  <c r="L6472" i="54"/>
  <c r="L6471" i="54"/>
  <c r="L6470" i="54"/>
  <c r="L6469" i="54"/>
  <c r="L6468" i="54"/>
  <c r="L6467" i="54"/>
  <c r="L6466" i="54"/>
  <c r="L6465" i="54"/>
  <c r="L6464" i="54"/>
  <c r="L6463" i="54"/>
  <c r="L6462" i="54"/>
  <c r="L6461" i="54"/>
  <c r="L6460" i="54"/>
  <c r="L6459" i="54"/>
  <c r="L6458" i="54"/>
  <c r="L6457" i="54"/>
  <c r="L6456" i="54"/>
  <c r="L6455" i="54"/>
  <c r="L6454" i="54"/>
  <c r="L6453" i="54"/>
  <c r="L6452" i="54"/>
  <c r="L6451" i="54"/>
  <c r="L6450" i="54"/>
  <c r="L6449" i="54"/>
  <c r="L6448" i="54"/>
  <c r="L6447" i="54"/>
  <c r="L6446" i="54"/>
  <c r="L6445" i="54"/>
  <c r="L6444" i="54"/>
  <c r="L6443" i="54"/>
  <c r="L6442" i="54"/>
  <c r="L6441" i="54"/>
  <c r="L6440" i="54"/>
  <c r="L6439" i="54"/>
  <c r="L6438" i="54"/>
  <c r="L6437" i="54"/>
  <c r="L6436" i="54"/>
  <c r="L6435" i="54"/>
  <c r="L6434" i="54"/>
  <c r="L6433" i="54"/>
  <c r="L6432" i="54"/>
  <c r="L6431" i="54"/>
  <c r="L6430" i="54"/>
  <c r="L6429" i="54"/>
  <c r="L6428" i="54"/>
  <c r="K6427" i="54"/>
  <c r="J6427" i="54"/>
  <c r="L6426" i="54"/>
  <c r="L6425" i="54"/>
  <c r="L6424" i="54"/>
  <c r="L6423" i="54"/>
  <c r="L6422" i="54"/>
  <c r="L6421" i="54"/>
  <c r="L6420" i="54"/>
  <c r="L6419" i="54"/>
  <c r="L6418" i="54"/>
  <c r="L6417" i="54"/>
  <c r="L6416" i="54"/>
  <c r="L6415" i="54"/>
  <c r="L6414" i="54"/>
  <c r="L6413" i="54"/>
  <c r="L6412" i="54"/>
  <c r="L6411" i="54"/>
  <c r="L6410" i="54"/>
  <c r="L6409" i="54"/>
  <c r="L6408" i="54"/>
  <c r="L6407" i="54"/>
  <c r="L6406" i="54"/>
  <c r="L6405" i="54"/>
  <c r="L6404" i="54"/>
  <c r="L6403" i="54"/>
  <c r="L6402" i="54"/>
  <c r="L6401" i="54"/>
  <c r="L6400" i="54"/>
  <c r="L6399" i="54"/>
  <c r="L6398" i="54"/>
  <c r="L6397" i="54"/>
  <c r="L6396" i="54"/>
  <c r="L6395" i="54"/>
  <c r="L6394" i="54"/>
  <c r="L6393" i="54"/>
  <c r="L6392" i="54"/>
  <c r="L6391" i="54"/>
  <c r="L6390" i="54"/>
  <c r="L6389" i="54"/>
  <c r="L6388" i="54"/>
  <c r="L6387" i="54"/>
  <c r="L6386" i="54"/>
  <c r="L6385" i="54"/>
  <c r="L6384" i="54"/>
  <c r="L6383" i="54"/>
  <c r="L6382" i="54"/>
  <c r="L6381" i="54"/>
  <c r="L6380" i="54"/>
  <c r="L6379" i="54"/>
  <c r="L6378" i="54"/>
  <c r="L6377" i="54"/>
  <c r="L6376" i="54"/>
  <c r="L6375" i="54"/>
  <c r="L6374" i="54"/>
  <c r="L6373" i="54"/>
  <c r="L6372" i="54"/>
  <c r="L6371" i="54"/>
  <c r="L6370" i="54"/>
  <c r="L6369" i="54"/>
  <c r="L6368" i="54"/>
  <c r="L6367" i="54"/>
  <c r="L6366" i="54"/>
  <c r="L6365" i="54"/>
  <c r="L6364" i="54"/>
  <c r="L6363" i="54"/>
  <c r="L6362" i="54"/>
  <c r="L6361" i="54"/>
  <c r="L6360" i="54"/>
  <c r="L6359" i="54"/>
  <c r="L6358" i="54"/>
  <c r="L6357" i="54"/>
  <c r="L6356" i="54"/>
  <c r="L6355" i="54"/>
  <c r="L6354" i="54"/>
  <c r="L6353" i="54"/>
  <c r="L6352" i="54"/>
  <c r="L6351" i="54"/>
  <c r="L6350" i="54"/>
  <c r="L6349" i="54"/>
  <c r="L6348" i="54"/>
  <c r="L6347" i="54"/>
  <c r="L6346" i="54"/>
  <c r="L6345" i="54"/>
  <c r="L6344" i="54"/>
  <c r="L6343" i="54"/>
  <c r="L6342" i="54"/>
  <c r="L6341" i="54"/>
  <c r="L6340" i="54"/>
  <c r="L6339" i="54"/>
  <c r="L6338" i="54"/>
  <c r="L6337" i="54"/>
  <c r="L6336" i="54"/>
  <c r="L6335" i="54"/>
  <c r="L6334" i="54"/>
  <c r="L6333" i="54"/>
  <c r="L6332" i="54"/>
  <c r="L6331" i="54"/>
  <c r="L6330" i="54"/>
  <c r="L6329" i="54"/>
  <c r="L6328" i="54"/>
  <c r="L6327" i="54"/>
  <c r="L6326" i="54"/>
  <c r="L6325" i="54"/>
  <c r="L6324" i="54"/>
  <c r="L6323" i="54"/>
  <c r="L6322" i="54"/>
  <c r="L6321" i="54"/>
  <c r="L6320" i="54"/>
  <c r="L6319" i="54"/>
  <c r="L6318" i="54"/>
  <c r="L6317" i="54"/>
  <c r="L6316" i="54"/>
  <c r="L6315" i="54"/>
  <c r="L6314" i="54"/>
  <c r="L6313" i="54"/>
  <c r="L6312" i="54"/>
  <c r="L6311" i="54"/>
  <c r="L6310" i="54"/>
  <c r="L6309" i="54"/>
  <c r="L6308" i="54"/>
  <c r="L6307" i="54"/>
  <c r="L6306" i="54"/>
  <c r="L6305" i="54"/>
  <c r="L6304" i="54"/>
  <c r="L6303" i="54"/>
  <c r="L6302" i="54"/>
  <c r="L6301" i="54"/>
  <c r="L6300" i="54"/>
  <c r="L6299" i="54"/>
  <c r="L6298" i="54"/>
  <c r="L6297" i="54"/>
  <c r="L6296" i="54"/>
  <c r="L6295" i="54"/>
  <c r="L6294" i="54"/>
  <c r="L6293" i="54"/>
  <c r="L6292" i="54"/>
  <c r="L6291" i="54"/>
  <c r="L6290" i="54"/>
  <c r="L6289" i="54"/>
  <c r="L6288" i="54"/>
  <c r="L6287" i="54"/>
  <c r="L6286" i="54"/>
  <c r="L6285" i="54"/>
  <c r="L6284" i="54"/>
  <c r="L6283" i="54"/>
  <c r="L6282" i="54"/>
  <c r="L6281" i="54"/>
  <c r="L6280" i="54"/>
  <c r="L6279" i="54"/>
  <c r="L6278" i="54"/>
  <c r="L6277" i="54"/>
  <c r="L6276" i="54"/>
  <c r="L6275" i="54"/>
  <c r="L6274" i="54"/>
  <c r="L6273" i="54"/>
  <c r="L6272" i="54"/>
  <c r="L6271" i="54"/>
  <c r="L6270" i="54"/>
  <c r="L6269" i="54"/>
  <c r="L6268" i="54"/>
  <c r="L6267" i="54"/>
  <c r="L6266" i="54"/>
  <c r="L6265" i="54"/>
  <c r="L6264" i="54"/>
  <c r="L6263" i="54"/>
  <c r="L6262" i="54"/>
  <c r="L6261" i="54"/>
  <c r="L6260" i="54"/>
  <c r="L6259" i="54"/>
  <c r="L6258" i="54"/>
  <c r="L6257" i="54"/>
  <c r="L6256" i="54"/>
  <c r="L6255" i="54"/>
  <c r="L6254" i="54"/>
  <c r="L6253" i="54"/>
  <c r="L6252" i="54"/>
  <c r="L6251" i="54"/>
  <c r="L6250" i="54"/>
  <c r="L6249" i="54"/>
  <c r="L6248" i="54"/>
  <c r="L6247" i="54"/>
  <c r="L6246" i="54"/>
  <c r="L6245" i="54"/>
  <c r="L6244" i="54"/>
  <c r="L6243" i="54"/>
  <c r="L6242" i="54"/>
  <c r="L6241" i="54"/>
  <c r="L6240" i="54"/>
  <c r="L6239" i="54"/>
  <c r="L6238" i="54"/>
  <c r="L6237" i="54"/>
  <c r="L6236" i="54"/>
  <c r="L6235" i="54"/>
  <c r="L6234" i="54"/>
  <c r="L6233" i="54"/>
  <c r="L6232" i="54"/>
  <c r="L6231" i="54"/>
  <c r="L6230" i="54"/>
  <c r="L6229" i="54"/>
  <c r="L6228" i="54"/>
  <c r="L6227" i="54"/>
  <c r="L6226" i="54"/>
  <c r="L6225" i="54"/>
  <c r="L6224" i="54"/>
  <c r="L6223" i="54"/>
  <c r="L6222" i="54"/>
  <c r="L6221" i="54"/>
  <c r="L6220" i="54"/>
  <c r="L6219" i="54"/>
  <c r="L6218" i="54"/>
  <c r="L6217" i="54"/>
  <c r="L6216" i="54"/>
  <c r="L6215" i="54"/>
  <c r="L6214" i="54"/>
  <c r="L6213" i="54"/>
  <c r="L6212" i="54"/>
  <c r="L6211" i="54"/>
  <c r="L6210" i="54"/>
  <c r="L6209" i="54"/>
  <c r="L6208" i="54"/>
  <c r="L6207" i="54"/>
  <c r="L6206" i="54"/>
  <c r="L6205" i="54"/>
  <c r="L6204" i="54"/>
  <c r="L6203" i="54"/>
  <c r="L6202" i="54"/>
  <c r="L6201" i="54"/>
  <c r="L6200" i="54"/>
  <c r="L6199" i="54"/>
  <c r="L6198" i="54"/>
  <c r="L6197" i="54"/>
  <c r="L6196" i="54"/>
  <c r="L6195" i="54"/>
  <c r="L6194" i="54"/>
  <c r="L6193" i="54"/>
  <c r="L6192" i="54"/>
  <c r="L6191" i="54"/>
  <c r="L6190" i="54"/>
  <c r="L6189" i="54"/>
  <c r="L6188" i="54"/>
  <c r="L6187" i="54"/>
  <c r="L6186" i="54"/>
  <c r="L6185" i="54"/>
  <c r="L6184" i="54"/>
  <c r="L6183" i="54"/>
  <c r="L6182" i="54"/>
  <c r="L6181" i="54"/>
  <c r="L6180" i="54"/>
  <c r="L6179" i="54"/>
  <c r="L6178" i="54"/>
  <c r="L6177" i="54"/>
  <c r="L6176" i="54"/>
  <c r="L6175" i="54"/>
  <c r="L6174" i="54"/>
  <c r="L6173" i="54"/>
  <c r="L6172" i="54"/>
  <c r="L6171" i="54"/>
  <c r="L6170" i="54"/>
  <c r="L6169" i="54"/>
  <c r="L6168" i="54"/>
  <c r="L6167" i="54"/>
  <c r="L6166" i="54"/>
  <c r="L6165" i="54"/>
  <c r="L6164" i="54"/>
  <c r="L6163" i="54"/>
  <c r="L6162" i="54"/>
  <c r="L6161" i="54"/>
  <c r="L6160" i="54"/>
  <c r="L6159" i="54"/>
  <c r="L6158" i="54"/>
  <c r="L6157" i="54"/>
  <c r="L6156" i="54"/>
  <c r="L6155" i="54"/>
  <c r="L6154" i="54"/>
  <c r="L6153" i="54"/>
  <c r="L6152" i="54"/>
  <c r="L6151" i="54"/>
  <c r="L6150" i="54"/>
  <c r="L6149" i="54"/>
  <c r="L6148" i="54"/>
  <c r="L6147" i="54"/>
  <c r="L6146" i="54"/>
  <c r="L6145" i="54"/>
  <c r="L6144" i="54"/>
  <c r="L6143" i="54"/>
  <c r="L6142" i="54"/>
  <c r="L6141" i="54"/>
  <c r="L6140" i="54"/>
  <c r="L6139" i="54"/>
  <c r="L6138" i="54"/>
  <c r="L6137" i="54"/>
  <c r="L6136" i="54"/>
  <c r="L6135" i="54"/>
  <c r="L6134" i="54"/>
  <c r="L6133" i="54"/>
  <c r="L6132" i="54"/>
  <c r="L6131" i="54"/>
  <c r="L6130" i="54"/>
  <c r="L6129" i="54"/>
  <c r="L6128" i="54"/>
  <c r="L6127" i="54"/>
  <c r="L6126" i="54"/>
  <c r="L6125" i="54"/>
  <c r="L6124" i="54"/>
  <c r="L6123" i="54"/>
  <c r="L6122" i="54"/>
  <c r="L6121" i="54"/>
  <c r="L6120" i="54"/>
  <c r="L6119" i="54"/>
  <c r="L6118" i="54"/>
  <c r="L6117" i="54"/>
  <c r="L6116" i="54"/>
  <c r="L6115" i="54"/>
  <c r="L6114" i="54"/>
  <c r="L6113" i="54"/>
  <c r="L6112" i="54"/>
  <c r="L6111" i="54"/>
  <c r="L6110" i="54"/>
  <c r="L6109" i="54"/>
  <c r="L6108" i="54"/>
  <c r="L6107" i="54"/>
  <c r="L6106" i="54"/>
  <c r="L6105" i="54"/>
  <c r="L6104" i="54"/>
  <c r="L6103" i="54"/>
  <c r="L6102" i="54"/>
  <c r="L6101" i="54"/>
  <c r="L6100" i="54"/>
  <c r="L6099" i="54"/>
  <c r="L6098" i="54"/>
  <c r="L6097" i="54"/>
  <c r="L6096" i="54"/>
  <c r="L6095" i="54"/>
  <c r="L6094" i="54"/>
  <c r="L6093" i="54"/>
  <c r="L6092" i="54"/>
  <c r="L6091" i="54"/>
  <c r="L6090" i="54"/>
  <c r="L6089" i="54"/>
  <c r="L6088" i="54"/>
  <c r="L6087" i="54"/>
  <c r="L6086" i="54"/>
  <c r="L6085" i="54"/>
  <c r="L6084" i="54"/>
  <c r="L6083" i="54"/>
  <c r="L6082" i="54"/>
  <c r="L6081" i="54"/>
  <c r="L6080" i="54"/>
  <c r="L6079" i="54"/>
  <c r="L6078" i="54"/>
  <c r="L6077" i="54"/>
  <c r="L6076" i="54"/>
  <c r="L6075" i="54"/>
  <c r="L6074" i="54"/>
  <c r="L6073" i="54"/>
  <c r="L6072" i="54"/>
  <c r="L6071" i="54"/>
  <c r="L6070" i="54"/>
  <c r="L6069" i="54"/>
  <c r="L6068" i="54"/>
  <c r="L6067" i="54"/>
  <c r="L6066" i="54"/>
  <c r="L6065" i="54"/>
  <c r="L6064" i="54"/>
  <c r="L6063" i="54"/>
  <c r="L6062" i="54"/>
  <c r="L6061" i="54"/>
  <c r="L6060" i="54"/>
  <c r="L6059" i="54"/>
  <c r="L6058" i="54"/>
  <c r="L6057" i="54"/>
  <c r="L6056" i="54"/>
  <c r="L6055" i="54"/>
  <c r="L6054" i="54"/>
  <c r="L6053" i="54"/>
  <c r="L6052" i="54"/>
  <c r="L6051" i="54"/>
  <c r="L6050" i="54"/>
  <c r="L6049" i="54"/>
  <c r="L6048" i="54"/>
  <c r="L6047" i="54"/>
  <c r="L6046" i="54"/>
  <c r="L6045" i="54"/>
  <c r="L6044" i="54"/>
  <c r="L6043" i="54"/>
  <c r="L6042" i="54"/>
  <c r="L6041" i="54"/>
  <c r="L6040" i="54"/>
  <c r="L6039" i="54"/>
  <c r="L6038" i="54"/>
  <c r="K6037" i="54"/>
  <c r="J6037" i="54"/>
  <c r="L6036" i="54"/>
  <c r="L6035" i="54"/>
  <c r="L6034" i="54"/>
  <c r="L6033" i="54"/>
  <c r="L6032" i="54"/>
  <c r="L6031" i="54"/>
  <c r="L6030" i="54"/>
  <c r="L6029" i="54"/>
  <c r="L6028" i="54"/>
  <c r="L6027" i="54"/>
  <c r="L6026" i="54"/>
  <c r="L6025" i="54"/>
  <c r="L6024" i="54"/>
  <c r="L6023" i="54"/>
  <c r="L6022" i="54"/>
  <c r="L6021" i="54"/>
  <c r="L6020" i="54"/>
  <c r="L6019" i="54"/>
  <c r="L6018" i="54"/>
  <c r="L6017" i="54"/>
  <c r="L6016" i="54"/>
  <c r="L6015" i="54"/>
  <c r="L6014" i="54"/>
  <c r="L6013" i="54"/>
  <c r="L6012" i="54"/>
  <c r="L6011" i="54"/>
  <c r="L6010" i="54"/>
  <c r="L6009" i="54"/>
  <c r="L6008" i="54"/>
  <c r="L6007" i="54"/>
  <c r="L6006" i="54"/>
  <c r="L6005" i="54"/>
  <c r="L6004" i="54"/>
  <c r="L6003" i="54"/>
  <c r="L6002" i="54"/>
  <c r="L6001" i="54"/>
  <c r="L6000" i="54"/>
  <c r="L5999" i="54"/>
  <c r="L5998" i="54"/>
  <c r="L5997" i="54"/>
  <c r="L5996" i="54"/>
  <c r="L5995" i="54"/>
  <c r="L5994" i="54"/>
  <c r="L5993" i="54"/>
  <c r="L5992" i="54"/>
  <c r="L5991" i="54"/>
  <c r="L5990" i="54"/>
  <c r="L5989" i="54"/>
  <c r="L5988" i="54"/>
  <c r="L5987" i="54"/>
  <c r="L5986" i="54"/>
  <c r="L5985" i="54"/>
  <c r="L5984" i="54"/>
  <c r="L5983" i="54"/>
  <c r="L5982" i="54"/>
  <c r="L5981" i="54"/>
  <c r="L5980" i="54"/>
  <c r="L5979" i="54"/>
  <c r="L5978" i="54"/>
  <c r="L5977" i="54"/>
  <c r="L5976" i="54"/>
  <c r="L5975" i="54"/>
  <c r="L5974" i="54"/>
  <c r="L5973" i="54"/>
  <c r="L5972" i="54"/>
  <c r="L5971" i="54"/>
  <c r="L5970" i="54"/>
  <c r="L5969" i="54"/>
  <c r="L5968" i="54"/>
  <c r="L5967" i="54"/>
  <c r="L5966" i="54"/>
  <c r="L5965" i="54"/>
  <c r="L5964" i="54"/>
  <c r="L5963" i="54"/>
  <c r="L5962" i="54"/>
  <c r="L5961" i="54"/>
  <c r="L5960" i="54"/>
  <c r="L5959" i="54"/>
  <c r="L5958" i="54"/>
  <c r="L5957" i="54"/>
  <c r="L5956" i="54"/>
  <c r="L5955" i="54"/>
  <c r="L5954" i="54"/>
  <c r="L5953" i="54"/>
  <c r="L5952" i="54"/>
  <c r="L5951" i="54"/>
  <c r="L5950" i="54"/>
  <c r="L5949" i="54"/>
  <c r="L5948" i="54"/>
  <c r="L5947" i="54"/>
  <c r="L5946" i="54"/>
  <c r="L5945" i="54"/>
  <c r="L5944" i="54"/>
  <c r="L5943" i="54"/>
  <c r="L5942" i="54"/>
  <c r="L5941" i="54"/>
  <c r="L5940" i="54"/>
  <c r="L5939" i="54"/>
  <c r="L5938" i="54"/>
  <c r="L5937" i="54"/>
  <c r="L5936" i="54"/>
  <c r="L5935" i="54"/>
  <c r="L5934" i="54"/>
  <c r="L5933" i="54"/>
  <c r="L5932" i="54"/>
  <c r="L5931" i="54"/>
  <c r="L5930" i="54"/>
  <c r="L5929" i="54"/>
  <c r="L5928" i="54"/>
  <c r="L5927" i="54"/>
  <c r="L5926" i="54"/>
  <c r="L5925" i="54"/>
  <c r="L5924" i="54"/>
  <c r="L5923" i="54"/>
  <c r="L5922" i="54"/>
  <c r="L5921" i="54"/>
  <c r="L5920" i="54"/>
  <c r="L5919" i="54"/>
  <c r="L5918" i="54"/>
  <c r="L5917" i="54"/>
  <c r="L5916" i="54"/>
  <c r="L5915" i="54"/>
  <c r="L5914" i="54"/>
  <c r="L5913" i="54"/>
  <c r="L5912" i="54"/>
  <c r="L5911" i="54"/>
  <c r="L5910" i="54"/>
  <c r="L5909" i="54"/>
  <c r="L5908" i="54"/>
  <c r="L5907" i="54"/>
  <c r="L5906" i="54"/>
  <c r="L5905" i="54"/>
  <c r="L5904" i="54"/>
  <c r="L5903" i="54"/>
  <c r="L5902" i="54"/>
  <c r="L5901" i="54"/>
  <c r="L5900" i="54"/>
  <c r="L5899" i="54"/>
  <c r="L5898" i="54"/>
  <c r="L5897" i="54"/>
  <c r="L5896" i="54"/>
  <c r="L5895" i="54"/>
  <c r="L5894" i="54"/>
  <c r="L5893" i="54"/>
  <c r="L5892" i="54"/>
  <c r="L5891" i="54"/>
  <c r="L5890" i="54"/>
  <c r="L5889" i="54"/>
  <c r="L5888" i="54"/>
  <c r="L5887" i="54"/>
  <c r="L5886" i="54"/>
  <c r="L5885" i="54"/>
  <c r="L5884" i="54"/>
  <c r="L5883" i="54"/>
  <c r="L5882" i="54"/>
  <c r="L5881" i="54"/>
  <c r="L5880" i="54"/>
  <c r="L5879" i="54"/>
  <c r="L5878" i="54"/>
  <c r="L5877" i="54"/>
  <c r="L5876" i="54"/>
  <c r="L5875" i="54"/>
  <c r="L5874" i="54"/>
  <c r="L5873" i="54"/>
  <c r="L5872" i="54"/>
  <c r="L5871" i="54"/>
  <c r="L5870" i="54"/>
  <c r="L5869" i="54"/>
  <c r="L5868" i="54"/>
  <c r="L5867" i="54"/>
  <c r="L5866" i="54"/>
  <c r="L5865" i="54"/>
  <c r="L5864" i="54"/>
  <c r="L5863" i="54"/>
  <c r="L5862" i="54"/>
  <c r="L5861" i="54"/>
  <c r="L5860" i="54"/>
  <c r="L5859" i="54"/>
  <c r="L5858" i="54"/>
  <c r="L5857" i="54"/>
  <c r="L5856" i="54"/>
  <c r="L5855" i="54"/>
  <c r="L5854" i="54"/>
  <c r="L5853" i="54"/>
  <c r="L5852" i="54"/>
  <c r="L5851" i="54"/>
  <c r="L5850" i="54"/>
  <c r="L5849" i="54"/>
  <c r="L5848" i="54"/>
  <c r="L5847" i="54"/>
  <c r="L5846" i="54"/>
  <c r="L5845" i="54"/>
  <c r="L5844" i="54"/>
  <c r="L5843" i="54"/>
  <c r="L5842" i="54"/>
  <c r="L5841" i="54"/>
  <c r="L5840" i="54"/>
  <c r="L5839" i="54"/>
  <c r="L5838" i="54"/>
  <c r="L5837" i="54"/>
  <c r="L5836" i="54"/>
  <c r="L5835" i="54"/>
  <c r="L5834" i="54"/>
  <c r="L5833" i="54"/>
  <c r="L5832" i="54"/>
  <c r="L5831" i="54"/>
  <c r="L5830" i="54"/>
  <c r="L5829" i="54"/>
  <c r="L5828" i="54"/>
  <c r="L5827" i="54"/>
  <c r="L5826" i="54"/>
  <c r="L5825" i="54"/>
  <c r="L5824" i="54"/>
  <c r="L5823" i="54"/>
  <c r="L5822" i="54"/>
  <c r="L5821" i="54"/>
  <c r="L5820" i="54"/>
  <c r="L5819" i="54"/>
  <c r="L5818" i="54"/>
  <c r="L5817" i="54"/>
  <c r="L5816" i="54"/>
  <c r="L5815" i="54"/>
  <c r="L5814" i="54"/>
  <c r="L5813" i="54"/>
  <c r="L5812" i="54"/>
  <c r="L5811" i="54"/>
  <c r="L5810" i="54"/>
  <c r="L5809" i="54"/>
  <c r="L5808" i="54"/>
  <c r="L5807" i="54"/>
  <c r="L5806" i="54"/>
  <c r="L5805" i="54"/>
  <c r="L5804" i="54"/>
  <c r="L5803" i="54"/>
  <c r="L5802" i="54"/>
  <c r="L5801" i="54"/>
  <c r="L5800" i="54"/>
  <c r="L5799" i="54"/>
  <c r="L5798" i="54"/>
  <c r="L5797" i="54"/>
  <c r="L5796" i="54"/>
  <c r="L5795" i="54"/>
  <c r="L5794" i="54"/>
  <c r="L5793" i="54"/>
  <c r="L5792" i="54"/>
  <c r="L5791" i="54"/>
  <c r="L5790" i="54"/>
  <c r="L5789" i="54"/>
  <c r="L5788" i="54"/>
  <c r="L5787" i="54"/>
  <c r="L5786" i="54"/>
  <c r="L5785" i="54"/>
  <c r="L5784" i="54"/>
  <c r="L5783" i="54"/>
  <c r="L5782" i="54"/>
  <c r="L5781" i="54"/>
  <c r="L5780" i="54"/>
  <c r="L5779" i="54"/>
  <c r="L5778" i="54"/>
  <c r="L5777" i="54"/>
  <c r="L5776" i="54"/>
  <c r="L5775" i="54"/>
  <c r="L5774" i="54"/>
  <c r="L5773" i="54"/>
  <c r="L5772" i="54"/>
  <c r="L5771" i="54"/>
  <c r="L5770" i="54"/>
  <c r="L5769" i="54"/>
  <c r="L5768" i="54"/>
  <c r="L5767" i="54"/>
  <c r="L5766" i="54"/>
  <c r="L5765" i="54"/>
  <c r="L5764" i="54"/>
  <c r="L5763" i="54"/>
  <c r="L5762" i="54"/>
  <c r="L5761" i="54"/>
  <c r="L5760" i="54"/>
  <c r="L5759" i="54"/>
  <c r="L5758" i="54"/>
  <c r="L5757" i="54"/>
  <c r="L5756" i="54"/>
  <c r="L5755" i="54"/>
  <c r="L5754" i="54"/>
  <c r="L5753" i="54"/>
  <c r="L5752" i="54"/>
  <c r="L5751" i="54"/>
  <c r="L5750" i="54"/>
  <c r="L5749" i="54"/>
  <c r="L5748" i="54"/>
  <c r="L5747" i="54"/>
  <c r="L5746" i="54"/>
  <c r="L5745" i="54"/>
  <c r="L5744" i="54"/>
  <c r="L5743" i="54"/>
  <c r="L5742" i="54"/>
  <c r="L5741" i="54"/>
  <c r="L5740" i="54"/>
  <c r="L5739" i="54"/>
  <c r="L5738" i="54"/>
  <c r="L5737" i="54"/>
  <c r="L5736" i="54"/>
  <c r="L5735" i="54"/>
  <c r="L5734" i="54"/>
  <c r="L5733" i="54"/>
  <c r="L5732" i="54"/>
  <c r="L5731" i="54"/>
  <c r="L5730" i="54"/>
  <c r="L5729" i="54"/>
  <c r="L5728" i="54"/>
  <c r="L5727" i="54"/>
  <c r="L5726" i="54"/>
  <c r="L5725" i="54"/>
  <c r="L5724" i="54"/>
  <c r="L5723" i="54"/>
  <c r="L5722" i="54"/>
  <c r="L5721" i="54"/>
  <c r="L5720" i="54"/>
  <c r="L5719" i="54"/>
  <c r="L5718" i="54"/>
  <c r="L5717" i="54"/>
  <c r="L5716" i="54"/>
  <c r="L5715" i="54"/>
  <c r="L5714" i="54"/>
  <c r="L5713" i="54"/>
  <c r="L5712" i="54"/>
  <c r="L5711" i="54"/>
  <c r="L5710" i="54"/>
  <c r="L5709" i="54"/>
  <c r="L5708" i="54"/>
  <c r="L5707" i="54"/>
  <c r="L5706" i="54"/>
  <c r="L5705" i="54"/>
  <c r="L5704" i="54"/>
  <c r="L5703" i="54"/>
  <c r="L5702" i="54"/>
  <c r="L5701" i="54"/>
  <c r="L5700" i="54"/>
  <c r="L5699" i="54"/>
  <c r="L5698" i="54"/>
  <c r="L5697" i="54"/>
  <c r="L5696" i="54"/>
  <c r="L5695" i="54"/>
  <c r="L5694" i="54"/>
  <c r="L5693" i="54"/>
  <c r="L5692" i="54"/>
  <c r="L5691" i="54"/>
  <c r="L5690" i="54"/>
  <c r="L5689" i="54"/>
  <c r="L5688" i="54"/>
  <c r="L5687" i="54"/>
  <c r="L5686" i="54"/>
  <c r="L5685" i="54"/>
  <c r="L5684" i="54"/>
  <c r="L5683" i="54"/>
  <c r="L5682" i="54"/>
  <c r="L5681" i="54"/>
  <c r="L5680" i="54"/>
  <c r="L5679" i="54"/>
  <c r="L5678" i="54"/>
  <c r="L5677" i="54"/>
  <c r="L5676" i="54"/>
  <c r="L5675" i="54"/>
  <c r="L5674" i="54"/>
  <c r="L5673" i="54"/>
  <c r="L5672" i="54"/>
  <c r="L5671" i="54"/>
  <c r="L5670" i="54"/>
  <c r="L5669" i="54"/>
  <c r="L5668" i="54"/>
  <c r="L5667" i="54"/>
  <c r="L5666" i="54"/>
  <c r="L5665" i="54"/>
  <c r="L5664" i="54"/>
  <c r="L5663" i="54"/>
  <c r="L5662" i="54"/>
  <c r="L5661" i="54"/>
  <c r="L5660" i="54"/>
  <c r="L5659" i="54"/>
  <c r="L5658" i="54"/>
  <c r="L5657" i="54"/>
  <c r="L5656" i="54"/>
  <c r="L5655" i="54"/>
  <c r="L5654" i="54"/>
  <c r="L5653" i="54"/>
  <c r="L5652" i="54"/>
  <c r="L5651" i="54"/>
  <c r="L5650" i="54"/>
  <c r="L5649" i="54"/>
  <c r="L5648" i="54"/>
  <c r="L5647" i="54"/>
  <c r="L5646" i="54"/>
  <c r="L5645" i="54"/>
  <c r="L5644" i="54"/>
  <c r="L5643" i="54"/>
  <c r="L5642" i="54"/>
  <c r="L5641" i="54"/>
  <c r="L5640" i="54"/>
  <c r="L5639" i="54"/>
  <c r="L5638" i="54"/>
  <c r="L5637" i="54"/>
  <c r="L5636" i="54"/>
  <c r="L5635" i="54"/>
  <c r="L5634" i="54"/>
  <c r="L5633" i="54"/>
  <c r="L5632" i="54"/>
  <c r="L5631" i="54"/>
  <c r="L5630" i="54"/>
  <c r="L5629" i="54"/>
  <c r="L5628" i="54"/>
  <c r="L5627" i="54"/>
  <c r="L5626" i="54"/>
  <c r="L5625" i="54"/>
  <c r="L5624" i="54"/>
  <c r="L5623" i="54"/>
  <c r="L5622" i="54"/>
  <c r="L5621" i="54"/>
  <c r="L5620" i="54"/>
  <c r="L5619" i="54"/>
  <c r="L5618" i="54"/>
  <c r="L5617" i="54"/>
  <c r="L5616" i="54"/>
  <c r="L5615" i="54"/>
  <c r="L5614" i="54"/>
  <c r="L5613" i="54"/>
  <c r="L5612" i="54"/>
  <c r="L5611" i="54"/>
  <c r="L5610" i="54"/>
  <c r="L5609" i="54"/>
  <c r="L5608" i="54"/>
  <c r="L5607" i="54"/>
  <c r="L5606" i="54"/>
  <c r="L5605" i="54"/>
  <c r="L5604" i="54"/>
  <c r="L5603" i="54"/>
  <c r="L5602" i="54"/>
  <c r="L5601" i="54"/>
  <c r="L5600" i="54"/>
  <c r="L5599" i="54"/>
  <c r="L5598" i="54"/>
  <c r="L5597" i="54"/>
  <c r="L5596" i="54"/>
  <c r="L5595" i="54"/>
  <c r="L5594" i="54"/>
  <c r="L5593" i="54"/>
  <c r="K5592" i="54"/>
  <c r="J5592" i="54"/>
  <c r="L5591" i="54"/>
  <c r="L5590" i="54"/>
  <c r="L5589" i="54"/>
  <c r="L5588" i="54"/>
  <c r="L5587" i="54"/>
  <c r="L5586" i="54"/>
  <c r="L5585" i="54"/>
  <c r="L5584" i="54"/>
  <c r="L5583" i="54"/>
  <c r="L5582" i="54"/>
  <c r="L5581" i="54"/>
  <c r="L5580" i="54"/>
  <c r="L5579" i="54"/>
  <c r="L5578" i="54"/>
  <c r="L5577" i="54"/>
  <c r="L5576" i="54"/>
  <c r="L5575" i="54"/>
  <c r="L5574" i="54"/>
  <c r="L5573" i="54"/>
  <c r="L5572" i="54"/>
  <c r="L5571" i="54"/>
  <c r="L5570" i="54"/>
  <c r="L5569" i="54"/>
  <c r="L5568" i="54"/>
  <c r="L5567" i="54"/>
  <c r="L5566" i="54"/>
  <c r="L5565" i="54"/>
  <c r="L5564" i="54"/>
  <c r="L5563" i="54"/>
  <c r="L5562" i="54"/>
  <c r="L5561" i="54"/>
  <c r="L5560" i="54"/>
  <c r="L5559" i="54"/>
  <c r="L5558" i="54"/>
  <c r="L5557" i="54"/>
  <c r="L5556" i="54"/>
  <c r="L5555" i="54"/>
  <c r="L5554" i="54"/>
  <c r="L5553" i="54"/>
  <c r="L5552" i="54"/>
  <c r="L5551" i="54"/>
  <c r="L5550" i="54"/>
  <c r="L5549" i="54"/>
  <c r="L5548" i="54"/>
  <c r="L5547" i="54"/>
  <c r="L5546" i="54"/>
  <c r="L5545" i="54"/>
  <c r="L5544" i="54"/>
  <c r="L5543" i="54"/>
  <c r="L5542" i="54"/>
  <c r="L5541" i="54"/>
  <c r="L5540" i="54"/>
  <c r="L5539" i="54"/>
  <c r="L5538" i="54"/>
  <c r="L5537" i="54"/>
  <c r="L5536" i="54"/>
  <c r="L5535" i="54"/>
  <c r="L5534" i="54"/>
  <c r="L5533" i="54"/>
  <c r="L5532" i="54"/>
  <c r="L5531" i="54"/>
  <c r="L5530" i="54"/>
  <c r="L5529" i="54"/>
  <c r="L5528" i="54"/>
  <c r="L5527" i="54"/>
  <c r="L5526" i="54"/>
  <c r="L5525" i="54"/>
  <c r="L5524" i="54"/>
  <c r="L5523" i="54"/>
  <c r="L5522" i="54"/>
  <c r="L5521" i="54"/>
  <c r="L5520" i="54"/>
  <c r="L5519" i="54"/>
  <c r="L5518" i="54"/>
  <c r="L5517" i="54"/>
  <c r="L5516" i="54"/>
  <c r="L5515" i="54"/>
  <c r="L5514" i="54"/>
  <c r="L5513" i="54"/>
  <c r="L5512" i="54"/>
  <c r="L5511" i="54"/>
  <c r="L5510" i="54"/>
  <c r="L5509" i="54"/>
  <c r="L5508" i="54"/>
  <c r="L5507" i="54"/>
  <c r="L5506" i="54"/>
  <c r="L5505" i="54"/>
  <c r="L5504" i="54"/>
  <c r="L5503" i="54"/>
  <c r="L5502" i="54"/>
  <c r="L5501" i="54"/>
  <c r="L5500" i="54"/>
  <c r="L5499" i="54"/>
  <c r="L5498" i="54"/>
  <c r="L5497" i="54"/>
  <c r="L5496" i="54"/>
  <c r="L5495" i="54"/>
  <c r="L5494" i="54"/>
  <c r="L5493" i="54"/>
  <c r="L5492" i="54"/>
  <c r="L5491" i="54"/>
  <c r="L5490" i="54"/>
  <c r="L5489" i="54"/>
  <c r="L5488" i="54"/>
  <c r="L5487" i="54"/>
  <c r="L5486" i="54"/>
  <c r="L5485" i="54"/>
  <c r="L5484" i="54"/>
  <c r="L5483" i="54"/>
  <c r="L5482" i="54"/>
  <c r="L5481" i="54"/>
  <c r="L5480" i="54"/>
  <c r="L5479" i="54"/>
  <c r="L5478" i="54"/>
  <c r="L5477" i="54"/>
  <c r="L5476" i="54"/>
  <c r="L5475" i="54"/>
  <c r="L5474" i="54"/>
  <c r="L5473" i="54"/>
  <c r="L5472" i="54"/>
  <c r="L5471" i="54"/>
  <c r="L5470" i="54"/>
  <c r="L5469" i="54"/>
  <c r="L5468" i="54"/>
  <c r="L5467" i="54"/>
  <c r="L5466" i="54"/>
  <c r="L5465" i="54"/>
  <c r="L5464" i="54"/>
  <c r="L5463" i="54"/>
  <c r="L5462" i="54"/>
  <c r="L5461" i="54"/>
  <c r="L5460" i="54"/>
  <c r="L5459" i="54"/>
  <c r="L5458" i="54"/>
  <c r="L5457" i="54"/>
  <c r="L5456" i="54"/>
  <c r="L5455" i="54"/>
  <c r="L5454" i="54"/>
  <c r="L5453" i="54"/>
  <c r="L5452" i="54"/>
  <c r="L5451" i="54"/>
  <c r="L5450" i="54"/>
  <c r="L5449" i="54"/>
  <c r="L5448" i="54"/>
  <c r="L5447" i="54"/>
  <c r="L5446" i="54"/>
  <c r="L5445" i="54"/>
  <c r="L5444" i="54"/>
  <c r="L5443" i="54"/>
  <c r="L5442" i="54"/>
  <c r="L5441" i="54"/>
  <c r="L5440" i="54"/>
  <c r="L5439" i="54"/>
  <c r="L5438" i="54"/>
  <c r="L5437" i="54"/>
  <c r="L5436" i="54"/>
  <c r="L5435" i="54"/>
  <c r="L5434" i="54"/>
  <c r="L5433" i="54"/>
  <c r="L5432" i="54"/>
  <c r="L5431" i="54"/>
  <c r="L5430" i="54"/>
  <c r="L5429" i="54"/>
  <c r="L5428" i="54"/>
  <c r="L5427" i="54"/>
  <c r="L5426" i="54"/>
  <c r="L5425" i="54"/>
  <c r="L5424" i="54"/>
  <c r="L5423" i="54"/>
  <c r="L5422" i="54"/>
  <c r="L5421" i="54"/>
  <c r="L5420" i="54"/>
  <c r="L5419" i="54"/>
  <c r="L5418" i="54"/>
  <c r="L5417" i="54"/>
  <c r="L5416" i="54"/>
  <c r="L5415" i="54"/>
  <c r="L5414" i="54"/>
  <c r="L5413" i="54"/>
  <c r="L5412" i="54"/>
  <c r="L5411" i="54"/>
  <c r="L5410" i="54"/>
  <c r="L5409" i="54"/>
  <c r="L5408" i="54"/>
  <c r="L5407" i="54"/>
  <c r="L5406" i="54"/>
  <c r="L5405" i="54"/>
  <c r="L5404" i="54"/>
  <c r="K5403" i="54"/>
  <c r="J5403" i="54"/>
  <c r="L5402" i="54"/>
  <c r="L5401" i="54"/>
  <c r="L5400" i="54"/>
  <c r="L5399" i="54"/>
  <c r="L5398" i="54"/>
  <c r="L5397" i="54"/>
  <c r="L5396" i="54"/>
  <c r="L5395" i="54"/>
  <c r="L5394" i="54"/>
  <c r="L5393" i="54"/>
  <c r="L5392" i="54"/>
  <c r="L5391" i="54"/>
  <c r="L5390" i="54"/>
  <c r="L5389" i="54"/>
  <c r="L5388" i="54"/>
  <c r="L5387" i="54"/>
  <c r="L5386" i="54"/>
  <c r="L5385" i="54"/>
  <c r="L5384" i="54"/>
  <c r="L5383" i="54"/>
  <c r="L5382" i="54"/>
  <c r="L5381" i="54"/>
  <c r="L5380" i="54"/>
  <c r="L5379" i="54"/>
  <c r="L5378" i="54"/>
  <c r="L5377" i="54"/>
  <c r="L5376" i="54"/>
  <c r="L5375" i="54"/>
  <c r="L5374" i="54"/>
  <c r="L5373" i="54"/>
  <c r="L5372" i="54"/>
  <c r="L5371" i="54"/>
  <c r="L5370" i="54"/>
  <c r="L5369" i="54"/>
  <c r="L5368" i="54"/>
  <c r="L5367" i="54"/>
  <c r="L5366" i="54"/>
  <c r="L5365" i="54"/>
  <c r="L5364" i="54"/>
  <c r="L5363" i="54"/>
  <c r="L5362" i="54"/>
  <c r="L5361" i="54"/>
  <c r="L5360" i="54"/>
  <c r="L5359" i="54"/>
  <c r="L5358" i="54"/>
  <c r="L5357" i="54"/>
  <c r="L5356" i="54"/>
  <c r="L5355" i="54"/>
  <c r="L5354" i="54"/>
  <c r="L5353" i="54"/>
  <c r="L5352" i="54"/>
  <c r="L5351" i="54"/>
  <c r="L5350" i="54"/>
  <c r="L5349" i="54"/>
  <c r="L5348" i="54"/>
  <c r="L5347" i="54"/>
  <c r="L5346" i="54"/>
  <c r="L5345" i="54"/>
  <c r="L5344" i="54"/>
  <c r="L5343" i="54"/>
  <c r="L5342" i="54"/>
  <c r="L5341" i="54"/>
  <c r="L5340" i="54"/>
  <c r="L5339" i="54"/>
  <c r="L5338" i="54"/>
  <c r="L5337" i="54"/>
  <c r="L5336" i="54"/>
  <c r="L5335" i="54"/>
  <c r="L5334" i="54"/>
  <c r="L5333" i="54"/>
  <c r="L5332" i="54"/>
  <c r="L5331" i="54"/>
  <c r="L5330" i="54"/>
  <c r="L5329" i="54"/>
  <c r="L5328" i="54"/>
  <c r="L5327" i="54"/>
  <c r="L5326" i="54"/>
  <c r="L5325" i="54"/>
  <c r="L5324" i="54"/>
  <c r="L5323" i="54"/>
  <c r="L5322" i="54"/>
  <c r="L5321" i="54"/>
  <c r="L5320" i="54"/>
  <c r="L5319" i="54"/>
  <c r="L5318" i="54"/>
  <c r="L5317" i="54"/>
  <c r="L5316" i="54"/>
  <c r="L5315" i="54"/>
  <c r="L5314" i="54"/>
  <c r="L5313" i="54"/>
  <c r="L5312" i="54"/>
  <c r="L5311" i="54"/>
  <c r="L5310" i="54"/>
  <c r="L5309" i="54"/>
  <c r="L5308" i="54"/>
  <c r="L5307" i="54"/>
  <c r="L5306" i="54"/>
  <c r="L5305" i="54"/>
  <c r="L5304" i="54"/>
  <c r="L5303" i="54"/>
  <c r="L5302" i="54"/>
  <c r="L5301" i="54"/>
  <c r="L5300" i="54"/>
  <c r="L5299" i="54"/>
  <c r="L5298" i="54"/>
  <c r="L5297" i="54"/>
  <c r="L5296" i="54"/>
  <c r="L5295" i="54"/>
  <c r="L5294" i="54"/>
  <c r="L5293" i="54"/>
  <c r="L5292" i="54"/>
  <c r="L5291" i="54"/>
  <c r="L5290" i="54"/>
  <c r="L5289" i="54"/>
  <c r="L5288" i="54"/>
  <c r="L5287" i="54"/>
  <c r="L5286" i="54"/>
  <c r="L5285" i="54"/>
  <c r="L5284" i="54"/>
  <c r="L5283" i="54"/>
  <c r="L5282" i="54"/>
  <c r="L5281" i="54"/>
  <c r="L5280" i="54"/>
  <c r="L5279" i="54"/>
  <c r="L5278" i="54"/>
  <c r="L5277" i="54"/>
  <c r="L5276" i="54"/>
  <c r="L5275" i="54"/>
  <c r="L5274" i="54"/>
  <c r="L5273" i="54"/>
  <c r="L5272" i="54"/>
  <c r="L5271" i="54"/>
  <c r="L5270" i="54"/>
  <c r="L5269" i="54"/>
  <c r="L5268" i="54"/>
  <c r="L5267" i="54"/>
  <c r="L5266" i="54"/>
  <c r="L5265" i="54"/>
  <c r="L5264" i="54"/>
  <c r="L5263" i="54"/>
  <c r="L5262" i="54"/>
  <c r="L5261" i="54"/>
  <c r="L5260" i="54"/>
  <c r="L5259" i="54"/>
  <c r="L5258" i="54"/>
  <c r="L5257" i="54"/>
  <c r="L5256" i="54"/>
  <c r="L5255" i="54"/>
  <c r="L5254" i="54"/>
  <c r="L5253" i="54"/>
  <c r="L5252" i="54"/>
  <c r="L5251" i="54"/>
  <c r="L5250" i="54"/>
  <c r="L5249" i="54"/>
  <c r="L5248" i="54"/>
  <c r="L5247" i="54"/>
  <c r="L5246" i="54"/>
  <c r="L5245" i="54"/>
  <c r="L5244" i="54"/>
  <c r="L5243" i="54"/>
  <c r="L5242" i="54"/>
  <c r="L5241" i="54"/>
  <c r="L5240" i="54"/>
  <c r="L5239" i="54"/>
  <c r="L5238" i="54"/>
  <c r="L5237" i="54"/>
  <c r="L5236" i="54"/>
  <c r="L5235" i="54"/>
  <c r="L5234" i="54"/>
  <c r="L5233" i="54"/>
  <c r="L5232" i="54"/>
  <c r="L5231" i="54"/>
  <c r="L5230" i="54"/>
  <c r="L5229" i="54"/>
  <c r="L5228" i="54"/>
  <c r="L5227" i="54"/>
  <c r="L5226" i="54"/>
  <c r="L5225" i="54"/>
  <c r="L5224" i="54"/>
  <c r="L5223" i="54"/>
  <c r="L5222" i="54"/>
  <c r="L5221" i="54"/>
  <c r="L5220" i="54"/>
  <c r="L5219" i="54"/>
  <c r="L5218" i="54"/>
  <c r="L5217" i="54"/>
  <c r="L5216" i="54"/>
  <c r="L5215" i="54"/>
  <c r="L5214" i="54"/>
  <c r="L5213" i="54"/>
  <c r="L5212" i="54"/>
  <c r="L5211" i="54"/>
  <c r="L5210" i="54"/>
  <c r="L5209" i="54"/>
  <c r="L5208" i="54"/>
  <c r="L5207" i="54"/>
  <c r="L5206" i="54"/>
  <c r="L5205" i="54"/>
  <c r="L5204" i="54"/>
  <c r="L5203" i="54"/>
  <c r="L5202" i="54"/>
  <c r="L5201" i="54"/>
  <c r="L5200" i="54"/>
  <c r="L5199" i="54"/>
  <c r="L5198" i="54"/>
  <c r="L5197" i="54"/>
  <c r="L5196" i="54"/>
  <c r="L5195" i="54"/>
  <c r="L5194" i="54"/>
  <c r="L5193" i="54"/>
  <c r="L5192" i="54"/>
  <c r="L5191" i="54"/>
  <c r="L5190" i="54"/>
  <c r="L5189" i="54"/>
  <c r="L5188" i="54"/>
  <c r="L5187" i="54"/>
  <c r="L5186" i="54"/>
  <c r="L5185" i="54"/>
  <c r="L5184" i="54"/>
  <c r="L5183" i="54"/>
  <c r="L5182" i="54"/>
  <c r="L5181" i="54"/>
  <c r="L5180" i="54"/>
  <c r="L5179" i="54"/>
  <c r="L5178" i="54"/>
  <c r="L5177" i="54"/>
  <c r="L5176" i="54"/>
  <c r="L5175" i="54"/>
  <c r="L5174" i="54"/>
  <c r="L5173" i="54"/>
  <c r="L5172" i="54"/>
  <c r="L5171" i="54"/>
  <c r="L5170" i="54"/>
  <c r="L5169" i="54"/>
  <c r="L5168" i="54"/>
  <c r="L5167" i="54"/>
  <c r="L5166" i="54"/>
  <c r="L5165" i="54"/>
  <c r="L5164" i="54"/>
  <c r="L5163" i="54"/>
  <c r="L5162" i="54"/>
  <c r="L5161" i="54"/>
  <c r="L5160" i="54"/>
  <c r="L5159" i="54"/>
  <c r="L5158" i="54"/>
  <c r="L5157" i="54"/>
  <c r="L5156" i="54"/>
  <c r="L5155" i="54"/>
  <c r="L5154" i="54"/>
  <c r="L5153" i="54"/>
  <c r="L5152" i="54"/>
  <c r="L5151" i="54"/>
  <c r="L5150" i="54"/>
  <c r="L5149" i="54"/>
  <c r="L5148" i="54"/>
  <c r="L5147" i="54"/>
  <c r="L5146" i="54"/>
  <c r="L5145" i="54"/>
  <c r="L5144" i="54"/>
  <c r="L5143" i="54"/>
  <c r="L5142" i="54"/>
  <c r="L5141" i="54"/>
  <c r="L5140" i="54"/>
  <c r="L5139" i="54"/>
  <c r="L5138" i="54"/>
  <c r="L5137" i="54"/>
  <c r="L5136" i="54"/>
  <c r="L5135" i="54"/>
  <c r="L5134" i="54"/>
  <c r="L5133" i="54"/>
  <c r="L5132" i="54"/>
  <c r="L5131" i="54"/>
  <c r="L5130" i="54"/>
  <c r="L5129" i="54"/>
  <c r="L5128" i="54"/>
  <c r="L5127" i="54"/>
  <c r="L5126" i="54"/>
  <c r="L5125" i="54"/>
  <c r="L5124" i="54"/>
  <c r="L5123" i="54"/>
  <c r="L5122" i="54"/>
  <c r="L5121" i="54"/>
  <c r="L5120" i="54"/>
  <c r="L5119" i="54"/>
  <c r="L5118" i="54"/>
  <c r="L5117" i="54"/>
  <c r="L5116" i="54"/>
  <c r="L5115" i="54"/>
  <c r="L5114" i="54"/>
  <c r="L5113" i="54"/>
  <c r="L5112" i="54"/>
  <c r="L5111" i="54"/>
  <c r="L5110" i="54"/>
  <c r="L5109" i="54"/>
  <c r="L5108" i="54"/>
  <c r="L5107" i="54"/>
  <c r="L5106" i="54"/>
  <c r="L5105" i="54"/>
  <c r="L5104" i="54"/>
  <c r="L5103" i="54"/>
  <c r="L5102" i="54"/>
  <c r="L5101" i="54"/>
  <c r="L5100" i="54"/>
  <c r="L5099" i="54"/>
  <c r="L5098" i="54"/>
  <c r="L5097" i="54"/>
  <c r="L5096" i="54"/>
  <c r="L5095" i="54"/>
  <c r="L5094" i="54"/>
  <c r="L5093" i="54"/>
  <c r="L5092" i="54"/>
  <c r="L5091" i="54"/>
  <c r="L5090" i="54"/>
  <c r="L5089" i="54"/>
  <c r="L5088" i="54"/>
  <c r="L5087" i="54"/>
  <c r="L5086" i="54"/>
  <c r="L5085" i="54"/>
  <c r="L5084" i="54"/>
  <c r="L5083" i="54"/>
  <c r="L5082" i="54"/>
  <c r="L5081" i="54"/>
  <c r="L5080" i="54"/>
  <c r="L5079" i="54"/>
  <c r="L5078" i="54"/>
  <c r="L5077" i="54"/>
  <c r="L5076" i="54"/>
  <c r="L5075" i="54"/>
  <c r="L5074" i="54"/>
  <c r="L5073" i="54"/>
  <c r="L5072" i="54"/>
  <c r="L5071" i="54"/>
  <c r="L5070" i="54"/>
  <c r="L5069" i="54"/>
  <c r="L5068" i="54"/>
  <c r="L5067" i="54"/>
  <c r="L5066" i="54"/>
  <c r="L5065" i="54"/>
  <c r="L5064" i="54"/>
  <c r="L5063" i="54"/>
  <c r="L5062" i="54"/>
  <c r="L5061" i="54"/>
  <c r="L5060" i="54"/>
  <c r="L5059" i="54"/>
  <c r="L5058" i="54"/>
  <c r="L5057" i="54"/>
  <c r="L5056" i="54"/>
  <c r="L5055" i="54"/>
  <c r="L5054" i="54"/>
  <c r="L5053" i="54"/>
  <c r="L5052" i="54"/>
  <c r="L5051" i="54"/>
  <c r="L5050" i="54"/>
  <c r="L5049" i="54"/>
  <c r="L5048" i="54"/>
  <c r="L5047" i="54"/>
  <c r="L5046" i="54"/>
  <c r="L5045" i="54"/>
  <c r="L5044" i="54"/>
  <c r="L5043" i="54"/>
  <c r="L5042" i="54"/>
  <c r="L5041" i="54"/>
  <c r="L5040" i="54"/>
  <c r="L5039" i="54"/>
  <c r="L5038" i="54"/>
  <c r="L5037" i="54"/>
  <c r="L5036" i="54"/>
  <c r="L5035" i="54"/>
  <c r="L5034" i="54"/>
  <c r="L5033" i="54"/>
  <c r="L5032" i="54"/>
  <c r="L5031" i="54"/>
  <c r="L5030" i="54"/>
  <c r="L5029" i="54"/>
  <c r="L5028" i="54"/>
  <c r="L5027" i="54"/>
  <c r="L5026" i="54"/>
  <c r="L5025" i="54"/>
  <c r="L5024" i="54"/>
  <c r="L5023" i="54"/>
  <c r="L5022" i="54"/>
  <c r="L5021" i="54"/>
  <c r="L5020" i="54"/>
  <c r="L5019" i="54"/>
  <c r="L5018" i="54"/>
  <c r="L5017" i="54"/>
  <c r="L5016" i="54"/>
  <c r="L5015" i="54"/>
  <c r="L5014" i="54"/>
  <c r="L5013" i="54"/>
  <c r="L5012" i="54"/>
  <c r="L5011" i="54"/>
  <c r="L5010" i="54"/>
  <c r="L5009" i="54"/>
  <c r="L5008" i="54"/>
  <c r="L5007" i="54"/>
  <c r="L5006" i="54"/>
  <c r="L5005" i="54"/>
  <c r="L5004" i="54"/>
  <c r="L5003" i="54"/>
  <c r="L5002" i="54"/>
  <c r="L5001" i="54"/>
  <c r="L5000" i="54"/>
  <c r="L4999" i="54"/>
  <c r="L4998" i="54"/>
  <c r="L4997" i="54"/>
  <c r="L4996" i="54"/>
  <c r="L4995" i="54"/>
  <c r="L4994" i="54"/>
  <c r="L4993" i="54"/>
  <c r="L4992" i="54"/>
  <c r="L4991" i="54"/>
  <c r="L4990" i="54"/>
  <c r="L4989" i="54"/>
  <c r="L4988" i="54"/>
  <c r="L4987" i="54"/>
  <c r="L4986" i="54"/>
  <c r="L4985" i="54"/>
  <c r="L4984" i="54"/>
  <c r="L4983" i="54"/>
  <c r="L4982" i="54"/>
  <c r="L4981" i="54"/>
  <c r="L4980" i="54"/>
  <c r="L4979" i="54"/>
  <c r="L4978" i="54"/>
  <c r="L4977" i="54"/>
  <c r="L4976" i="54"/>
  <c r="L4975" i="54"/>
  <c r="L4974" i="54"/>
  <c r="L4973" i="54"/>
  <c r="L4972" i="54"/>
  <c r="L4971" i="54"/>
  <c r="L4970" i="54"/>
  <c r="L4969" i="54"/>
  <c r="L4968" i="54"/>
  <c r="L4967" i="54"/>
  <c r="L4966" i="54"/>
  <c r="L4965" i="54"/>
  <c r="L4964" i="54"/>
  <c r="L4963" i="54"/>
  <c r="L4962" i="54"/>
  <c r="L4961" i="54"/>
  <c r="L4960" i="54"/>
  <c r="L4959" i="54"/>
  <c r="L4958" i="54"/>
  <c r="L4957" i="54"/>
  <c r="L4956" i="54"/>
  <c r="L4955" i="54"/>
  <c r="L4954" i="54"/>
  <c r="L4953" i="54"/>
  <c r="L4952" i="54"/>
  <c r="L4951" i="54"/>
  <c r="L4950" i="54"/>
  <c r="L4949" i="54"/>
  <c r="L4948" i="54"/>
  <c r="L4947" i="54"/>
  <c r="L4946" i="54"/>
  <c r="L4945" i="54"/>
  <c r="L4944" i="54"/>
  <c r="L4943" i="54"/>
  <c r="L4942" i="54"/>
  <c r="L4941" i="54"/>
  <c r="L4940" i="54"/>
  <c r="L4939" i="54"/>
  <c r="L4938" i="54"/>
  <c r="L4937" i="54"/>
  <c r="L4936" i="54"/>
  <c r="L4935" i="54"/>
  <c r="L4934" i="54"/>
  <c r="L4933" i="54"/>
  <c r="L4932" i="54"/>
  <c r="L4931" i="54"/>
  <c r="L4930" i="54"/>
  <c r="L4929" i="54"/>
  <c r="L4928" i="54"/>
  <c r="L4927" i="54"/>
  <c r="L4926" i="54"/>
  <c r="L4925" i="54"/>
  <c r="L4924" i="54"/>
  <c r="L4923" i="54"/>
  <c r="L4922" i="54"/>
  <c r="L4921" i="54"/>
  <c r="L4920" i="54"/>
  <c r="L4919" i="54"/>
  <c r="K4918" i="54"/>
  <c r="J4918" i="54"/>
  <c r="L4917" i="54"/>
  <c r="L4916" i="54"/>
  <c r="L4915" i="54"/>
  <c r="L4914" i="54"/>
  <c r="L4913" i="54"/>
  <c r="L4912" i="54"/>
  <c r="L4911" i="54"/>
  <c r="L4910" i="54"/>
  <c r="L4909" i="54"/>
  <c r="L4908" i="54"/>
  <c r="L4907" i="54"/>
  <c r="L4906" i="54"/>
  <c r="L4905" i="54"/>
  <c r="L4904" i="54"/>
  <c r="L4903" i="54"/>
  <c r="L4902" i="54"/>
  <c r="L4901" i="54"/>
  <c r="L4900" i="54"/>
  <c r="L4899" i="54"/>
  <c r="L4898" i="54"/>
  <c r="L4897" i="54"/>
  <c r="L4896" i="54"/>
  <c r="L4895" i="54"/>
  <c r="L4894" i="54"/>
  <c r="L4893" i="54"/>
  <c r="L4892" i="54"/>
  <c r="L4891" i="54"/>
  <c r="L4890" i="54"/>
  <c r="L4889" i="54"/>
  <c r="L4888" i="54"/>
  <c r="L4887" i="54"/>
  <c r="L4886" i="54"/>
  <c r="L4885" i="54"/>
  <c r="L4884" i="54"/>
  <c r="L4883" i="54"/>
  <c r="L4882" i="54"/>
  <c r="L4881" i="54"/>
  <c r="L4880" i="54"/>
  <c r="L4879" i="54"/>
  <c r="L4878" i="54"/>
  <c r="L4877" i="54"/>
  <c r="L4876" i="54"/>
  <c r="L4875" i="54"/>
  <c r="L4874" i="54"/>
  <c r="L4873" i="54"/>
  <c r="L4872" i="54"/>
  <c r="L4871" i="54"/>
  <c r="L4870" i="54"/>
  <c r="L4869" i="54"/>
  <c r="L4868" i="54"/>
  <c r="L4867" i="54"/>
  <c r="L4866" i="54"/>
  <c r="L4865" i="54"/>
  <c r="L4864" i="54"/>
  <c r="L4863" i="54"/>
  <c r="L4862" i="54"/>
  <c r="L4861" i="54"/>
  <c r="L4860" i="54"/>
  <c r="L4859" i="54"/>
  <c r="L4858" i="54"/>
  <c r="L4857" i="54"/>
  <c r="L4856" i="54"/>
  <c r="L4855" i="54"/>
  <c r="L4854" i="54"/>
  <c r="L4853" i="54"/>
  <c r="L4852" i="54"/>
  <c r="L4851" i="54"/>
  <c r="L4850" i="54"/>
  <c r="L4849" i="54"/>
  <c r="L4848" i="54"/>
  <c r="L4847" i="54"/>
  <c r="L4846" i="54"/>
  <c r="L4845" i="54"/>
  <c r="L4844" i="54"/>
  <c r="L4843" i="54"/>
  <c r="L4842" i="54"/>
  <c r="L4841" i="54"/>
  <c r="L4840" i="54"/>
  <c r="L4839" i="54"/>
  <c r="L4838" i="54"/>
  <c r="L4837" i="54"/>
  <c r="L4836" i="54"/>
  <c r="L4835" i="54"/>
  <c r="L4834" i="54"/>
  <c r="L4833" i="54"/>
  <c r="L4832" i="54"/>
  <c r="L4831" i="54"/>
  <c r="L4830" i="54"/>
  <c r="L4829" i="54"/>
  <c r="L4828" i="54"/>
  <c r="L4827" i="54"/>
  <c r="L4826" i="54"/>
  <c r="L4825" i="54"/>
  <c r="L4824" i="54"/>
  <c r="L4823" i="54"/>
  <c r="L4822" i="54"/>
  <c r="L4821" i="54"/>
  <c r="L4820" i="54"/>
  <c r="L4819" i="54"/>
  <c r="L4818" i="54"/>
  <c r="L4817" i="54"/>
  <c r="L4816" i="54"/>
  <c r="L4815" i="54"/>
  <c r="L4814" i="54"/>
  <c r="L4813" i="54"/>
  <c r="L4812" i="54"/>
  <c r="L4811" i="54"/>
  <c r="L4810" i="54"/>
  <c r="L4809" i="54"/>
  <c r="L4808" i="54"/>
  <c r="L4807" i="54"/>
  <c r="L4806" i="54"/>
  <c r="L4805" i="54"/>
  <c r="L4804" i="54"/>
  <c r="L4803" i="54"/>
  <c r="L4802" i="54"/>
  <c r="L4801" i="54"/>
  <c r="L4800" i="54"/>
  <c r="L4799" i="54"/>
  <c r="L4798" i="54"/>
  <c r="L4797" i="54"/>
  <c r="L4796" i="54"/>
  <c r="L4795" i="54"/>
  <c r="L4794" i="54"/>
  <c r="L4793" i="54"/>
  <c r="L4792" i="54"/>
  <c r="L4791" i="54"/>
  <c r="L4790" i="54"/>
  <c r="L4789" i="54"/>
  <c r="L4788" i="54"/>
  <c r="L4787" i="54"/>
  <c r="L4786" i="54"/>
  <c r="L4785" i="54"/>
  <c r="L4784" i="54"/>
  <c r="L4783" i="54"/>
  <c r="L4782" i="54"/>
  <c r="L4781" i="54"/>
  <c r="L4780" i="54"/>
  <c r="L4779" i="54"/>
  <c r="L4778" i="54"/>
  <c r="L4777" i="54"/>
  <c r="L4776" i="54"/>
  <c r="L4775" i="54"/>
  <c r="L4774" i="54"/>
  <c r="L4773" i="54"/>
  <c r="L4772" i="54"/>
  <c r="L4771" i="54"/>
  <c r="L4770" i="54"/>
  <c r="L4769" i="54"/>
  <c r="L4768" i="54"/>
  <c r="L4767" i="54"/>
  <c r="L4766" i="54"/>
  <c r="L4765" i="54"/>
  <c r="L4764" i="54"/>
  <c r="L4763" i="54"/>
  <c r="L4762" i="54"/>
  <c r="L4761" i="54"/>
  <c r="L4760" i="54"/>
  <c r="L4759" i="54"/>
  <c r="L4758" i="54"/>
  <c r="L4757" i="54"/>
  <c r="L4756" i="54"/>
  <c r="L4755" i="54"/>
  <c r="L4754" i="54"/>
  <c r="L4753" i="54"/>
  <c r="L4752" i="54"/>
  <c r="L4751" i="54"/>
  <c r="L4750" i="54"/>
  <c r="L4749" i="54"/>
  <c r="L4748" i="54"/>
  <c r="L4747" i="54"/>
  <c r="L4746" i="54"/>
  <c r="L4745" i="54"/>
  <c r="L4744" i="54"/>
  <c r="L4743" i="54"/>
  <c r="L4742" i="54"/>
  <c r="L4741" i="54"/>
  <c r="L4740" i="54"/>
  <c r="L4739" i="54"/>
  <c r="L4738" i="54"/>
  <c r="L4737" i="54"/>
  <c r="L4736" i="54"/>
  <c r="L4735" i="54"/>
  <c r="L4734" i="54"/>
  <c r="L4733" i="54"/>
  <c r="L4732" i="54"/>
  <c r="L4731" i="54"/>
  <c r="L4730" i="54"/>
  <c r="L4729" i="54"/>
  <c r="L4728" i="54"/>
  <c r="L4727" i="54"/>
  <c r="L4726" i="54"/>
  <c r="L4725" i="54"/>
  <c r="L4724" i="54"/>
  <c r="L4723" i="54"/>
  <c r="L4722" i="54"/>
  <c r="L4721" i="54"/>
  <c r="L4720" i="54"/>
  <c r="L4719" i="54"/>
  <c r="L4718" i="54"/>
  <c r="L4717" i="54"/>
  <c r="L4716" i="54"/>
  <c r="L4715" i="54"/>
  <c r="L4714" i="54"/>
  <c r="L4713" i="54"/>
  <c r="L4712" i="54"/>
  <c r="L4711" i="54"/>
  <c r="L4710" i="54"/>
  <c r="L4709" i="54"/>
  <c r="L4708" i="54"/>
  <c r="L4707" i="54"/>
  <c r="L4706" i="54"/>
  <c r="L4705" i="54"/>
  <c r="L4704" i="54"/>
  <c r="L4703" i="54"/>
  <c r="L4702" i="54"/>
  <c r="L4701" i="54"/>
  <c r="L4700" i="54"/>
  <c r="L4699" i="54"/>
  <c r="L4698" i="54"/>
  <c r="L4697" i="54"/>
  <c r="L4696" i="54"/>
  <c r="L4695" i="54"/>
  <c r="L4694" i="54"/>
  <c r="L4693" i="54"/>
  <c r="L4692" i="54"/>
  <c r="L4691" i="54"/>
  <c r="L4690" i="54"/>
  <c r="L4689" i="54"/>
  <c r="L4688" i="54"/>
  <c r="L4687" i="54"/>
  <c r="L4686" i="54"/>
  <c r="L4685" i="54"/>
  <c r="L4684" i="54"/>
  <c r="L4683" i="54"/>
  <c r="L4682" i="54"/>
  <c r="L4681" i="54"/>
  <c r="L4680" i="54"/>
  <c r="L4679" i="54"/>
  <c r="L4678" i="54"/>
  <c r="L4677" i="54"/>
  <c r="L4676" i="54"/>
  <c r="L4675" i="54"/>
  <c r="L4674" i="54"/>
  <c r="L4673" i="54"/>
  <c r="L4672" i="54"/>
  <c r="L4671" i="54"/>
  <c r="L4670" i="54"/>
  <c r="L4669" i="54"/>
  <c r="L4668" i="54"/>
  <c r="L4667" i="54"/>
  <c r="L4666" i="54"/>
  <c r="L4665" i="54"/>
  <c r="L4664" i="54"/>
  <c r="L4663" i="54"/>
  <c r="L4662" i="54"/>
  <c r="L4661" i="54"/>
  <c r="L4660" i="54"/>
  <c r="L4659" i="54"/>
  <c r="L4658" i="54"/>
  <c r="L4657" i="54"/>
  <c r="L4656" i="54"/>
  <c r="L4655" i="54"/>
  <c r="L4654" i="54"/>
  <c r="L4653" i="54"/>
  <c r="L4652" i="54"/>
  <c r="L4651" i="54"/>
  <c r="L4650" i="54"/>
  <c r="L4649" i="54"/>
  <c r="L4648" i="54"/>
  <c r="L4647" i="54"/>
  <c r="L4646" i="54"/>
  <c r="L4645" i="54"/>
  <c r="L4644" i="54"/>
  <c r="L4643" i="54"/>
  <c r="L4642" i="54"/>
  <c r="L4641" i="54"/>
  <c r="L4640" i="54"/>
  <c r="L4639" i="54"/>
  <c r="L4638" i="54"/>
  <c r="L4637" i="54"/>
  <c r="L4636" i="54"/>
  <c r="L4635" i="54"/>
  <c r="L4634" i="54"/>
  <c r="L4633" i="54"/>
  <c r="L4632" i="54"/>
  <c r="L4631" i="54"/>
  <c r="L4630" i="54"/>
  <c r="L4629" i="54"/>
  <c r="L4628" i="54"/>
  <c r="L4627" i="54"/>
  <c r="L4626" i="54"/>
  <c r="L4625" i="54"/>
  <c r="L4624" i="54"/>
  <c r="L4623" i="54"/>
  <c r="L4622" i="54"/>
  <c r="L4621" i="54"/>
  <c r="L4620" i="54"/>
  <c r="L4619" i="54"/>
  <c r="L4618" i="54"/>
  <c r="L4617" i="54"/>
  <c r="L4616" i="54"/>
  <c r="L4615" i="54"/>
  <c r="L4614" i="54"/>
  <c r="L4613" i="54"/>
  <c r="L4612" i="54"/>
  <c r="L4611" i="54"/>
  <c r="L4610" i="54"/>
  <c r="L4609" i="54"/>
  <c r="L4608" i="54"/>
  <c r="L4607" i="54"/>
  <c r="L4606" i="54"/>
  <c r="L4605" i="54"/>
  <c r="L4604" i="54"/>
  <c r="L4603" i="54"/>
  <c r="L4602" i="54"/>
  <c r="L4601" i="54"/>
  <c r="L4600" i="54"/>
  <c r="L4599" i="54"/>
  <c r="L4598" i="54"/>
  <c r="L4597" i="54"/>
  <c r="L4596" i="54"/>
  <c r="L4595" i="54"/>
  <c r="L4594" i="54"/>
  <c r="L4593" i="54"/>
  <c r="L4592" i="54"/>
  <c r="L4591" i="54"/>
  <c r="L4590" i="54"/>
  <c r="L4589" i="54"/>
  <c r="L4588" i="54"/>
  <c r="L4587" i="54"/>
  <c r="L4586" i="54"/>
  <c r="L4585" i="54"/>
  <c r="L4584" i="54"/>
  <c r="L4583" i="54"/>
  <c r="L4582" i="54"/>
  <c r="L4581" i="54"/>
  <c r="L4580" i="54"/>
  <c r="L4579" i="54"/>
  <c r="L4578" i="54"/>
  <c r="L4577" i="54"/>
  <c r="L4576" i="54"/>
  <c r="L4575" i="54"/>
  <c r="L4574" i="54"/>
  <c r="L4573" i="54"/>
  <c r="L4572" i="54"/>
  <c r="L4571" i="54"/>
  <c r="L4570" i="54"/>
  <c r="L4569" i="54"/>
  <c r="L4568" i="54"/>
  <c r="L4567" i="54"/>
  <c r="L4566" i="54"/>
  <c r="L4565" i="54"/>
  <c r="L4564" i="54"/>
  <c r="L4563" i="54"/>
  <c r="L4562" i="54"/>
  <c r="L4561" i="54"/>
  <c r="L4560" i="54"/>
  <c r="L4559" i="54"/>
  <c r="L4558" i="54"/>
  <c r="L4557" i="54"/>
  <c r="L4556" i="54"/>
  <c r="L4555" i="54"/>
  <c r="L4554" i="54"/>
  <c r="L4553" i="54"/>
  <c r="L4552" i="54"/>
  <c r="L4551" i="54"/>
  <c r="L4550" i="54"/>
  <c r="L4549" i="54"/>
  <c r="L4548" i="54"/>
  <c r="L4547" i="54"/>
  <c r="L4546" i="54"/>
  <c r="L4545" i="54"/>
  <c r="L4544" i="54"/>
  <c r="L4543" i="54"/>
  <c r="L4542" i="54"/>
  <c r="L4541" i="54"/>
  <c r="L4540" i="54"/>
  <c r="L4539" i="54"/>
  <c r="L4538" i="54"/>
  <c r="L4537" i="54"/>
  <c r="L4536" i="54"/>
  <c r="L4535" i="54"/>
  <c r="L4534" i="54"/>
  <c r="L4533" i="54"/>
  <c r="L4532" i="54"/>
  <c r="L4531" i="54"/>
  <c r="L4530" i="54"/>
  <c r="L4529" i="54"/>
  <c r="L4528" i="54"/>
  <c r="L4527" i="54"/>
  <c r="L4526" i="54"/>
  <c r="L4525" i="54"/>
  <c r="L4524" i="54"/>
  <c r="L4523" i="54"/>
  <c r="L4522" i="54"/>
  <c r="L4521" i="54"/>
  <c r="L4520" i="54"/>
  <c r="L4519" i="54"/>
  <c r="L4518" i="54"/>
  <c r="L4517" i="54"/>
  <c r="L4516" i="54"/>
  <c r="L4515" i="54"/>
  <c r="L4514" i="54"/>
  <c r="L4513" i="54"/>
  <c r="L4512" i="54"/>
  <c r="L4511" i="54"/>
  <c r="L4510" i="54"/>
  <c r="L4509" i="54"/>
  <c r="L4508" i="54"/>
  <c r="L4507" i="54"/>
  <c r="L4506" i="54"/>
  <c r="L4505" i="54"/>
  <c r="L4504" i="54"/>
  <c r="L4503" i="54"/>
  <c r="L4502" i="54"/>
  <c r="L4501" i="54"/>
  <c r="L4500" i="54"/>
  <c r="L4499" i="54"/>
  <c r="L4498" i="54"/>
  <c r="L4497" i="54"/>
  <c r="L4496" i="54"/>
  <c r="L4495" i="54"/>
  <c r="L4494" i="54"/>
  <c r="L4493" i="54"/>
  <c r="L4492" i="54"/>
  <c r="L4491" i="54"/>
  <c r="L4490" i="54"/>
  <c r="L4489" i="54"/>
  <c r="L4488" i="54"/>
  <c r="L4487" i="54"/>
  <c r="L4486" i="54"/>
  <c r="L4485" i="54"/>
  <c r="L4484" i="54"/>
  <c r="L4483" i="54"/>
  <c r="L4482" i="54"/>
  <c r="L4481" i="54"/>
  <c r="L4480" i="54"/>
  <c r="L4479" i="54"/>
  <c r="L4478" i="54"/>
  <c r="L4477" i="54"/>
  <c r="L4476" i="54"/>
  <c r="L4475" i="54"/>
  <c r="L4474" i="54"/>
  <c r="L4473" i="54"/>
  <c r="L4472" i="54"/>
  <c r="L4471" i="54"/>
  <c r="L4470" i="54"/>
  <c r="L4469" i="54"/>
  <c r="L4468" i="54"/>
  <c r="L4467" i="54"/>
  <c r="L4466" i="54"/>
  <c r="L4465" i="54"/>
  <c r="L4464" i="54"/>
  <c r="L4463" i="54"/>
  <c r="L4462" i="54"/>
  <c r="L4461" i="54"/>
  <c r="L4460" i="54"/>
  <c r="L4459" i="54"/>
  <c r="L4458" i="54"/>
  <c r="L4457" i="54"/>
  <c r="L4456" i="54"/>
  <c r="L4455" i="54"/>
  <c r="L4454" i="54"/>
  <c r="L4453" i="54"/>
  <c r="L4452" i="54"/>
  <c r="L4451" i="54"/>
  <c r="L4450" i="54"/>
  <c r="L4449" i="54"/>
  <c r="L4448" i="54"/>
  <c r="L4447" i="54"/>
  <c r="L4446" i="54"/>
  <c r="L4445" i="54"/>
  <c r="L4444" i="54"/>
  <c r="L4443" i="54"/>
  <c r="L4442" i="54"/>
  <c r="L4441" i="54"/>
  <c r="L4440" i="54"/>
  <c r="L4439" i="54"/>
  <c r="L4438" i="54"/>
  <c r="L4437" i="54"/>
  <c r="L4436" i="54"/>
  <c r="L4435" i="54"/>
  <c r="L4434" i="54"/>
  <c r="L4433" i="54"/>
  <c r="L4432" i="54"/>
  <c r="L4431" i="54"/>
  <c r="L4430" i="54"/>
  <c r="L4429" i="54"/>
  <c r="L4428" i="54"/>
  <c r="L4427" i="54"/>
  <c r="L4426" i="54"/>
  <c r="L4425" i="54"/>
  <c r="L4424" i="54"/>
  <c r="L4423" i="54"/>
  <c r="L4422" i="54"/>
  <c r="L4421" i="54"/>
  <c r="L4420" i="54"/>
  <c r="L4419" i="54"/>
  <c r="L4418" i="54"/>
  <c r="L4417" i="54"/>
  <c r="L4416" i="54"/>
  <c r="L4415" i="54"/>
  <c r="L4414" i="54"/>
  <c r="L4413" i="54"/>
  <c r="L4412" i="54"/>
  <c r="L4411" i="54"/>
  <c r="L4410" i="54"/>
  <c r="L4409" i="54"/>
  <c r="L4408" i="54"/>
  <c r="L4407" i="54"/>
  <c r="L4406" i="54"/>
  <c r="L4405" i="54"/>
  <c r="L4404" i="54"/>
  <c r="L4403" i="54"/>
  <c r="L4402" i="54"/>
  <c r="L4401" i="54"/>
  <c r="L4400" i="54"/>
  <c r="L4399" i="54"/>
  <c r="L4398" i="54"/>
  <c r="L4397" i="54"/>
  <c r="L4396" i="54"/>
  <c r="L4395" i="54"/>
  <c r="L4394" i="54"/>
  <c r="L4393" i="54"/>
  <c r="L4392" i="54"/>
  <c r="L4391" i="54"/>
  <c r="L4390" i="54"/>
  <c r="L4389" i="54"/>
  <c r="L4388" i="54"/>
  <c r="L4387" i="54"/>
  <c r="L4386" i="54"/>
  <c r="L4385" i="54"/>
  <c r="L4384" i="54"/>
  <c r="L4383" i="54"/>
  <c r="L4382" i="54"/>
  <c r="L4381" i="54"/>
  <c r="L4380" i="54"/>
  <c r="L4379" i="54"/>
  <c r="L4378" i="54"/>
  <c r="L4377" i="54"/>
  <c r="L4376" i="54"/>
  <c r="L4375" i="54"/>
  <c r="L4374" i="54"/>
  <c r="L4373" i="54"/>
  <c r="L4372" i="54"/>
  <c r="L4371" i="54"/>
  <c r="L4370" i="54"/>
  <c r="L4369" i="54"/>
  <c r="L4368" i="54"/>
  <c r="L4367" i="54"/>
  <c r="L4366" i="54"/>
  <c r="L4365" i="54"/>
  <c r="L4364" i="54"/>
  <c r="L4363" i="54"/>
  <c r="L4362" i="54"/>
  <c r="L4361" i="54"/>
  <c r="L4360" i="54"/>
  <c r="L4359" i="54"/>
  <c r="L4358" i="54"/>
  <c r="L4357" i="54"/>
  <c r="L4356" i="54"/>
  <c r="L4355" i="54"/>
  <c r="L4354" i="54"/>
  <c r="L4353" i="54"/>
  <c r="L4352" i="54"/>
  <c r="L4351" i="54"/>
  <c r="L4350" i="54"/>
  <c r="L4349" i="54"/>
  <c r="L4348" i="54"/>
  <c r="L4347" i="54"/>
  <c r="L4346" i="54"/>
  <c r="L4345" i="54"/>
  <c r="L4344" i="54"/>
  <c r="L4343" i="54"/>
  <c r="L4342" i="54"/>
  <c r="L4341" i="54"/>
  <c r="L4340" i="54"/>
  <c r="L4339" i="54"/>
  <c r="L4338" i="54"/>
  <c r="L4337" i="54"/>
  <c r="L4336" i="54"/>
  <c r="L4335" i="54"/>
  <c r="L4334" i="54"/>
  <c r="L4333" i="54"/>
  <c r="L4332" i="54"/>
  <c r="L4331" i="54"/>
  <c r="L4330" i="54"/>
  <c r="L4329" i="54"/>
  <c r="L4328" i="54"/>
  <c r="L4327" i="54"/>
  <c r="L4326" i="54"/>
  <c r="L4325" i="54"/>
  <c r="L4324" i="54"/>
  <c r="L4323" i="54"/>
  <c r="L4322" i="54"/>
  <c r="L4321" i="54"/>
  <c r="L4320" i="54"/>
  <c r="L4319" i="54"/>
  <c r="L4318" i="54"/>
  <c r="L4317" i="54"/>
  <c r="L4316" i="54"/>
  <c r="L4315" i="54"/>
  <c r="L4314" i="54"/>
  <c r="L4313" i="54"/>
  <c r="L4312" i="54"/>
  <c r="L4311" i="54"/>
  <c r="L4310" i="54"/>
  <c r="L4309" i="54"/>
  <c r="L4308" i="54"/>
  <c r="L4307" i="54"/>
  <c r="L4306" i="54"/>
  <c r="L4305" i="54"/>
  <c r="L4304" i="54"/>
  <c r="L4303" i="54"/>
  <c r="L4302" i="54"/>
  <c r="L4301" i="54"/>
  <c r="L4300" i="54"/>
  <c r="L4299" i="54"/>
  <c r="L4298" i="54"/>
  <c r="L4297" i="54"/>
  <c r="L4296" i="54"/>
  <c r="L4295" i="54"/>
  <c r="L4294" i="54"/>
  <c r="L4293" i="54"/>
  <c r="L4292" i="54"/>
  <c r="L4291" i="54"/>
  <c r="L4290" i="54"/>
  <c r="L4289" i="54"/>
  <c r="L4288" i="54"/>
  <c r="L4287" i="54"/>
  <c r="L4286" i="54"/>
  <c r="L4285" i="54"/>
  <c r="L4284" i="54"/>
  <c r="L4283" i="54"/>
  <c r="L4282" i="54"/>
  <c r="L4281" i="54"/>
  <c r="L4280" i="54"/>
  <c r="L4279" i="54"/>
  <c r="L4278" i="54"/>
  <c r="L4277" i="54"/>
  <c r="L4276" i="54"/>
  <c r="L4275" i="54"/>
  <c r="L4274" i="54"/>
  <c r="L4273" i="54"/>
  <c r="L4272" i="54"/>
  <c r="L4271" i="54"/>
  <c r="L4270" i="54"/>
  <c r="L4269" i="54"/>
  <c r="L4268" i="54"/>
  <c r="L4267" i="54"/>
  <c r="L4266" i="54"/>
  <c r="L4265" i="54"/>
  <c r="L4264" i="54"/>
  <c r="L4263" i="54"/>
  <c r="L4262" i="54"/>
  <c r="L4261" i="54"/>
  <c r="L4260" i="54"/>
  <c r="L4259" i="54"/>
  <c r="L4258" i="54"/>
  <c r="L4257" i="54"/>
  <c r="L4256" i="54"/>
  <c r="L4255" i="54"/>
  <c r="L4254" i="54"/>
  <c r="L4253" i="54"/>
  <c r="L4252" i="54"/>
  <c r="L4251" i="54"/>
  <c r="L4250" i="54"/>
  <c r="L4249" i="54"/>
  <c r="L4248" i="54"/>
  <c r="L4247" i="54"/>
  <c r="L4246" i="54"/>
  <c r="L4245" i="54"/>
  <c r="L4244" i="54"/>
  <c r="L4243" i="54"/>
  <c r="K4242" i="54"/>
  <c r="J4242" i="54"/>
  <c r="L4241" i="54"/>
  <c r="L4240" i="54"/>
  <c r="L4239" i="54"/>
  <c r="L4238" i="54"/>
  <c r="L4237" i="54"/>
  <c r="L4236" i="54"/>
  <c r="L4235" i="54"/>
  <c r="L4234" i="54"/>
  <c r="L4233" i="54"/>
  <c r="L4232" i="54"/>
  <c r="L4231" i="54"/>
  <c r="L4230" i="54"/>
  <c r="L4229" i="54"/>
  <c r="L4228" i="54"/>
  <c r="L4227" i="54"/>
  <c r="L4226" i="54"/>
  <c r="L4225" i="54"/>
  <c r="L4224" i="54"/>
  <c r="L4223" i="54"/>
  <c r="L4222" i="54"/>
  <c r="L4221" i="54"/>
  <c r="L4220" i="54"/>
  <c r="L4219" i="54"/>
  <c r="L4218" i="54"/>
  <c r="L4217" i="54"/>
  <c r="L4216" i="54"/>
  <c r="L4215" i="54"/>
  <c r="L4214" i="54"/>
  <c r="L4213" i="54"/>
  <c r="L4212" i="54"/>
  <c r="L4211" i="54"/>
  <c r="L4210" i="54"/>
  <c r="L4209" i="54"/>
  <c r="L4208" i="54"/>
  <c r="L4207" i="54"/>
  <c r="L4206" i="54"/>
  <c r="L4205" i="54"/>
  <c r="L4204" i="54"/>
  <c r="L4203" i="54"/>
  <c r="L4202" i="54"/>
  <c r="L4201" i="54"/>
  <c r="L4200" i="54"/>
  <c r="L4199" i="54"/>
  <c r="L4198" i="54"/>
  <c r="L4197" i="54"/>
  <c r="L4196" i="54"/>
  <c r="L4195" i="54"/>
  <c r="L4194" i="54"/>
  <c r="L4193" i="54"/>
  <c r="L4192" i="54"/>
  <c r="L4191" i="54"/>
  <c r="L4190" i="54"/>
  <c r="L4189" i="54"/>
  <c r="L4188" i="54"/>
  <c r="L4187" i="54"/>
  <c r="L4186" i="54"/>
  <c r="L4185" i="54"/>
  <c r="L4184" i="54"/>
  <c r="L4183" i="54"/>
  <c r="L4182" i="54"/>
  <c r="L4181" i="54"/>
  <c r="L4180" i="54"/>
  <c r="L4179" i="54"/>
  <c r="L4178" i="54"/>
  <c r="L4177" i="54"/>
  <c r="L4176" i="54"/>
  <c r="L4175" i="54"/>
  <c r="L4174" i="54"/>
  <c r="L4173" i="54"/>
  <c r="L4172" i="54"/>
  <c r="L4171" i="54"/>
  <c r="L4170" i="54"/>
  <c r="L4169" i="54"/>
  <c r="L4168" i="54"/>
  <c r="L4167" i="54"/>
  <c r="L4166" i="54"/>
  <c r="L4165" i="54"/>
  <c r="L4164" i="54"/>
  <c r="L4163" i="54"/>
  <c r="L4162" i="54"/>
  <c r="L4161" i="54"/>
  <c r="L4160" i="54"/>
  <c r="L4159" i="54"/>
  <c r="L4158" i="54"/>
  <c r="L4157" i="54"/>
  <c r="L4156" i="54"/>
  <c r="L4155" i="54"/>
  <c r="L4154" i="54"/>
  <c r="L4153" i="54"/>
  <c r="L4152" i="54"/>
  <c r="L4151" i="54"/>
  <c r="L4150" i="54"/>
  <c r="L4149" i="54"/>
  <c r="L4148" i="54"/>
  <c r="L4147" i="54"/>
  <c r="L4146" i="54"/>
  <c r="L4145" i="54"/>
  <c r="L4144" i="54"/>
  <c r="L4143" i="54"/>
  <c r="L4142" i="54"/>
  <c r="L4141" i="54"/>
  <c r="L4140" i="54"/>
  <c r="L4139" i="54"/>
  <c r="L4138" i="54"/>
  <c r="L4137" i="54"/>
  <c r="L4136" i="54"/>
  <c r="L4135" i="54"/>
  <c r="L4134" i="54"/>
  <c r="L4133" i="54"/>
  <c r="L4132" i="54"/>
  <c r="L4131" i="54"/>
  <c r="L4130" i="54"/>
  <c r="L4129" i="54"/>
  <c r="L4128" i="54"/>
  <c r="L4127" i="54"/>
  <c r="L4126" i="54"/>
  <c r="L4125" i="54"/>
  <c r="L4124" i="54"/>
  <c r="L4123" i="54"/>
  <c r="L4122" i="54"/>
  <c r="L4121" i="54"/>
  <c r="L4120" i="54"/>
  <c r="L4119" i="54"/>
  <c r="L4118" i="54"/>
  <c r="L4117" i="54"/>
  <c r="L4116" i="54"/>
  <c r="L4115" i="54"/>
  <c r="L4114" i="54"/>
  <c r="L4113" i="54"/>
  <c r="L4112" i="54"/>
  <c r="L4111" i="54"/>
  <c r="L4110" i="54"/>
  <c r="L4109" i="54"/>
  <c r="L4108" i="54"/>
  <c r="L4107" i="54"/>
  <c r="L4106" i="54"/>
  <c r="L4105" i="54"/>
  <c r="L4104" i="54"/>
  <c r="L4103" i="54"/>
  <c r="L4102" i="54"/>
  <c r="L4101" i="54"/>
  <c r="L4100" i="54"/>
  <c r="L4099" i="54"/>
  <c r="L4098" i="54"/>
  <c r="L4097" i="54"/>
  <c r="L4096" i="54"/>
  <c r="L4095" i="54"/>
  <c r="L4094" i="54"/>
  <c r="L4093" i="54"/>
  <c r="L4092" i="54"/>
  <c r="L4091" i="54"/>
  <c r="L4090" i="54"/>
  <c r="L4089" i="54"/>
  <c r="L4088" i="54"/>
  <c r="L4087" i="54"/>
  <c r="L4086" i="54"/>
  <c r="L4085" i="54"/>
  <c r="L4084" i="54"/>
  <c r="L4083" i="54"/>
  <c r="L4082" i="54"/>
  <c r="L4081" i="54"/>
  <c r="L4080" i="54"/>
  <c r="L4079" i="54"/>
  <c r="L4078" i="54"/>
  <c r="L4077" i="54"/>
  <c r="L4076" i="54"/>
  <c r="L4075" i="54"/>
  <c r="L4074" i="54"/>
  <c r="L4073" i="54"/>
  <c r="L4072" i="54"/>
  <c r="L4071" i="54"/>
  <c r="L4070" i="54"/>
  <c r="L4069" i="54"/>
  <c r="L4068" i="54"/>
  <c r="L4067" i="54"/>
  <c r="L4066" i="54"/>
  <c r="L4065" i="54"/>
  <c r="L4064" i="54"/>
  <c r="L4063" i="54"/>
  <c r="L4062" i="54"/>
  <c r="L4061" i="54"/>
  <c r="L4060" i="54"/>
  <c r="L4059" i="54"/>
  <c r="L4058" i="54"/>
  <c r="L4057" i="54"/>
  <c r="L4056" i="54"/>
  <c r="L4055" i="54"/>
  <c r="L4054" i="54"/>
  <c r="L4053" i="54"/>
  <c r="L4052" i="54"/>
  <c r="L4051" i="54"/>
  <c r="L4050" i="54"/>
  <c r="L4049" i="54"/>
  <c r="L4048" i="54"/>
  <c r="L4047" i="54"/>
  <c r="L4046" i="54"/>
  <c r="L4045" i="54"/>
  <c r="L4044" i="54"/>
  <c r="L4043" i="54"/>
  <c r="L4042" i="54"/>
  <c r="L4041" i="54"/>
  <c r="L4040" i="54"/>
  <c r="L4039" i="54"/>
  <c r="L4038" i="54"/>
  <c r="L4037" i="54"/>
  <c r="L4036" i="54"/>
  <c r="L4035" i="54"/>
  <c r="L4034" i="54"/>
  <c r="L4033" i="54"/>
  <c r="L4032" i="54"/>
  <c r="L4031" i="54"/>
  <c r="L4030" i="54"/>
  <c r="L4029" i="54"/>
  <c r="L4028" i="54"/>
  <c r="L4027" i="54"/>
  <c r="L4026" i="54"/>
  <c r="L4025" i="54"/>
  <c r="L4024" i="54"/>
  <c r="L4023" i="54"/>
  <c r="L4022" i="54"/>
  <c r="L4021" i="54"/>
  <c r="L4020" i="54"/>
  <c r="L4019" i="54"/>
  <c r="L4018" i="54"/>
  <c r="L4017" i="54"/>
  <c r="L4016" i="54"/>
  <c r="L4015" i="54"/>
  <c r="L4014" i="54"/>
  <c r="L4013" i="54"/>
  <c r="L4012" i="54"/>
  <c r="L4011" i="54"/>
  <c r="L4010" i="54"/>
  <c r="L4009" i="54"/>
  <c r="L4008" i="54"/>
  <c r="L4007" i="54"/>
  <c r="L4006" i="54"/>
  <c r="L4005" i="54"/>
  <c r="L4004" i="54"/>
  <c r="L4003" i="54"/>
  <c r="L4002" i="54"/>
  <c r="L4001" i="54"/>
  <c r="L4000" i="54"/>
  <c r="L3999" i="54"/>
  <c r="L3998" i="54"/>
  <c r="L3997" i="54"/>
  <c r="L3996" i="54"/>
  <c r="L3995" i="54"/>
  <c r="L3994" i="54"/>
  <c r="L3993" i="54"/>
  <c r="L3992" i="54"/>
  <c r="L3991" i="54"/>
  <c r="L3990" i="54"/>
  <c r="L3989" i="54"/>
  <c r="L3988" i="54"/>
  <c r="L3987" i="54"/>
  <c r="L3986" i="54"/>
  <c r="L3985" i="54"/>
  <c r="L3984" i="54"/>
  <c r="L3983" i="54"/>
  <c r="L3982" i="54"/>
  <c r="L3981" i="54"/>
  <c r="L3980" i="54"/>
  <c r="L3979" i="54"/>
  <c r="L3978" i="54"/>
  <c r="L3977" i="54"/>
  <c r="L3976" i="54"/>
  <c r="L3975" i="54"/>
  <c r="L3974" i="54"/>
  <c r="L3973" i="54"/>
  <c r="L3972" i="54"/>
  <c r="L3971" i="54"/>
  <c r="L3970" i="54"/>
  <c r="L3969" i="54"/>
  <c r="L3968" i="54"/>
  <c r="L3967" i="54"/>
  <c r="L3966" i="54"/>
  <c r="L3965" i="54"/>
  <c r="L3964" i="54"/>
  <c r="L3963" i="54"/>
  <c r="L3962" i="54"/>
  <c r="L3961" i="54"/>
  <c r="L3960" i="54"/>
  <c r="L3959" i="54"/>
  <c r="L3958" i="54"/>
  <c r="L3957" i="54"/>
  <c r="L3956" i="54"/>
  <c r="L3955" i="54"/>
  <c r="L3954" i="54"/>
  <c r="L3953" i="54"/>
  <c r="L3952" i="54"/>
  <c r="L3951" i="54"/>
  <c r="L3950" i="54"/>
  <c r="L3949" i="54"/>
  <c r="L3948" i="54"/>
  <c r="L3947" i="54"/>
  <c r="L3946" i="54"/>
  <c r="L3945" i="54"/>
  <c r="L3944" i="54"/>
  <c r="L3943" i="54"/>
  <c r="L3942" i="54"/>
  <c r="L3941" i="54"/>
  <c r="L3940" i="54"/>
  <c r="L3939" i="54"/>
  <c r="L3938" i="54"/>
  <c r="L3937" i="54"/>
  <c r="L3936" i="54"/>
  <c r="L3935" i="54"/>
  <c r="L3934" i="54"/>
  <c r="L3933" i="54"/>
  <c r="L3932" i="54"/>
  <c r="L3931" i="54"/>
  <c r="L3930" i="54"/>
  <c r="L3929" i="54"/>
  <c r="L3928" i="54"/>
  <c r="L3927" i="54"/>
  <c r="L3926" i="54"/>
  <c r="L3925" i="54"/>
  <c r="L3924" i="54"/>
  <c r="L3923" i="54"/>
  <c r="L3922" i="54"/>
  <c r="L3921" i="54"/>
  <c r="L3920" i="54"/>
  <c r="L3919" i="54"/>
  <c r="L3918" i="54"/>
  <c r="L3917" i="54"/>
  <c r="L3916" i="54"/>
  <c r="L3915" i="54"/>
  <c r="L3914" i="54"/>
  <c r="L3913" i="54"/>
  <c r="L3912" i="54"/>
  <c r="L3911" i="54"/>
  <c r="L3910" i="54"/>
  <c r="L3909" i="54"/>
  <c r="L3908" i="54"/>
  <c r="L3907" i="54"/>
  <c r="L3906" i="54"/>
  <c r="L3905" i="54"/>
  <c r="L3904" i="54"/>
  <c r="L3903" i="54"/>
  <c r="L3902" i="54"/>
  <c r="L3901" i="54"/>
  <c r="L3900" i="54"/>
  <c r="L3899" i="54"/>
  <c r="L3898" i="54"/>
  <c r="L3897" i="54"/>
  <c r="L3896" i="54"/>
  <c r="L3895" i="54"/>
  <c r="L3894" i="54"/>
  <c r="L3893" i="54"/>
  <c r="L3892" i="54"/>
  <c r="L3891" i="54"/>
  <c r="L3890" i="54"/>
  <c r="L3889" i="54"/>
  <c r="L3888" i="54"/>
  <c r="L3887" i="54"/>
  <c r="L3886" i="54"/>
  <c r="L3885" i="54"/>
  <c r="L3884" i="54"/>
  <c r="L3883" i="54"/>
  <c r="L3882" i="54"/>
  <c r="L3881" i="54"/>
  <c r="L3880" i="54"/>
  <c r="L3879" i="54"/>
  <c r="L3878" i="54"/>
  <c r="L3877" i="54"/>
  <c r="L3876" i="54"/>
  <c r="L3875" i="54"/>
  <c r="L3874" i="54"/>
  <c r="L3873" i="54"/>
  <c r="L3872" i="54"/>
  <c r="L3871" i="54"/>
  <c r="L3870" i="54"/>
  <c r="L3869" i="54"/>
  <c r="L3868" i="54"/>
  <c r="L3867" i="54"/>
  <c r="L3866" i="54"/>
  <c r="L3865" i="54"/>
  <c r="L3864" i="54"/>
  <c r="L3863" i="54"/>
  <c r="L3862" i="54"/>
  <c r="L3861" i="54"/>
  <c r="L3860" i="54"/>
  <c r="L3859" i="54"/>
  <c r="L3858" i="54"/>
  <c r="L3857" i="54"/>
  <c r="L3856" i="54"/>
  <c r="L3855" i="54"/>
  <c r="L3854" i="54"/>
  <c r="L3853" i="54"/>
  <c r="L3852" i="54"/>
  <c r="L3851" i="54"/>
  <c r="L3850" i="54"/>
  <c r="L3849" i="54"/>
  <c r="L3848" i="54"/>
  <c r="L3847" i="54"/>
  <c r="L3846" i="54"/>
  <c r="L3845" i="54"/>
  <c r="L3844" i="54"/>
  <c r="L3843" i="54"/>
  <c r="L3842" i="54"/>
  <c r="L3841" i="54"/>
  <c r="L3840" i="54"/>
  <c r="L3839" i="54"/>
  <c r="L3838" i="54"/>
  <c r="L3837" i="54"/>
  <c r="L3836" i="54"/>
  <c r="L3835" i="54"/>
  <c r="L3834" i="54"/>
  <c r="L3833" i="54"/>
  <c r="L3832" i="54"/>
  <c r="L3831" i="54"/>
  <c r="L3830" i="54"/>
  <c r="L3829" i="54"/>
  <c r="L3828" i="54"/>
  <c r="L3827" i="54"/>
  <c r="L3826" i="54"/>
  <c r="L3825" i="54"/>
  <c r="L3824" i="54"/>
  <c r="L3823" i="54"/>
  <c r="L3822" i="54"/>
  <c r="L3821" i="54"/>
  <c r="L3820" i="54"/>
  <c r="L3819" i="54"/>
  <c r="L3818" i="54"/>
  <c r="L3817" i="54"/>
  <c r="L3816" i="54"/>
  <c r="L3815" i="54"/>
  <c r="L3814" i="54"/>
  <c r="L3813" i="54"/>
  <c r="L3812" i="54"/>
  <c r="L3811" i="54"/>
  <c r="L3810" i="54"/>
  <c r="L3809" i="54"/>
  <c r="L3808" i="54"/>
  <c r="L3807" i="54"/>
  <c r="L3806" i="54"/>
  <c r="L3805" i="54"/>
  <c r="L3804" i="54"/>
  <c r="L3803" i="54"/>
  <c r="L3802" i="54"/>
  <c r="L3801" i="54"/>
  <c r="L3800" i="54"/>
  <c r="L3799" i="54"/>
  <c r="L3798" i="54"/>
  <c r="L3797" i="54"/>
  <c r="L3796" i="54"/>
  <c r="L3795" i="54"/>
  <c r="L3794" i="54"/>
  <c r="L3793" i="54"/>
  <c r="L3792" i="54"/>
  <c r="L3791" i="54"/>
  <c r="L3790" i="54"/>
  <c r="L3789" i="54"/>
  <c r="L3788" i="54"/>
  <c r="L3787" i="54"/>
  <c r="L3786" i="54"/>
  <c r="L3785" i="54"/>
  <c r="L3784" i="54"/>
  <c r="L3783" i="54"/>
  <c r="L3782" i="54"/>
  <c r="L3781" i="54"/>
  <c r="L3780" i="54"/>
  <c r="L3779" i="54"/>
  <c r="L3778" i="54"/>
  <c r="L3777" i="54"/>
  <c r="L3776" i="54"/>
  <c r="L3775" i="54"/>
  <c r="L3774" i="54"/>
  <c r="L3773" i="54"/>
  <c r="L3772" i="54"/>
  <c r="L3771" i="54"/>
  <c r="L3770" i="54"/>
  <c r="L3769" i="54"/>
  <c r="L3768" i="54"/>
  <c r="L3767" i="54"/>
  <c r="L3766" i="54"/>
  <c r="L3765" i="54"/>
  <c r="L3764" i="54"/>
  <c r="L3763" i="54"/>
  <c r="L3762" i="54"/>
  <c r="L3761" i="54"/>
  <c r="L3760" i="54"/>
  <c r="L3759" i="54"/>
  <c r="L3758" i="54"/>
  <c r="L3757" i="54"/>
  <c r="L3756" i="54"/>
  <c r="L3755" i="54"/>
  <c r="L3754" i="54"/>
  <c r="L3753" i="54"/>
  <c r="L3752" i="54"/>
  <c r="L3751" i="54"/>
  <c r="L3750" i="54"/>
  <c r="L3749" i="54"/>
  <c r="L3748" i="54"/>
  <c r="L3747" i="54"/>
  <c r="L3746" i="54"/>
  <c r="L3745" i="54"/>
  <c r="L3744" i="54"/>
  <c r="L3743" i="54"/>
  <c r="L3742" i="54"/>
  <c r="L3741" i="54"/>
  <c r="L3740" i="54"/>
  <c r="L3739" i="54"/>
  <c r="L3738" i="54"/>
  <c r="L3737" i="54"/>
  <c r="L3736" i="54"/>
  <c r="L3735" i="54"/>
  <c r="L3734" i="54"/>
  <c r="L3733" i="54"/>
  <c r="L3732" i="54"/>
  <c r="L3731" i="54"/>
  <c r="L3730" i="54"/>
  <c r="L3729" i="54"/>
  <c r="L3728" i="54"/>
  <c r="L3727" i="54"/>
  <c r="L3726" i="54"/>
  <c r="L3725" i="54"/>
  <c r="L3724" i="54"/>
  <c r="L3723" i="54"/>
  <c r="L3722" i="54"/>
  <c r="L3721" i="54"/>
  <c r="L3720" i="54"/>
  <c r="L3719" i="54"/>
  <c r="L3718" i="54"/>
  <c r="L3717" i="54"/>
  <c r="L3716" i="54"/>
  <c r="L3715" i="54"/>
  <c r="L3714" i="54"/>
  <c r="L3713" i="54"/>
  <c r="L3712" i="54"/>
  <c r="L3711" i="54"/>
  <c r="L3710" i="54"/>
  <c r="L3709" i="54"/>
  <c r="L3708" i="54"/>
  <c r="L3707" i="54"/>
  <c r="L3706" i="54"/>
  <c r="L3705" i="54"/>
  <c r="L3704" i="54"/>
  <c r="L3703" i="54"/>
  <c r="L3702" i="54"/>
  <c r="L3701" i="54"/>
  <c r="L3700" i="54"/>
  <c r="L3699" i="54"/>
  <c r="L3698" i="54"/>
  <c r="L3697" i="54"/>
  <c r="L3696" i="54"/>
  <c r="L3695" i="54"/>
  <c r="L3694" i="54"/>
  <c r="L3693" i="54"/>
  <c r="L3692" i="54"/>
  <c r="L3691" i="54"/>
  <c r="L3690" i="54"/>
  <c r="L3689" i="54"/>
  <c r="L3688" i="54"/>
  <c r="L3687" i="54"/>
  <c r="L3686" i="54"/>
  <c r="L3685" i="54"/>
  <c r="L3684" i="54"/>
  <c r="L3683" i="54"/>
  <c r="L3682" i="54"/>
  <c r="L3681" i="54"/>
  <c r="L3680" i="54"/>
  <c r="L3679" i="54"/>
  <c r="L3678" i="54"/>
  <c r="L3677" i="54"/>
  <c r="L3676" i="54"/>
  <c r="L3675" i="54"/>
  <c r="L3674" i="54"/>
  <c r="L3673" i="54"/>
  <c r="L3672" i="54"/>
  <c r="L3671" i="54"/>
  <c r="L3670" i="54"/>
  <c r="L3669" i="54"/>
  <c r="L3668" i="54"/>
  <c r="L3667" i="54"/>
  <c r="L3666" i="54"/>
  <c r="L3665" i="54"/>
  <c r="L3664" i="54"/>
  <c r="L3663" i="54"/>
  <c r="L3662" i="54"/>
  <c r="L3661" i="54"/>
  <c r="L3660" i="54"/>
  <c r="L3659" i="54"/>
  <c r="L3658" i="54"/>
  <c r="L3657" i="54"/>
  <c r="L3656" i="54"/>
  <c r="L3655" i="54"/>
  <c r="L3654" i="54"/>
  <c r="L3653" i="54"/>
  <c r="L3652" i="54"/>
  <c r="L3651" i="54"/>
  <c r="L3650" i="54"/>
  <c r="L3649" i="54"/>
  <c r="L3648" i="54"/>
  <c r="L3647" i="54"/>
  <c r="L3646" i="54"/>
  <c r="L3645" i="54"/>
  <c r="L3644" i="54"/>
  <c r="L3643" i="54"/>
  <c r="L3642" i="54"/>
  <c r="L3641" i="54"/>
  <c r="L3640" i="54"/>
  <c r="L3639" i="54"/>
  <c r="L3638" i="54"/>
  <c r="L3637" i="54"/>
  <c r="L3636" i="54"/>
  <c r="L3635" i="54"/>
  <c r="L3634" i="54"/>
  <c r="L3633" i="54"/>
  <c r="L3632" i="54"/>
  <c r="L3631" i="54"/>
  <c r="L3630" i="54"/>
  <c r="L3629" i="54"/>
  <c r="L3628" i="54"/>
  <c r="L3627" i="54"/>
  <c r="L3626" i="54"/>
  <c r="L3625" i="54"/>
  <c r="L3624" i="54"/>
  <c r="L3623" i="54"/>
  <c r="L3622" i="54"/>
  <c r="L3621" i="54"/>
  <c r="L3620" i="54"/>
  <c r="L3619" i="54"/>
  <c r="L3618" i="54"/>
  <c r="L3617" i="54"/>
  <c r="L3616" i="54"/>
  <c r="L3615" i="54"/>
  <c r="L3614" i="54"/>
  <c r="L3613" i="54"/>
  <c r="L3612" i="54"/>
  <c r="L3611" i="54"/>
  <c r="L3610" i="54"/>
  <c r="L3609" i="54"/>
  <c r="L3608" i="54"/>
  <c r="L3607" i="54"/>
  <c r="L3606" i="54"/>
  <c r="L3605" i="54"/>
  <c r="L3604" i="54"/>
  <c r="L3603" i="54"/>
  <c r="L3602" i="54"/>
  <c r="L3601" i="54"/>
  <c r="L3600" i="54"/>
  <c r="L3599" i="54"/>
  <c r="L3598" i="54"/>
  <c r="L3597" i="54"/>
  <c r="K3596" i="54"/>
  <c r="J3596" i="54"/>
  <c r="L3595" i="54"/>
  <c r="L3594" i="54"/>
  <c r="L3593" i="54"/>
  <c r="L3592" i="54"/>
  <c r="L3591" i="54"/>
  <c r="L3590" i="54"/>
  <c r="L3589" i="54"/>
  <c r="L3588" i="54"/>
  <c r="L3587" i="54"/>
  <c r="L3586" i="54"/>
  <c r="L3585" i="54"/>
  <c r="L3584" i="54"/>
  <c r="L3583" i="54"/>
  <c r="L3582" i="54"/>
  <c r="L3581" i="54"/>
  <c r="L3580" i="54"/>
  <c r="L3579" i="54"/>
  <c r="L3578" i="54"/>
  <c r="L3577" i="54"/>
  <c r="L3576" i="54"/>
  <c r="L3575" i="54"/>
  <c r="L3574" i="54"/>
  <c r="L3573" i="54"/>
  <c r="L3572" i="54"/>
  <c r="L3571" i="54"/>
  <c r="L3570" i="54"/>
  <c r="L3569" i="54"/>
  <c r="L3568" i="54"/>
  <c r="L3567" i="54"/>
  <c r="L3566" i="54"/>
  <c r="L3565" i="54"/>
  <c r="L3564" i="54"/>
  <c r="L3563" i="54"/>
  <c r="L3562" i="54"/>
  <c r="L3561" i="54"/>
  <c r="L3560" i="54"/>
  <c r="L3559" i="54"/>
  <c r="L3558" i="54"/>
  <c r="L3557" i="54"/>
  <c r="L3556" i="54"/>
  <c r="L3555" i="54"/>
  <c r="L3554" i="54"/>
  <c r="L3553" i="54"/>
  <c r="L3552" i="54"/>
  <c r="L3551" i="54"/>
  <c r="L3550" i="54"/>
  <c r="L3549" i="54"/>
  <c r="L3548" i="54"/>
  <c r="L3547" i="54"/>
  <c r="L3546" i="54"/>
  <c r="L3545" i="54"/>
  <c r="L3544" i="54"/>
  <c r="L3543" i="54"/>
  <c r="L3542" i="54"/>
  <c r="L3541" i="54"/>
  <c r="L3540" i="54"/>
  <c r="L3539" i="54"/>
  <c r="L3538" i="54"/>
  <c r="L3537" i="54"/>
  <c r="L3536" i="54"/>
  <c r="L3535" i="54"/>
  <c r="L3534" i="54"/>
  <c r="L3533" i="54"/>
  <c r="L3532" i="54"/>
  <c r="L3531" i="54"/>
  <c r="L3530" i="54"/>
  <c r="L3529" i="54"/>
  <c r="L3528" i="54"/>
  <c r="L3527" i="54"/>
  <c r="L3526" i="54"/>
  <c r="L3525" i="54"/>
  <c r="L3524" i="54"/>
  <c r="L3523" i="54"/>
  <c r="L3522" i="54"/>
  <c r="L3521" i="54"/>
  <c r="L3520" i="54"/>
  <c r="L3519" i="54"/>
  <c r="L3518" i="54"/>
  <c r="L3517" i="54"/>
  <c r="L3516" i="54"/>
  <c r="L3515" i="54"/>
  <c r="L3514" i="54"/>
  <c r="L3513" i="54"/>
  <c r="L3512" i="54"/>
  <c r="L3511" i="54"/>
  <c r="L3510" i="54"/>
  <c r="L3509" i="54"/>
  <c r="L3508" i="54"/>
  <c r="L3507" i="54"/>
  <c r="L3506" i="54"/>
  <c r="L3505" i="54"/>
  <c r="L3504" i="54"/>
  <c r="L3503" i="54"/>
  <c r="L3502" i="54"/>
  <c r="L3501" i="54"/>
  <c r="L3500" i="54"/>
  <c r="L3499" i="54"/>
  <c r="L3498" i="54"/>
  <c r="L3497" i="54"/>
  <c r="L3496" i="54"/>
  <c r="L3495" i="54"/>
  <c r="L3494" i="54"/>
  <c r="L3493" i="54"/>
  <c r="L3492" i="54"/>
  <c r="L3491" i="54"/>
  <c r="L3490" i="54"/>
  <c r="L3489" i="54"/>
  <c r="L3488" i="54"/>
  <c r="L3487" i="54"/>
  <c r="L3486" i="54"/>
  <c r="L3485" i="54"/>
  <c r="L3484" i="54"/>
  <c r="L3483" i="54"/>
  <c r="L3482" i="54"/>
  <c r="L3481" i="54"/>
  <c r="L3480" i="54"/>
  <c r="L3479" i="54"/>
  <c r="L3478" i="54"/>
  <c r="L3477" i="54"/>
  <c r="L3476" i="54"/>
  <c r="L3475" i="54"/>
  <c r="L3474" i="54"/>
  <c r="L3473" i="54"/>
  <c r="L3472" i="54"/>
  <c r="L3471" i="54"/>
  <c r="L3470" i="54"/>
  <c r="L3469" i="54"/>
  <c r="L3468" i="54"/>
  <c r="L3467" i="54"/>
  <c r="L3466" i="54"/>
  <c r="L3465" i="54"/>
  <c r="L3464" i="54"/>
  <c r="L3463" i="54"/>
  <c r="L3462" i="54"/>
  <c r="L3461" i="54"/>
  <c r="L3460" i="54"/>
  <c r="L3459" i="54"/>
  <c r="L3458" i="54"/>
  <c r="L3457" i="54"/>
  <c r="L3456" i="54"/>
  <c r="L3455" i="54"/>
  <c r="L3454" i="54"/>
  <c r="L3453" i="54"/>
  <c r="L3452" i="54"/>
  <c r="L3451" i="54"/>
  <c r="L3450" i="54"/>
  <c r="L3449" i="54"/>
  <c r="L3448" i="54"/>
  <c r="L3447" i="54"/>
  <c r="L3446" i="54"/>
  <c r="L3445" i="54"/>
  <c r="L3444" i="54"/>
  <c r="L3443" i="54"/>
  <c r="L3442" i="54"/>
  <c r="L3441" i="54"/>
  <c r="L3440" i="54"/>
  <c r="L3439" i="54"/>
  <c r="L3438" i="54"/>
  <c r="L3437" i="54"/>
  <c r="L3436" i="54"/>
  <c r="L3435" i="54"/>
  <c r="L3434" i="54"/>
  <c r="L3433" i="54"/>
  <c r="L3432" i="54"/>
  <c r="L3431" i="54"/>
  <c r="L3430" i="54"/>
  <c r="L3429" i="54"/>
  <c r="L3428" i="54"/>
  <c r="L3427" i="54"/>
  <c r="L3426" i="54"/>
  <c r="L3425" i="54"/>
  <c r="L3424" i="54"/>
  <c r="L3423" i="54"/>
  <c r="L3422" i="54"/>
  <c r="L3421" i="54"/>
  <c r="L3420" i="54"/>
  <c r="L3419" i="54"/>
  <c r="L3418" i="54"/>
  <c r="L3417" i="54"/>
  <c r="L3416" i="54"/>
  <c r="L3415" i="54"/>
  <c r="L3414" i="54"/>
  <c r="L3413" i="54"/>
  <c r="L3412" i="54"/>
  <c r="L3411" i="54"/>
  <c r="L3410" i="54"/>
  <c r="L3409" i="54"/>
  <c r="L3408" i="54"/>
  <c r="L3407" i="54"/>
  <c r="L3406" i="54"/>
  <c r="L3405" i="54"/>
  <c r="L3404" i="54"/>
  <c r="L3403" i="54"/>
  <c r="L3402" i="54"/>
  <c r="L3401" i="54"/>
  <c r="L3400" i="54"/>
  <c r="L3399" i="54"/>
  <c r="L3398" i="54"/>
  <c r="L3397" i="54"/>
  <c r="L3396" i="54"/>
  <c r="L3395" i="54"/>
  <c r="L3394" i="54"/>
  <c r="L3393" i="54"/>
  <c r="L3392" i="54"/>
  <c r="L3391" i="54"/>
  <c r="L3390" i="54"/>
  <c r="L3389" i="54"/>
  <c r="L3388" i="54"/>
  <c r="L3387" i="54"/>
  <c r="L3386" i="54"/>
  <c r="L3385" i="54"/>
  <c r="L3384" i="54"/>
  <c r="L3383" i="54"/>
  <c r="L3382" i="54"/>
  <c r="L3381" i="54"/>
  <c r="L3380" i="54"/>
  <c r="L3379" i="54"/>
  <c r="L3378" i="54"/>
  <c r="L3377" i="54"/>
  <c r="L3376" i="54"/>
  <c r="L3375" i="54"/>
  <c r="L3374" i="54"/>
  <c r="L3373" i="54"/>
  <c r="L3372" i="54"/>
  <c r="L3371" i="54"/>
  <c r="L3370" i="54"/>
  <c r="L3369" i="54"/>
  <c r="L3368" i="54"/>
  <c r="L3367" i="54"/>
  <c r="L3366" i="54"/>
  <c r="L3365" i="54"/>
  <c r="L3364" i="54"/>
  <c r="L3363" i="54"/>
  <c r="L3362" i="54"/>
  <c r="L3361" i="54"/>
  <c r="L3360" i="54"/>
  <c r="L3359" i="54"/>
  <c r="L3358" i="54"/>
  <c r="L3357" i="54"/>
  <c r="L3356" i="54"/>
  <c r="L3355" i="54"/>
  <c r="L3354" i="54"/>
  <c r="L3353" i="54"/>
  <c r="L3352" i="54"/>
  <c r="L3351" i="54"/>
  <c r="L3350" i="54"/>
  <c r="L3349" i="54"/>
  <c r="L3348" i="54"/>
  <c r="L3347" i="54"/>
  <c r="L3346" i="54"/>
  <c r="L3345" i="54"/>
  <c r="L3344" i="54"/>
  <c r="L3343" i="54"/>
  <c r="L3342" i="54"/>
  <c r="L3341" i="54"/>
  <c r="L3340" i="54"/>
  <c r="L3339" i="54"/>
  <c r="L3338" i="54"/>
  <c r="L3337" i="54"/>
  <c r="L3336" i="54"/>
  <c r="L3335" i="54"/>
  <c r="L3334" i="54"/>
  <c r="L3333" i="54"/>
  <c r="L3332" i="54"/>
  <c r="L3331" i="54"/>
  <c r="L3330" i="54"/>
  <c r="L3329" i="54"/>
  <c r="L3328" i="54"/>
  <c r="L3327" i="54"/>
  <c r="L3326" i="54"/>
  <c r="L3325" i="54"/>
  <c r="L3324" i="54"/>
  <c r="L3323" i="54"/>
  <c r="L3322" i="54"/>
  <c r="L3321" i="54"/>
  <c r="L3320" i="54"/>
  <c r="L3319" i="54"/>
  <c r="L3318" i="54"/>
  <c r="L3317" i="54"/>
  <c r="L3316" i="54"/>
  <c r="L3315" i="54"/>
  <c r="L3314" i="54"/>
  <c r="L3313" i="54"/>
  <c r="L3312" i="54"/>
  <c r="L3311" i="54"/>
  <c r="L3310" i="54"/>
  <c r="L3309" i="54"/>
  <c r="L3308" i="54"/>
  <c r="L3307" i="54"/>
  <c r="L3306" i="54"/>
  <c r="L3305" i="54"/>
  <c r="L3304" i="54"/>
  <c r="L3303" i="54"/>
  <c r="L3302" i="54"/>
  <c r="L3301" i="54"/>
  <c r="L3300" i="54"/>
  <c r="L3299" i="54"/>
  <c r="L3298" i="54"/>
  <c r="L3297" i="54"/>
  <c r="L3296" i="54"/>
  <c r="L3295" i="54"/>
  <c r="L3294" i="54"/>
  <c r="L3293" i="54"/>
  <c r="L3292" i="54"/>
  <c r="L3291" i="54"/>
  <c r="L3290" i="54"/>
  <c r="L3289" i="54"/>
  <c r="L3288" i="54"/>
  <c r="L3287" i="54"/>
  <c r="L3286" i="54"/>
  <c r="L3285" i="54"/>
  <c r="L3284" i="54"/>
  <c r="L3283" i="54"/>
  <c r="L3282" i="54"/>
  <c r="L3281" i="54"/>
  <c r="L3280" i="54"/>
  <c r="L3279" i="54"/>
  <c r="L3278" i="54"/>
  <c r="L3277" i="54"/>
  <c r="L3276" i="54"/>
  <c r="L3275" i="54"/>
  <c r="L3274" i="54"/>
  <c r="L3273" i="54"/>
  <c r="L3272" i="54"/>
  <c r="L3271" i="54"/>
  <c r="L3270" i="54"/>
  <c r="L3269" i="54"/>
  <c r="L3268" i="54"/>
  <c r="L3267" i="54"/>
  <c r="L3266" i="54"/>
  <c r="L3265" i="54"/>
  <c r="L3264" i="54"/>
  <c r="L3263" i="54"/>
  <c r="L3262" i="54"/>
  <c r="L3261" i="54"/>
  <c r="L3260" i="54"/>
  <c r="L3259" i="54"/>
  <c r="L3258" i="54"/>
  <c r="L3257" i="54"/>
  <c r="L3256" i="54"/>
  <c r="L3255" i="54"/>
  <c r="L3254" i="54"/>
  <c r="L3253" i="54"/>
  <c r="L3252" i="54"/>
  <c r="L3251" i="54"/>
  <c r="L3250" i="54"/>
  <c r="L3249" i="54"/>
  <c r="L3248" i="54"/>
  <c r="L3247" i="54"/>
  <c r="L3246" i="54"/>
  <c r="L3245" i="54"/>
  <c r="L3244" i="54"/>
  <c r="L3243" i="54"/>
  <c r="L3242" i="54"/>
  <c r="L3241" i="54"/>
  <c r="L3240" i="54"/>
  <c r="L3239" i="54"/>
  <c r="L3238" i="54"/>
  <c r="L3237" i="54"/>
  <c r="L3236" i="54"/>
  <c r="L3235" i="54"/>
  <c r="L3234" i="54"/>
  <c r="L3233" i="54"/>
  <c r="L3232" i="54"/>
  <c r="L3231" i="54"/>
  <c r="L3230" i="54"/>
  <c r="L3229" i="54"/>
  <c r="L3228" i="54"/>
  <c r="L3227" i="54"/>
  <c r="L3226" i="54"/>
  <c r="L3225" i="54"/>
  <c r="L3224" i="54"/>
  <c r="L3223" i="54"/>
  <c r="L3222" i="54"/>
  <c r="L3221" i="54"/>
  <c r="L3220" i="54"/>
  <c r="L3219" i="54"/>
  <c r="L3218" i="54"/>
  <c r="L3217" i="54"/>
  <c r="L3216" i="54"/>
  <c r="L3215" i="54"/>
  <c r="L3214" i="54"/>
  <c r="L3213" i="54"/>
  <c r="L3212" i="54"/>
  <c r="L3211" i="54"/>
  <c r="L3210" i="54"/>
  <c r="L3209" i="54"/>
  <c r="L3208" i="54"/>
  <c r="L3207" i="54"/>
  <c r="L3206" i="54"/>
  <c r="L3205" i="54"/>
  <c r="L3204" i="54"/>
  <c r="L3203" i="54"/>
  <c r="L3202" i="54"/>
  <c r="L3201" i="54"/>
  <c r="L3200" i="54"/>
  <c r="L3199" i="54"/>
  <c r="L3198" i="54"/>
  <c r="L3197" i="54"/>
  <c r="L3196" i="54"/>
  <c r="L3195" i="54"/>
  <c r="L3194" i="54"/>
  <c r="L3193" i="54"/>
  <c r="L3192" i="54"/>
  <c r="L3191" i="54"/>
  <c r="L3190" i="54"/>
  <c r="L3189" i="54"/>
  <c r="L3188" i="54"/>
  <c r="L3187" i="54"/>
  <c r="L3186" i="54"/>
  <c r="L3185" i="54"/>
  <c r="L3184" i="54"/>
  <c r="L3183" i="54"/>
  <c r="L3182" i="54"/>
  <c r="L3181" i="54"/>
  <c r="L3180" i="54"/>
  <c r="L3179" i="54"/>
  <c r="L3178" i="54"/>
  <c r="L3177" i="54"/>
  <c r="L3176" i="54"/>
  <c r="L3175" i="54"/>
  <c r="L3174" i="54"/>
  <c r="L3173" i="54"/>
  <c r="L3172" i="54"/>
  <c r="L3171" i="54"/>
  <c r="L3170" i="54"/>
  <c r="L3169" i="54"/>
  <c r="L3168" i="54"/>
  <c r="L3167" i="54"/>
  <c r="L3166" i="54"/>
  <c r="L3165" i="54"/>
  <c r="L3164" i="54"/>
  <c r="L3163" i="54"/>
  <c r="L3162" i="54"/>
  <c r="L3161" i="54"/>
  <c r="L3160" i="54"/>
  <c r="L3159" i="54"/>
  <c r="L3158" i="54"/>
  <c r="L3157" i="54"/>
  <c r="L3156" i="54"/>
  <c r="L3155" i="54"/>
  <c r="L3154" i="54"/>
  <c r="L3153" i="54"/>
  <c r="L3152" i="54"/>
  <c r="L3151" i="54"/>
  <c r="L3150" i="54"/>
  <c r="L3149" i="54"/>
  <c r="L3148" i="54"/>
  <c r="L3147" i="54"/>
  <c r="L3146" i="54"/>
  <c r="L3145" i="54"/>
  <c r="L3144" i="54"/>
  <c r="L3143" i="54"/>
  <c r="L3142" i="54"/>
  <c r="L3141" i="54"/>
  <c r="L3140" i="54"/>
  <c r="L3139" i="54"/>
  <c r="L3138" i="54"/>
  <c r="L3137" i="54"/>
  <c r="L3136" i="54"/>
  <c r="L3135" i="54"/>
  <c r="L3134" i="54"/>
  <c r="L3133" i="54"/>
  <c r="L3132" i="54"/>
  <c r="L3131" i="54"/>
  <c r="L3130" i="54"/>
  <c r="L3129" i="54"/>
  <c r="L3128" i="54"/>
  <c r="L3127" i="54"/>
  <c r="L3126" i="54"/>
  <c r="L3125" i="54"/>
  <c r="L3124" i="54"/>
  <c r="L3123" i="54"/>
  <c r="L3122" i="54"/>
  <c r="L3121" i="54"/>
  <c r="L3120" i="54"/>
  <c r="L3119" i="54"/>
  <c r="L3118" i="54"/>
  <c r="L3117" i="54"/>
  <c r="L3116" i="54"/>
  <c r="L3115" i="54"/>
  <c r="L3114" i="54"/>
  <c r="L3113" i="54"/>
  <c r="L3112" i="54"/>
  <c r="L3111" i="54"/>
  <c r="L3110" i="54"/>
  <c r="L3109" i="54"/>
  <c r="L3108" i="54"/>
  <c r="L3107" i="54"/>
  <c r="L3106" i="54"/>
  <c r="L3105" i="54"/>
  <c r="L3104" i="54"/>
  <c r="L3103" i="54"/>
  <c r="L3102" i="54"/>
  <c r="L3101" i="54"/>
  <c r="L3100" i="54"/>
  <c r="L3099" i="54"/>
  <c r="L3098" i="54"/>
  <c r="L3097" i="54"/>
  <c r="L3096" i="54"/>
  <c r="L3095" i="54"/>
  <c r="L3094" i="54"/>
  <c r="L3093" i="54"/>
  <c r="L3092" i="54"/>
  <c r="L3091" i="54"/>
  <c r="L3090" i="54"/>
  <c r="L3089" i="54"/>
  <c r="L3088" i="54"/>
  <c r="L3087" i="54"/>
  <c r="L3086" i="54"/>
  <c r="L3085" i="54"/>
  <c r="L3084" i="54"/>
  <c r="L3083" i="54"/>
  <c r="L3082" i="54"/>
  <c r="L3081" i="54"/>
  <c r="L3080" i="54"/>
  <c r="L3079" i="54"/>
  <c r="L3078" i="54"/>
  <c r="L3077" i="54"/>
  <c r="L3076" i="54"/>
  <c r="L3075" i="54"/>
  <c r="L3074" i="54"/>
  <c r="L3073" i="54"/>
  <c r="L3072" i="54"/>
  <c r="L3071" i="54"/>
  <c r="L3070" i="54"/>
  <c r="L3069" i="54"/>
  <c r="L3068" i="54"/>
  <c r="L3067" i="54"/>
  <c r="L3066" i="54"/>
  <c r="L3065" i="54"/>
  <c r="L3064" i="54"/>
  <c r="L3063" i="54"/>
  <c r="L3062" i="54"/>
  <c r="L3061" i="54"/>
  <c r="L3060" i="54"/>
  <c r="L3059" i="54"/>
  <c r="L3058" i="54"/>
  <c r="L3057" i="54"/>
  <c r="L3056" i="54"/>
  <c r="L3055" i="54"/>
  <c r="L3054" i="54"/>
  <c r="L3053" i="54"/>
  <c r="L3052" i="54"/>
  <c r="L3051" i="54"/>
  <c r="L3050" i="54"/>
  <c r="L3049" i="54"/>
  <c r="L3048" i="54"/>
  <c r="L3047" i="54"/>
  <c r="L3046" i="54"/>
  <c r="L3045" i="54"/>
  <c r="L3044" i="54"/>
  <c r="L3043" i="54"/>
  <c r="L3042" i="54"/>
  <c r="L3041" i="54"/>
  <c r="L3040" i="54"/>
  <c r="L3039" i="54"/>
  <c r="L3038" i="54"/>
  <c r="L3037" i="54"/>
  <c r="L3036" i="54"/>
  <c r="L3035" i="54"/>
  <c r="L3034" i="54"/>
  <c r="L3033" i="54"/>
  <c r="L3032" i="54"/>
  <c r="L3031" i="54"/>
  <c r="L3030" i="54"/>
  <c r="L3029" i="54"/>
  <c r="L3028" i="54"/>
  <c r="L3027" i="54"/>
  <c r="L3026" i="54"/>
  <c r="L3025" i="54"/>
  <c r="L3024" i="54"/>
  <c r="L3023" i="54"/>
  <c r="L3022" i="54"/>
  <c r="L3021" i="54"/>
  <c r="L3020" i="54"/>
  <c r="L3019" i="54"/>
  <c r="L3018" i="54"/>
  <c r="L3017" i="54"/>
  <c r="L3016" i="54"/>
  <c r="L3015" i="54"/>
  <c r="L3014" i="54"/>
  <c r="L3013" i="54"/>
  <c r="L3012" i="54"/>
  <c r="L3011" i="54"/>
  <c r="L3010" i="54"/>
  <c r="L3009" i="54"/>
  <c r="L3008" i="54"/>
  <c r="L3007" i="54"/>
  <c r="L3006" i="54"/>
  <c r="L3005" i="54"/>
  <c r="L3004" i="54"/>
  <c r="L3003" i="54"/>
  <c r="L3002" i="54"/>
  <c r="L3001" i="54"/>
  <c r="L3000" i="54"/>
  <c r="L2999" i="54"/>
  <c r="L2998" i="54"/>
  <c r="L2997" i="54"/>
  <c r="L2996" i="54"/>
  <c r="L2995" i="54"/>
  <c r="L2994" i="54"/>
  <c r="L2993" i="54"/>
  <c r="L2992" i="54"/>
  <c r="L2991" i="54"/>
  <c r="L2990" i="54"/>
  <c r="L2989" i="54"/>
  <c r="L2988" i="54"/>
  <c r="L2987" i="54"/>
  <c r="L2986" i="54"/>
  <c r="L2985" i="54"/>
  <c r="L2984" i="54"/>
  <c r="L2983" i="54"/>
  <c r="L2982" i="54"/>
  <c r="L2981" i="54"/>
  <c r="L2980" i="54"/>
  <c r="L2979" i="54"/>
  <c r="L2978" i="54"/>
  <c r="L2977" i="54"/>
  <c r="L2976" i="54"/>
  <c r="L2975" i="54"/>
  <c r="L2974" i="54"/>
  <c r="L2973" i="54"/>
  <c r="L2972" i="54"/>
  <c r="L2971" i="54"/>
  <c r="L2970" i="54"/>
  <c r="L2969" i="54"/>
  <c r="L2968" i="54"/>
  <c r="L2967" i="54"/>
  <c r="L2966" i="54"/>
  <c r="L2965" i="54"/>
  <c r="L2964" i="54"/>
  <c r="L2963" i="54"/>
  <c r="L2962" i="54"/>
  <c r="L2961" i="54"/>
  <c r="L2960" i="54"/>
  <c r="L2959" i="54"/>
  <c r="L2958" i="54"/>
  <c r="L2957" i="54"/>
  <c r="L2956" i="54"/>
  <c r="L2955" i="54"/>
  <c r="L2954" i="54"/>
  <c r="L2953" i="54"/>
  <c r="L2952" i="54"/>
  <c r="L2951" i="54"/>
  <c r="L2950" i="54"/>
  <c r="L2949" i="54"/>
  <c r="L2948" i="54"/>
  <c r="L2947" i="54"/>
  <c r="L2946" i="54"/>
  <c r="L2945" i="54"/>
  <c r="L2944" i="54"/>
  <c r="L2943" i="54"/>
  <c r="L2942" i="54"/>
  <c r="L2941" i="54"/>
  <c r="L2940" i="54"/>
  <c r="L2939" i="54"/>
  <c r="L2938" i="54"/>
  <c r="L2937" i="54"/>
  <c r="L2936" i="54"/>
  <c r="L2935" i="54"/>
  <c r="L2934" i="54"/>
  <c r="L2933" i="54"/>
  <c r="L2932" i="54"/>
  <c r="L2931" i="54"/>
  <c r="L2930" i="54"/>
  <c r="L2929" i="54"/>
  <c r="L2928" i="54"/>
  <c r="L2927" i="54"/>
  <c r="L2926" i="54"/>
  <c r="L2925" i="54"/>
  <c r="L2924" i="54"/>
  <c r="L2923" i="54"/>
  <c r="L2922" i="54"/>
  <c r="L2921" i="54"/>
  <c r="L2920" i="54"/>
  <c r="L2919" i="54"/>
  <c r="L2918" i="54"/>
  <c r="L2917" i="54"/>
  <c r="L2916" i="54"/>
  <c r="L2915" i="54"/>
  <c r="L2914" i="54"/>
  <c r="L2913" i="54"/>
  <c r="L2912" i="54"/>
  <c r="L2911" i="54"/>
  <c r="L2910" i="54"/>
  <c r="L2909" i="54"/>
  <c r="L2908" i="54"/>
  <c r="L2907" i="54"/>
  <c r="L2906" i="54"/>
  <c r="L2905" i="54"/>
  <c r="L2904" i="54"/>
  <c r="L2903" i="54"/>
  <c r="L2902" i="54"/>
  <c r="L2901" i="54"/>
  <c r="L2900" i="54"/>
  <c r="L2899" i="54"/>
  <c r="L2898" i="54"/>
  <c r="L2897" i="54"/>
  <c r="L2896" i="54"/>
  <c r="L2895" i="54"/>
  <c r="L2894" i="54"/>
  <c r="L2893" i="54"/>
  <c r="L2892" i="54"/>
  <c r="L2891" i="54"/>
  <c r="L2890" i="54"/>
  <c r="L2889" i="54"/>
  <c r="L2888" i="54"/>
  <c r="L2887" i="54"/>
  <c r="L2886" i="54"/>
  <c r="L2885" i="54"/>
  <c r="L2884" i="54"/>
  <c r="L2883" i="54"/>
  <c r="L2882" i="54"/>
  <c r="L2881" i="54"/>
  <c r="L2880" i="54"/>
  <c r="L2879" i="54"/>
  <c r="L2878" i="54"/>
  <c r="L2877" i="54"/>
  <c r="L2876" i="54"/>
  <c r="L2875" i="54"/>
  <c r="L2874" i="54"/>
  <c r="L2873" i="54"/>
  <c r="L2872" i="54"/>
  <c r="L2871" i="54"/>
  <c r="L2870" i="54"/>
  <c r="L2869" i="54"/>
  <c r="L2868" i="54"/>
  <c r="L2867" i="54"/>
  <c r="L2866" i="54"/>
  <c r="L2865" i="54"/>
  <c r="L2864" i="54"/>
  <c r="L2863" i="54"/>
  <c r="L2862" i="54"/>
  <c r="L2861" i="54"/>
  <c r="L2860" i="54"/>
  <c r="L2859" i="54"/>
  <c r="L2858" i="54"/>
  <c r="L2857" i="54"/>
  <c r="L2856" i="54"/>
  <c r="L2855" i="54"/>
  <c r="L2854" i="54"/>
  <c r="L2853" i="54"/>
  <c r="L2852" i="54"/>
  <c r="L2851" i="54"/>
  <c r="L2850" i="54"/>
  <c r="L2849" i="54"/>
  <c r="L2848" i="54"/>
  <c r="L2847" i="54"/>
  <c r="L2846" i="54"/>
  <c r="L2845" i="54"/>
  <c r="L2844" i="54"/>
  <c r="L2843" i="54"/>
  <c r="L2842" i="54"/>
  <c r="L2841" i="54"/>
  <c r="L2840" i="54"/>
  <c r="L2839" i="54"/>
  <c r="L2838" i="54"/>
  <c r="L2837" i="54"/>
  <c r="L2836" i="54"/>
  <c r="L2835" i="54"/>
  <c r="L2834" i="54"/>
  <c r="L2833" i="54"/>
  <c r="L2832" i="54"/>
  <c r="L2831" i="54"/>
  <c r="L2830" i="54"/>
  <c r="L2829" i="54"/>
  <c r="L2828" i="54"/>
  <c r="L2827" i="54"/>
  <c r="L2826" i="54"/>
  <c r="L2825" i="54"/>
  <c r="L2824" i="54"/>
  <c r="L2823" i="54"/>
  <c r="L2822" i="54"/>
  <c r="L2821" i="54"/>
  <c r="L2820" i="54"/>
  <c r="L2819" i="54"/>
  <c r="L2818" i="54"/>
  <c r="L2817" i="54"/>
  <c r="L2816" i="54"/>
  <c r="L2815" i="54"/>
  <c r="L2814" i="54"/>
  <c r="L2813" i="54"/>
  <c r="L2812" i="54"/>
  <c r="L2811" i="54"/>
  <c r="L2810" i="54"/>
  <c r="L2809" i="54"/>
  <c r="L2808" i="54"/>
  <c r="L2807" i="54"/>
  <c r="L2806" i="54"/>
  <c r="L2805" i="54"/>
  <c r="L2804" i="54"/>
  <c r="L2803" i="54"/>
  <c r="L2802" i="54"/>
  <c r="L2801" i="54"/>
  <c r="L2800" i="54"/>
  <c r="L2799" i="54"/>
  <c r="L2798" i="54"/>
  <c r="L2797" i="54"/>
  <c r="L2796" i="54"/>
  <c r="L2795" i="54"/>
  <c r="L2794" i="54"/>
  <c r="L2793" i="54"/>
  <c r="L2792" i="54"/>
  <c r="L2791" i="54"/>
  <c r="L2790" i="54"/>
  <c r="L2789" i="54"/>
  <c r="L2788" i="54"/>
  <c r="L2787" i="54"/>
  <c r="L2786" i="54"/>
  <c r="L2785" i="54"/>
  <c r="L2784" i="54"/>
  <c r="L2783" i="54"/>
  <c r="L2782" i="54"/>
  <c r="L2781" i="54"/>
  <c r="L2780" i="54"/>
  <c r="L2779" i="54"/>
  <c r="L2778" i="54"/>
  <c r="L2777" i="54"/>
  <c r="L2776" i="54"/>
  <c r="L2775" i="54"/>
  <c r="L2774" i="54"/>
  <c r="L2773" i="54"/>
  <c r="L2772" i="54"/>
  <c r="L2771" i="54"/>
  <c r="L2770" i="54"/>
  <c r="L2769" i="54"/>
  <c r="L2768" i="54"/>
  <c r="L2767" i="54"/>
  <c r="L2766" i="54"/>
  <c r="L2765" i="54"/>
  <c r="L2764" i="54"/>
  <c r="L2763" i="54"/>
  <c r="L2762" i="54"/>
  <c r="L2761" i="54"/>
  <c r="L2760" i="54"/>
  <c r="L2759" i="54"/>
  <c r="L2758" i="54"/>
  <c r="L2757" i="54"/>
  <c r="L2756" i="54"/>
  <c r="L2755" i="54"/>
  <c r="L2754" i="54"/>
  <c r="L2753" i="54"/>
  <c r="L2752" i="54"/>
  <c r="L2751" i="54"/>
  <c r="L2750" i="54"/>
  <c r="L2749" i="54"/>
  <c r="L2748" i="54"/>
  <c r="L2747" i="54"/>
  <c r="L2746" i="54"/>
  <c r="L2745" i="54"/>
  <c r="L2744" i="54"/>
  <c r="L2743" i="54"/>
  <c r="L2742" i="54"/>
  <c r="L2741" i="54"/>
  <c r="L2740" i="54"/>
  <c r="L2739" i="54"/>
  <c r="L2738" i="54"/>
  <c r="L2737" i="54"/>
  <c r="L2736" i="54"/>
  <c r="L2735" i="54"/>
  <c r="L2734" i="54"/>
  <c r="L2733" i="54"/>
  <c r="L2732" i="54"/>
  <c r="L2731" i="54"/>
  <c r="L2730" i="54"/>
  <c r="L2729" i="54"/>
  <c r="L2728" i="54"/>
  <c r="L2727" i="54"/>
  <c r="L2726" i="54"/>
  <c r="L2725" i="54"/>
  <c r="L2724" i="54"/>
  <c r="L2723" i="54"/>
  <c r="L2722" i="54"/>
  <c r="L2721" i="54"/>
  <c r="L2720" i="54"/>
  <c r="L2719" i="54"/>
  <c r="L2718" i="54"/>
  <c r="L2717" i="54"/>
  <c r="L2716" i="54"/>
  <c r="L2715" i="54"/>
  <c r="L2714" i="54"/>
  <c r="L2713" i="54"/>
  <c r="L2712" i="54"/>
  <c r="L2711" i="54"/>
  <c r="L2710" i="54"/>
  <c r="L2709" i="54"/>
  <c r="L2708" i="54"/>
  <c r="L2707" i="54"/>
  <c r="L2706" i="54"/>
  <c r="L2705" i="54"/>
  <c r="L2704" i="54"/>
  <c r="L2703" i="54"/>
  <c r="L2702" i="54"/>
  <c r="L2701" i="54"/>
  <c r="L2700" i="54"/>
  <c r="L2699" i="54"/>
  <c r="L2698" i="54"/>
  <c r="L2697" i="54"/>
  <c r="L2696" i="54"/>
  <c r="L2695" i="54"/>
  <c r="L2694" i="54"/>
  <c r="L2693" i="54"/>
  <c r="L2692" i="54"/>
  <c r="L2691" i="54"/>
  <c r="L2690" i="54"/>
  <c r="L2689" i="54"/>
  <c r="K2688" i="54"/>
  <c r="J2688" i="54"/>
  <c r="L2687" i="54"/>
  <c r="L2686" i="54"/>
  <c r="L2685" i="54"/>
  <c r="L2684" i="54"/>
  <c r="L2683" i="54"/>
  <c r="L2682" i="54"/>
  <c r="L2681" i="54"/>
  <c r="L2680" i="54"/>
  <c r="L2679" i="54"/>
  <c r="L2678" i="54"/>
  <c r="L2677" i="54"/>
  <c r="L2676" i="54"/>
  <c r="L2675" i="54"/>
  <c r="L2674" i="54"/>
  <c r="L2673" i="54"/>
  <c r="L2672" i="54"/>
  <c r="L2671" i="54"/>
  <c r="L2670" i="54"/>
  <c r="L2669" i="54"/>
  <c r="L2668" i="54"/>
  <c r="L2667" i="54"/>
  <c r="L2666" i="54"/>
  <c r="L2665" i="54"/>
  <c r="L2664" i="54"/>
  <c r="L2663" i="54"/>
  <c r="L2662" i="54"/>
  <c r="L2661" i="54"/>
  <c r="L2660" i="54"/>
  <c r="L2659" i="54"/>
  <c r="L2658" i="54"/>
  <c r="L2657" i="54"/>
  <c r="L2656" i="54"/>
  <c r="L2655" i="54"/>
  <c r="L2654" i="54"/>
  <c r="L2653" i="54"/>
  <c r="L2652" i="54"/>
  <c r="L2651" i="54"/>
  <c r="L2650" i="54"/>
  <c r="L2649" i="54"/>
  <c r="L2648" i="54"/>
  <c r="L2647" i="54"/>
  <c r="L2646" i="54"/>
  <c r="L2645" i="54"/>
  <c r="L2644" i="54"/>
  <c r="L2643" i="54"/>
  <c r="L2642" i="54"/>
  <c r="L2641" i="54"/>
  <c r="L2640" i="54"/>
  <c r="L2639" i="54"/>
  <c r="L2638" i="54"/>
  <c r="L2637" i="54"/>
  <c r="L2636" i="54"/>
  <c r="L2635" i="54"/>
  <c r="L2634" i="54"/>
  <c r="L2633" i="54"/>
  <c r="L2632" i="54"/>
  <c r="L2631" i="54"/>
  <c r="L2630" i="54"/>
  <c r="L2629" i="54"/>
  <c r="L2628" i="54"/>
  <c r="L2627" i="54"/>
  <c r="L2626" i="54"/>
  <c r="L2625" i="54"/>
  <c r="L2624" i="54"/>
  <c r="L2623" i="54"/>
  <c r="L2622" i="54"/>
  <c r="L2621" i="54"/>
  <c r="L2620" i="54"/>
  <c r="L2619" i="54"/>
  <c r="L2618" i="54"/>
  <c r="L2617" i="54"/>
  <c r="L2616" i="54"/>
  <c r="L2615" i="54"/>
  <c r="L2614" i="54"/>
  <c r="L2613" i="54"/>
  <c r="L2612" i="54"/>
  <c r="L2611" i="54"/>
  <c r="L2610" i="54"/>
  <c r="L2609" i="54"/>
  <c r="L2608" i="54"/>
  <c r="L2607" i="54"/>
  <c r="L2606" i="54"/>
  <c r="L2605" i="54"/>
  <c r="L2604" i="54"/>
  <c r="L2603" i="54"/>
  <c r="L2602" i="54"/>
  <c r="L2601" i="54"/>
  <c r="L2600" i="54"/>
  <c r="L2599" i="54"/>
  <c r="L2598" i="54"/>
  <c r="L2597" i="54"/>
  <c r="L2596" i="54"/>
  <c r="L2595" i="54"/>
  <c r="L2594" i="54"/>
  <c r="L2593" i="54"/>
  <c r="L2592" i="54"/>
  <c r="L2591" i="54"/>
  <c r="L2590" i="54"/>
  <c r="L2589" i="54"/>
  <c r="L2588" i="54"/>
  <c r="L2587" i="54"/>
  <c r="L2586" i="54"/>
  <c r="L2585" i="54"/>
  <c r="L2584" i="54"/>
  <c r="L2583" i="54"/>
  <c r="L2582" i="54"/>
  <c r="L2581" i="54"/>
  <c r="L2580" i="54"/>
  <c r="L2579" i="54"/>
  <c r="L2578" i="54"/>
  <c r="L2577" i="54"/>
  <c r="L2576" i="54"/>
  <c r="L2575" i="54"/>
  <c r="L2574" i="54"/>
  <c r="L2573" i="54"/>
  <c r="L2572" i="54"/>
  <c r="L2571" i="54"/>
  <c r="L2570" i="54"/>
  <c r="L2569" i="54"/>
  <c r="L2568" i="54"/>
  <c r="L2567" i="54"/>
  <c r="L2566" i="54"/>
  <c r="L2565" i="54"/>
  <c r="L2564" i="54"/>
  <c r="L2563" i="54"/>
  <c r="L2562" i="54"/>
  <c r="L2561" i="54"/>
  <c r="L2560" i="54"/>
  <c r="L2559" i="54"/>
  <c r="L2558" i="54"/>
  <c r="L2557" i="54"/>
  <c r="L2556" i="54"/>
  <c r="L2555" i="54"/>
  <c r="L2554" i="54"/>
  <c r="L2553" i="54"/>
  <c r="L2552" i="54"/>
  <c r="L2551" i="54"/>
  <c r="L2550" i="54"/>
  <c r="L2549" i="54"/>
  <c r="L2548" i="54"/>
  <c r="L2547" i="54"/>
  <c r="L2546" i="54"/>
  <c r="L2545" i="54"/>
  <c r="L2544" i="54"/>
  <c r="L2543" i="54"/>
  <c r="L2542" i="54"/>
  <c r="L2541" i="54"/>
  <c r="L2540" i="54"/>
  <c r="L2539" i="54"/>
  <c r="L2538" i="54"/>
  <c r="L2537" i="54"/>
  <c r="L2536" i="54"/>
  <c r="L2535" i="54"/>
  <c r="L2534" i="54"/>
  <c r="L2533" i="54"/>
  <c r="L2532" i="54"/>
  <c r="L2531" i="54"/>
  <c r="L2530" i="54"/>
  <c r="L2529" i="54"/>
  <c r="L2528" i="54"/>
  <c r="L2527" i="54"/>
  <c r="L2526" i="54"/>
  <c r="L2525" i="54"/>
  <c r="L2524" i="54"/>
  <c r="L2523" i="54"/>
  <c r="L2522" i="54"/>
  <c r="L2521" i="54"/>
  <c r="L2520" i="54"/>
  <c r="L2519" i="54"/>
  <c r="L2518" i="54"/>
  <c r="L2517" i="54"/>
  <c r="L2516" i="54"/>
  <c r="L2515" i="54"/>
  <c r="L2514" i="54"/>
  <c r="L2513" i="54"/>
  <c r="L2512" i="54"/>
  <c r="L2511" i="54"/>
  <c r="L2510" i="54"/>
  <c r="L2509" i="54"/>
  <c r="L2508" i="54"/>
  <c r="L2507" i="54"/>
  <c r="L2506" i="54"/>
  <c r="L2505" i="54"/>
  <c r="L2504" i="54"/>
  <c r="L2503" i="54"/>
  <c r="L2502" i="54"/>
  <c r="L2501" i="54"/>
  <c r="L2500" i="54"/>
  <c r="L2499" i="54"/>
  <c r="L2498" i="54"/>
  <c r="L2497" i="54"/>
  <c r="L2496" i="54"/>
  <c r="L2495" i="54"/>
  <c r="L2494" i="54"/>
  <c r="L2493" i="54"/>
  <c r="L2492" i="54"/>
  <c r="L2491" i="54"/>
  <c r="L2490" i="54"/>
  <c r="L2489" i="54"/>
  <c r="L2488" i="54"/>
  <c r="L2487" i="54"/>
  <c r="L2486" i="54"/>
  <c r="L2485" i="54"/>
  <c r="L2484" i="54"/>
  <c r="L2483" i="54"/>
  <c r="L2482" i="54"/>
  <c r="L2481" i="54"/>
  <c r="L2480" i="54"/>
  <c r="L2479" i="54"/>
  <c r="L2478" i="54"/>
  <c r="L2477" i="54"/>
  <c r="L2476" i="54"/>
  <c r="L2475" i="54"/>
  <c r="L2474" i="54"/>
  <c r="L2473" i="54"/>
  <c r="L2472" i="54"/>
  <c r="L2471" i="54"/>
  <c r="L2470" i="54"/>
  <c r="L2469" i="54"/>
  <c r="L2468" i="54"/>
  <c r="L2467" i="54"/>
  <c r="L2466" i="54"/>
  <c r="L2465" i="54"/>
  <c r="L2464" i="54"/>
  <c r="L2463" i="54"/>
  <c r="L2462" i="54"/>
  <c r="L2461" i="54"/>
  <c r="L2460" i="54"/>
  <c r="L2459" i="54"/>
  <c r="L2458" i="54"/>
  <c r="L2457" i="54"/>
  <c r="L2456" i="54"/>
  <c r="L2455" i="54"/>
  <c r="L2454" i="54"/>
  <c r="L2453" i="54"/>
  <c r="L2452" i="54"/>
  <c r="L2451" i="54"/>
  <c r="L2450" i="54"/>
  <c r="L2449" i="54"/>
  <c r="L2448" i="54"/>
  <c r="L2447" i="54"/>
  <c r="L2446" i="54"/>
  <c r="L2445" i="54"/>
  <c r="L2444" i="54"/>
  <c r="L2443" i="54"/>
  <c r="L2442" i="54"/>
  <c r="L2441" i="54"/>
  <c r="L2440" i="54"/>
  <c r="L2439" i="54"/>
  <c r="L2438" i="54"/>
  <c r="L2437" i="54"/>
  <c r="L2436" i="54"/>
  <c r="L2435" i="54"/>
  <c r="L2434" i="54"/>
  <c r="L2433" i="54"/>
  <c r="L2432" i="54"/>
  <c r="L2431" i="54"/>
  <c r="L2430" i="54"/>
  <c r="L2429" i="54"/>
  <c r="L2428" i="54"/>
  <c r="L2427" i="54"/>
  <c r="L2426" i="54"/>
  <c r="L2425" i="54"/>
  <c r="L2424" i="54"/>
  <c r="L2423" i="54"/>
  <c r="L2422" i="54"/>
  <c r="L2421" i="54"/>
  <c r="L2420" i="54"/>
  <c r="L2419" i="54"/>
  <c r="L2418" i="54"/>
  <c r="L2417" i="54"/>
  <c r="L2416" i="54"/>
  <c r="L2415" i="54"/>
  <c r="L2414" i="54"/>
  <c r="L2413" i="54"/>
  <c r="L2412" i="54"/>
  <c r="L2411" i="54"/>
  <c r="L2410" i="54"/>
  <c r="L2409" i="54"/>
  <c r="L2408" i="54"/>
  <c r="L2407" i="54"/>
  <c r="L2406" i="54"/>
  <c r="L2405" i="54"/>
  <c r="L2404" i="54"/>
  <c r="L2403" i="54"/>
  <c r="L2402" i="54"/>
  <c r="L2401" i="54"/>
  <c r="L2400" i="54"/>
  <c r="L2399" i="54"/>
  <c r="L2398" i="54"/>
  <c r="L2397" i="54"/>
  <c r="L2396" i="54"/>
  <c r="L2395" i="54"/>
  <c r="L2394" i="54"/>
  <c r="L2393" i="54"/>
  <c r="L2392" i="54"/>
  <c r="L2391" i="54"/>
  <c r="L2390" i="54"/>
  <c r="L2389" i="54"/>
  <c r="L2388" i="54"/>
  <c r="L2387" i="54"/>
  <c r="L2386" i="54"/>
  <c r="L2385" i="54"/>
  <c r="L2384" i="54"/>
  <c r="L2383" i="54"/>
  <c r="L2382" i="54"/>
  <c r="L2381" i="54"/>
  <c r="L2380" i="54"/>
  <c r="L2379" i="54"/>
  <c r="L2378" i="54"/>
  <c r="L2377" i="54"/>
  <c r="L2376" i="54"/>
  <c r="L2375" i="54"/>
  <c r="L2374" i="54"/>
  <c r="L2373" i="54"/>
  <c r="L2372" i="54"/>
  <c r="L2371" i="54"/>
  <c r="L2370" i="54"/>
  <c r="L2369" i="54"/>
  <c r="L2368" i="54"/>
  <c r="L2367" i="54"/>
  <c r="L2366" i="54"/>
  <c r="L2365" i="54"/>
  <c r="L2364" i="54"/>
  <c r="L2363" i="54"/>
  <c r="L2362" i="54"/>
  <c r="L2361" i="54"/>
  <c r="L2360" i="54"/>
  <c r="L2359" i="54"/>
  <c r="L2358" i="54"/>
  <c r="L2357" i="54"/>
  <c r="L2356" i="54"/>
  <c r="L2355" i="54"/>
  <c r="L2354" i="54"/>
  <c r="L2353" i="54"/>
  <c r="L2352" i="54"/>
  <c r="L2351" i="54"/>
  <c r="L2350" i="54"/>
  <c r="L2349" i="54"/>
  <c r="L2348" i="54"/>
  <c r="L2347" i="54"/>
  <c r="L2346" i="54"/>
  <c r="L2345" i="54"/>
  <c r="L2344" i="54"/>
  <c r="L2343" i="54"/>
  <c r="L2342" i="54"/>
  <c r="L2341" i="54"/>
  <c r="L2340" i="54"/>
  <c r="L2339" i="54"/>
  <c r="L2338" i="54"/>
  <c r="L2337" i="54"/>
  <c r="L2336" i="54"/>
  <c r="L2335" i="54"/>
  <c r="L2334" i="54"/>
  <c r="L2333" i="54"/>
  <c r="L2332" i="54"/>
  <c r="L2331" i="54"/>
  <c r="L2330" i="54"/>
  <c r="L2329" i="54"/>
  <c r="L2328" i="54"/>
  <c r="L2327" i="54"/>
  <c r="L2326" i="54"/>
  <c r="L2325" i="54"/>
  <c r="L2324" i="54"/>
  <c r="L2323" i="54"/>
  <c r="L2322" i="54"/>
  <c r="L2321" i="54"/>
  <c r="L2320" i="54"/>
  <c r="L2319" i="54"/>
  <c r="L2318" i="54"/>
  <c r="L2317" i="54"/>
  <c r="L2316" i="54"/>
  <c r="L2315" i="54"/>
  <c r="L2314" i="54"/>
  <c r="L2313" i="54"/>
  <c r="L2312" i="54"/>
  <c r="L2311" i="54"/>
  <c r="L2310" i="54"/>
  <c r="L2309" i="54"/>
  <c r="L2308" i="54"/>
  <c r="L2307" i="54"/>
  <c r="L2306" i="54"/>
  <c r="L2305" i="54"/>
  <c r="L2304" i="54"/>
  <c r="L2303" i="54"/>
  <c r="L2302" i="54"/>
  <c r="K2301" i="54"/>
  <c r="J2301" i="54"/>
  <c r="L2300" i="54"/>
  <c r="L2299" i="54"/>
  <c r="L2298" i="54"/>
  <c r="L2297" i="54"/>
  <c r="L2296" i="54"/>
  <c r="L2295" i="54"/>
  <c r="L2294" i="54"/>
  <c r="L2293" i="54"/>
  <c r="L2292" i="54"/>
  <c r="L2291" i="54"/>
  <c r="L2290" i="54"/>
  <c r="L2289" i="54"/>
  <c r="L2288" i="54"/>
  <c r="L2287" i="54"/>
  <c r="L2286" i="54"/>
  <c r="L2285" i="54"/>
  <c r="L2284" i="54"/>
  <c r="L2283" i="54"/>
  <c r="L2282" i="54"/>
  <c r="L2281" i="54"/>
  <c r="L2280" i="54"/>
  <c r="L2279" i="54"/>
  <c r="L2278" i="54"/>
  <c r="L2277" i="54"/>
  <c r="L2276" i="54"/>
  <c r="L2275" i="54"/>
  <c r="L2274" i="54"/>
  <c r="L2273" i="54"/>
  <c r="L2272" i="54"/>
  <c r="L2271" i="54"/>
  <c r="L2270" i="54"/>
  <c r="L2269" i="54"/>
  <c r="L2268" i="54"/>
  <c r="L2267" i="54"/>
  <c r="L2266" i="54"/>
  <c r="L2265" i="54"/>
  <c r="L2264" i="54"/>
  <c r="L2263" i="54"/>
  <c r="L2262" i="54"/>
  <c r="L2261" i="54"/>
  <c r="L2260" i="54"/>
  <c r="L2259" i="54"/>
  <c r="L2258" i="54"/>
  <c r="L2257" i="54"/>
  <c r="L2256" i="54"/>
  <c r="L2255" i="54"/>
  <c r="L2254" i="54"/>
  <c r="L2253" i="54"/>
  <c r="L2252" i="54"/>
  <c r="L2251" i="54"/>
  <c r="L2250" i="54"/>
  <c r="L2249" i="54"/>
  <c r="L2248" i="54"/>
  <c r="L2247" i="54"/>
  <c r="L2246" i="54"/>
  <c r="L2245" i="54"/>
  <c r="L2244" i="54"/>
  <c r="L2243" i="54"/>
  <c r="L2242" i="54"/>
  <c r="L2241" i="54"/>
  <c r="L2240" i="54"/>
  <c r="L2239" i="54"/>
  <c r="L2238" i="54"/>
  <c r="L2237" i="54"/>
  <c r="L2236" i="54"/>
  <c r="L2235" i="54"/>
  <c r="L2234" i="54"/>
  <c r="L2233" i="54"/>
  <c r="L2232" i="54"/>
  <c r="L2231" i="54"/>
  <c r="L2230" i="54"/>
  <c r="L2229" i="54"/>
  <c r="L2228" i="54"/>
  <c r="L2227" i="54"/>
  <c r="L2226" i="54"/>
  <c r="L2225" i="54"/>
  <c r="L2224" i="54"/>
  <c r="L2223" i="54"/>
  <c r="L2222" i="54"/>
  <c r="L2221" i="54"/>
  <c r="L2220" i="54"/>
  <c r="L2219" i="54"/>
  <c r="L2218" i="54"/>
  <c r="L2217" i="54"/>
  <c r="L2216" i="54"/>
  <c r="L2215" i="54"/>
  <c r="L2214" i="54"/>
  <c r="L2213" i="54"/>
  <c r="L2212" i="54"/>
  <c r="L2211" i="54"/>
  <c r="L2210" i="54"/>
  <c r="L2209" i="54"/>
  <c r="L2208" i="54"/>
  <c r="L2207" i="54"/>
  <c r="L2206" i="54"/>
  <c r="L2205" i="54"/>
  <c r="L2204" i="54"/>
  <c r="L2203" i="54"/>
  <c r="L2202" i="54"/>
  <c r="L2201" i="54"/>
  <c r="L2200" i="54"/>
  <c r="L2199" i="54"/>
  <c r="L2198" i="54"/>
  <c r="L2197" i="54"/>
  <c r="L2196" i="54"/>
  <c r="L2195" i="54"/>
  <c r="L2194" i="54"/>
  <c r="L2193" i="54"/>
  <c r="L2192" i="54"/>
  <c r="L2191" i="54"/>
  <c r="L2190" i="54"/>
  <c r="L2189" i="54"/>
  <c r="L2188" i="54"/>
  <c r="L2187" i="54"/>
  <c r="L2186" i="54"/>
  <c r="L2185" i="54"/>
  <c r="L2184" i="54"/>
  <c r="L2183" i="54"/>
  <c r="L2182" i="54"/>
  <c r="L2181" i="54"/>
  <c r="L2180" i="54"/>
  <c r="L2179" i="54"/>
  <c r="L2178" i="54"/>
  <c r="L2177" i="54"/>
  <c r="L2176" i="54"/>
  <c r="L2175" i="54"/>
  <c r="L2174" i="54"/>
  <c r="L2173" i="54"/>
  <c r="L2172" i="54"/>
  <c r="L2171" i="54"/>
  <c r="L2170" i="54"/>
  <c r="L2169" i="54"/>
  <c r="L2168" i="54"/>
  <c r="L2167" i="54"/>
  <c r="L2166" i="54"/>
  <c r="L2165" i="54"/>
  <c r="L2164" i="54"/>
  <c r="L2163" i="54"/>
  <c r="L2162" i="54"/>
  <c r="L2161" i="54"/>
  <c r="L2160" i="54"/>
  <c r="L2159" i="54"/>
  <c r="L2158" i="54"/>
  <c r="L2157" i="54"/>
  <c r="L2156" i="54"/>
  <c r="L2155" i="54"/>
  <c r="L2154" i="54"/>
  <c r="L2153" i="54"/>
  <c r="L2152" i="54"/>
  <c r="K9431" i="54" l="1"/>
  <c r="L5403" i="54"/>
  <c r="L5592" i="54"/>
  <c r="L6037" i="54"/>
  <c r="L6427" i="54"/>
  <c r="L6639" i="54"/>
  <c r="L4242" i="54"/>
  <c r="L8201" i="54"/>
  <c r="L8766" i="54"/>
  <c r="J9431" i="54"/>
  <c r="L2301" i="54"/>
  <c r="L2688" i="54"/>
  <c r="L3596" i="54"/>
  <c r="L4918" i="54"/>
  <c r="L7602" i="54"/>
  <c r="L9430" i="54"/>
  <c r="L9431" i="54" l="1"/>
  <c r="K2150" i="54" l="1"/>
  <c r="J2150" i="54"/>
  <c r="L2149" i="54"/>
  <c r="L2148" i="54"/>
  <c r="L2147" i="54"/>
  <c r="L2146" i="54"/>
  <c r="L2145" i="54"/>
  <c r="L2144" i="54"/>
  <c r="L2143" i="54"/>
  <c r="L2142" i="54"/>
  <c r="L2141" i="54"/>
  <c r="L2140" i="54"/>
  <c r="L2139" i="54"/>
  <c r="L2138" i="54"/>
  <c r="L2137" i="54"/>
  <c r="L2136" i="54"/>
  <c r="L2135" i="54"/>
  <c r="L2134" i="54"/>
  <c r="L2133" i="54"/>
  <c r="L2132" i="54"/>
  <c r="L2131" i="54"/>
  <c r="L2130" i="54"/>
  <c r="L2129" i="54"/>
  <c r="L2128" i="54"/>
  <c r="L2127" i="54"/>
  <c r="L2126" i="54"/>
  <c r="L2125" i="54"/>
  <c r="L2124" i="54"/>
  <c r="L2123" i="54"/>
  <c r="L2122" i="54"/>
  <c r="L2121" i="54"/>
  <c r="L2120" i="54"/>
  <c r="L2119" i="54"/>
  <c r="L2118" i="54"/>
  <c r="L2117" i="54"/>
  <c r="L2116" i="54"/>
  <c r="L2115" i="54"/>
  <c r="L2114" i="54"/>
  <c r="L2113" i="54"/>
  <c r="L2112" i="54"/>
  <c r="L2111" i="54"/>
  <c r="L2110" i="54"/>
  <c r="L2109" i="54"/>
  <c r="L2108" i="54"/>
  <c r="L2107" i="54"/>
  <c r="L2106" i="54"/>
  <c r="L2105" i="54"/>
  <c r="L2104" i="54"/>
  <c r="L2103" i="54"/>
  <c r="L2102" i="54"/>
  <c r="L2101" i="54"/>
  <c r="L2100" i="54"/>
  <c r="L2099" i="54"/>
  <c r="L2098" i="54"/>
  <c r="L2097" i="54"/>
  <c r="L2096" i="54"/>
  <c r="L2095" i="54"/>
  <c r="L2094" i="54"/>
  <c r="L2093" i="54"/>
  <c r="L2092" i="54"/>
  <c r="L2091" i="54"/>
  <c r="L2090" i="54"/>
  <c r="L2089" i="54"/>
  <c r="L2088" i="54"/>
  <c r="L2087" i="54"/>
  <c r="L2086" i="54"/>
  <c r="L2085" i="54"/>
  <c r="L2084" i="54"/>
  <c r="L2083" i="54"/>
  <c r="L2082" i="54"/>
  <c r="L2081" i="54"/>
  <c r="L2080" i="54"/>
  <c r="L2079" i="54"/>
  <c r="L2078" i="54"/>
  <c r="L2077" i="54"/>
  <c r="L2076" i="54"/>
  <c r="L2075" i="54"/>
  <c r="L2074" i="54"/>
  <c r="L2073" i="54"/>
  <c r="L2072" i="54"/>
  <c r="L2071" i="54"/>
  <c r="L2070" i="54"/>
  <c r="L2069" i="54"/>
  <c r="L2068" i="54"/>
  <c r="L2067" i="54"/>
  <c r="L2066" i="54"/>
  <c r="L2065" i="54"/>
  <c r="L2064" i="54"/>
  <c r="L2063" i="54"/>
  <c r="L2062" i="54"/>
  <c r="L2061" i="54"/>
  <c r="L2060" i="54"/>
  <c r="L2059" i="54"/>
  <c r="A2059" i="54"/>
  <c r="A2060" i="54" s="1"/>
  <c r="A2061" i="54" s="1"/>
  <c r="A2062" i="54" s="1"/>
  <c r="A2063" i="54" s="1"/>
  <c r="A2064" i="54" s="1"/>
  <c r="A2065" i="54" s="1"/>
  <c r="A2066" i="54" s="1"/>
  <c r="A2067" i="54" s="1"/>
  <c r="A2068" i="54" s="1"/>
  <c r="A2069" i="54" s="1"/>
  <c r="A2070" i="54" s="1"/>
  <c r="A2071" i="54" s="1"/>
  <c r="A2072" i="54" s="1"/>
  <c r="A2073" i="54" s="1"/>
  <c r="A2074" i="54" s="1"/>
  <c r="A2075" i="54" s="1"/>
  <c r="A2076" i="54" s="1"/>
  <c r="A2077" i="54" s="1"/>
  <c r="A2078" i="54" s="1"/>
  <c r="A2079" i="54" s="1"/>
  <c r="A2080" i="54" s="1"/>
  <c r="A2081" i="54" s="1"/>
  <c r="A2082" i="54" s="1"/>
  <c r="A2083" i="54" s="1"/>
  <c r="A2084" i="54" s="1"/>
  <c r="A2085" i="54" s="1"/>
  <c r="A2086" i="54" s="1"/>
  <c r="A2087" i="54" s="1"/>
  <c r="A2088" i="54" s="1"/>
  <c r="A2089" i="54" s="1"/>
  <c r="A2090" i="54" s="1"/>
  <c r="A2091" i="54" s="1"/>
  <c r="A2092" i="54" s="1"/>
  <c r="A2093" i="54" s="1"/>
  <c r="A2094" i="54" s="1"/>
  <c r="A2095" i="54" s="1"/>
  <c r="A2096" i="54" s="1"/>
  <c r="A2097" i="54" s="1"/>
  <c r="A2098" i="54" s="1"/>
  <c r="A2099" i="54" s="1"/>
  <c r="A2100" i="54" s="1"/>
  <c r="A2101" i="54" s="1"/>
  <c r="A2102" i="54" s="1"/>
  <c r="A2103" i="54" s="1"/>
  <c r="A2104" i="54" s="1"/>
  <c r="A2105" i="54" s="1"/>
  <c r="A2106" i="54" s="1"/>
  <c r="A2107" i="54" s="1"/>
  <c r="A2108" i="54" s="1"/>
  <c r="A2109" i="54" s="1"/>
  <c r="A2110" i="54" s="1"/>
  <c r="A2111" i="54" s="1"/>
  <c r="A2112" i="54" s="1"/>
  <c r="A2113" i="54" s="1"/>
  <c r="A2114" i="54" s="1"/>
  <c r="A2115" i="54" s="1"/>
  <c r="A2116" i="54" s="1"/>
  <c r="A2117" i="54" s="1"/>
  <c r="A2118" i="54" s="1"/>
  <c r="A2119" i="54" s="1"/>
  <c r="A2120" i="54" s="1"/>
  <c r="A2121" i="54" s="1"/>
  <c r="A2122" i="54" s="1"/>
  <c r="A2123" i="54" s="1"/>
  <c r="A2124" i="54" s="1"/>
  <c r="A2125" i="54" s="1"/>
  <c r="A2126" i="54" s="1"/>
  <c r="A2127" i="54" s="1"/>
  <c r="A2128" i="54" s="1"/>
  <c r="A2129" i="54" s="1"/>
  <c r="A2130" i="54" s="1"/>
  <c r="A2131" i="54" s="1"/>
  <c r="A2132" i="54" s="1"/>
  <c r="A2133" i="54" s="1"/>
  <c r="A2134" i="54" s="1"/>
  <c r="A2135" i="54" s="1"/>
  <c r="A2136" i="54" s="1"/>
  <c r="A2137" i="54" s="1"/>
  <c r="A2138" i="54" s="1"/>
  <c r="A2139" i="54" s="1"/>
  <c r="A2140" i="54" s="1"/>
  <c r="A2141" i="54" s="1"/>
  <c r="A2142" i="54" s="1"/>
  <c r="A2143" i="54" s="1"/>
  <c r="A2144" i="54" s="1"/>
  <c r="A2145" i="54" s="1"/>
  <c r="A2146" i="54" s="1"/>
  <c r="A2147" i="54" s="1"/>
  <c r="A2148" i="54" s="1"/>
  <c r="L2058" i="54"/>
  <c r="L2057" i="54"/>
  <c r="L2056" i="54"/>
  <c r="L2055" i="54"/>
  <c r="L2054" i="54"/>
  <c r="L2053" i="54"/>
  <c r="L2052" i="54"/>
  <c r="L2051" i="54"/>
  <c r="L2050" i="54"/>
  <c r="L2049" i="54"/>
  <c r="L2048" i="54"/>
  <c r="L2047" i="54"/>
  <c r="L2046" i="54"/>
  <c r="L2045" i="54"/>
  <c r="L2044" i="54"/>
  <c r="L2043" i="54"/>
  <c r="L2042" i="54"/>
  <c r="L2041" i="54"/>
  <c r="L2040" i="54"/>
  <c r="L2039" i="54"/>
  <c r="L2038" i="54"/>
  <c r="L2037" i="54"/>
  <c r="L2036" i="54"/>
  <c r="L2035" i="54"/>
  <c r="L2034" i="54"/>
  <c r="L2033" i="54"/>
  <c r="L2032" i="54"/>
  <c r="L2031" i="54"/>
  <c r="L2030" i="54"/>
  <c r="L2029" i="54"/>
  <c r="L2028" i="54"/>
  <c r="L2027" i="54"/>
  <c r="L2026" i="54"/>
  <c r="L2025" i="54"/>
  <c r="L2024" i="54"/>
  <c r="L2023" i="54"/>
  <c r="L2022" i="54"/>
  <c r="L2021" i="54"/>
  <c r="L2020" i="54"/>
  <c r="L2019" i="54"/>
  <c r="L2018" i="54"/>
  <c r="L2017" i="54"/>
  <c r="L2016" i="54"/>
  <c r="L2015" i="54"/>
  <c r="L2014" i="54"/>
  <c r="L2013" i="54"/>
  <c r="L2012" i="54"/>
  <c r="L2011" i="54"/>
  <c r="L2010" i="54"/>
  <c r="L2009" i="54"/>
  <c r="L2008" i="54"/>
  <c r="L2007" i="54"/>
  <c r="L2006" i="54"/>
  <c r="L2005" i="54"/>
  <c r="L2004" i="54"/>
  <c r="L2003" i="54"/>
  <c r="L2002" i="54"/>
  <c r="L2001" i="54"/>
  <c r="L2000" i="54"/>
  <c r="L1999" i="54"/>
  <c r="L1998" i="54"/>
  <c r="L1997" i="54"/>
  <c r="L1996" i="54"/>
  <c r="L1995" i="54"/>
  <c r="L1994" i="54"/>
  <c r="L1993" i="54"/>
  <c r="L1992" i="54"/>
  <c r="L1991" i="54"/>
  <c r="L1990" i="54"/>
  <c r="L1989" i="54"/>
  <c r="L1988" i="54"/>
  <c r="L1987" i="54"/>
  <c r="L1986" i="54"/>
  <c r="L1985" i="54"/>
  <c r="L1984" i="54"/>
  <c r="L1983" i="54"/>
  <c r="L1982" i="54"/>
  <c r="L1981" i="54"/>
  <c r="L1980" i="54"/>
  <c r="L1979" i="54"/>
  <c r="L1978" i="54"/>
  <c r="L1977" i="54"/>
  <c r="L1976" i="54"/>
  <c r="L1975" i="54"/>
  <c r="L1974" i="54"/>
  <c r="L1973" i="54"/>
  <c r="L1972" i="54"/>
  <c r="L1971" i="54"/>
  <c r="L1970" i="54"/>
  <c r="L1969" i="54"/>
  <c r="L1968" i="54"/>
  <c r="L1967" i="54"/>
  <c r="L1966" i="54"/>
  <c r="L1965" i="54"/>
  <c r="L1964" i="54"/>
  <c r="L1963" i="54"/>
  <c r="L1962" i="54"/>
  <c r="L1961" i="54"/>
  <c r="L1960" i="54"/>
  <c r="L1959" i="54"/>
  <c r="L1958" i="54"/>
  <c r="L1957" i="54"/>
  <c r="L1956" i="54"/>
  <c r="L1955" i="54"/>
  <c r="L1954" i="54"/>
  <c r="L1953" i="54"/>
  <c r="A1953" i="54"/>
  <c r="A1954" i="54" s="1"/>
  <c r="A1955" i="54" s="1"/>
  <c r="A1956" i="54" s="1"/>
  <c r="A1957" i="54" s="1"/>
  <c r="A1958" i="54" s="1"/>
  <c r="A1959" i="54" s="1"/>
  <c r="A1960" i="54" s="1"/>
  <c r="A1961" i="54" s="1"/>
  <c r="A1962" i="54" s="1"/>
  <c r="A1963" i="54" s="1"/>
  <c r="A1964" i="54" s="1"/>
  <c r="A1965" i="54" s="1"/>
  <c r="A1966" i="54" s="1"/>
  <c r="A1967" i="54" s="1"/>
  <c r="A1968" i="54" s="1"/>
  <c r="A1969" i="54" s="1"/>
  <c r="A1970" i="54" s="1"/>
  <c r="A1971" i="54" s="1"/>
  <c r="A1972" i="54" s="1"/>
  <c r="A1973" i="54" s="1"/>
  <c r="A1974" i="54" s="1"/>
  <c r="A1975" i="54" s="1"/>
  <c r="A1976" i="54" s="1"/>
  <c r="A1977" i="54" s="1"/>
  <c r="A1978" i="54" s="1"/>
  <c r="A1979" i="54" s="1"/>
  <c r="A1980" i="54" s="1"/>
  <c r="A1981" i="54" s="1"/>
  <c r="A1982" i="54" s="1"/>
  <c r="A1983" i="54" s="1"/>
  <c r="A1984" i="54" s="1"/>
  <c r="A1985" i="54" s="1"/>
  <c r="A1986" i="54" s="1"/>
  <c r="A1987" i="54" s="1"/>
  <c r="A1988" i="54" s="1"/>
  <c r="A1989" i="54" s="1"/>
  <c r="A1990" i="54" s="1"/>
  <c r="A1991" i="54" s="1"/>
  <c r="A1992" i="54" s="1"/>
  <c r="A1993" i="54" s="1"/>
  <c r="A1994" i="54" s="1"/>
  <c r="A1995" i="54" s="1"/>
  <c r="A1996" i="54" s="1"/>
  <c r="A1997" i="54" s="1"/>
  <c r="A1998" i="54" s="1"/>
  <c r="A1999" i="54" s="1"/>
  <c r="A2000" i="54" s="1"/>
  <c r="A2001" i="54" s="1"/>
  <c r="A2002" i="54" s="1"/>
  <c r="A2003" i="54" s="1"/>
  <c r="A2004" i="54" s="1"/>
  <c r="A2005" i="54" s="1"/>
  <c r="A2006" i="54" s="1"/>
  <c r="A2007" i="54" s="1"/>
  <c r="A2008" i="54" s="1"/>
  <c r="A2009" i="54" s="1"/>
  <c r="A2010" i="54" s="1"/>
  <c r="A2011" i="54" s="1"/>
  <c r="A2012" i="54" s="1"/>
  <c r="A2013" i="54" s="1"/>
  <c r="A2014" i="54" s="1"/>
  <c r="A2015" i="54" s="1"/>
  <c r="A2016" i="54" s="1"/>
  <c r="A2017" i="54" s="1"/>
  <c r="A2018" i="54" s="1"/>
  <c r="A2019" i="54" s="1"/>
  <c r="A2020" i="54" s="1"/>
  <c r="A2021" i="54" s="1"/>
  <c r="A2022" i="54" s="1"/>
  <c r="A2023" i="54" s="1"/>
  <c r="A2024" i="54" s="1"/>
  <c r="A2025" i="54" s="1"/>
  <c r="A2026" i="54" s="1"/>
  <c r="A2027" i="54" s="1"/>
  <c r="A2028" i="54" s="1"/>
  <c r="A2029" i="54" s="1"/>
  <c r="A2030" i="54" s="1"/>
  <c r="A2031" i="54" s="1"/>
  <c r="A2032" i="54" s="1"/>
  <c r="A2033" i="54" s="1"/>
  <c r="A2034" i="54" s="1"/>
  <c r="A2035" i="54" s="1"/>
  <c r="A2036" i="54" s="1"/>
  <c r="A2037" i="54" s="1"/>
  <c r="A2038" i="54" s="1"/>
  <c r="A2039" i="54" s="1"/>
  <c r="A2040" i="54" s="1"/>
  <c r="A2041" i="54" s="1"/>
  <c r="A2042" i="54" s="1"/>
  <c r="A2043" i="54" s="1"/>
  <c r="A2044" i="54" s="1"/>
  <c r="A2045" i="54" s="1"/>
  <c r="A2046" i="54" s="1"/>
  <c r="A2047" i="54" s="1"/>
  <c r="A2048" i="54" s="1"/>
  <c r="A2049" i="54" s="1"/>
  <c r="A2050" i="54" s="1"/>
  <c r="A2051" i="54" s="1"/>
  <c r="A2052" i="54" s="1"/>
  <c r="A2053" i="54" s="1"/>
  <c r="A2054" i="54" s="1"/>
  <c r="A2055" i="54" s="1"/>
  <c r="A2056" i="54" s="1"/>
  <c r="A2057" i="54" s="1"/>
  <c r="L1952" i="54"/>
  <c r="L1951" i="54"/>
  <c r="K1951" i="54"/>
  <c r="J1951" i="54"/>
  <c r="L1816" i="54"/>
  <c r="K1816" i="54"/>
  <c r="J1816" i="54"/>
  <c r="L926" i="54"/>
  <c r="K926" i="54"/>
  <c r="J926" i="54"/>
  <c r="K795" i="54"/>
  <c r="L794" i="54"/>
  <c r="L793" i="54"/>
  <c r="L792" i="54"/>
  <c r="L791" i="54"/>
  <c r="L790" i="54"/>
  <c r="L789" i="54"/>
  <c r="L788" i="54"/>
  <c r="L787" i="54"/>
  <c r="L786" i="54"/>
  <c r="L785" i="54"/>
  <c r="L784" i="54"/>
  <c r="L783" i="54"/>
  <c r="L782" i="54"/>
  <c r="L781" i="54"/>
  <c r="L780" i="54"/>
  <c r="L779" i="54"/>
  <c r="L778" i="54"/>
  <c r="L777" i="54"/>
  <c r="L776" i="54"/>
  <c r="L775" i="54"/>
  <c r="L774" i="54"/>
  <c r="L773" i="54"/>
  <c r="L772" i="54"/>
  <c r="L771" i="54"/>
  <c r="L770" i="54"/>
  <c r="L769" i="54"/>
  <c r="L768" i="54"/>
  <c r="L767" i="54"/>
  <c r="L766" i="54"/>
  <c r="L765" i="54"/>
  <c r="L764" i="54"/>
  <c r="L763" i="54"/>
  <c r="J762" i="54"/>
  <c r="L762" i="54" s="1"/>
  <c r="L761" i="54"/>
  <c r="L760" i="54"/>
  <c r="L759" i="54"/>
  <c r="L758" i="54"/>
  <c r="L757" i="54"/>
  <c r="L756" i="54"/>
  <c r="L755" i="54"/>
  <c r="L754" i="54"/>
  <c r="L753" i="54"/>
  <c r="J752" i="54"/>
  <c r="L752" i="54" s="1"/>
  <c r="L751" i="54"/>
  <c r="J750" i="54"/>
  <c r="L750" i="54" s="1"/>
  <c r="L749" i="54"/>
  <c r="L748" i="54"/>
  <c r="J747" i="54"/>
  <c r="L746" i="54"/>
  <c r="L745" i="54"/>
  <c r="L744" i="54"/>
  <c r="L743" i="54"/>
  <c r="L742" i="54"/>
  <c r="L741" i="54"/>
  <c r="L740" i="54"/>
  <c r="L739" i="54"/>
  <c r="L738" i="54"/>
  <c r="L737" i="54"/>
  <c r="L736" i="54"/>
  <c r="L735" i="54"/>
  <c r="L734" i="54"/>
  <c r="L733" i="54"/>
  <c r="L732" i="54"/>
  <c r="L731" i="54"/>
  <c r="L730" i="54"/>
  <c r="L729" i="54"/>
  <c r="L728" i="54"/>
  <c r="L727" i="54"/>
  <c r="L726" i="54"/>
  <c r="L725" i="54"/>
  <c r="L724" i="54"/>
  <c r="L723" i="54"/>
  <c r="L722" i="54"/>
  <c r="L721" i="54"/>
  <c r="L720" i="54"/>
  <c r="L719" i="54"/>
  <c r="L718" i="54"/>
  <c r="L717" i="54"/>
  <c r="L716" i="54"/>
  <c r="L715" i="54"/>
  <c r="L714" i="54"/>
  <c r="L713" i="54"/>
  <c r="L712" i="54"/>
  <c r="L711" i="54"/>
  <c r="L710" i="54"/>
  <c r="L709" i="54"/>
  <c r="L708" i="54"/>
  <c r="L707" i="54"/>
  <c r="L706" i="54"/>
  <c r="L705" i="54"/>
  <c r="L704" i="54"/>
  <c r="L703" i="54"/>
  <c r="L702" i="54"/>
  <c r="L701" i="54"/>
  <c r="L700" i="54"/>
  <c r="L699" i="54"/>
  <c r="L698" i="54"/>
  <c r="L697" i="54"/>
  <c r="L696" i="54"/>
  <c r="L695" i="54"/>
  <c r="L694" i="54"/>
  <c r="L693" i="54"/>
  <c r="L692" i="54"/>
  <c r="L691" i="54"/>
  <c r="L690" i="54"/>
  <c r="L689" i="54"/>
  <c r="L688" i="54"/>
  <c r="L687" i="54"/>
  <c r="L686" i="54"/>
  <c r="L685" i="54"/>
  <c r="L684" i="54"/>
  <c r="L683" i="54"/>
  <c r="L682" i="54"/>
  <c r="L681" i="54"/>
  <c r="L680" i="54"/>
  <c r="L679" i="54"/>
  <c r="L678" i="54"/>
  <c r="L677" i="54"/>
  <c r="L676" i="54"/>
  <c r="L675" i="54"/>
  <c r="L674" i="54"/>
  <c r="L673" i="54"/>
  <c r="L672" i="54"/>
  <c r="L671" i="54"/>
  <c r="L670" i="54"/>
  <c r="L669" i="54"/>
  <c r="L655" i="54"/>
  <c r="L668" i="54" s="1"/>
  <c r="K655" i="54"/>
  <c r="K668" i="54" s="1"/>
  <c r="J655" i="54"/>
  <c r="J668" i="54" s="1"/>
  <c r="L445" i="54"/>
  <c r="K445" i="54"/>
  <c r="J445" i="54"/>
  <c r="L444" i="54"/>
  <c r="K444" i="54"/>
  <c r="J444" i="54"/>
  <c r="L443" i="54"/>
  <c r="K443" i="54"/>
  <c r="J443" i="54"/>
  <c r="L442" i="54"/>
  <c r="K442" i="54"/>
  <c r="J442" i="54"/>
  <c r="L441" i="54"/>
  <c r="K441" i="54"/>
  <c r="J441" i="54"/>
  <c r="L440" i="54"/>
  <c r="K440" i="54"/>
  <c r="J440" i="54"/>
  <c r="L439" i="54"/>
  <c r="K439" i="54"/>
  <c r="J439" i="54"/>
  <c r="L438" i="54"/>
  <c r="K438" i="54"/>
  <c r="J438" i="54"/>
  <c r="L437" i="54"/>
  <c r="K437" i="54"/>
  <c r="J437" i="54"/>
  <c r="L436" i="54"/>
  <c r="K436" i="54"/>
  <c r="J436" i="54"/>
  <c r="L435" i="54"/>
  <c r="K435" i="54"/>
  <c r="J435" i="54"/>
  <c r="L434" i="54"/>
  <c r="K434" i="54"/>
  <c r="J434" i="54"/>
  <c r="L433" i="54"/>
  <c r="K433" i="54"/>
  <c r="J433" i="54"/>
  <c r="L432" i="54"/>
  <c r="K432" i="54"/>
  <c r="J432" i="54"/>
  <c r="L431" i="54"/>
  <c r="K431" i="54"/>
  <c r="J431" i="54"/>
  <c r="L430" i="54"/>
  <c r="K430" i="54"/>
  <c r="J430" i="54"/>
  <c r="L429" i="54"/>
  <c r="K429" i="54"/>
  <c r="J429" i="54"/>
  <c r="L428" i="54"/>
  <c r="K428" i="54"/>
  <c r="J428" i="54"/>
  <c r="L427" i="54"/>
  <c r="K427" i="54"/>
  <c r="J427" i="54"/>
  <c r="L426" i="54"/>
  <c r="K426" i="54"/>
  <c r="J426" i="54"/>
  <c r="L425" i="54"/>
  <c r="K425" i="54"/>
  <c r="J425" i="54"/>
  <c r="L424" i="54"/>
  <c r="K424" i="54"/>
  <c r="J424" i="54"/>
  <c r="L423" i="54"/>
  <c r="K423" i="54"/>
  <c r="J423" i="54"/>
  <c r="L422" i="54"/>
  <c r="K422" i="54"/>
  <c r="J422" i="54"/>
  <c r="L421" i="54"/>
  <c r="K421" i="54"/>
  <c r="J421" i="54"/>
  <c r="L420" i="54"/>
  <c r="K420" i="54"/>
  <c r="J420" i="54"/>
  <c r="L419" i="54"/>
  <c r="K419" i="54"/>
  <c r="J419" i="54"/>
  <c r="L418" i="54"/>
  <c r="K418" i="54"/>
  <c r="J418" i="54"/>
  <c r="L417" i="54"/>
  <c r="K417" i="54"/>
  <c r="J417" i="54"/>
  <c r="L416" i="54"/>
  <c r="K416" i="54"/>
  <c r="J416" i="54"/>
  <c r="L415" i="54"/>
  <c r="K415" i="54"/>
  <c r="J415" i="54"/>
  <c r="L414" i="54"/>
  <c r="K414" i="54"/>
  <c r="J414" i="54"/>
  <c r="L413" i="54"/>
  <c r="K413" i="54"/>
  <c r="J413" i="54"/>
  <c r="L412" i="54"/>
  <c r="K412" i="54"/>
  <c r="J412" i="54"/>
  <c r="L411" i="54"/>
  <c r="K411" i="54"/>
  <c r="J411" i="54"/>
  <c r="L410" i="54"/>
  <c r="K410" i="54"/>
  <c r="J410" i="54"/>
  <c r="L409" i="54"/>
  <c r="K409" i="54"/>
  <c r="J409" i="54"/>
  <c r="L408" i="54"/>
  <c r="K408" i="54"/>
  <c r="J408" i="54"/>
  <c r="L407" i="54"/>
  <c r="K407" i="54"/>
  <c r="J407" i="54"/>
  <c r="L406" i="54"/>
  <c r="K406" i="54"/>
  <c r="J406" i="54"/>
  <c r="L405" i="54"/>
  <c r="K405" i="54"/>
  <c r="J405" i="54"/>
  <c r="L404" i="54"/>
  <c r="K404" i="54"/>
  <c r="J404" i="54"/>
  <c r="L403" i="54"/>
  <c r="K403" i="54"/>
  <c r="J403" i="54"/>
  <c r="L402" i="54"/>
  <c r="K402" i="54"/>
  <c r="J402" i="54"/>
  <c r="L401" i="54"/>
  <c r="K401" i="54"/>
  <c r="J401" i="54"/>
  <c r="L400" i="54"/>
  <c r="K400" i="54"/>
  <c r="J400" i="54"/>
  <c r="L399" i="54"/>
  <c r="K399" i="54"/>
  <c r="J399" i="54"/>
  <c r="L398" i="54"/>
  <c r="K398" i="54"/>
  <c r="J398" i="54"/>
  <c r="L397" i="54"/>
  <c r="K397" i="54"/>
  <c r="J397" i="54"/>
  <c r="L396" i="54"/>
  <c r="K396" i="54"/>
  <c r="J396" i="54"/>
  <c r="L395" i="54"/>
  <c r="K395" i="54"/>
  <c r="J395" i="54"/>
  <c r="L394" i="54"/>
  <c r="K394" i="54"/>
  <c r="J394" i="54"/>
  <c r="L393" i="54"/>
  <c r="K393" i="54"/>
  <c r="J393" i="54"/>
  <c r="L392" i="54"/>
  <c r="K392" i="54"/>
  <c r="J392" i="54"/>
  <c r="L391" i="54"/>
  <c r="K391" i="54"/>
  <c r="J391" i="54"/>
  <c r="L390" i="54"/>
  <c r="K390" i="54"/>
  <c r="J390" i="54"/>
  <c r="L389" i="54"/>
  <c r="K389" i="54"/>
  <c r="J389" i="54"/>
  <c r="L388" i="54"/>
  <c r="K388" i="54"/>
  <c r="J388" i="54"/>
  <c r="L387" i="54"/>
  <c r="K387" i="54"/>
  <c r="J387" i="54"/>
  <c r="L386" i="54"/>
  <c r="K386" i="54"/>
  <c r="J386" i="54"/>
  <c r="K385" i="54"/>
  <c r="J385" i="54"/>
  <c r="L384" i="54"/>
  <c r="K384" i="54"/>
  <c r="J384" i="54"/>
  <c r="L383" i="54"/>
  <c r="K383" i="54"/>
  <c r="J383" i="54"/>
  <c r="L382" i="54"/>
  <c r="K382" i="54"/>
  <c r="J382" i="54"/>
  <c r="L381" i="54"/>
  <c r="K381" i="54"/>
  <c r="J381" i="54"/>
  <c r="L380" i="54"/>
  <c r="K380" i="54"/>
  <c r="J380" i="54"/>
  <c r="L379" i="54"/>
  <c r="K379" i="54"/>
  <c r="J379" i="54"/>
  <c r="L378" i="54"/>
  <c r="K378" i="54"/>
  <c r="J378" i="54"/>
  <c r="L377" i="54"/>
  <c r="K377" i="54"/>
  <c r="J377" i="54"/>
  <c r="L376" i="54"/>
  <c r="K376" i="54"/>
  <c r="J376" i="54"/>
  <c r="L375" i="54"/>
  <c r="K375" i="54"/>
  <c r="J375" i="54"/>
  <c r="L374" i="54"/>
  <c r="K374" i="54"/>
  <c r="J374" i="54"/>
  <c r="L373" i="54"/>
  <c r="K373" i="54"/>
  <c r="J373" i="54"/>
  <c r="L372" i="54"/>
  <c r="K372" i="54"/>
  <c r="J372" i="54"/>
  <c r="L371" i="54"/>
  <c r="K371" i="54"/>
  <c r="J371" i="54"/>
  <c r="L370" i="54"/>
  <c r="K370" i="54"/>
  <c r="J370" i="54"/>
  <c r="L369" i="54"/>
  <c r="K369" i="54"/>
  <c r="J369" i="54"/>
  <c r="L368" i="54"/>
  <c r="K368" i="54"/>
  <c r="J368" i="54"/>
  <c r="L367" i="54"/>
  <c r="K367" i="54"/>
  <c r="J367" i="54"/>
  <c r="L366" i="54"/>
  <c r="K366" i="54"/>
  <c r="J366" i="54"/>
  <c r="L365" i="54"/>
  <c r="K365" i="54"/>
  <c r="J365" i="54"/>
  <c r="L364" i="54"/>
  <c r="K364" i="54"/>
  <c r="J364" i="54"/>
  <c r="L363" i="54"/>
  <c r="K363" i="54"/>
  <c r="J363" i="54"/>
  <c r="L362" i="54"/>
  <c r="K362" i="54"/>
  <c r="J362" i="54"/>
  <c r="L361" i="54"/>
  <c r="K361" i="54"/>
  <c r="J361" i="54"/>
  <c r="L360" i="54"/>
  <c r="K360" i="54"/>
  <c r="J360" i="54"/>
  <c r="L359" i="54"/>
  <c r="K359" i="54"/>
  <c r="J359" i="54"/>
  <c r="L358" i="54"/>
  <c r="K358" i="54"/>
  <c r="J358" i="54"/>
  <c r="L357" i="54"/>
  <c r="K357" i="54"/>
  <c r="J357" i="54"/>
  <c r="L356" i="54"/>
  <c r="K356" i="54"/>
  <c r="J356" i="54"/>
  <c r="L355" i="54"/>
  <c r="K355" i="54"/>
  <c r="J355" i="54"/>
  <c r="L354" i="54"/>
  <c r="K354" i="54"/>
  <c r="J354" i="54"/>
  <c r="L353" i="54"/>
  <c r="K353" i="54"/>
  <c r="J353" i="54"/>
  <c r="L352" i="54"/>
  <c r="K352" i="54"/>
  <c r="J352" i="54"/>
  <c r="L351" i="54"/>
  <c r="K351" i="54"/>
  <c r="J351" i="54"/>
  <c r="L198" i="54"/>
  <c r="L218" i="54" s="1"/>
  <c r="K198" i="54"/>
  <c r="K218" i="54" s="1"/>
  <c r="J198" i="54"/>
  <c r="J218" i="54" s="1"/>
  <c r="K72" i="54"/>
  <c r="J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L10" i="54"/>
  <c r="K446" i="54" l="1"/>
  <c r="K2151" i="54" s="1"/>
  <c r="K9434" i="54" s="1"/>
  <c r="J446" i="54"/>
  <c r="L446" i="54"/>
  <c r="J795" i="54"/>
  <c r="L72" i="54"/>
  <c r="L2150" i="54"/>
  <c r="L747" i="54"/>
  <c r="L795" i="54" s="1"/>
  <c r="J2151" i="54" l="1"/>
  <c r="J9434" i="54" s="1"/>
  <c r="L2151" i="54"/>
  <c r="L9434" i="54" s="1"/>
  <c r="W71" i="30" l="1"/>
  <c r="V76" i="29"/>
  <c r="J76" i="29"/>
  <c r="K62" i="30" l="1"/>
  <c r="K71" i="30" s="1"/>
  <c r="L62" i="30"/>
  <c r="L71" i="30" s="1"/>
  <c r="M62" i="30"/>
  <c r="M71" i="30" s="1"/>
  <c r="N62" i="30"/>
  <c r="N71" i="30" s="1"/>
  <c r="O62" i="30"/>
  <c r="O71" i="30" s="1"/>
  <c r="P62" i="30"/>
  <c r="P71" i="30" s="1"/>
  <c r="Q62" i="30"/>
  <c r="Q71" i="30" s="1"/>
  <c r="R62" i="30"/>
  <c r="R71" i="30" s="1"/>
  <c r="S62" i="30"/>
  <c r="S71" i="30" s="1"/>
  <c r="T62" i="30"/>
  <c r="T71" i="30" s="1"/>
  <c r="U62" i="30"/>
  <c r="U71" i="30" s="1"/>
  <c r="V62" i="30"/>
  <c r="V71" i="30" s="1"/>
  <c r="X65" i="29"/>
  <c r="X76" i="29" s="1"/>
  <c r="Y65" i="29"/>
  <c r="Y76" i="29" s="1"/>
  <c r="AA65" i="29"/>
  <c r="AA76" i="29" s="1"/>
</calcChain>
</file>

<file path=xl/sharedStrings.xml><?xml version="1.0" encoding="utf-8"?>
<sst xmlns="http://schemas.openxmlformats.org/spreadsheetml/2006/main" count="46308" uniqueCount="13444">
  <si>
    <t>Назва підприємства, установи, закладу</t>
  </si>
  <si>
    <t>Примітка</t>
  </si>
  <si>
    <t>Населений пункт, район</t>
  </si>
  <si>
    <t>-</t>
  </si>
  <si>
    <t>РАЗОМ:</t>
  </si>
  <si>
    <t>ПЕРЕЛІК</t>
  </si>
  <si>
    <t>(назва головного розпорядника коштів, структурного підрозділу ОДА, який  здійснює управління  підприємством, установою, закладом)</t>
  </si>
  <si>
    <t>№ з/п</t>
  </si>
  <si>
    <t xml:space="preserve">Адреса розташування об’єктів нерухомого майна </t>
  </si>
  <si>
    <t>Назва населеного пункту</t>
  </si>
  <si>
    <t>Вулиця, номер будинку, поштовий індекс</t>
  </si>
  <si>
    <t>Знос</t>
  </si>
  <si>
    <t>Залишкова вартість</t>
  </si>
  <si>
    <t>м.Волноваха</t>
  </si>
  <si>
    <t>м.Торецьк</t>
  </si>
  <si>
    <t>м. Мирноград</t>
  </si>
  <si>
    <t>м. Лиман</t>
  </si>
  <si>
    <t>10</t>
  </si>
  <si>
    <t>27</t>
  </si>
  <si>
    <t>м. Селидове</t>
  </si>
  <si>
    <t>12</t>
  </si>
  <si>
    <t>м. Слов'янськ</t>
  </si>
  <si>
    <t>17</t>
  </si>
  <si>
    <t>28</t>
  </si>
  <si>
    <t>20</t>
  </si>
  <si>
    <t>м. Костянтинівка</t>
  </si>
  <si>
    <t>м.Українськ</t>
  </si>
  <si>
    <t>ОКП "Донецьктеплокомуненерго"</t>
  </si>
  <si>
    <t>м. Дружківка</t>
  </si>
  <si>
    <t>м.Святогірськ</t>
  </si>
  <si>
    <t>м. Святогірськ</t>
  </si>
  <si>
    <t>14</t>
  </si>
  <si>
    <t>21</t>
  </si>
  <si>
    <t>22</t>
  </si>
  <si>
    <t>23</t>
  </si>
  <si>
    <t>26</t>
  </si>
  <si>
    <t>29</t>
  </si>
  <si>
    <t>30</t>
  </si>
  <si>
    <t>31</t>
  </si>
  <si>
    <t>ФОРМА 5</t>
  </si>
  <si>
    <t>Орендодавець (підприємство, установа, заклад спільної власності)</t>
  </si>
  <si>
    <t>Орендар</t>
  </si>
  <si>
    <t>Об'єкт оренди</t>
  </si>
  <si>
    <t xml:space="preserve"> Правова підстава укладення договору</t>
  </si>
  <si>
    <t>Договір оренди (позички)</t>
  </si>
  <si>
    <t>Дата укладення договору</t>
  </si>
  <si>
    <t>Дата закінчення договору</t>
  </si>
  <si>
    <t>Дата прове-дення незалеж-ної оцінки</t>
  </si>
  <si>
    <t>Вартість орендова-ного майна, тис. грн.</t>
  </si>
  <si>
    <t xml:space="preserve"> Орендна ставка,                         %</t>
  </si>
  <si>
    <t>Розмір індексації за рік, грн.</t>
  </si>
  <si>
    <t>Розмір орендної плати (за останній місяць звітного кварталу), грн.</t>
  </si>
  <si>
    <t>Дата погод-ження розміру орендної плати</t>
  </si>
  <si>
    <t>Витрати на оплату комуналь-них послуг за рік,              грн.</t>
  </si>
  <si>
    <t>Назва</t>
  </si>
  <si>
    <t xml:space="preserve">Код  ЄДРПОУ  </t>
  </si>
  <si>
    <t xml:space="preserve">Код  ЄДРПОУ (РНОКПП)  </t>
  </si>
  <si>
    <t>Вулиця, № будинку</t>
  </si>
  <si>
    <t>Цільове призначення</t>
  </si>
  <si>
    <t>Площа, кв.м</t>
  </si>
  <si>
    <t>Назва догово-ру</t>
  </si>
  <si>
    <t>№</t>
  </si>
  <si>
    <t>дата</t>
  </si>
  <si>
    <t>число</t>
  </si>
  <si>
    <t>місяць</t>
  </si>
  <si>
    <t>рік</t>
  </si>
  <si>
    <t>ОКП "Донецьктеплокомуненерго" ВО "Волновахаміжрайтепломережа"</t>
  </si>
  <si>
    <t>03337119/03562477</t>
  </si>
  <si>
    <t>ПрАТ "Київстар"</t>
  </si>
  <si>
    <t>технол.майданчик; частина площі поверхні димової труби котельні</t>
  </si>
  <si>
    <t>вул. Менделєєва, 7в</t>
  </si>
  <si>
    <t>розміщення операторів телекомунікацій, які надають послуги з рухомого (мобільного) зв'язку</t>
  </si>
  <si>
    <t>тех.майд. 15,36 кв.м.; дим.труба 4,0 кв.м. Усього 19,36 кв.м.</t>
  </si>
  <si>
    <t>Лот № 12 від 18.05.2007</t>
  </si>
  <si>
    <t>оренда нежитлового приміщення</t>
  </si>
  <si>
    <t>травня</t>
  </si>
  <si>
    <t>березня</t>
  </si>
  <si>
    <t>тех.май. 9427,00; частина димов.труби 10 724,00. Усього 20151,00</t>
  </si>
  <si>
    <t>ОКП "Донецьктеплокомуненерго" ВО "Дзержинськтепломережа"</t>
  </si>
  <si>
    <t>03337119/05540971</t>
  </si>
  <si>
    <t>ТОВ "лайфселл"</t>
  </si>
  <si>
    <t>технол.майданчик; частина димової металевої труби котельні "Авангард"</t>
  </si>
  <si>
    <t>вул. Грушевського, 14а</t>
  </si>
  <si>
    <t>тех.майд. 7,84 кв.м.; дим.труба 6,0 кв.м. Усього 13,84 кв.м.</t>
  </si>
  <si>
    <t>Лот № 15 від 14.01.2009р. Протокол № 12 конкурса на оренду нежитлових приміщень загальної власності</t>
  </si>
  <si>
    <t>б/н</t>
  </si>
  <si>
    <t>січня</t>
  </si>
  <si>
    <t>тех.майд. 3189; част.дим.труби 7773. Усього 10962.</t>
  </si>
  <si>
    <t>ХХХ</t>
  </si>
  <si>
    <t>технол.майданчик; частина димової цегляної труби котельні "70 квартал"</t>
  </si>
  <si>
    <t>вул. Лісна, 19а</t>
  </si>
  <si>
    <t>тех.майд. 7,84 кв.м.; дим.труба 8,0 кв.м. Усього 15,84 кв.м.</t>
  </si>
  <si>
    <t>Лот № 14 від 19.02.2010р. Протокол № 21 конкурса на оренду нежитлових приміщень загальної власності</t>
  </si>
  <si>
    <t>лютого</t>
  </si>
  <si>
    <t>тех.майд. 4574; труба 16511. Усього 21085.</t>
  </si>
  <si>
    <t>технол.майданчик;частина димової цегляної труби котельні "165 квартал"</t>
  </si>
  <si>
    <t>м.Торецьк, смт. Північне</t>
  </si>
  <si>
    <t>вул. Нова, 6а</t>
  </si>
  <si>
    <t>тех.майд. 9,0 кв.м.; дим.труба 4,0 кв.м. Усього 13,0 кв.м.</t>
  </si>
  <si>
    <t>Лот № 8 від 24.11.2011р. Протокол конкурса на оренду нежитлових приміщень загальної власності</t>
  </si>
  <si>
    <t>03</t>
  </si>
  <si>
    <t>тех.майд. 2423; труба 4142. Усього 6565.</t>
  </si>
  <si>
    <t>технол.майданчик; частина поверхні димової цегляної труби котельні "43 квартал"</t>
  </si>
  <si>
    <t>м.Торецьк, м. Залізне</t>
  </si>
  <si>
    <t>вул. Пушкіна, 4а</t>
  </si>
  <si>
    <t>тех.майд. 13,2 кв.м.; дим.труба 8,0 кв.м. Усього 21,2 кв.м.</t>
  </si>
  <si>
    <t>Лот № 9 від 24.11.2011р. Протокол конкурса на оренду нежитлових приміщень загальної власності</t>
  </si>
  <si>
    <t>тех.майд. 3457; труба 7811. Усього 11268.</t>
  </si>
  <si>
    <t>ОКП "Донецьктеплокомуненерго" ВО "Димитровтепломережа"</t>
  </si>
  <si>
    <t>03337119/38311229</t>
  </si>
  <si>
    <t>нежитлове вбудоване приміщення; поверхня димової труби котельні</t>
  </si>
  <si>
    <t>вул. Кринична, 46а</t>
  </si>
  <si>
    <t>нежитл.приміщ. 14,0 кв.м.; дим.труба 4,0 кв.м. Усього 18,0 кв.м.</t>
  </si>
  <si>
    <t xml:space="preserve">Лист управл.з питань комун.власн. Донецької облради від 19.06.2013 (остання дата погодження) </t>
  </si>
  <si>
    <t xml:space="preserve">нежитл.приміщ. 49855,00; поверхня дим.труби 10628,00  Усього 60 483,00 </t>
  </si>
  <si>
    <t>вул. Карбишева, 26а</t>
  </si>
  <si>
    <t xml:space="preserve">Лист управл.з питань комун.власн. Донецької облради від 31.01.2013 (остання дата погодження) </t>
  </si>
  <si>
    <t>грудня</t>
  </si>
  <si>
    <t>вересня</t>
  </si>
  <si>
    <t>техн.майд. 11933,00; частина площі дим. труби 10784,00. Усього 22717,00</t>
  </si>
  <si>
    <t>ПрАТ "ВФ Україна"</t>
  </si>
  <si>
    <t>технол.майданчик; частина поверхні димової труби котельні</t>
  </si>
  <si>
    <t>мікр. Молодіжний, 64</t>
  </si>
  <si>
    <t>тех.майд. 28,0 кв.м.; дим.труба 32,0 кв.м. Усього 60,0 кв.м.</t>
  </si>
  <si>
    <t>Протокол № 18 від 02.10.2009</t>
  </si>
  <si>
    <t>оренда нерухомого майна</t>
  </si>
  <si>
    <t>01</t>
  </si>
  <si>
    <t>труба 61605; майд. 9586. Усього 71191.</t>
  </si>
  <si>
    <t>частина даху будівлі котельної; вбудоване нежиле приміщення котельні</t>
  </si>
  <si>
    <t xml:space="preserve"> квартал № 40</t>
  </si>
  <si>
    <t>частина даху 3,0 кв.м.; нежиле приміщення 9,0 кв.м. Усього 12,0 кв.м.</t>
  </si>
  <si>
    <t>Лот № 1  Протокол № 16 конкурса на оренду нежитлових приміщень загальної власності</t>
  </si>
  <si>
    <t>09</t>
  </si>
  <si>
    <t>липня</t>
  </si>
  <si>
    <t>частина даху  11804; нежитл.приміщ. 15962. Усього 27766.</t>
  </si>
  <si>
    <t>частина димової труби котельної ; частина бетонного відмостка</t>
  </si>
  <si>
    <t>вул. Кринична, 46 а</t>
  </si>
  <si>
    <t>частина димової труби 11,0 кв.м.; частина бетонного відмостка 21,0 кв.м. Усього 32,0 кв.м.</t>
  </si>
  <si>
    <t xml:space="preserve">Лист управл.з питань комун.власн. Донецької облради від 15.07.2014 (остання дата погодження) </t>
  </si>
  <si>
    <t>жовтня</t>
  </si>
  <si>
    <t>част.дим.труби 12025; част.бет.відмостка 4772. Усього 16797</t>
  </si>
  <si>
    <t>частина поверхні ствола димової цегляної труби; технологічний майданчик котельні</t>
  </si>
  <si>
    <t>частина пов. ствола димової труби 4,0 кв.м.; техн.майд. 3,64 кв.м. Усього 7,64 кв.м.</t>
  </si>
  <si>
    <t>Протокол від 24.11.2011</t>
  </si>
  <si>
    <t>част.ствола дим.труби 8444; техн.майд. 1087. Усього 9531.</t>
  </si>
  <si>
    <t>ОКП "Донецьктеплокомуненерго" ВО "Костянтинівкатепломережа"</t>
  </si>
  <si>
    <t>03337119/05540860</t>
  </si>
  <si>
    <t>технологічний майданчик; частина площі поверхні димової труби котельні</t>
  </si>
  <si>
    <t>вул. Громова, 34-А</t>
  </si>
  <si>
    <t>технол.майданчик 15,04 кв.м.; частина площі поверхні дим.труби 4,0 кв.м.  Усього 19,04 кв.м.</t>
  </si>
  <si>
    <t>Протокол конкурсу на оренду нежитлових приміщень загальної власності</t>
  </si>
  <si>
    <t>05</t>
  </si>
  <si>
    <t>технол.майд.9236,00; част.площі дим.труби 10226,00. Усього 19462,00.</t>
  </si>
  <si>
    <t>частина поверхні димової труби; технологічний майданчик котельні "1-го мікрорайону"</t>
  </si>
  <si>
    <t xml:space="preserve">вул. Європейська, 58-Б </t>
  </si>
  <si>
    <t>частина поверхні димової труби 12,0 кв.м.; частина технологічного майданчика 18,0 кв.м. Усього 30,0 кв.м.</t>
  </si>
  <si>
    <t>Протокол № 5 від 25.12.2007</t>
  </si>
  <si>
    <t>171-юр</t>
  </si>
  <si>
    <t>труба 9749; майдан. 5468. Усього 15217</t>
  </si>
  <si>
    <t>частина поверхні димової труби; частина технологічного майданчика котельні "12 квартал"</t>
  </si>
  <si>
    <t>вул. Громова, 6-Т</t>
  </si>
  <si>
    <t xml:space="preserve">част.пов. дим.труби 12,8 кв.м.; част.техн.майд. 22,4 кв.м. Усього 35,2 кв.м.  </t>
  </si>
  <si>
    <t>32-юр</t>
  </si>
  <si>
    <t>листопада</t>
  </si>
  <si>
    <t>труба 25764; майдан. 6805. Усього 32569</t>
  </si>
  <si>
    <t>частина поверхні димової труби; частина технологічного майданчика котельні "Білоусова"</t>
  </si>
  <si>
    <t>вул. Білоусова, 6-Б</t>
  </si>
  <si>
    <t xml:space="preserve">част.пов. дим.труби 11,0 кв.м.; част.техн.майд. 10,6 кв.м. Усього 21,6 кв.м.  </t>
  </si>
  <si>
    <t>173-юр</t>
  </si>
  <si>
    <t>труба 10601; майдан. 3220. Усього 13821</t>
  </si>
  <si>
    <t>частина поверхні димової труби; частина технологічного майданчика котельні "Хабаровська"</t>
  </si>
  <si>
    <t>вул. Калмикова, 5-І</t>
  </si>
  <si>
    <t xml:space="preserve">част.пов. дим.труби 12,0 кв.м.; част.техн.майд. 24,0 кв.м. Усього 36,0 кв.м.  </t>
  </si>
  <si>
    <t>172-юр</t>
  </si>
  <si>
    <t>труба 10399; майдан. 7291. Усього 17690</t>
  </si>
  <si>
    <t>частина димової цегляної труби котельні "12 квартал"</t>
  </si>
  <si>
    <t>част.дим.труби 13,0 кв.м.</t>
  </si>
  <si>
    <t>DO 3459</t>
  </si>
  <si>
    <t>труба 23054; Усього 23054</t>
  </si>
  <si>
    <t>частина димової цегляної труби; технологічний майданчик котельні "1-го мікрорайону"</t>
  </si>
  <si>
    <t>част.дим.труби 8,0 кв.м.; техн.майд. 16,0 кв.м. Усього 24,0 кв.м.</t>
  </si>
  <si>
    <t>164-юр</t>
  </si>
  <si>
    <t>труба 9678; майд. 4087. Усього 13765</t>
  </si>
  <si>
    <t>частина димової металевої труби; технологічний майданчик котельні  "Білоусова"</t>
  </si>
  <si>
    <t>част.дим.труби 11,0 кв.м.; техн.майд. 7,84 кв.м. Усього 18,84 кв.м.</t>
  </si>
  <si>
    <t>163-юр</t>
  </si>
  <si>
    <t xml:space="preserve">09 </t>
  </si>
  <si>
    <t>труба 11853; майд. 2015. Усього 13868</t>
  </si>
  <si>
    <t>ОКП "Донецьктеплокомуненерго" ВО "Дружківкатепломережа"</t>
  </si>
  <si>
    <t>03337119/05540853</t>
  </si>
  <si>
    <t>частина димової цегляної труби ; технологічний майданчик котельні № 1</t>
  </si>
  <si>
    <t>вул. О.Кошевого, 1а</t>
  </si>
  <si>
    <t>част.дим.труби 8,0 кв.м.; техн.майд. 6,76 кв.м. Усього 14,76 кв.м.</t>
  </si>
  <si>
    <t>Потокол конкурсу на оренду нежилих приміщень загальної власності ЛОТ 23</t>
  </si>
  <si>
    <t>45-09</t>
  </si>
  <si>
    <t>червня</t>
  </si>
  <si>
    <t>частина димової металевої труби ; місце на даху котельні № 3</t>
  </si>
  <si>
    <t>вул. Нахімова, 13</t>
  </si>
  <si>
    <t>част.дим.труби 8,0 кв.м.; місце на даху 3,0 кв.м. Усього 11,0 кв.м.</t>
  </si>
  <si>
    <t>частина димової металевої труби ; технологічний майданчик котельні №6</t>
  </si>
  <si>
    <t>вул. Рози Люксембург, 38</t>
  </si>
  <si>
    <t>част.дим.труби 8,0 кв.м.; техн.майд. 6,76 кв.м. Усього  14,76 кв.м.</t>
  </si>
  <si>
    <t xml:space="preserve">частина димової цегляної труби; технологічний майданчик котельні №7 </t>
  </si>
  <si>
    <t>вул. Дружби, 84</t>
  </si>
  <si>
    <t xml:space="preserve">частина димової цегляної труби; технологічний майданчик котельні № 8 </t>
  </si>
  <si>
    <t>вул. К.Маркса, 22</t>
  </si>
  <si>
    <t>част.дим.труби 8,0 кв.м.; техн.майд. 7,84 кв.м. Усього 15,84 кв.м.</t>
  </si>
  <si>
    <t>частина поверхні димової труби; частина технологічного майданчика котельні № 2</t>
  </si>
  <si>
    <t>вул. Кошевого, 39-А</t>
  </si>
  <si>
    <t xml:space="preserve">част.дим. Труби 12,0 кв.м.; част.техн.майд. 10,6 кв.м. Усього 22,6 кв.м. </t>
  </si>
  <si>
    <t>труба 23797; майд. 3146. Усього 26943</t>
  </si>
  <si>
    <t>ОКП "Донецьктеплокомуненерго" ВО "Краматорськміжрайтепломережа"</t>
  </si>
  <si>
    <t>03337119/05540936</t>
  </si>
  <si>
    <t xml:space="preserve">технологічний майданчик; частина площі поверхні димової труби котельні 179 кварталу </t>
  </si>
  <si>
    <t>м. Краматорськ</t>
  </si>
  <si>
    <t>вул. О.Вишні, 1а.</t>
  </si>
  <si>
    <t>техн.майд. 15,36 кв.м.; част.димової труби 4,0 кв.м. Усього 19,36 кв.м.</t>
  </si>
  <si>
    <t>Лист Дон.обл.ради № 02-вх1015а112 від 26.12.2006</t>
  </si>
  <si>
    <t>тех.майд. 14269,00; част.дим.труби 10257,00. Усього 24526,00.</t>
  </si>
  <si>
    <t>частина поверхні димової труби; частина технологічного майданчика котельні 179 кварталу</t>
  </si>
  <si>
    <t>част.дим.труби 12,0 кв.м.; част. Техн.майд. 28,0 кв.м. Усього 40,0 кв.м.</t>
  </si>
  <si>
    <t>Лот № 24 від 21.12.2007р. Протокол № 5 конкурса на оренду нежитлових приміщень загальної власності</t>
  </si>
  <si>
    <t xml:space="preserve">майд. 11601; труба 19097. Усього 30698 </t>
  </si>
  <si>
    <t>частина поверхні димової труби; частина технологічного майданчика котельні сел. Новий Світ</t>
  </si>
  <si>
    <t>вул. Центральна, 1-а</t>
  </si>
  <si>
    <t>част.дим.труби 11,0 кв.м.; техн.майд. 19,2 кв.м. Усього 30,2 кв.м.</t>
  </si>
  <si>
    <t>Лот № 21 від 21.12.2007р. Протокол № 5 конкурса на оренду нежитлових приміщень загальної власності</t>
  </si>
  <si>
    <t xml:space="preserve">майд. 5205; труба 19595. Усього 24800 </t>
  </si>
  <si>
    <t xml:space="preserve">частина поверхні димової труби; частина технологічного майданчика котельні </t>
  </si>
  <si>
    <t>вул. Першого Травня</t>
  </si>
  <si>
    <t>част.дим.труби 11,0 кв.м.; част.техн.майд. 24,0 кв.м. Усього 35,0 кв.м.</t>
  </si>
  <si>
    <t>Лот № 23 від 21.12.2007р. Протокол № 5 конкурса на оренду нежитлових приміщень загальної власності</t>
  </si>
  <si>
    <t xml:space="preserve">21 </t>
  </si>
  <si>
    <t>частина поверхні димової труби; частина технологічного майданчика котельні "174 кварталу"</t>
  </si>
  <si>
    <t>вул. Ювілейна</t>
  </si>
  <si>
    <t>Лот № 25 від 21.12.2007р. Протокол № 5 конкурса на оренду нежитлових приміщень загальної власності</t>
  </si>
  <si>
    <t>майд. 12418; труба 19115. Усього 31533</t>
  </si>
  <si>
    <t>частина димової цегляної труби; технологічний майданчик котельні 174 кварталу</t>
  </si>
  <si>
    <t>Лот № 26 від 28.08.2007р. Протокол № 3 конкурса на оренду нежитлових приміщень загальної власності</t>
  </si>
  <si>
    <t>серпня</t>
  </si>
  <si>
    <t>ОКП "Донецьктеплокомуненерго" ВО "Слов'янськтепломережа"</t>
  </si>
  <si>
    <t>03337119/05540965</t>
  </si>
  <si>
    <t>вул. Комяхова, 51а.</t>
  </si>
  <si>
    <t>Лист Дон.обл.ради № 02-вх1017а/12 від 26.12.2006</t>
  </si>
  <si>
    <t>б\н</t>
  </si>
  <si>
    <t>техн.майд. 11537; частина труби 10829. Усього 22366</t>
  </si>
  <si>
    <t>ПП "ТРК "ОЛИС"</t>
  </si>
  <si>
    <t>нежитлові вбудовані приміщення теплового пункту № 2</t>
  </si>
  <si>
    <t>вул. Олімпійська, 5б.</t>
  </si>
  <si>
    <t>розміщення технічних засобів мовлення</t>
  </si>
  <si>
    <t>49,4 кв.м.</t>
  </si>
  <si>
    <t>Протокол конкурсу № 25 від 10.02.2011</t>
  </si>
  <si>
    <t>частина вбудованого приміщення теплового пункту № 2</t>
  </si>
  <si>
    <t>7,36 кв.м.</t>
  </si>
  <si>
    <t>ЕТ-10-06347</t>
  </si>
  <si>
    <t>частина поверхні димової труби; частина технічного майданчика котельні № 9</t>
  </si>
  <si>
    <t>пров. Батюка, 7а</t>
  </si>
  <si>
    <t>част.дим.труби 11 кв.м.; техн.майд. 20 кв.м. Усього 31 кв.м.</t>
  </si>
  <si>
    <t>ЕТ-10-06335</t>
  </si>
  <si>
    <t>труба 24466; майд. 4025. Усього 28491</t>
  </si>
  <si>
    <t>частина поверхні димової труби котельні</t>
  </si>
  <si>
    <t>вул. Університетська, 48</t>
  </si>
  <si>
    <t>част.димової труби 12,0 кв.м.</t>
  </si>
  <si>
    <t>частина поверхні димової труби; частина технічного майданчика котельні № 3</t>
  </si>
  <si>
    <t>вул. Бульварна,15</t>
  </si>
  <si>
    <t>част.труби 11 кв.м.; част.техн.майд. 20,0 кв.м. Усього 31 кв.м.</t>
  </si>
  <si>
    <t>ЕТ-10-06346</t>
  </si>
  <si>
    <t>частина поверхні димової труби котельні № 19</t>
  </si>
  <si>
    <t>вул. Свободи, 36а.</t>
  </si>
  <si>
    <t>частина труби 11,0 кв.м.</t>
  </si>
  <si>
    <t>ЕТ-10-06341</t>
  </si>
  <si>
    <t>частина поверхні димової труби ; частина технологічного майданчика котельні № 25 "Святі гори"</t>
  </si>
  <si>
    <t>пансіонат "Святі гори"</t>
  </si>
  <si>
    <t>част.повер.димов.труби 12,0 кв.м.; част.техн.майд. 25,0 кв.м. Усього 37 кв.м.</t>
  </si>
  <si>
    <t>Протокол конкурсу № 19 від 18.11.2009</t>
  </si>
  <si>
    <t>труба 28358; майд. 7965. Усього 36323</t>
  </si>
  <si>
    <t>частина поверхні димової труби; частина технічного майданчика котельні № 10</t>
  </si>
  <si>
    <t>вул. Корольова, 23а</t>
  </si>
  <si>
    <t>част.пов.дим.труби 11,0 кв.м.; част.техн.майд. 20,0 кв.м. Усього 31,0 кв.м.</t>
  </si>
  <si>
    <t>ЕТ-10-06349</t>
  </si>
  <si>
    <t>частина димової цегляної труби; технологічний майданчик котельні № 20</t>
  </si>
  <si>
    <t>вул. Корнійчука, 51</t>
  </si>
  <si>
    <t>част.дим.труби 11,0 кв.м.; техн.майд. 3,64 кв.м. Усього 14,64 кв.м.</t>
  </si>
  <si>
    <t>Лот № 10 Протокол № 4 конкурсу на оренду нежитлових приміщень загальної власності</t>
  </si>
  <si>
    <t>труба 14469; майд. 1135. Усього 15604</t>
  </si>
  <si>
    <t>частина димової цегляної труби; технологічний майданчик котельні № 19</t>
  </si>
  <si>
    <t>вул. Свободи, 36 б.</t>
  </si>
  <si>
    <t>Лот № 18 Протокол № 12 конкурсу на оренду нежитлових приміщень загальної власності</t>
  </si>
  <si>
    <t>труба 10510; майд. 2720. Усього 13230</t>
  </si>
  <si>
    <t>частина димової труби; технологічний майданчик котельні № 3</t>
  </si>
  <si>
    <t>вул. Бульварна, 15</t>
  </si>
  <si>
    <t>част.дим.труби 11,0 кв.м.; техн.майд. 9,0 кв.м. Усього 20,0 кв.м.</t>
  </si>
  <si>
    <t>Лот № 36 Протокол № 25 від 10.02.2011р.  конкурсу на оренду нежитлових приміщень загальної власності</t>
  </si>
  <si>
    <t>труба 12651; майд. 2524. Усього 15175</t>
  </si>
  <si>
    <t>частина димової цегляної труби; технологічний майданчик котельні № 9</t>
  </si>
  <si>
    <t>вул. Батюка, 7а</t>
  </si>
  <si>
    <t>Лот № 17 Протокол № 12  конкурсу на оренду нежитлових приміщень загальної власності</t>
  </si>
  <si>
    <t>труба 10510; майд. 2786. Усього 13296</t>
  </si>
  <si>
    <t>ОКП "Донецьктеплокомуненерго" ВО "Святогірське багатогалузеве комунальне господарство"</t>
  </si>
  <si>
    <t>03337119/36011148</t>
  </si>
  <si>
    <t>нежитлове вбудоване приміщення водонасосної станції</t>
  </si>
  <si>
    <t>Слов'янський район, м. Святогірськ, с. Тетянівка</t>
  </si>
  <si>
    <t>вул. Садова, 11 а</t>
  </si>
  <si>
    <t>17,18 кв.м.</t>
  </si>
  <si>
    <t>Лот № 7 Протокол № 20 від 22.12.2009р. конкурсу на оренду нежитлових приміщень загальної власності</t>
  </si>
  <si>
    <t>нежитлове приміщення; частина замощення водонасосної станції</t>
  </si>
  <si>
    <t xml:space="preserve">нежитл.приміщ. 16,0 кв.м.; частина замощення 12,0 кв.м. Усього 28,0 кв.м. </t>
  </si>
  <si>
    <t>Лот № 24 Протокол № 15  конкурсу на оренду нежитлових приміщень загальної власності</t>
  </si>
  <si>
    <t xml:space="preserve">нежитл.приміщ. 19442; замощення 3196.  Усього 22638 </t>
  </si>
  <si>
    <t>частина вбудованого нежитлового приміщення водонасосної станції</t>
  </si>
  <si>
    <t>18,0 кв.м.</t>
  </si>
  <si>
    <t>Лот № 13 Протокол № 21  конкурсу на оренду нежитлових приміщень загальної власності</t>
  </si>
  <si>
    <t>ОКП "Донецьктеплокомуненерго" ВО "Краснолиманська тепломережа"</t>
  </si>
  <si>
    <t>03337119/25670552</t>
  </si>
  <si>
    <t>частина поверхні димової труби; частина технологічного майданчика котельні № 35</t>
  </si>
  <si>
    <t>м. Сіверськ, Бахмутського району</t>
  </si>
  <si>
    <t>пров. Заводський, 1</t>
  </si>
  <si>
    <t>част.дим.труби 37,4 кв.м.; част.техн.майд. 15,36 кв.м. Усього 52,76 кв.м.</t>
  </si>
  <si>
    <t>Протокол засід.конкурс.комісії на право оренди майна загальної влансоті від 27.02.2014р.</t>
  </si>
  <si>
    <t>37/2014</t>
  </si>
  <si>
    <t>труба 45256; техн.майд. 5835. Усього 51091.</t>
  </si>
  <si>
    <t xml:space="preserve">Міськрайонне управління Держгеокадастру у м. Красний Лиман та Краснолиманському районі Донецької області  </t>
  </si>
  <si>
    <t>нежитлове приміщення</t>
  </si>
  <si>
    <t>вул. Л.Бикова, 2 а.</t>
  </si>
  <si>
    <t>розміщення офісних приміщень</t>
  </si>
  <si>
    <t xml:space="preserve">Лист Донецької облради від 14.11.2006р. № вх865а/11кс </t>
  </si>
  <si>
    <t>--------</t>
  </si>
  <si>
    <t>бюджетна організація - оцінка не проводиться</t>
  </si>
  <si>
    <t>03337119/</t>
  </si>
  <si>
    <t>Первинна профспілкова організація  обласного комунального підприємства "Донецьктеплокомуненерго"</t>
  </si>
  <si>
    <t>частини будівель бази відпочинку  "Юність"</t>
  </si>
  <si>
    <t>Лиманський район, с. Щурове</t>
  </si>
  <si>
    <t>вул. Соборна, 137</t>
  </si>
  <si>
    <t>оздоровлення та організація досуга дітей та їх батьків (інше використання нерухоммого майна)</t>
  </si>
  <si>
    <t>Наказ  Управління з питань майна комунальної власності Донецької ОДА  № 91 від 28.04.2002р.</t>
  </si>
  <si>
    <t>квітня</t>
  </si>
  <si>
    <t>ФОРМА  6</t>
  </si>
  <si>
    <t>Орендодавець</t>
  </si>
  <si>
    <t>Договір оренди</t>
  </si>
  <si>
    <t>Надходження  орендної плати, грн.</t>
  </si>
  <si>
    <t>Надходження орендної плати  за поточний рік з поквартальною розбивкою, грн.</t>
  </si>
  <si>
    <t>Заборго-ваність по орендній платі, грн.</t>
  </si>
  <si>
    <t>Вжиті заходи по стягнен-ню заборго-ваності</t>
  </si>
  <si>
    <t>Попередній рік</t>
  </si>
  <si>
    <t>Поточний рік</t>
  </si>
  <si>
    <t xml:space="preserve">I квартал       </t>
  </si>
  <si>
    <t xml:space="preserve">II квартал      </t>
  </si>
  <si>
    <t xml:space="preserve">III квартал </t>
  </si>
  <si>
    <t xml:space="preserve">IV квартал </t>
  </si>
  <si>
    <t xml:space="preserve">Назва </t>
  </si>
  <si>
    <t xml:space="preserve">Код  ЄДРПОУ </t>
  </si>
  <si>
    <t xml:space="preserve">Код  ЄДРПОУ (РНОКПП) </t>
  </si>
  <si>
    <t>Дата укладення</t>
  </si>
  <si>
    <t>Всього</t>
  </si>
  <si>
    <t>у т.ч. до обласного бюджету</t>
  </si>
  <si>
    <t>квартал № 40</t>
  </si>
  <si>
    <t>нежитлові вбудовані приміщення теплового пункту</t>
  </si>
  <si>
    <t>оренднаа плата бюдж.установі визначена 1 грн. на рік . Рахунок виставляється до 15 січня року, наступного за звітним.</t>
  </si>
  <si>
    <t>Комунальне підприємство по обслуговуванню адміністративних будинків</t>
  </si>
  <si>
    <t>Комунальне підприємство "Донецький центр підготовки персоналу"</t>
  </si>
  <si>
    <t xml:space="preserve">стовбик 26 "дата погодження розміру орендної плати":  в даному стовбці в деяких містах вказано позначку ХХХ - тобто, розмір орендної плати при продовженні строків договорів оренди майна управлінням з питань майна комун.власності Донецької облради  додатково не погоджувався.  </t>
  </si>
  <si>
    <t>Оренда індивідуально визначеного майна</t>
  </si>
  <si>
    <t>Розпорядження голови облдержадміністрації  від 30.11.2017р. №1589/5-17</t>
  </si>
  <si>
    <t xml:space="preserve">Майно передається в оренду з метою можливості забезпечення Орендарем збору та вивезення твердих побутових відходів в м. Святогірськ.  </t>
  </si>
  <si>
    <t>х</t>
  </si>
  <si>
    <t>контейнери для сміття в кількості 38 шт.</t>
  </si>
  <si>
    <t xml:space="preserve">Святогірська міська рада, </t>
  </si>
  <si>
    <t>майд. 5264; труба 16780. Усього 22044,00</t>
  </si>
  <si>
    <t>майд. 7241; труба 16468. Усього 23709</t>
  </si>
  <si>
    <t>труба 24988; майд. 5033. Усього 30021</t>
  </si>
  <si>
    <t>труба 17856; майд. 2715. Усього 20571</t>
  </si>
  <si>
    <t>труба 14295; майд. 2715. Усього 17010</t>
  </si>
  <si>
    <t>труба 13417; місце на даху 4879. Усього 18296</t>
  </si>
  <si>
    <t>труба 17208; майд. 2715. Усього 19923</t>
  </si>
  <si>
    <t xml:space="preserve">  діючих договорів оренди (позички) рухомого та нерухомого майна спільної власності  станом на  01   січня 2018 року</t>
  </si>
  <si>
    <t>ІНФОРМАЦІЯ
про надходження до обласного бюджету коштів від оренди майна спільної власності  станом на  01 січня 2018 року</t>
  </si>
  <si>
    <t>Департамент житлово-комунального господарства облдержадміністрації</t>
  </si>
  <si>
    <t>Вартість основних засобів, тис. грн</t>
  </si>
  <si>
    <t xml:space="preserve">Інвентарний № </t>
  </si>
  <si>
    <t>м.Добропілля</t>
  </si>
  <si>
    <r>
      <rPr>
        <sz val="12"/>
        <rFont val="Times New Roman"/>
        <family val="1"/>
        <charset val="204"/>
      </rPr>
      <t>КП «Компанія «Вода Донбасу» Слов</t>
    </r>
    <r>
      <rPr>
        <sz val="12"/>
        <rFont val="Times New Roman"/>
        <family val="1"/>
        <charset val="204"/>
      </rPr>
      <t>'янське РВУ</t>
    </r>
  </si>
  <si>
    <t>00191678 / 35397869</t>
  </si>
  <si>
    <t>ФОП Сисюк Г.І.</t>
  </si>
  <si>
    <t>нежитлова будівля магазину з ганком</t>
  </si>
  <si>
    <r>
      <rPr>
        <sz val="12"/>
        <color rgb="FF000000"/>
        <rFont val="Times New Roman"/>
        <family val="1"/>
        <charset val="204"/>
      </rPr>
      <t>сел.Донецьке, Слов</t>
    </r>
    <r>
      <rPr>
        <sz val="12"/>
        <color rgb="FF000000"/>
        <rFont val="Times New Roman"/>
        <family val="1"/>
        <charset val="204"/>
      </rPr>
      <t>'янський р-н</t>
    </r>
  </si>
  <si>
    <t>вул. Пушкінська, 5</t>
  </si>
  <si>
    <r>
      <rPr>
        <sz val="12"/>
        <color rgb="FF000000"/>
        <rFont val="Times New Roman"/>
        <family val="1"/>
        <charset val="204"/>
      </rPr>
      <t>розміщення торгівельного об</t>
    </r>
    <r>
      <rPr>
        <sz val="12"/>
        <color rgb="FF000000"/>
        <rFont val="Times New Roman"/>
        <family val="1"/>
        <charset val="204"/>
      </rPr>
      <t>'єкту</t>
    </r>
  </si>
  <si>
    <t>протокол засідання конкурсної комісії на право оренди майна спільної власності від 13.06.2013</t>
  </si>
  <si>
    <t>договір оренди нежитлового приміщення</t>
  </si>
  <si>
    <t>червень</t>
  </si>
  <si>
    <t>грудень</t>
  </si>
  <si>
    <r>
      <rPr>
        <sz val="12"/>
        <rFont val="Times New Roman"/>
        <family val="1"/>
        <charset val="204"/>
      </rPr>
      <t>8</t>
    </r>
    <r>
      <rPr>
        <sz val="12"/>
        <rFont val="Times New Roman"/>
        <family val="1"/>
        <charset val="204"/>
      </rPr>
      <t>% (97,49м²); 18% (9,91м²)</t>
    </r>
  </si>
  <si>
    <r>
      <rPr>
        <sz val="12"/>
        <rFont val="Times New Roman"/>
        <family val="1"/>
        <charset val="204"/>
      </rPr>
      <t>КП «Компанія «Вода Донбасу» Маріуполь</t>
    </r>
    <r>
      <rPr>
        <sz val="12"/>
        <rFont val="Times New Roman"/>
        <family val="1"/>
        <charset val="204"/>
      </rPr>
      <t>ське РВУ</t>
    </r>
  </si>
  <si>
    <t>00191678 / 35397832</t>
  </si>
  <si>
    <t>ПАТ «Укрпошта»</t>
  </si>
  <si>
    <t>сел. Каменськ</t>
  </si>
  <si>
    <t>вул. Каменська, 38</t>
  </si>
  <si>
    <r>
      <rPr>
        <sz val="12"/>
        <color rgb="FF000000"/>
        <rFont val="Times New Roman"/>
        <family val="1"/>
        <charset val="204"/>
      </rPr>
      <t>розміщення відділення поштового зв</t>
    </r>
    <r>
      <rPr>
        <sz val="12"/>
        <color rgb="FF000000"/>
        <rFont val="Times New Roman"/>
        <family val="1"/>
        <charset val="204"/>
      </rPr>
      <t>'</t>
    </r>
    <r>
      <rPr>
        <sz val="12"/>
        <color rgb="FF000000"/>
        <rFont val="Times New Roman"/>
        <family val="1"/>
        <charset val="204"/>
      </rPr>
      <t>язку</t>
    </r>
  </si>
  <si>
    <t>лист Управління з питань майна комунальної власності від 11.02.2013 №02вх.01-29кс/02</t>
  </si>
  <si>
    <t>березень</t>
  </si>
  <si>
    <t xml:space="preserve">Донецька ОДА листом від 16.02.2012 №06/14я-0375 повідомляє про оренду за тарифами для бюджетних установ 1 грн на рік. </t>
  </si>
  <si>
    <t>КП «Компанія «Вода Донбасу» Красноармійське РВУ</t>
  </si>
  <si>
    <t>00191678 / 35397811</t>
  </si>
  <si>
    <t>ГУ Держпраці у Донецькій області</t>
  </si>
  <si>
    <t>м. Покровськ</t>
  </si>
  <si>
    <t>вул. Захисників України, 11</t>
  </si>
  <si>
    <t>розміщення відділу розслідувань, аналізу та обліку аварій та виробничого травматизму</t>
  </si>
  <si>
    <t>Розпорядження голови облдержадміністрації керівника обласної війського-цивільної адміністрації від 04.07.2016  № 545</t>
  </si>
  <si>
    <t>договір оренди нерухомого майна</t>
  </si>
  <si>
    <t>17-04а</t>
  </si>
  <si>
    <t>серпень</t>
  </si>
  <si>
    <t>липень</t>
  </si>
  <si>
    <t>Акт оцінки затв.розпорядженням голови ОДА 29.09.2016 № 866 (станом на 31.08.2016)</t>
  </si>
  <si>
    <t>орендар є бюджетною установою</t>
  </si>
  <si>
    <r>
      <rPr>
        <sz val="12"/>
        <rFont val="Times New Roman"/>
        <family val="1"/>
        <charset val="204"/>
      </rPr>
      <t>КП «Компанія «Вода Донбасу» Селидовське</t>
    </r>
    <r>
      <rPr>
        <sz val="12"/>
        <rFont val="Times New Roman"/>
        <family val="1"/>
        <charset val="204"/>
      </rPr>
      <t xml:space="preserve"> ВУВКГ</t>
    </r>
  </si>
  <si>
    <t>00191678 / 35580927</t>
  </si>
  <si>
    <t>ПАТ «ВФ Україна»</t>
  </si>
  <si>
    <t>вбудоване приміщення водонапірної вежі та частина споруди вежі</t>
  </si>
  <si>
    <t>вул. Енгельса, 27а</t>
  </si>
  <si>
    <t>розташування обладнання базових станцій</t>
  </si>
  <si>
    <t>25,36  (8,36 та 17,0)</t>
  </si>
  <si>
    <t>протокол конкурсу на оренду нежитлових приміщень спільної власності від 30.04.2009 № 14</t>
  </si>
  <si>
    <t>01/04</t>
  </si>
  <si>
    <t>квітень</t>
  </si>
  <si>
    <t>6,11 та 26,98</t>
  </si>
  <si>
    <t>КП «Компанія «Вода Донбасу» Добропільське ВУВКГ</t>
  </si>
  <si>
    <t>00191678 / 35581061</t>
  </si>
  <si>
    <t>Громадська організація «Добропільська міська рада ветеранів Афганістану»</t>
  </si>
  <si>
    <t>вбудоване нежитлове приміщення</t>
  </si>
  <si>
    <t>вул. Луганського, 2</t>
  </si>
  <si>
    <t>розміщення громадської організації</t>
  </si>
  <si>
    <t xml:space="preserve">протокол конкурсу на оренду нежитлових приміщень спільної власності від 10.2010; лист Управління з питань майна комунальної власності від 20.12.2010 № 02вх.01-1012кс/10  </t>
  </si>
  <si>
    <t>Директор департаменту                                                                              О.Л.Баранник</t>
  </si>
  <si>
    <r>
      <rPr>
        <sz val="12"/>
        <rFont val="Times New Roman"/>
        <family val="1"/>
        <charset val="204"/>
      </rPr>
      <t>КП «Компанія «Вода Донбасу» Слов</t>
    </r>
    <r>
      <rPr>
        <sz val="12"/>
        <rFont val="Times New Roman"/>
        <family val="1"/>
        <charset val="204"/>
      </rPr>
      <t>'янське РВУ</t>
    </r>
  </si>
  <si>
    <r>
      <rPr>
        <sz val="12"/>
        <color rgb="FF000000"/>
        <rFont val="Times New Roman"/>
        <family val="1"/>
        <charset val="204"/>
      </rPr>
      <t>сел.Донецьке, Слов</t>
    </r>
    <r>
      <rPr>
        <sz val="12"/>
        <color rgb="FF000000"/>
        <rFont val="Times New Roman"/>
        <family val="1"/>
        <charset val="204"/>
      </rPr>
      <t>'янський р-н</t>
    </r>
  </si>
  <si>
    <t>за вересень 2017 року</t>
  </si>
  <si>
    <t xml:space="preserve">за договором орендна плата перераховується до 15 числа місяця, наступного за звітним </t>
  </si>
  <si>
    <r>
      <rPr>
        <sz val="12"/>
        <rFont val="Times New Roman"/>
        <family val="1"/>
        <charset val="204"/>
      </rPr>
      <t>КП «Компанія «Вода Донбасу» Маріуполь</t>
    </r>
    <r>
      <rPr>
        <sz val="12"/>
        <rFont val="Times New Roman"/>
        <family val="1"/>
        <charset val="204"/>
      </rPr>
      <t>ське РВУ</t>
    </r>
  </si>
  <si>
    <r>
      <rPr>
        <sz val="12"/>
        <rFont val="Times New Roman"/>
        <family val="1"/>
        <charset val="204"/>
      </rPr>
      <t>КП «Компанія «Вода Донбасу» Селидовське</t>
    </r>
    <r>
      <rPr>
        <sz val="12"/>
        <rFont val="Times New Roman"/>
        <family val="1"/>
        <charset val="204"/>
      </rPr>
      <t xml:space="preserve"> ВУВКГ</t>
    </r>
  </si>
  <si>
    <t>нагадано про заборгованість</t>
  </si>
  <si>
    <t xml:space="preserve">У I та II кв.2017 року перераховано до обл.бюджету 50% отриманої орендної плати за II, III, IV кв. 2016 року та I кв. 2017 року. </t>
  </si>
  <si>
    <t>усі договори оренди розторгнуті</t>
  </si>
  <si>
    <t>Директор департаменту                                                                               О.Л.Баранник</t>
  </si>
  <si>
    <t>Назва об’єкта згідно з технічною документацією (в т.ч. земельна ділянка)</t>
  </si>
  <si>
    <t>Технічні показники</t>
  </si>
  <si>
    <t>Одиниця виміру (кв.м, куб.м, пог.м, од. тощо)</t>
  </si>
  <si>
    <t>Кількість</t>
  </si>
  <si>
    <t>Загальна інформація</t>
  </si>
  <si>
    <t>Адміністративна будівля</t>
  </si>
  <si>
    <t>Гуртожиток</t>
  </si>
  <si>
    <t>м. Часів Яр</t>
  </si>
  <si>
    <t>Огороджування складу</t>
  </si>
  <si>
    <t xml:space="preserve">Теплотраса  "МКР "Північний" </t>
  </si>
  <si>
    <t>Теплотраса котельні Островського</t>
  </si>
  <si>
    <t>Споруда для складування</t>
  </si>
  <si>
    <t>Споруда металева для складування солі котельні № 9</t>
  </si>
  <si>
    <t>Будівля котельні № 7</t>
  </si>
  <si>
    <t>Будівля котельні № 6</t>
  </si>
  <si>
    <t>Будівля котельні № 3</t>
  </si>
  <si>
    <t xml:space="preserve">Споруда підземного резервуару для запасу води </t>
  </si>
  <si>
    <t xml:space="preserve">Споруда резервуару для запасу води котельні "Центральна № 2" </t>
  </si>
  <si>
    <t xml:space="preserve">Будівля автомобільних боксів   </t>
  </si>
  <si>
    <t xml:space="preserve">Будівля складських боксів    </t>
  </si>
  <si>
    <t xml:space="preserve">Споруда сольового складу котельні "Центральна, № 1, 2" </t>
  </si>
  <si>
    <t xml:space="preserve">Будівля цеха   </t>
  </si>
  <si>
    <t xml:space="preserve">Будівля контори </t>
  </si>
  <si>
    <t xml:space="preserve">Будівля АБК   </t>
  </si>
  <si>
    <t xml:space="preserve">Будівля  ЦТП " Висотний"   </t>
  </si>
  <si>
    <t xml:space="preserve">Модульна котельня "Спецінтернат" </t>
  </si>
  <si>
    <t xml:space="preserve">Будівля котельні "Дитяча лікарня"  </t>
  </si>
  <si>
    <t xml:space="preserve">Будівля котельні "Краснодарська"  </t>
  </si>
  <si>
    <t xml:space="preserve">Будівля котельні "81 - 92 квартал"  </t>
  </si>
  <si>
    <t xml:space="preserve">Будівля котельні  "Калмикова-Хабаровська" </t>
  </si>
  <si>
    <t xml:space="preserve">10370012 </t>
  </si>
  <si>
    <t>Приміщення для охорони</t>
  </si>
  <si>
    <t xml:space="preserve">10370011 </t>
  </si>
  <si>
    <t>Адміністративно-побутовий комплекс</t>
  </si>
  <si>
    <t xml:space="preserve">10310302 </t>
  </si>
  <si>
    <t xml:space="preserve">Резервуар </t>
  </si>
  <si>
    <t xml:space="preserve">10330262 </t>
  </si>
  <si>
    <t>Резервуар</t>
  </si>
  <si>
    <t xml:space="preserve">10342025 </t>
  </si>
  <si>
    <t xml:space="preserve">10342024 </t>
  </si>
  <si>
    <t xml:space="preserve">10310026 </t>
  </si>
  <si>
    <t xml:space="preserve">10310017 </t>
  </si>
  <si>
    <t xml:space="preserve">10340020 </t>
  </si>
  <si>
    <t xml:space="preserve">10310019 </t>
  </si>
  <si>
    <t xml:space="preserve">10310025 </t>
  </si>
  <si>
    <t xml:space="preserve">10310018 </t>
  </si>
  <si>
    <t xml:space="preserve">10340084 </t>
  </si>
  <si>
    <t xml:space="preserve">10310085 </t>
  </si>
  <si>
    <t xml:space="preserve">10330075 </t>
  </si>
  <si>
    <t xml:space="preserve">10310028 </t>
  </si>
  <si>
    <t xml:space="preserve">10310030 </t>
  </si>
  <si>
    <t xml:space="preserve">10310029 </t>
  </si>
  <si>
    <t xml:space="preserve">10310458 </t>
  </si>
  <si>
    <t xml:space="preserve">10310059 </t>
  </si>
  <si>
    <t xml:space="preserve">10310023 </t>
  </si>
  <si>
    <t xml:space="preserve">10310027 </t>
  </si>
  <si>
    <t xml:space="preserve">10340022 </t>
  </si>
  <si>
    <t xml:space="preserve">10340023 </t>
  </si>
  <si>
    <t xml:space="preserve">10340024 </t>
  </si>
  <si>
    <t xml:space="preserve">10330028 </t>
  </si>
  <si>
    <t xml:space="preserve">10310127 </t>
  </si>
  <si>
    <t xml:space="preserve">10310006 </t>
  </si>
  <si>
    <t xml:space="preserve">10310022 </t>
  </si>
  <si>
    <t xml:space="preserve">10340021 </t>
  </si>
  <si>
    <t xml:space="preserve">10350080 </t>
  </si>
  <si>
    <t xml:space="preserve">10350079 </t>
  </si>
  <si>
    <t xml:space="preserve">10350077 </t>
  </si>
  <si>
    <t xml:space="preserve">10350076 </t>
  </si>
  <si>
    <t xml:space="preserve">10350078 </t>
  </si>
  <si>
    <t xml:space="preserve">10350075 </t>
  </si>
  <si>
    <t>Огорожа котельні</t>
  </si>
  <si>
    <t xml:space="preserve">10350084 </t>
  </si>
  <si>
    <t xml:space="preserve">10350074 </t>
  </si>
  <si>
    <t xml:space="preserve">10350073 </t>
  </si>
  <si>
    <t xml:space="preserve">10350072 </t>
  </si>
  <si>
    <t xml:space="preserve">10310216 </t>
  </si>
  <si>
    <t>Будівля ПММ</t>
  </si>
  <si>
    <t xml:space="preserve">10310338 </t>
  </si>
  <si>
    <t xml:space="preserve">10310236 </t>
  </si>
  <si>
    <t xml:space="preserve">10310226 </t>
  </si>
  <si>
    <t xml:space="preserve">10310211 </t>
  </si>
  <si>
    <t>Котельня ЦРЛ</t>
  </si>
  <si>
    <t xml:space="preserve">10310235 </t>
  </si>
  <si>
    <t xml:space="preserve">10310076 </t>
  </si>
  <si>
    <t xml:space="preserve">10310237 </t>
  </si>
  <si>
    <t xml:space="preserve">10310312 </t>
  </si>
  <si>
    <t xml:space="preserve">10310234 </t>
  </si>
  <si>
    <t xml:space="preserve">10310233 </t>
  </si>
  <si>
    <t xml:space="preserve">10310225 </t>
  </si>
  <si>
    <t xml:space="preserve">10310214 </t>
  </si>
  <si>
    <t xml:space="preserve">10310224 </t>
  </si>
  <si>
    <t xml:space="preserve">10310223 </t>
  </si>
  <si>
    <t xml:space="preserve">10310219 </t>
  </si>
  <si>
    <t xml:space="preserve">10310241 </t>
  </si>
  <si>
    <t xml:space="preserve">10310311 </t>
  </si>
  <si>
    <t xml:space="preserve">10310242 </t>
  </si>
  <si>
    <t xml:space="preserve">10310215 </t>
  </si>
  <si>
    <t>Котельня ПТУ</t>
  </si>
  <si>
    <t xml:space="preserve">10330186 </t>
  </si>
  <si>
    <t xml:space="preserve">10310232 </t>
  </si>
  <si>
    <t xml:space="preserve">10310218 </t>
  </si>
  <si>
    <t xml:space="preserve">10310217 </t>
  </si>
  <si>
    <t xml:space="preserve">10310228 </t>
  </si>
  <si>
    <t xml:space="preserve">10310412 </t>
  </si>
  <si>
    <t xml:space="preserve">10310231 </t>
  </si>
  <si>
    <t xml:space="preserve">10310230 </t>
  </si>
  <si>
    <t xml:space="preserve">10310229 </t>
  </si>
  <si>
    <t xml:space="preserve">10310220 </t>
  </si>
  <si>
    <t xml:space="preserve">10310212 </t>
  </si>
  <si>
    <t>Котельня Північна</t>
  </si>
  <si>
    <t xml:space="preserve">10310073 </t>
  </si>
  <si>
    <t xml:space="preserve">10310072 </t>
  </si>
  <si>
    <t xml:space="preserve">10310071 </t>
  </si>
  <si>
    <t xml:space="preserve">10310070 </t>
  </si>
  <si>
    <t xml:space="preserve">10310069 </t>
  </si>
  <si>
    <t xml:space="preserve">10310068 </t>
  </si>
  <si>
    <t xml:space="preserve">10310075 </t>
  </si>
  <si>
    <t xml:space="preserve">10310074 </t>
  </si>
  <si>
    <t xml:space="preserve">10310067 </t>
  </si>
  <si>
    <t xml:space="preserve">10310359 </t>
  </si>
  <si>
    <t xml:space="preserve">10310227 </t>
  </si>
  <si>
    <t xml:space="preserve">10310308 </t>
  </si>
  <si>
    <t xml:space="preserve">10310309 </t>
  </si>
  <si>
    <t xml:space="preserve">10310213 </t>
  </si>
  <si>
    <t>Котельня 17</t>
  </si>
  <si>
    <t xml:space="preserve">10310118 </t>
  </si>
  <si>
    <t xml:space="preserve">10310121 </t>
  </si>
  <si>
    <t xml:space="preserve">10310104 </t>
  </si>
  <si>
    <t xml:space="preserve">10310114 </t>
  </si>
  <si>
    <t xml:space="preserve">10310112 </t>
  </si>
  <si>
    <t xml:space="preserve">10310111 </t>
  </si>
  <si>
    <t xml:space="preserve">10310110 </t>
  </si>
  <si>
    <t xml:space="preserve">10310117 </t>
  </si>
  <si>
    <t xml:space="preserve">10310341 </t>
  </si>
  <si>
    <t xml:space="preserve">10310120 </t>
  </si>
  <si>
    <t xml:space="preserve">10310305 </t>
  </si>
  <si>
    <t xml:space="preserve">10310106 </t>
  </si>
  <si>
    <t xml:space="preserve">10310116 </t>
  </si>
  <si>
    <t xml:space="preserve">10310115 </t>
  </si>
  <si>
    <t xml:space="preserve">10330137 </t>
  </si>
  <si>
    <t xml:space="preserve">10310304 </t>
  </si>
  <si>
    <t xml:space="preserve">10310119 </t>
  </si>
  <si>
    <t xml:space="preserve">10310105 </t>
  </si>
  <si>
    <t>Котельня  29</t>
  </si>
  <si>
    <t xml:space="preserve">10310209 </t>
  </si>
  <si>
    <t xml:space="preserve">10310240 </t>
  </si>
  <si>
    <t xml:space="preserve">10310122 </t>
  </si>
  <si>
    <t xml:space="preserve">10310109 </t>
  </si>
  <si>
    <t xml:space="preserve">10310113 </t>
  </si>
  <si>
    <t xml:space="preserve">10310108 </t>
  </si>
  <si>
    <t xml:space="preserve">10310123 </t>
  </si>
  <si>
    <t xml:space="preserve">10346030 </t>
  </si>
  <si>
    <t xml:space="preserve">10316010 </t>
  </si>
  <si>
    <t xml:space="preserve">10316009 </t>
  </si>
  <si>
    <t xml:space="preserve">10316008 </t>
  </si>
  <si>
    <t xml:space="preserve">10316007 </t>
  </si>
  <si>
    <t xml:space="preserve">10316006 </t>
  </si>
  <si>
    <t xml:space="preserve">10316004 </t>
  </si>
  <si>
    <t xml:space="preserve">10316005 </t>
  </si>
  <si>
    <t xml:space="preserve">10310050 </t>
  </si>
  <si>
    <t xml:space="preserve">10310051 </t>
  </si>
  <si>
    <t xml:space="preserve">10316001 </t>
  </si>
  <si>
    <t xml:space="preserve">10316003 </t>
  </si>
  <si>
    <t xml:space="preserve">10316002 </t>
  </si>
  <si>
    <t xml:space="preserve">10310083 </t>
  </si>
  <si>
    <t xml:space="preserve">10310084 </t>
  </si>
  <si>
    <t xml:space="preserve">10310058 </t>
  </si>
  <si>
    <t xml:space="preserve">10310060 </t>
  </si>
  <si>
    <t xml:space="preserve">10310055 </t>
  </si>
  <si>
    <t xml:space="preserve">10310024 </t>
  </si>
  <si>
    <t xml:space="preserve">10310065 </t>
  </si>
  <si>
    <t xml:space="preserve">10310021 </t>
  </si>
  <si>
    <t xml:space="preserve">10310080 </t>
  </si>
  <si>
    <t xml:space="preserve">10310020 </t>
  </si>
  <si>
    <t xml:space="preserve">10310082 </t>
  </si>
  <si>
    <t xml:space="preserve">Нежитлова будівля складу та столярної майстерні </t>
  </si>
  <si>
    <t>Будівля стара контора</t>
  </si>
  <si>
    <t>Нежитлова будівля гаражу</t>
  </si>
  <si>
    <t>Навіс для зварювальника</t>
  </si>
  <si>
    <t>Склад секційний</t>
  </si>
  <si>
    <t>Склад металевий</t>
  </si>
  <si>
    <t>Сторожка</t>
  </si>
  <si>
    <t>Бокс на три автомашини</t>
  </si>
  <si>
    <t>Склад  майстерні</t>
  </si>
  <si>
    <t>Туалет</t>
  </si>
  <si>
    <t>Резервуарний парк</t>
  </si>
  <si>
    <t>Резервуарна місткість</t>
  </si>
  <si>
    <t>Мазутонасосна</t>
  </si>
  <si>
    <t>м</t>
  </si>
  <si>
    <t>Труба димова</t>
  </si>
  <si>
    <t>Склад вугілля</t>
  </si>
  <si>
    <t>34.3</t>
  </si>
  <si>
    <t>Технологічний майданчик</t>
  </si>
  <si>
    <t>150.5</t>
  </si>
  <si>
    <t>192.38</t>
  </si>
  <si>
    <t>Каналізація</t>
  </si>
  <si>
    <t>Будівля для гаражів</t>
  </si>
  <si>
    <t>137.5</t>
  </si>
  <si>
    <t>Труба димова металева</t>
  </si>
  <si>
    <t>70.1</t>
  </si>
  <si>
    <t>Склад</t>
  </si>
  <si>
    <t>Майстерня</t>
  </si>
  <si>
    <t>120.5</t>
  </si>
  <si>
    <t>Комора металева</t>
  </si>
  <si>
    <t>Склад для зберігання труб</t>
  </si>
  <si>
    <t>Водонапірна вежа</t>
  </si>
  <si>
    <t>Склад під метал</t>
  </si>
  <si>
    <t>165.76</t>
  </si>
  <si>
    <t>ЦБ0000828</t>
  </si>
  <si>
    <t>ЦБ0000827</t>
  </si>
  <si>
    <t>ЦБ0000826</t>
  </si>
  <si>
    <t>ЦБ0000798</t>
  </si>
  <si>
    <t>ЦБ0000797</t>
  </si>
  <si>
    <t>ЦБ0000790</t>
  </si>
  <si>
    <t>ЦБ0000789</t>
  </si>
  <si>
    <t>ЦБ0000733</t>
  </si>
  <si>
    <t>ЦБ0000700</t>
  </si>
  <si>
    <t>ЦБ0000699</t>
  </si>
  <si>
    <t>ЦБ0000698</t>
  </si>
  <si>
    <t>ЦБ0000661</t>
  </si>
  <si>
    <t>ЦБ0000626</t>
  </si>
  <si>
    <t>ЦБ0000623</t>
  </si>
  <si>
    <t>ЦБ0000618</t>
  </si>
  <si>
    <t>ЦБ0000615</t>
  </si>
  <si>
    <t>ЦБ0000611</t>
  </si>
  <si>
    <t>ЦБ0000581</t>
  </si>
  <si>
    <t>ЦБ0000540</t>
  </si>
  <si>
    <t>ЦБ0000535</t>
  </si>
  <si>
    <t>ЦБ0000534</t>
  </si>
  <si>
    <t>ЦБ0000500</t>
  </si>
  <si>
    <t>ЦБ0000497</t>
  </si>
  <si>
    <t>Підземна теплова мережа</t>
  </si>
  <si>
    <t>ЦБ0000496</t>
  </si>
  <si>
    <t>Теплові мережі підземні</t>
  </si>
  <si>
    <t>ЦБ0000495</t>
  </si>
  <si>
    <t>ЦБ0000449</t>
  </si>
  <si>
    <t>ЦБ0000448</t>
  </si>
  <si>
    <t>ЦБ0000446</t>
  </si>
  <si>
    <t>ЦБ0000417</t>
  </si>
  <si>
    <t>ЦБ0000401</t>
  </si>
  <si>
    <t>ЦБ0000386</t>
  </si>
  <si>
    <t>ЦБ0000385</t>
  </si>
  <si>
    <t>ЦБ0000370</t>
  </si>
  <si>
    <t>ЦБ0000369</t>
  </si>
  <si>
    <t>ЦБ0000368</t>
  </si>
  <si>
    <t>ЦБ0000367</t>
  </si>
  <si>
    <t>ЦБ0000348</t>
  </si>
  <si>
    <t>ЦБ0000222</t>
  </si>
  <si>
    <t>ЦБ0000220</t>
  </si>
  <si>
    <t>ЦБ0000219</t>
  </si>
  <si>
    <t>ЦБ0000218</t>
  </si>
  <si>
    <t>ЦБ0000217</t>
  </si>
  <si>
    <t>ЦБ0000216</t>
  </si>
  <si>
    <t>ЦБ0000215</t>
  </si>
  <si>
    <t>ЦБ0000214</t>
  </si>
  <si>
    <t>ЦБ0000213</t>
  </si>
  <si>
    <t>ЦБ0000212</t>
  </si>
  <si>
    <t>ЦБ0000202</t>
  </si>
  <si>
    <t>ЦБ0000201</t>
  </si>
  <si>
    <t>ЦБ0000200</t>
  </si>
  <si>
    <t>ЦБ0000199</t>
  </si>
  <si>
    <t>ЦБ0000197</t>
  </si>
  <si>
    <t>ЦБ0000196</t>
  </si>
  <si>
    <t>ЦБ0000195</t>
  </si>
  <si>
    <t>ЦБ0000194</t>
  </si>
  <si>
    <t>ЦБ0000193</t>
  </si>
  <si>
    <t>ЦБ0000192</t>
  </si>
  <si>
    <t>ЦБ0000191</t>
  </si>
  <si>
    <t>Теплотраса (ОЗСМ)</t>
  </si>
  <si>
    <t>ЦБ0000190</t>
  </si>
  <si>
    <t>Трубопровід ГВП</t>
  </si>
  <si>
    <t>Зовнішні мережі теплопостачання</t>
  </si>
  <si>
    <t xml:space="preserve">Будівля котельні "Олімп" </t>
  </si>
  <si>
    <t>Тепломережа ТП "Світлий"</t>
  </si>
  <si>
    <t>Резервуар запасу води</t>
  </si>
  <si>
    <t xml:space="preserve">Будівля котельні мікрорайону "Західний"  </t>
  </si>
  <si>
    <t>Теплотраса «Східний»</t>
  </si>
  <si>
    <t>Теплотраса Молодіжний 4-21</t>
  </si>
  <si>
    <t>Теплотраса Молодіжний 5-23</t>
  </si>
  <si>
    <t>км</t>
  </si>
  <si>
    <t>Димова труба</t>
  </si>
  <si>
    <t>Резервуар котельні</t>
  </si>
  <si>
    <t xml:space="preserve">
Склад солі до котелень</t>
  </si>
  <si>
    <t xml:space="preserve">
Будівля котельні "Центральна" </t>
  </si>
  <si>
    <t>Теплопункт (Котельня "Южна")</t>
  </si>
  <si>
    <t>Будівля бази механізації гараж</t>
  </si>
  <si>
    <t>Трубопровід теплотраси</t>
  </si>
  <si>
    <t>Вузол управління підстанції</t>
  </si>
  <si>
    <t xml:space="preserve"> Будівля очисних споруд</t>
  </si>
  <si>
    <t>Будівля управління</t>
  </si>
  <si>
    <t>Будівля на базі відпочинку Юність</t>
  </si>
  <si>
    <t>0903</t>
  </si>
  <si>
    <t>Будівля майстерні</t>
  </si>
  <si>
    <t>1776</t>
  </si>
  <si>
    <t>Паркан з воротами навколо будівлі АЛК</t>
  </si>
  <si>
    <t>Будівля гаражу</t>
  </si>
  <si>
    <t>Будівля АЛК</t>
  </si>
  <si>
    <t>0947</t>
  </si>
  <si>
    <t>Будівля теплового пункту № 11</t>
  </si>
  <si>
    <t>0289</t>
  </si>
  <si>
    <t>Будівля теплового пункту № 10</t>
  </si>
  <si>
    <t>0307</t>
  </si>
  <si>
    <t>Будівля теплового пункту № 9</t>
  </si>
  <si>
    <t>0318</t>
  </si>
  <si>
    <t>Будівля теплового пункту № 8а</t>
  </si>
  <si>
    <t>0309</t>
  </si>
  <si>
    <t>Будівля теплового пункту № 8</t>
  </si>
  <si>
    <t>0290</t>
  </si>
  <si>
    <t>Будівля теплового пункту № 7</t>
  </si>
  <si>
    <t>0304</t>
  </si>
  <si>
    <t>Будівля теплового пункту № 6</t>
  </si>
  <si>
    <t>0288</t>
  </si>
  <si>
    <t>Будівля теплового пункту № 5</t>
  </si>
  <si>
    <t>0902</t>
  </si>
  <si>
    <t xml:space="preserve">Будівля теплового пункту № 3 </t>
  </si>
  <si>
    <t>0901</t>
  </si>
  <si>
    <t>Будівля теплового пункту № 2</t>
  </si>
  <si>
    <t>0900</t>
  </si>
  <si>
    <t>Будівля теплового пункту № 1</t>
  </si>
  <si>
    <t>Теплотраса від котельні № 19</t>
  </si>
  <si>
    <t>Будівля котельні № 19</t>
  </si>
  <si>
    <t>Теплотраса від котельні № 17</t>
  </si>
  <si>
    <t>0595</t>
  </si>
  <si>
    <t>Кабельна ЛЕП</t>
  </si>
  <si>
    <t>Димова труба котельні № 17</t>
  </si>
  <si>
    <t>Будівля котельні № 17</t>
  </si>
  <si>
    <t>Теплотраса від котельні № 16</t>
  </si>
  <si>
    <t>Будівля котельні № 16</t>
  </si>
  <si>
    <t>0038</t>
  </si>
  <si>
    <t>Теплотраса від котельні № 14</t>
  </si>
  <si>
    <t>0037</t>
  </si>
  <si>
    <t>0036</t>
  </si>
  <si>
    <t>0004</t>
  </si>
  <si>
    <t>0003</t>
  </si>
  <si>
    <t>Зовнішня каналізація котельні № 14</t>
  </si>
  <si>
    <t>2602</t>
  </si>
  <si>
    <t>2999</t>
  </si>
  <si>
    <t>Димова труба котельні № 14</t>
  </si>
  <si>
    <t>0001</t>
  </si>
  <si>
    <t>Будівля котельні № 14</t>
  </si>
  <si>
    <t>0002</t>
  </si>
  <si>
    <t>Теплотраса від котельні № 13</t>
  </si>
  <si>
    <t>0035/2</t>
  </si>
  <si>
    <t>0052</t>
  </si>
  <si>
    <t>0046</t>
  </si>
  <si>
    <t>Гараж залізний з навісом</t>
  </si>
  <si>
    <t>0035</t>
  </si>
  <si>
    <t>Навіс зберігання вугілля котельні 13</t>
  </si>
  <si>
    <t>0351</t>
  </si>
  <si>
    <t>Димова труба котельні № 13</t>
  </si>
  <si>
    <t>0106</t>
  </si>
  <si>
    <t>Паркан котельні № 13</t>
  </si>
  <si>
    <t>0034</t>
  </si>
  <si>
    <t>Будівля котельні № 13</t>
  </si>
  <si>
    <t>Теплотраса від котельні № 12</t>
  </si>
  <si>
    <t>Димова труба котельні № 12</t>
  </si>
  <si>
    <t>Будівля котельні № 12</t>
  </si>
  <si>
    <t>Теплотраса від котельні № 10</t>
  </si>
  <si>
    <t>2137</t>
  </si>
  <si>
    <t>0946</t>
  </si>
  <si>
    <t>0623</t>
  </si>
  <si>
    <t>Будівля котельні № 10</t>
  </si>
  <si>
    <t>2121</t>
  </si>
  <si>
    <t>1136</t>
  </si>
  <si>
    <t>0940</t>
  </si>
  <si>
    <t>0614</t>
  </si>
  <si>
    <t>Димова труба котельні № 9</t>
  </si>
  <si>
    <t>2498</t>
  </si>
  <si>
    <t>0598</t>
  </si>
  <si>
    <t>Будівля котельні № 9</t>
  </si>
  <si>
    <t>1693</t>
  </si>
  <si>
    <t>0949</t>
  </si>
  <si>
    <t>0945</t>
  </si>
  <si>
    <t>0944</t>
  </si>
  <si>
    <t>0964</t>
  </si>
  <si>
    <t>1430</t>
  </si>
  <si>
    <t>Теплотраса від котельні № 8</t>
  </si>
  <si>
    <t>0963</t>
  </si>
  <si>
    <t>0905</t>
  </si>
  <si>
    <t>0594</t>
  </si>
  <si>
    <t>0118</t>
  </si>
  <si>
    <t>0505</t>
  </si>
  <si>
    <t>Димова труба котельні № 8</t>
  </si>
  <si>
    <t>0950</t>
  </si>
  <si>
    <t>Будівля теплового пункту № 12</t>
  </si>
  <si>
    <t>0504</t>
  </si>
  <si>
    <t>Будівлі котельні № 8</t>
  </si>
  <si>
    <t>1428</t>
  </si>
  <si>
    <t>2109</t>
  </si>
  <si>
    <t>0315</t>
  </si>
  <si>
    <t>0314</t>
  </si>
  <si>
    <t>0303</t>
  </si>
  <si>
    <t>2123</t>
  </si>
  <si>
    <t>0311</t>
  </si>
  <si>
    <t>0349</t>
  </si>
  <si>
    <t>0312</t>
  </si>
  <si>
    <t>1679</t>
  </si>
  <si>
    <t>1429</t>
  </si>
  <si>
    <t>1427</t>
  </si>
  <si>
    <t>1425</t>
  </si>
  <si>
    <t>0300</t>
  </si>
  <si>
    <t>0167</t>
  </si>
  <si>
    <t>2503</t>
  </si>
  <si>
    <t>Навіс над стоянкою</t>
  </si>
  <si>
    <t>0985</t>
  </si>
  <si>
    <t>Будівля оздоровчого корпусу</t>
  </si>
  <si>
    <t>1252</t>
  </si>
  <si>
    <t>Будівля складу</t>
  </si>
  <si>
    <t>0981</t>
  </si>
  <si>
    <t>Будівля гаражів</t>
  </si>
  <si>
    <t>0690</t>
  </si>
  <si>
    <t>0215</t>
  </si>
  <si>
    <t>Димова труба котельні № 7</t>
  </si>
  <si>
    <t>0212</t>
  </si>
  <si>
    <t>1162</t>
  </si>
  <si>
    <t>Теплотраса від котельні № 6</t>
  </si>
  <si>
    <t>0502</t>
  </si>
  <si>
    <t>0477</t>
  </si>
  <si>
    <t>Димова труба котельні № 6</t>
  </si>
  <si>
    <t>0475</t>
  </si>
  <si>
    <t>0471</t>
  </si>
  <si>
    <t>Теплотраса від котельні № 5</t>
  </si>
  <si>
    <t>0467</t>
  </si>
  <si>
    <t>Димова труба котельні № 5</t>
  </si>
  <si>
    <t>0468</t>
  </si>
  <si>
    <t>Будівля котельні № 5</t>
  </si>
  <si>
    <t>Теплотраса від котельні № 4</t>
  </si>
  <si>
    <t>0464</t>
  </si>
  <si>
    <t>Димова труба котельні № 4</t>
  </si>
  <si>
    <t>Будівля котельні № 4а</t>
  </si>
  <si>
    <t>0939</t>
  </si>
  <si>
    <t>Теплотраса від котельні № 3</t>
  </si>
  <si>
    <t>0422</t>
  </si>
  <si>
    <t>Димова труба котельні № 3</t>
  </si>
  <si>
    <t>0421</t>
  </si>
  <si>
    <t>2122</t>
  </si>
  <si>
    <t>Теплотраса від котельні № 2</t>
  </si>
  <si>
    <t>0305</t>
  </si>
  <si>
    <t>1209</t>
  </si>
  <si>
    <t>0352</t>
  </si>
  <si>
    <t>0350</t>
  </si>
  <si>
    <t>0293</t>
  </si>
  <si>
    <t>0151</t>
  </si>
  <si>
    <t>Димова труба котельні № 2</t>
  </si>
  <si>
    <t>0150</t>
  </si>
  <si>
    <t>Будівля котельні № 2</t>
  </si>
  <si>
    <t>2162</t>
  </si>
  <si>
    <t>Теплотраса від котельні № 1</t>
  </si>
  <si>
    <t>2120</t>
  </si>
  <si>
    <t>1426</t>
  </si>
  <si>
    <t>0904</t>
  </si>
  <si>
    <t>0126</t>
  </si>
  <si>
    <t>0119</t>
  </si>
  <si>
    <t>Димова труба котельні № 1</t>
  </si>
  <si>
    <t xml:space="preserve">Будівля котельні № 1 ТВГ </t>
  </si>
  <si>
    <t>Будівля котельні № 1 ДКВР</t>
  </si>
  <si>
    <t>Гаражі</t>
  </si>
  <si>
    <t>Будинок складів</t>
  </si>
  <si>
    <t>Навіс для автомобілів</t>
  </si>
  <si>
    <t>Будинок контори</t>
  </si>
  <si>
    <t>Службова квартира</t>
  </si>
  <si>
    <t>Теплові мережі ТП-178</t>
  </si>
  <si>
    <t>Гараж ТП-34</t>
  </si>
  <si>
    <t>Теплопункт 186 кварталу (ТП-34)</t>
  </si>
  <si>
    <t>Теплопункт 186 кварталу (ТП-33)</t>
  </si>
  <si>
    <t>Теплопункт 186 кварталу (ТП-32)</t>
  </si>
  <si>
    <t>Котельня Аеропорту</t>
  </si>
  <si>
    <t>Теплопункт 82/2 кварталу</t>
  </si>
  <si>
    <t>Теплопункт 82/1 кварталу</t>
  </si>
  <si>
    <t>Котельня 82 кварталу</t>
  </si>
  <si>
    <t>Теплофікаційний колодязь</t>
  </si>
  <si>
    <t>Котельня 179 кварталу</t>
  </si>
  <si>
    <t>Теплофікаційні камери</t>
  </si>
  <si>
    <t>Котельня 480 кварталу</t>
  </si>
  <si>
    <t>Котельня ЦМЛ</t>
  </si>
  <si>
    <t>Котельня 174 кварталу</t>
  </si>
  <si>
    <t>Теплові камери</t>
  </si>
  <si>
    <t>Котельня 186 кварталу</t>
  </si>
  <si>
    <t xml:space="preserve">Димова труба </t>
  </si>
  <si>
    <t xml:space="preserve">Будівля котельні </t>
  </si>
  <si>
    <t>Будівля котельні “Інтернат”</t>
  </si>
  <si>
    <t xml:space="preserve">Будівля котельні "Валюга" </t>
  </si>
  <si>
    <t>Будівля котельні “Тубдиспансер”</t>
  </si>
  <si>
    <t>Будівля котельні “Польова”</t>
  </si>
  <si>
    <t xml:space="preserve"> Димова труба котельні “Авангард”</t>
  </si>
  <si>
    <t xml:space="preserve">Технологічний майданчик </t>
  </si>
  <si>
    <t>Паркан майстерень ВО “Дзержинськтепломережа”</t>
  </si>
  <si>
    <t>Водопровід від дюкера до Золотої Купелі</t>
  </si>
  <si>
    <t>Водовимірювальний лоток "Вентура"</t>
  </si>
  <si>
    <t>Водопровідні мережі до Правдачі</t>
  </si>
  <si>
    <t>Лавра</t>
  </si>
  <si>
    <t>дюкер-Лавра</t>
  </si>
  <si>
    <t xml:space="preserve">Дюкер </t>
  </si>
  <si>
    <t>1030134а</t>
  </si>
  <si>
    <t>Самопливний колектор</t>
  </si>
  <si>
    <t>Зовнішні мережі каналізації</t>
  </si>
  <si>
    <t>ДОЦ "Смарагдове місто"</t>
  </si>
  <si>
    <t xml:space="preserve">Позамайданчиковий водопровід </t>
  </si>
  <si>
    <t>Резервуар очищеної води</t>
  </si>
  <si>
    <t>Піскові майданчики</t>
  </si>
  <si>
    <t>Горизонтальні пісколовки</t>
  </si>
  <si>
    <t>Приймальна камера о/с</t>
  </si>
  <si>
    <t>Камера переключення</t>
  </si>
  <si>
    <t>Автодорога до майданчиків</t>
  </si>
  <si>
    <t xml:space="preserve">Житловий будинок </t>
  </si>
  <si>
    <t>1030050/2</t>
  </si>
  <si>
    <t>1030050/1</t>
  </si>
  <si>
    <t>1030048/2</t>
  </si>
  <si>
    <t>1030048/1</t>
  </si>
  <si>
    <t>Будівля реконструкції</t>
  </si>
  <si>
    <t>Прохідна</t>
  </si>
  <si>
    <t>Замощення</t>
  </si>
  <si>
    <t>1030047/1</t>
  </si>
  <si>
    <t>1030047/4</t>
  </si>
  <si>
    <t>1030047/3</t>
  </si>
  <si>
    <t>1030057/3</t>
  </si>
  <si>
    <t>1030047/2</t>
  </si>
  <si>
    <t>1030057/2</t>
  </si>
  <si>
    <t>1030057/1</t>
  </si>
  <si>
    <t>Насосна станція</t>
  </si>
  <si>
    <t xml:space="preserve">Асфальтове покриття </t>
  </si>
  <si>
    <t>Мулові майданчики</t>
  </si>
  <si>
    <t>Блок ємностей</t>
  </si>
  <si>
    <t>Котельня</t>
  </si>
  <si>
    <t>Виробничий корпус</t>
  </si>
  <si>
    <t>1030587/4</t>
  </si>
  <si>
    <t>Торгівельні ряди</t>
  </si>
  <si>
    <t>1030587/3</t>
  </si>
  <si>
    <t>Навіс</t>
  </si>
  <si>
    <t>103587/2</t>
  </si>
  <si>
    <t>Магазин з прибудовою</t>
  </si>
  <si>
    <t>103587/1</t>
  </si>
  <si>
    <t xml:space="preserve">Сторожка </t>
  </si>
  <si>
    <t xml:space="preserve">Ремонтні майстерні </t>
  </si>
  <si>
    <t>Сарай</t>
  </si>
  <si>
    <t xml:space="preserve">Гараж </t>
  </si>
  <si>
    <t xml:space="preserve">Котельня     </t>
  </si>
  <si>
    <t>1010250</t>
  </si>
  <si>
    <t xml:space="preserve"> м. Лиман</t>
  </si>
  <si>
    <t>ВО ОКП "ДТКЕ"  "Краснолиманська тепломережа"</t>
  </si>
  <si>
    <t>1010250/1</t>
  </si>
  <si>
    <t>Кабель електричний</t>
  </si>
  <si>
    <t>Асфальтове покриття</t>
  </si>
  <si>
    <t>1010101/1</t>
  </si>
  <si>
    <t>1010132/3</t>
  </si>
  <si>
    <t>1010132/2</t>
  </si>
  <si>
    <t>1010132/1</t>
  </si>
  <si>
    <t>1010114/1</t>
  </si>
  <si>
    <t>1010141/0</t>
  </si>
  <si>
    <t>1030570</t>
  </si>
  <si>
    <t>1010150/1</t>
  </si>
  <si>
    <t>1030515</t>
  </si>
  <si>
    <t>1030569</t>
  </si>
  <si>
    <t>1030513</t>
  </si>
  <si>
    <t>1010155/0</t>
  </si>
  <si>
    <t>1010155/1</t>
  </si>
  <si>
    <t>1010155/5</t>
  </si>
  <si>
    <t>1010155/4</t>
  </si>
  <si>
    <t>1010155/3</t>
  </si>
  <si>
    <t>1010155/2</t>
  </si>
  <si>
    <t>1030279</t>
  </si>
  <si>
    <t>100155/3</t>
  </si>
  <si>
    <t>1010178/5</t>
  </si>
  <si>
    <t>1000178/4</t>
  </si>
  <si>
    <t>1010178/3</t>
  </si>
  <si>
    <t>1030571</t>
  </si>
  <si>
    <t>1010178/1</t>
  </si>
  <si>
    <t>1000178/1</t>
  </si>
  <si>
    <t>1030377</t>
  </si>
  <si>
    <t>1030379</t>
  </si>
  <si>
    <t>1030516</t>
  </si>
  <si>
    <t>1030395</t>
  </si>
  <si>
    <t>1030400</t>
  </si>
  <si>
    <t>1030520</t>
  </si>
  <si>
    <t>1010165/4</t>
  </si>
  <si>
    <t>1010165/3</t>
  </si>
  <si>
    <t>1010165/2</t>
  </si>
  <si>
    <t>1030458</t>
  </si>
  <si>
    <t>1010165/1</t>
  </si>
  <si>
    <t>1010170/1</t>
  </si>
  <si>
    <t>1010170/3</t>
  </si>
  <si>
    <t>1010170/4</t>
  </si>
  <si>
    <t>1030457</t>
  </si>
  <si>
    <t>1010170/2</t>
  </si>
  <si>
    <t>1010144/4</t>
  </si>
  <si>
    <t>1010144/2</t>
  </si>
  <si>
    <t>1030454</t>
  </si>
  <si>
    <t>1010144/3</t>
  </si>
  <si>
    <t>1010061</t>
  </si>
  <si>
    <t>1010100/0</t>
  </si>
  <si>
    <t>1030401</t>
  </si>
  <si>
    <t>1010100/</t>
  </si>
  <si>
    <t>1010101/</t>
  </si>
  <si>
    <t>1010544/0</t>
  </si>
  <si>
    <t>101064/02</t>
  </si>
  <si>
    <t>1010544/1</t>
  </si>
  <si>
    <t>1030378</t>
  </si>
  <si>
    <t>1010064/1</t>
  </si>
  <si>
    <t>1010064</t>
  </si>
  <si>
    <t>101064/01</t>
  </si>
  <si>
    <t xml:space="preserve">1030701  </t>
  </si>
  <si>
    <t>1010063</t>
  </si>
  <si>
    <t>1010062/3</t>
  </si>
  <si>
    <t>1010062/2</t>
  </si>
  <si>
    <t>1030307</t>
  </si>
  <si>
    <t>1030518</t>
  </si>
  <si>
    <t>1010062/1</t>
  </si>
  <si>
    <t>1030467</t>
  </si>
  <si>
    <t>1010062/</t>
  </si>
  <si>
    <t>1010062</t>
  </si>
  <si>
    <t>70004</t>
  </si>
  <si>
    <t>м. Сіверськ</t>
  </si>
  <si>
    <t>29703/2</t>
  </si>
  <si>
    <t>29703/1</t>
  </si>
  <si>
    <t>70003</t>
  </si>
  <si>
    <t>1030572</t>
  </si>
  <si>
    <t>1010466</t>
  </si>
  <si>
    <t>Нежитлова будівля, підкачувальна станція Східна</t>
  </si>
  <si>
    <t>Нежитлова будівля, підкачувальна станція Слов'янська</t>
  </si>
  <si>
    <t>1010011</t>
  </si>
  <si>
    <t>Нежитлова будівля, котельня № 9</t>
  </si>
  <si>
    <t>1010005</t>
  </si>
  <si>
    <t>Нежитлова будівля, котельня № 4</t>
  </si>
  <si>
    <t>1010002</t>
  </si>
  <si>
    <t>Нежитлова будівля, котельня № 3</t>
  </si>
  <si>
    <t>1010003</t>
  </si>
  <si>
    <t>Нежитлова будівля, котельня № 2</t>
  </si>
  <si>
    <t>1010001</t>
  </si>
  <si>
    <t>Нежитлова будівля, котельня № 18</t>
  </si>
  <si>
    <t>Нежитлова будівля, котельня № 17</t>
  </si>
  <si>
    <t>Нежитлова будівля, котельня № 16</t>
  </si>
  <si>
    <t>Нежитлова будівля, котельня № 15</t>
  </si>
  <si>
    <t xml:space="preserve">Нежитлова будівля, котельня № 14 </t>
  </si>
  <si>
    <t>Нежитлова будівля, котельня № 13</t>
  </si>
  <si>
    <t>Нежитлова будівля, котельня № 11</t>
  </si>
  <si>
    <t>Будівля кладової № 1</t>
  </si>
  <si>
    <t>Будівля прохідної</t>
  </si>
  <si>
    <t>Будівля туалету</t>
  </si>
  <si>
    <t>29744</t>
  </si>
  <si>
    <t>Будівля теплопункт № 2</t>
  </si>
  <si>
    <t>29743</t>
  </si>
  <si>
    <t>93616</t>
  </si>
  <si>
    <t>Нежитлова будівля, котельня № 36</t>
  </si>
  <si>
    <t>Нежитлова будівля, котельня № 35 (прибудова)</t>
  </si>
  <si>
    <t>Нежитлова будівля, котельня № 35</t>
  </si>
  <si>
    <t>Нежитлова будівля, ГРП котельня № 35</t>
  </si>
  <si>
    <t>Паркан із з/б плит</t>
  </si>
  <si>
    <t>Ворота</t>
  </si>
  <si>
    <t>Будівля-корпус "Приозерний"</t>
  </si>
  <si>
    <t>Насосна</t>
  </si>
  <si>
    <t>Стінка підпірна з кабінами</t>
  </si>
  <si>
    <t>Будинок № 29 (жилий будинок)</t>
  </si>
  <si>
    <t>Адміністративний будинок № 31 (кафе)</t>
  </si>
  <si>
    <t>Шиферний житловий будинок 10.10А</t>
  </si>
  <si>
    <t>Шиферний житловий будинок 9.9А</t>
  </si>
  <si>
    <t>Шиферний житловий будинок 8.8А</t>
  </si>
  <si>
    <t>Шиферний житловий будинок 7.7А</t>
  </si>
  <si>
    <t>Шиферний житловий будинок 6.6А</t>
  </si>
  <si>
    <t>Шиферний житловий будинок 2.2А</t>
  </si>
  <si>
    <t>Сторожка біля в'їзних воріт</t>
  </si>
  <si>
    <t>В'їзна арка</t>
  </si>
  <si>
    <t>Будинок № 28</t>
  </si>
  <si>
    <t>Система зрошення та поливу на території корпусу "Приозерний"</t>
  </si>
  <si>
    <t>Альтанка на б/в "Юність" № 6</t>
  </si>
  <si>
    <t>Альтанка на б/в "Юність" № 5</t>
  </si>
  <si>
    <t>Альтанка на б/в "Юність" № 4</t>
  </si>
  <si>
    <t>Тимчасова споруда посту охорони</t>
  </si>
  <si>
    <t>Огородження КТП на б/в "Юність"</t>
  </si>
  <si>
    <t>Водопровід на б/в "Юність"</t>
  </si>
  <si>
    <t>Волейбольний майданчик</t>
  </si>
  <si>
    <t>Б/в "Ромашка" (будівля)</t>
  </si>
  <si>
    <t>Літній павільйон</t>
  </si>
  <si>
    <t>Асфальтова доріжка</t>
  </si>
  <si>
    <t>Будиночок КСО-1 24</t>
  </si>
  <si>
    <t>Будиночок КСО-1 23</t>
  </si>
  <si>
    <t>Будиночок КСО-1 22</t>
  </si>
  <si>
    <t>Будиночок КСО-1 21</t>
  </si>
  <si>
    <t>Будиночок КСО-1 25</t>
  </si>
  <si>
    <t>Будиночок КСО-cкл1</t>
  </si>
  <si>
    <t>Шиферний житловий будинок 20-20А</t>
  </si>
  <si>
    <t>Шиферний житловий будинок 19-19А</t>
  </si>
  <si>
    <t>Шиферний житловий будинок 18-18А</t>
  </si>
  <si>
    <t>Шиферний житловий будинок 17-17А</t>
  </si>
  <si>
    <t>Шиферний житловий будинок 5</t>
  </si>
  <si>
    <t>Шиферний житловий будинок 15-15А</t>
  </si>
  <si>
    <t>Шиферний житловий будинок 13</t>
  </si>
  <si>
    <t>Гостьовий будиночок 12-12А</t>
  </si>
  <si>
    <t>Шиферний житловий будинок 3-3А</t>
  </si>
  <si>
    <t>Зал для перегляду</t>
  </si>
  <si>
    <t>Будиночок-сторожка</t>
  </si>
  <si>
    <t>Гральний навіс</t>
  </si>
  <si>
    <t>Санітарно-побутовий корпус</t>
  </si>
  <si>
    <t>Будівля майстерень</t>
  </si>
  <si>
    <t>куб. м</t>
  </si>
  <si>
    <t>Хлораторна</t>
  </si>
  <si>
    <t>од.</t>
  </si>
  <si>
    <t>1987</t>
  </si>
  <si>
    <t>м. Українськ</t>
  </si>
  <si>
    <t>Огорожа</t>
  </si>
  <si>
    <t>Альтанка</t>
  </si>
  <si>
    <t>Резервуар технічної води</t>
  </si>
  <si>
    <t xml:space="preserve">Будівля хлораторної </t>
  </si>
  <si>
    <t>Зовнішні мережі водопроводу</t>
  </si>
  <si>
    <t>Каналізаційний колектор</t>
  </si>
  <si>
    <t>Теплотраса</t>
  </si>
  <si>
    <t>Фтораторна</t>
  </si>
  <si>
    <t>кв. м</t>
  </si>
  <si>
    <t>Свердловина № 5</t>
  </si>
  <si>
    <t>Свердловина № 3</t>
  </si>
  <si>
    <t>Свердловина № 7</t>
  </si>
  <si>
    <t>Свердловина № 6</t>
  </si>
  <si>
    <t xml:space="preserve">м. Костянтинівка </t>
  </si>
  <si>
    <t>Альтанка дерев'яна</t>
  </si>
  <si>
    <t>Шиферний житловий будинок № 1</t>
  </si>
  <si>
    <t>Пристрій телефонізації</t>
  </si>
  <si>
    <t>Нежитлова будівля, котельня № 12</t>
  </si>
  <si>
    <t>в'їзд вул. Леваневського</t>
  </si>
  <si>
    <t xml:space="preserve">Каналізаційно-насосна станція № 1 </t>
  </si>
  <si>
    <t>Каналізаційно-насосна станція № 2</t>
  </si>
  <si>
    <t>Свердловина без фільтра № 1</t>
  </si>
  <si>
    <t>Свердловина без фільтра № 2</t>
  </si>
  <si>
    <t>Свердловина без фільтра № 4</t>
  </si>
  <si>
    <t>Свердловина № 5а</t>
  </si>
  <si>
    <t>Водопровід від свердловини 1724 до дюкера</t>
  </si>
  <si>
    <t>Напірний трубопровід</t>
  </si>
  <si>
    <t xml:space="preserve">кв. м </t>
  </si>
  <si>
    <t>м. Торецьк</t>
  </si>
  <si>
    <t xml:space="preserve"> Теплотраса до ЗОШ  № 2</t>
  </si>
  <si>
    <t>Будівля котельні "Білоруська"</t>
  </si>
  <si>
    <t xml:space="preserve">Технологічний майданчик № 1 </t>
  </si>
  <si>
    <t>Будівля котельні "Авангард"</t>
  </si>
  <si>
    <t>Теплотраса котельні "Тубдиспансер"</t>
  </si>
  <si>
    <t>Будівля прибудови котельні "Валюга"</t>
  </si>
  <si>
    <t>Теплотраса котельні "Валюга"</t>
  </si>
  <si>
    <t>Будівля котельні "Братська"</t>
  </si>
  <si>
    <t>Котельня ЗОШ № 17</t>
  </si>
  <si>
    <t>Мережі теплові ЗОШ № 17</t>
  </si>
  <si>
    <t>Котельня ЗОШ № 18</t>
  </si>
  <si>
    <t>Зовнішні каналізаційні мережі ЗОШ № 18</t>
  </si>
  <si>
    <t>Газопровід ф57-40 м ЗОШ № 18</t>
  </si>
  <si>
    <t>Колодязь газовий ЗОШ № 18</t>
  </si>
  <si>
    <t>Теплові мережі ЗОШ № 18</t>
  </si>
  <si>
    <t>Котельня ЗОШ № 26</t>
  </si>
  <si>
    <t>Мережі теплові ЗОШ № 26</t>
  </si>
  <si>
    <t>Спальний корпус б/в «Юність»</t>
  </si>
  <si>
    <t>с. Щурове</t>
  </si>
  <si>
    <t>Будівля  майстерень</t>
  </si>
  <si>
    <t>Теплотраса від котельні № 7</t>
  </si>
  <si>
    <t>Теплотраса від котельні № 9</t>
  </si>
  <si>
    <t xml:space="preserve">куб. м </t>
  </si>
  <si>
    <t>Будівля ТП № 7 (Котельня ТП № 7)</t>
  </si>
  <si>
    <t>Бокс</t>
  </si>
  <si>
    <t xml:space="preserve">Будівля котельні № 2 мікрорайону "Молодіжний" </t>
  </si>
  <si>
    <t xml:space="preserve">Будівля насосної з резервуаром котельні № 2 мікрорайону "Молодіжний" </t>
  </si>
  <si>
    <t>Будівля теплопункту № 2 мікрорайону "Молодіжний"</t>
  </si>
  <si>
    <t xml:space="preserve">Будівля котельні № 3 мікрорайону "Молодіжний" </t>
  </si>
  <si>
    <t>Будівля ТП № 3</t>
  </si>
  <si>
    <t>Будівля вугільної котельні "Олімп"</t>
  </si>
  <si>
    <t>Теплові мережі "Олімп"</t>
  </si>
  <si>
    <t>Будівля бойлерної</t>
  </si>
  <si>
    <t>Будівля котельні № 4</t>
  </si>
  <si>
    <t>Теплотраса від котельні до колодязя УТ1</t>
  </si>
  <si>
    <t>Опалювально-вентиляційний апарат "Volkano"</t>
  </si>
  <si>
    <t>Електроосвітлювальна мережа 0,23 Кв</t>
  </si>
  <si>
    <t xml:space="preserve"> Котельня "КЕ-25"</t>
  </si>
  <si>
    <t xml:space="preserve">Будівля котельні № 24 мікрорайону "Молодіжний" </t>
  </si>
  <si>
    <t>площа підстави 33,9 експлікація 136,9</t>
  </si>
  <si>
    <t>м. Слов’янськ</t>
  </si>
  <si>
    <t>Б/в Ворота металеві</t>
  </si>
  <si>
    <t>Б/в Огорожа металева</t>
  </si>
  <si>
    <t xml:space="preserve">Склад металевий </t>
  </si>
  <si>
    <t>Кімната енергоблока</t>
  </si>
  <si>
    <t xml:space="preserve">Труба димова </t>
  </si>
  <si>
    <t>Будівля теплопункт № 1</t>
  </si>
  <si>
    <t>Будівля кладової № 2</t>
  </si>
  <si>
    <t>Будівля кладової № 3</t>
  </si>
  <si>
    <t xml:space="preserve">Нежитлова будівля побутового корпусу, котельня № 14 </t>
  </si>
  <si>
    <t>Нежитлова будівля, котельня № 1</t>
  </si>
  <si>
    <t>Тимчасова металева споруда, модуль ТКАН котельня № 10</t>
  </si>
  <si>
    <t>Огорожа залізобетонна, котельня № 14</t>
  </si>
  <si>
    <t>Лабораторно - побутовий корпус</t>
  </si>
  <si>
    <t>Біологічні ставки</t>
  </si>
  <si>
    <t>Позаквартальна каналізація</t>
  </si>
  <si>
    <t>Водопровід, клуб-їдальня</t>
  </si>
  <si>
    <t xml:space="preserve">Каналізація, клуб-їдальня   </t>
  </si>
  <si>
    <t xml:space="preserve">Водопровід, спальний корпус </t>
  </si>
  <si>
    <t xml:space="preserve">Каналізація, спальний корпус </t>
  </si>
  <si>
    <t xml:space="preserve">Прийомник медичного корпусу </t>
  </si>
  <si>
    <t xml:space="preserve">Водопровід, прийомник медичного корпусу </t>
  </si>
  <si>
    <t>ЛЕП 2-х кабельна КНС тягова</t>
  </si>
  <si>
    <t>Водопровідні лінії дюкер-Шахтар</t>
  </si>
  <si>
    <t>Водопровід від б/в "Нептун" до національного парку</t>
  </si>
  <si>
    <t xml:space="preserve">Мережі водопостачання п/м 1100                                    </t>
  </si>
  <si>
    <t>Каналізаційні мережі (Лавра)</t>
  </si>
  <si>
    <t>Теплотраса котельні - ЗОШ № 15</t>
  </si>
  <si>
    <t>Теплові мережі зовнішні ТП-82/2</t>
  </si>
  <si>
    <t xml:space="preserve">Каналізація спальних корпусів </t>
  </si>
  <si>
    <t>Внутрішні мережі каналізації майданчика майстерні КНС-1</t>
  </si>
  <si>
    <t>Зовнішні лінії електропередач ЗОШ № 18</t>
  </si>
  <si>
    <t>Навіс зберігання вугілля котельні № 14</t>
  </si>
  <si>
    <t>Зовнішні мережі теплопостачання та г-в котельні № 1</t>
  </si>
  <si>
    <t>Труба димова котельні № 1</t>
  </si>
  <si>
    <t>Теплотраса котельні Західної</t>
  </si>
  <si>
    <t>Надземні теплові мережі у ППУ у 2-ох трубному вимірі</t>
  </si>
  <si>
    <t>Б/в Склад під метал</t>
  </si>
  <si>
    <t xml:space="preserve">Траса школа № 10 </t>
  </si>
  <si>
    <t>Теплотраса від їдальні до учбового корпусу</t>
  </si>
  <si>
    <t>Залізобетонна огорожа</t>
  </si>
  <si>
    <t>Траса селищна рада</t>
  </si>
  <si>
    <t xml:space="preserve">Бак Деаератора </t>
  </si>
  <si>
    <t>Б/в огорожа цегляна</t>
  </si>
  <si>
    <t>Б/в огорожа</t>
  </si>
  <si>
    <t xml:space="preserve">Теплотраса </t>
  </si>
  <si>
    <t>Вигрібна яма</t>
  </si>
  <si>
    <t>Будівля бактеріальних пристроїв</t>
  </si>
  <si>
    <t>Димова труба Д 530 Н=18 м</t>
  </si>
  <si>
    <t xml:space="preserve">Теплотраса внутрішня </t>
  </si>
  <si>
    <t xml:space="preserve">Теплотраса зовнішня </t>
  </si>
  <si>
    <t>Трубопроводи котельні (в 1 обчисленні)</t>
  </si>
  <si>
    <t xml:space="preserve">Теплові мережі наземні з труб ППУ </t>
  </si>
  <si>
    <t>Трубопроводи сталеві в котельні</t>
  </si>
  <si>
    <t>Вольєр для собак</t>
  </si>
  <si>
    <t xml:space="preserve">Слюсарна майстерня з навісом </t>
  </si>
  <si>
    <t>Б/в Труба димова металева</t>
  </si>
  <si>
    <t xml:space="preserve">Зовнішні мережі каналізації </t>
  </si>
  <si>
    <t xml:space="preserve">Металевий майданчик </t>
  </si>
  <si>
    <t>Б/в Огорожа</t>
  </si>
  <si>
    <t>Водопровід</t>
  </si>
  <si>
    <t>Вагон-гуртожиток</t>
  </si>
  <si>
    <t>Диспетчерська з навісом</t>
  </si>
  <si>
    <t>Навіс під киснем і пропаном</t>
  </si>
  <si>
    <t>Кільце КЦ 30*12</t>
  </si>
  <si>
    <t>Огорожа з Профнастилу</t>
  </si>
  <si>
    <t xml:space="preserve">Ящик для генератора </t>
  </si>
  <si>
    <t>Робочий майданчик</t>
  </si>
  <si>
    <t>Тепломережа котельні № 1</t>
  </si>
  <si>
    <t>Тепломережа котельня № 5</t>
  </si>
  <si>
    <t>Тепломережа котельня 29</t>
  </si>
  <si>
    <t>Резервуар котельня 29</t>
  </si>
  <si>
    <t>Котельня Центральна, 1</t>
  </si>
  <si>
    <t>Резервуар котельні 17</t>
  </si>
  <si>
    <t>Димар котельні 17</t>
  </si>
  <si>
    <t>Котельня № 21</t>
  </si>
  <si>
    <t>Резервуар котельні 21</t>
  </si>
  <si>
    <t>Резервуар підземний котельня Північна</t>
  </si>
  <si>
    <t>Резервуар котельня Північна</t>
  </si>
  <si>
    <t>Резервуар котельня ПТУ</t>
  </si>
  <si>
    <t>Резервуар котельні Центральна 2</t>
  </si>
  <si>
    <t>Тепломережа котельня ЦРЛ</t>
  </si>
  <si>
    <t>Резервуар котельня ЦРЛ</t>
  </si>
  <si>
    <t>Котельня Квартальна № 1</t>
  </si>
  <si>
    <t>Резервуар Квартальна № 1</t>
  </si>
  <si>
    <t>Резервуар  Квартальна № 1</t>
  </si>
  <si>
    <t>Димар Квартальна № 1</t>
  </si>
  <si>
    <t xml:space="preserve">Будівля котельні кв. 43 </t>
  </si>
  <si>
    <t>Будинок теплового вузла</t>
  </si>
  <si>
    <t>Теплотраса повітряна (адміністративна будівля)</t>
  </si>
  <si>
    <t xml:space="preserve">Каналізація б/в "Юність" </t>
  </si>
  <si>
    <t>Нежитлова будівля, Склад</t>
  </si>
  <si>
    <t xml:space="preserve">Котельня № 13                                                                                  </t>
  </si>
  <si>
    <t>Тепломережа котельні № 24</t>
  </si>
  <si>
    <t>Будівля теплопункту № 1 мікрорайону "Молодіжний"</t>
  </si>
  <si>
    <t>Будівля теплопункту № 3 мікрорайону "Молодіжний</t>
  </si>
  <si>
    <t>Будівля теплопункту № 1 мікрорайону "Східний"</t>
  </si>
  <si>
    <t xml:space="preserve">Будівля теплопункту № 2 мікрорайону "Східний" </t>
  </si>
  <si>
    <t xml:space="preserve">Будівля теплопункту № 3 мікрорайону "Східний" </t>
  </si>
  <si>
    <t xml:space="preserve">Будівля котельні кварталу 40 </t>
  </si>
  <si>
    <t>Нежитлова будівля (Котельна № 15)</t>
  </si>
  <si>
    <t>Система опалення (регістри Д 108/7 од.)</t>
  </si>
  <si>
    <t>Резервуар котельня Центральна 1</t>
  </si>
  <si>
    <t xml:space="preserve">Будівля котельні № 25 (Жовтнева)  </t>
  </si>
  <si>
    <t xml:space="preserve">Будівля котельні № 24 (Тельмана)  </t>
  </si>
  <si>
    <t xml:space="preserve">Будівля котельні № 23 (Островського) </t>
  </si>
  <si>
    <t xml:space="preserve">Будівля котельні "322 квартал"   </t>
  </si>
  <si>
    <t xml:space="preserve">Будівля котельні "12 квартал"  </t>
  </si>
  <si>
    <t xml:space="preserve">Будівля котельні "МКР № 2"  </t>
  </si>
  <si>
    <t xml:space="preserve">Будівля котельні "МКР № 1"   </t>
  </si>
  <si>
    <t xml:space="preserve">Будівля котельні "МКР "Північний" </t>
  </si>
  <si>
    <t>Будівля котельні "Учбово-виробничий комбінат"</t>
  </si>
  <si>
    <t xml:space="preserve">Будівля ЦТП "Калініна"    </t>
  </si>
  <si>
    <t xml:space="preserve">Будівля ЦТП "Квартал "А"     </t>
  </si>
  <si>
    <t xml:space="preserve">Будівля ЦТП "Квартал Є " </t>
  </si>
  <si>
    <t xml:space="preserve">Будівля ЦТП - 2    </t>
  </si>
  <si>
    <t xml:space="preserve">Будівля ЦТП "МКР № 1"      </t>
  </si>
  <si>
    <t xml:space="preserve">Будівля ЦТП  "1-2 черга" </t>
  </si>
  <si>
    <t xml:space="preserve">Будівля ЦТП "3 черга" </t>
  </si>
  <si>
    <t xml:space="preserve">Будівля цеху КВП та А  </t>
  </si>
  <si>
    <t xml:space="preserve">Будівля боксів та складу </t>
  </si>
  <si>
    <t>Споруда підземного резервуару для запасу води котельні "МКР № 2" № 00315</t>
  </si>
  <si>
    <t xml:space="preserve">Споруда підземного резервуару для запасу води котельні "МКР № 1" </t>
  </si>
  <si>
    <t xml:space="preserve">Споруда соляного складу котельні "Центральна, № 1, 2"  </t>
  </si>
  <si>
    <t xml:space="preserve">Будівля котельні "Зоря"    </t>
  </si>
  <si>
    <t xml:space="preserve">Димова труба котельні "Зоря"  </t>
  </si>
  <si>
    <t>Будівля котельні № 1</t>
  </si>
  <si>
    <t>Будівля котельні № 8</t>
  </si>
  <si>
    <t>Будівля котельні № 9а</t>
  </si>
  <si>
    <t>Будівля котельні ПТУ</t>
  </si>
  <si>
    <t>Димова труба котельні № 10</t>
  </si>
  <si>
    <t>Теплотраса котельні Центральна № 2</t>
  </si>
  <si>
    <t>Теплотраса котельні Центральна № 1</t>
  </si>
  <si>
    <t xml:space="preserve">Теплотраса Абрамова  </t>
  </si>
  <si>
    <t xml:space="preserve">Теплотраса ЦТП " Висотний"   </t>
  </si>
  <si>
    <t xml:space="preserve">Теплотраса котельні № 25 </t>
  </si>
  <si>
    <t>Колодязь теплофікації котельні МКР № 2</t>
  </si>
  <si>
    <t>Теплотраса 12 квартал</t>
  </si>
  <si>
    <t>Теплотраса котельні Центральна № 2 (ОКС)</t>
  </si>
  <si>
    <t>Теплотраса котельні Центральна № 2 (ЖКО)</t>
  </si>
  <si>
    <t>85114, 
вул. Ємельянова, 69</t>
  </si>
  <si>
    <t>84453,
вул. Соборна</t>
  </si>
  <si>
    <t xml:space="preserve">84522, 
пров. Заводський, 1 </t>
  </si>
  <si>
    <t>84522, 
пров. Заводський, 1</t>
  </si>
  <si>
    <t>84130, 
вул. Зарічна, 5</t>
  </si>
  <si>
    <t xml:space="preserve">84433, 
вул. Дубовий Гай, 52 </t>
  </si>
  <si>
    <t xml:space="preserve">  84130, 
вул. Івана Мазепи, 23   </t>
  </si>
  <si>
    <t xml:space="preserve">84433, 
вул. Дубовий Гай, 50 </t>
  </si>
  <si>
    <t xml:space="preserve">84433, 
вул. Дубовий Гай, 50  </t>
  </si>
  <si>
    <t>84433, 
вул. Дубовий Гай, 50</t>
  </si>
  <si>
    <t xml:space="preserve">84141, 
вул. Травнева, 121  </t>
  </si>
  <si>
    <t xml:space="preserve">84141, 
вул. Травнева, 121    </t>
  </si>
  <si>
    <t>84141, 
вул. Травнева, 121</t>
  </si>
  <si>
    <t xml:space="preserve">84130, 
пров. Лісовий, 15 </t>
  </si>
  <si>
    <t xml:space="preserve">84130, 
вул. Сібільова, 37     </t>
  </si>
  <si>
    <t>84197, 
вул. Пролетарська</t>
  </si>
  <si>
    <t xml:space="preserve"> 84130, 
вул. Леваневського </t>
  </si>
  <si>
    <t>84130, 
вул. Горького</t>
  </si>
  <si>
    <t>84130, 
вул. Івана Мазепи, 9</t>
  </si>
  <si>
    <t xml:space="preserve">84130, 
вул. Івана Мазепи, 9 </t>
  </si>
  <si>
    <t xml:space="preserve">84141, 
вул. Травнева, 121   </t>
  </si>
  <si>
    <t>від б/в "Троянда" 
до вул. І. Мазепи</t>
  </si>
  <si>
    <t>85200, 
вул. Р.-Корсакова, 6</t>
  </si>
  <si>
    <t xml:space="preserve">85200, 
вул. Гоголя                </t>
  </si>
  <si>
    <t xml:space="preserve">85200, 
вул. Нова- вул. Толстого- вул. Герцена </t>
  </si>
  <si>
    <t xml:space="preserve">85200, 
вул. Р.-Корсакова, 6     </t>
  </si>
  <si>
    <t xml:space="preserve">85200, 
вул. Білоруська, 7     </t>
  </si>
  <si>
    <t xml:space="preserve">85280, 
вул. Нова   </t>
  </si>
  <si>
    <t xml:space="preserve">85280, 
вул. Юності  </t>
  </si>
  <si>
    <t>85200, 
вул. Грушевського</t>
  </si>
  <si>
    <t>85200, 
вул. 51 Армії, 
вул. Івана Карабиця</t>
  </si>
  <si>
    <t xml:space="preserve">85200, 
вул. Дружби   </t>
  </si>
  <si>
    <t>85200, 
вул. Лесі Українки</t>
  </si>
  <si>
    <t xml:space="preserve">85200, 
вул. Центральна   </t>
  </si>
  <si>
    <t xml:space="preserve">85206, 
вул. В.Сорочука   </t>
  </si>
  <si>
    <t xml:space="preserve">85200, 
вул. Лісова </t>
  </si>
  <si>
    <t xml:space="preserve">   85280, 
вул. Юності, 27          </t>
  </si>
  <si>
    <t xml:space="preserve">85200, 
вул. Лісова  </t>
  </si>
  <si>
    <t xml:space="preserve">85280, 
вул. Юності, 27       </t>
  </si>
  <si>
    <t xml:space="preserve">    85280, 
вул. Юності                </t>
  </si>
  <si>
    <t xml:space="preserve">85280, 
вул. Калужська        </t>
  </si>
  <si>
    <t xml:space="preserve">85280, 
вул. Харківська     </t>
  </si>
  <si>
    <t xml:space="preserve">  85280, 
вул. Юності           </t>
  </si>
  <si>
    <t xml:space="preserve">85280,
 вул. Юності                  </t>
  </si>
  <si>
    <t xml:space="preserve">85200, 
вул. Світла, 5 </t>
  </si>
  <si>
    <t xml:space="preserve">85200, 
вул. Гайдара  </t>
  </si>
  <si>
    <t xml:space="preserve">85200, 
вул. 8 Березня </t>
  </si>
  <si>
    <t>85200, 
просп. Шахтарів</t>
  </si>
  <si>
    <t xml:space="preserve">85200, 
вул. Глінки, 2б  </t>
  </si>
  <si>
    <t xml:space="preserve">85200, 
вул. Маяковського  </t>
  </si>
  <si>
    <t xml:space="preserve">85200, 
вул. Рябошапки  </t>
  </si>
  <si>
    <t xml:space="preserve">85200, 
вул. Лісова, 13  </t>
  </si>
  <si>
    <t xml:space="preserve">85200, 
вул. Лісова   </t>
  </si>
  <si>
    <t xml:space="preserve">85200, 
вул. Центральна       </t>
  </si>
  <si>
    <t xml:space="preserve">85200, 
вул. Братська  </t>
  </si>
  <si>
    <t xml:space="preserve">84301, 
вул. Ювілейна </t>
  </si>
  <si>
    <t xml:space="preserve">84307, 
вул. Лікарська </t>
  </si>
  <si>
    <t>84395, 
вул. Бєлгородська</t>
  </si>
  <si>
    <t>84302, 
вул. Шкільна</t>
  </si>
  <si>
    <t>84331,
вул. Остапа Вишні</t>
  </si>
  <si>
    <t>84302, 
вул. 1 Травня</t>
  </si>
  <si>
    <t>84333, 
вул. Академічна</t>
  </si>
  <si>
    <t>84300, 
вул. Аероклубна</t>
  </si>
  <si>
    <t>84307, 
вул. О.Кошового</t>
  </si>
  <si>
    <t>84318, 
вул. Софіївська</t>
  </si>
  <si>
    <t>84331, 
вул. Паркова</t>
  </si>
  <si>
    <t xml:space="preserve">84331, 
вул. Марії Приймаченко </t>
  </si>
  <si>
    <t>84331, 
вул. Остапа Вишні</t>
  </si>
  <si>
    <t>84302, 
вул. Клубна</t>
  </si>
  <si>
    <t>84332, 
вул. Паркова</t>
  </si>
  <si>
    <t>84301, 
вул. Марата, 13, кв. 18</t>
  </si>
  <si>
    <t>84307, 
пров. Земляний, 2</t>
  </si>
  <si>
    <t>84453, 
вул. Соборна, 137</t>
  </si>
  <si>
    <t>84200, 
вул. Ушакова, 4</t>
  </si>
  <si>
    <t>84200, 
вул. Олекси Тихого, 288</t>
  </si>
  <si>
    <t>84200, 
вул. Р.Люксембург, 38</t>
  </si>
  <si>
    <t>84200, 
вул. Р. Люксембург, 38</t>
  </si>
  <si>
    <t>84200, 
вул. Р.Люксембург, 39</t>
  </si>
  <si>
    <t>84200, 
вул. Р. Люксембург, 39</t>
  </si>
  <si>
    <t>84207, 
вул. Дружби, 84</t>
  </si>
  <si>
    <t>84201, 
вул. К. Маркса, 22</t>
  </si>
  <si>
    <t>84200, 
вул. Короленка, 12</t>
  </si>
  <si>
    <t>84201, 
вул. Котляревського, 151</t>
  </si>
  <si>
    <t>84206, 
вул. Індустріальна, 11</t>
  </si>
  <si>
    <t>84206, 
вул. Енгельса, 8</t>
  </si>
  <si>
    <t>84204, 
вул. Костянтинівська, 35</t>
  </si>
  <si>
    <t>84206, 
вул. Космонавтів, 22</t>
  </si>
  <si>
    <t>84207, 
вул. О. Кошового, 49</t>
  </si>
  <si>
    <t>84206, 
вул. Космонавтів, 39</t>
  </si>
  <si>
    <t xml:space="preserve">85400, 
вул. Кринична, 46  </t>
  </si>
  <si>
    <t>85400, 
вул. Кринична, 46</t>
  </si>
  <si>
    <t xml:space="preserve">85400, 
вул. Кринична, 46   </t>
  </si>
  <si>
    <t xml:space="preserve">85400, 
вул. Кринична, 39     </t>
  </si>
  <si>
    <t>85400, 
вул. Нагірна, 17</t>
  </si>
  <si>
    <t xml:space="preserve">85400, 
вул. Чернишевського, 7   </t>
  </si>
  <si>
    <t>85400, 
вул. Чернишевського, 7</t>
  </si>
  <si>
    <t xml:space="preserve">85400, 
вул. Перемоги, 77 </t>
  </si>
  <si>
    <t xml:space="preserve">85327, 
мкрн. Молодіжний, 67 </t>
  </si>
  <si>
    <t>85327, 
мкрн. Молодіжний, 67</t>
  </si>
  <si>
    <t>85327, 
мкрн. Молодіжний, 66</t>
  </si>
  <si>
    <t xml:space="preserve">85327, 
мкрн. Молодіжний, 64 </t>
  </si>
  <si>
    <t>85327, 
мкрн. Молодіжний, 64</t>
  </si>
  <si>
    <t>85327, 
Квартал 40, буд. 40</t>
  </si>
  <si>
    <t>86020, 
вул. Заводська</t>
  </si>
  <si>
    <t>86020, 
мкрн. Гідробудівників</t>
  </si>
  <si>
    <t xml:space="preserve"> 85323,
 пров. Львівський, 5</t>
  </si>
  <si>
    <t xml:space="preserve"> 85323, 
пров. Львівський, 5</t>
  </si>
  <si>
    <t xml:space="preserve"> 85323, 
пров. Львівський, 5 </t>
  </si>
  <si>
    <t>85323, 
пров. Львівський, 5</t>
  </si>
  <si>
    <t>85485, 
вул. Горького, 42</t>
  </si>
  <si>
    <t>84122, 
вул. Торська, 4</t>
  </si>
  <si>
    <t>84122, 
вул. Вчительська, 29</t>
  </si>
  <si>
    <t>84116, 
вул. Г.Батюка, 4</t>
  </si>
  <si>
    <t xml:space="preserve">84116, 
вул. Бульварна, 15 </t>
  </si>
  <si>
    <t>84116, 
вул. Бульварна, 15</t>
  </si>
  <si>
    <t>84116,
 вул. Бульварна, 15</t>
  </si>
  <si>
    <t>84116, 
вул. Бульварна, 16</t>
  </si>
  <si>
    <t>84116,
 вул. Бульварна, 16</t>
  </si>
  <si>
    <t>84116, 
вул. Бульварна, 17</t>
  </si>
  <si>
    <t>84116,
 вул. Бульварна, 17</t>
  </si>
  <si>
    <t>84116, 
вул. Бульварна, 18</t>
  </si>
  <si>
    <t>84116,
 вул. Бульварна, 18</t>
  </si>
  <si>
    <t>84116, 
вул. Бульварна, 19</t>
  </si>
  <si>
    <t>84116,
 вул. Бульварна, 19</t>
  </si>
  <si>
    <t>84116, 
вул. Бульварна, 20</t>
  </si>
  <si>
    <t>84116,
 вул. Бульварна, 20</t>
  </si>
  <si>
    <t>84116, 
вул. Бульварна, 21</t>
  </si>
  <si>
    <t>84116,
 вул. Бульварна, 21</t>
  </si>
  <si>
    <t>84116, 
вул. Бульварна, 22</t>
  </si>
  <si>
    <t>84116,
 вул. Бульварна, 22</t>
  </si>
  <si>
    <t>84116, 
вул. Бульварна, 23</t>
  </si>
  <si>
    <t>84116,
 вул. Бульварна, 23</t>
  </si>
  <si>
    <t>84116, 
вул. Бульварна, 24</t>
  </si>
  <si>
    <t>84116,
 вул. Бульварна, 24</t>
  </si>
  <si>
    <t>84116, 
вул. Бульварна, 25</t>
  </si>
  <si>
    <t xml:space="preserve">84122, 
вул. Святогірська, 2 </t>
  </si>
  <si>
    <t>84122,
 вул. Святогірська, 2</t>
  </si>
  <si>
    <t>84122, 
вул. Святогірська, 3</t>
  </si>
  <si>
    <t>84122,
 вул. Святогірська, 3</t>
  </si>
  <si>
    <t>84122, 
вул. Святогірська, 4</t>
  </si>
  <si>
    <t>84122, 
вул. Центральна, 41</t>
  </si>
  <si>
    <t>84122, 
вул. Т. Шевченка, 44</t>
  </si>
  <si>
    <t>84122,
вул. Т. Шевченка, 44</t>
  </si>
  <si>
    <t>84122, 
вул. Ярослава Мудрого, 6</t>
  </si>
  <si>
    <t>84122, 
пров. Ярослава Мудрого, 6</t>
  </si>
  <si>
    <t>Траса Київ-Довжанський</t>
  </si>
  <si>
    <t>84122, 
вул. Шовковична, 29</t>
  </si>
  <si>
    <t xml:space="preserve">84122, 
вул. Торгова, 28 </t>
  </si>
  <si>
    <t>84122, 
пров. Медичний, 2</t>
  </si>
  <si>
    <t>84122,
 пров. Медичний, 2</t>
  </si>
  <si>
    <t xml:space="preserve">84108, 
вул. Курчатова, 72 </t>
  </si>
  <si>
    <t>84108, 
вул. Курчатова, 72</t>
  </si>
  <si>
    <t xml:space="preserve">84115, 
вул. Нарвська, 7 </t>
  </si>
  <si>
    <t>84115, 
вул. Нарвська, 7</t>
  </si>
  <si>
    <t>84115,
вул. Нарвська, 7</t>
  </si>
  <si>
    <t>84116, 
пров. Корнійчука, 51</t>
  </si>
  <si>
    <t xml:space="preserve">84130, 
вул. Івана Мазепи, 9 корп. 28 </t>
  </si>
  <si>
    <t>84130, 
вул. Івана Мазепи, 9 корп. 28</t>
  </si>
  <si>
    <t>84130,
 вул. Івана Мазепи, 9 корп. 28</t>
  </si>
  <si>
    <t xml:space="preserve">84432, 
станція Святогірськ, 7 </t>
  </si>
  <si>
    <t>84116,
 пров. Г.Батюка, 2</t>
  </si>
  <si>
    <t xml:space="preserve">84122, 
вул. Поштова, 58 </t>
  </si>
  <si>
    <t>84122, 
вул. Поштова, 58</t>
  </si>
  <si>
    <t xml:space="preserve">84122, 
пров. Ярослава Мудрого, 6 </t>
  </si>
  <si>
    <t xml:space="preserve">84122,
 пров. Ярослава Мудрого, 6 </t>
  </si>
  <si>
    <t xml:space="preserve">84122, 
вул. Шовковична, 5 </t>
  </si>
  <si>
    <t>84122, 
вул. Шовковична, 5</t>
  </si>
  <si>
    <t xml:space="preserve"> 87400, 
вул. Поштова, 22</t>
  </si>
  <si>
    <t>87400, 
вул. Поштова, 22</t>
  </si>
  <si>
    <t xml:space="preserve">87455, 
вул. Горького, 20 </t>
  </si>
  <si>
    <t>87455, 
вул. Горького, 20</t>
  </si>
  <si>
    <t>85102, 
вул. Ємельянова, 69</t>
  </si>
  <si>
    <t>85102,
 вул. Лівобережна, 62</t>
  </si>
  <si>
    <t>85102, 
вул. Лівобережна, 62</t>
  </si>
  <si>
    <t>85143, 
вул. Учбова, 1</t>
  </si>
  <si>
    <t>85143, 
вул. Дорожна</t>
  </si>
  <si>
    <t>84551, 
вул. Привокзальна, 2</t>
  </si>
  <si>
    <t xml:space="preserve">84573, 
вул. Первомайська, 9 </t>
  </si>
  <si>
    <t>1978</t>
  </si>
  <si>
    <t>1979</t>
  </si>
  <si>
    <t>1980</t>
  </si>
  <si>
    <t>1981</t>
  </si>
  <si>
    <t>1982</t>
  </si>
  <si>
    <t>1976</t>
  </si>
  <si>
    <t>1988</t>
  </si>
  <si>
    <t>1990</t>
  </si>
  <si>
    <t>2004</t>
  </si>
  <si>
    <t>2014</t>
  </si>
  <si>
    <t>1998</t>
  </si>
  <si>
    <t>1974</t>
  </si>
  <si>
    <t>1962</t>
  </si>
  <si>
    <t>2001</t>
  </si>
  <si>
    <t>1992</t>
  </si>
  <si>
    <t>1971</t>
  </si>
  <si>
    <t>1984</t>
  </si>
  <si>
    <t>1963</t>
  </si>
  <si>
    <t>1970</t>
  </si>
  <si>
    <t>2011</t>
  </si>
  <si>
    <t>2005</t>
  </si>
  <si>
    <t>1975</t>
  </si>
  <si>
    <t>1973</t>
  </si>
  <si>
    <t>2002</t>
  </si>
  <si>
    <t>1977</t>
  </si>
  <si>
    <t>1996</t>
  </si>
  <si>
    <t>1991</t>
  </si>
  <si>
    <t>1997</t>
  </si>
  <si>
    <t>1965</t>
  </si>
  <si>
    <t>1986</t>
  </si>
  <si>
    <t>2006</t>
  </si>
  <si>
    <t>1993</t>
  </si>
  <si>
    <t>1989</t>
  </si>
  <si>
    <t>1959</t>
  </si>
  <si>
    <t>2013</t>
  </si>
  <si>
    <t>2000</t>
  </si>
  <si>
    <t>1994</t>
  </si>
  <si>
    <t>1995</t>
  </si>
  <si>
    <t>1972</t>
  </si>
  <si>
    <t>2007</t>
  </si>
  <si>
    <t>1956</t>
  </si>
  <si>
    <t>2008</t>
  </si>
  <si>
    <t>2003</t>
  </si>
  <si>
    <t>2010</t>
  </si>
  <si>
    <t>1983</t>
  </si>
  <si>
    <t>1967</t>
  </si>
  <si>
    <t>2015</t>
  </si>
  <si>
    <t>2016</t>
  </si>
  <si>
    <t>2009</t>
  </si>
  <si>
    <t>2012</t>
  </si>
  <si>
    <t>1968</t>
  </si>
  <si>
    <t>1985</t>
  </si>
  <si>
    <t>2017</t>
  </si>
  <si>
    <t>1999</t>
  </si>
  <si>
    <t>1964</t>
  </si>
  <si>
    <t>1969</t>
  </si>
  <si>
    <t>1958</t>
  </si>
  <si>
    <t>1957</t>
  </si>
  <si>
    <t>1944</t>
  </si>
  <si>
    <t>1935</t>
  </si>
  <si>
    <t>1960</t>
  </si>
  <si>
    <t>00222</t>
  </si>
  <si>
    <t>00258</t>
  </si>
  <si>
    <t>00368</t>
  </si>
  <si>
    <t>00443</t>
  </si>
  <si>
    <t>00316</t>
  </si>
  <si>
    <t>00001</t>
  </si>
  <si>
    <t>00059</t>
  </si>
  <si>
    <t>01520</t>
  </si>
  <si>
    <t>01588</t>
  </si>
  <si>
    <t>01704</t>
  </si>
  <si>
    <t>102101</t>
  </si>
  <si>
    <t>01720</t>
  </si>
  <si>
    <t>01745</t>
  </si>
  <si>
    <t>101816</t>
  </si>
  <si>
    <t>00168</t>
  </si>
  <si>
    <t>00193</t>
  </si>
  <si>
    <t>00209</t>
  </si>
  <si>
    <t>00256-7</t>
  </si>
  <si>
    <t>00367</t>
  </si>
  <si>
    <t>00312</t>
  </si>
  <si>
    <t>00581</t>
  </si>
  <si>
    <t>00709</t>
  </si>
  <si>
    <t>00776</t>
  </si>
  <si>
    <t>00795</t>
  </si>
  <si>
    <t>00809</t>
  </si>
  <si>
    <t>00823</t>
  </si>
  <si>
    <t>10017</t>
  </si>
  <si>
    <t>10025</t>
  </si>
  <si>
    <t>102131</t>
  </si>
  <si>
    <t>01700</t>
  </si>
  <si>
    <t>01701</t>
  </si>
  <si>
    <t>00834</t>
  </si>
  <si>
    <t>01087</t>
  </si>
  <si>
    <t>01254</t>
  </si>
  <si>
    <t>00249</t>
  </si>
  <si>
    <t>00252</t>
  </si>
  <si>
    <t>00108</t>
  </si>
  <si>
    <t>00118</t>
  </si>
  <si>
    <t>00689</t>
  </si>
  <si>
    <t>00727</t>
  </si>
  <si>
    <t>00764</t>
  </si>
  <si>
    <t>00428</t>
  </si>
  <si>
    <t>00519</t>
  </si>
  <si>
    <t>00536</t>
  </si>
  <si>
    <t>01421-2</t>
  </si>
  <si>
    <t>00917</t>
  </si>
  <si>
    <t>01421-1</t>
  </si>
  <si>
    <t>00313</t>
  </si>
  <si>
    <t>00314</t>
  </si>
  <si>
    <t>00098</t>
  </si>
  <si>
    <t>00100</t>
  </si>
  <si>
    <t>00311</t>
  </si>
  <si>
    <t>00861</t>
  </si>
  <si>
    <t>01630</t>
  </si>
  <si>
    <t>01511</t>
  </si>
  <si>
    <t>10023</t>
  </si>
  <si>
    <t>00021</t>
  </si>
  <si>
    <t>00131</t>
  </si>
  <si>
    <t>01533</t>
  </si>
  <si>
    <t>01769</t>
  </si>
  <si>
    <t>00003</t>
  </si>
  <si>
    <t>00004</t>
  </si>
  <si>
    <t>00315</t>
  </si>
  <si>
    <t>00369</t>
  </si>
  <si>
    <t>00093</t>
  </si>
  <si>
    <t>00096</t>
  </si>
  <si>
    <t>101899</t>
  </si>
  <si>
    <t>101916</t>
  </si>
  <si>
    <t>00558</t>
  </si>
  <si>
    <t>01673</t>
  </si>
  <si>
    <t>4100001</t>
  </si>
  <si>
    <t>4100003</t>
  </si>
  <si>
    <t>4100004</t>
  </si>
  <si>
    <t>4100006</t>
  </si>
  <si>
    <t>4100008</t>
  </si>
  <si>
    <t>4100010</t>
  </si>
  <si>
    <t>4100011</t>
  </si>
  <si>
    <t>4100014</t>
  </si>
  <si>
    <t>4100018</t>
  </si>
  <si>
    <t>4100016</t>
  </si>
  <si>
    <t>4100017</t>
  </si>
  <si>
    <t>4100019</t>
  </si>
  <si>
    <t>4100035</t>
  </si>
  <si>
    <t>4100023</t>
  </si>
  <si>
    <t>4100002</t>
  </si>
  <si>
    <t>4100045</t>
  </si>
  <si>
    <t>4100005</t>
  </si>
  <si>
    <t>4100007</t>
  </si>
  <si>
    <t>4100009</t>
  </si>
  <si>
    <t>4100046</t>
  </si>
  <si>
    <t>4100013</t>
  </si>
  <si>
    <t>4100015</t>
  </si>
  <si>
    <t>4100020</t>
  </si>
  <si>
    <t>102309</t>
  </si>
  <si>
    <t>4100049</t>
  </si>
  <si>
    <t>4100051</t>
  </si>
  <si>
    <t>4100050</t>
  </si>
  <si>
    <t>4100038</t>
  </si>
  <si>
    <t>4100036</t>
  </si>
  <si>
    <t>4100054</t>
  </si>
  <si>
    <t>4100037</t>
  </si>
  <si>
    <t>4100055</t>
  </si>
  <si>
    <t>4100059</t>
  </si>
  <si>
    <t>4100022</t>
  </si>
  <si>
    <t>01001074</t>
  </si>
  <si>
    <t>01001070</t>
  </si>
  <si>
    <t>01513</t>
  </si>
  <si>
    <t>01515</t>
  </si>
  <si>
    <t>01516</t>
  </si>
  <si>
    <t>01338</t>
  </si>
  <si>
    <t>01339</t>
  </si>
  <si>
    <t>01521</t>
  </si>
  <si>
    <t>01522</t>
  </si>
  <si>
    <t>01557</t>
  </si>
  <si>
    <t>01623</t>
  </si>
  <si>
    <t>01674</t>
  </si>
  <si>
    <t>01702</t>
  </si>
  <si>
    <t>01703</t>
  </si>
  <si>
    <t>01715</t>
  </si>
  <si>
    <t>00862</t>
  </si>
  <si>
    <t>00972</t>
  </si>
  <si>
    <t>00990</t>
  </si>
  <si>
    <t>00994</t>
  </si>
  <si>
    <t>00997</t>
  </si>
  <si>
    <t>01475</t>
  </si>
  <si>
    <t>01512</t>
  </si>
  <si>
    <t>101919</t>
  </si>
  <si>
    <t>101979</t>
  </si>
  <si>
    <t>102074</t>
  </si>
  <si>
    <t>01001076</t>
  </si>
  <si>
    <t>01001071</t>
  </si>
  <si>
    <t>01001072</t>
  </si>
  <si>
    <t>01001073</t>
  </si>
  <si>
    <t>01100267</t>
  </si>
  <si>
    <t>102116</t>
  </si>
  <si>
    <t>102117</t>
  </si>
  <si>
    <t>102132</t>
  </si>
  <si>
    <t>102222</t>
  </si>
  <si>
    <t>01728</t>
  </si>
  <si>
    <t>01744</t>
  </si>
  <si>
    <t>01764</t>
  </si>
  <si>
    <t>01779</t>
  </si>
  <si>
    <t>101805</t>
  </si>
  <si>
    <t>101817</t>
  </si>
  <si>
    <t>101900</t>
  </si>
  <si>
    <t>00194</t>
  </si>
  <si>
    <t>00210</t>
  </si>
  <si>
    <t>00223</t>
  </si>
  <si>
    <t>00224</t>
  </si>
  <si>
    <t>00261</t>
  </si>
  <si>
    <t>00005</t>
  </si>
  <si>
    <t>00019</t>
  </si>
  <si>
    <t>00054</t>
  </si>
  <si>
    <t>00055</t>
  </si>
  <si>
    <t>00061</t>
  </si>
  <si>
    <t>01430</t>
  </si>
  <si>
    <t>00130</t>
  </si>
  <si>
    <t>00134</t>
  </si>
  <si>
    <t>00583</t>
  </si>
  <si>
    <t>00586</t>
  </si>
  <si>
    <t>00690</t>
  </si>
  <si>
    <t>00710</t>
  </si>
  <si>
    <t>00736</t>
  </si>
  <si>
    <t>00765</t>
  </si>
  <si>
    <t>00777</t>
  </si>
  <si>
    <t>00796</t>
  </si>
  <si>
    <t>00810</t>
  </si>
  <si>
    <t>00824</t>
  </si>
  <si>
    <t>00317</t>
  </si>
  <si>
    <t>00318</t>
  </si>
  <si>
    <t>00319</t>
  </si>
  <si>
    <t>00370</t>
  </si>
  <si>
    <t>00371</t>
  </si>
  <si>
    <t>00444</t>
  </si>
  <si>
    <t>00446</t>
  </si>
  <si>
    <t>00517</t>
  </si>
  <si>
    <t>00518</t>
  </si>
  <si>
    <t>00559</t>
  </si>
  <si>
    <t>4100042</t>
  </si>
  <si>
    <t>4100041</t>
  </si>
  <si>
    <t>4100040</t>
  </si>
  <si>
    <t>4100043</t>
  </si>
  <si>
    <t>4100056</t>
  </si>
  <si>
    <t>4100024</t>
  </si>
  <si>
    <t>4100034</t>
  </si>
  <si>
    <t>4100025</t>
  </si>
  <si>
    <t>4100026</t>
  </si>
  <si>
    <t>4100027</t>
  </si>
  <si>
    <t>4100028</t>
  </si>
  <si>
    <t>4100029</t>
  </si>
  <si>
    <t>4100030</t>
  </si>
  <si>
    <t>4100032</t>
  </si>
  <si>
    <t>4100033</t>
  </si>
  <si>
    <t>4100031</t>
  </si>
  <si>
    <t>410057</t>
  </si>
  <si>
    <t>4100039</t>
  </si>
  <si>
    <t>4100044</t>
  </si>
  <si>
    <t>00169</t>
  </si>
  <si>
    <t>Лиманський р-н,
 с. Олександрівка</t>
  </si>
  <si>
    <t>Лиманський р-н, 
с. Олександрівка</t>
  </si>
  <si>
    <t>м. Торецьк, 
смт Північний</t>
  </si>
  <si>
    <t>м. Торецьк, 
м. Залізне</t>
  </si>
  <si>
    <t xml:space="preserve"> м. Торецьк
 смт Новгородське</t>
  </si>
  <si>
    <t xml:space="preserve">Лиманський р-н,
 с-ще Соснове </t>
  </si>
  <si>
    <t xml:space="preserve">Лиманський р-н, 
с-ще Соснове </t>
  </si>
  <si>
    <t>Лиманський р-н, 
Ярівська селищна рада</t>
  </si>
  <si>
    <t>Мангушський р-н, 
смт Мангуш</t>
  </si>
  <si>
    <t>Мангушський р-н,
 с. Урзуф</t>
  </si>
  <si>
    <t xml:space="preserve"> Волноваський р-н, 
м. Волноваха </t>
  </si>
  <si>
    <t xml:space="preserve"> Волноваський р-н, 
смт Володимирівка</t>
  </si>
  <si>
    <t>Волноваський р-н, 
смт Новотроїцьке</t>
  </si>
  <si>
    <t>Волноваський р-н, 
смт Ольгинка</t>
  </si>
  <si>
    <t xml:space="preserve"> Волноваський р-н, 
м. Волноваха</t>
  </si>
  <si>
    <t>Бахмутський р-н, 
с. Клинове</t>
  </si>
  <si>
    <t>Бахмутський р-н, 
с-ще Новолуганське</t>
  </si>
  <si>
    <t>Костянтинівський р-н, 
с. Іллінівка</t>
  </si>
  <si>
    <t>Бахмутський р-н,
 с. Клинове</t>
  </si>
  <si>
    <t>Бахмутський р-н, 
с. Новолуганське</t>
  </si>
  <si>
    <t>Бахмутський р-н,
 с. Новолуганське</t>
  </si>
  <si>
    <t>Костянтинівський р-н,
 с-ще Зоря</t>
  </si>
  <si>
    <t xml:space="preserve">Димова труба котельні "МКР № 1"   </t>
  </si>
  <si>
    <r>
      <t xml:space="preserve">Теплотраса котельні 
</t>
    </r>
    <r>
      <rPr>
        <sz val="10"/>
        <rFont val="Times New Roman"/>
        <family val="1"/>
        <charset val="204"/>
      </rPr>
      <t>(d=57, 108, сталь)</t>
    </r>
  </si>
  <si>
    <t>Каналізаційно-насосна станція № 5</t>
  </si>
  <si>
    <t xml:space="preserve">Дата введення в експлуатацію </t>
  </si>
  <si>
    <t>Первісна вартість</t>
  </si>
  <si>
    <t>Огорожа території корпусу "Приозерний"</t>
  </si>
  <si>
    <t>84130, 
р. Сіверський Донець</t>
  </si>
  <si>
    <t>б/в Орджонікідзе</t>
  </si>
  <si>
    <t>Будинок токарної і майстерень</t>
  </si>
  <si>
    <t>Будівля цеху з ремонту котлів</t>
  </si>
  <si>
    <t>Склад реагентів</t>
  </si>
  <si>
    <t>Система каналізації</t>
  </si>
  <si>
    <t>84122, 
вул. Університетська, 15</t>
  </si>
  <si>
    <t xml:space="preserve">84122, 
вул. Університетська, 48 </t>
  </si>
  <si>
    <t>84122, 
вул. Університетська, 48</t>
  </si>
  <si>
    <t>84122,
 вул. Університетська, 48</t>
  </si>
  <si>
    <t>Нафтовловлювач</t>
  </si>
  <si>
    <t>Тепломережа котельні 17</t>
  </si>
  <si>
    <t>Тепломережа ЦРК-ЗДУ від заводу до селища</t>
  </si>
  <si>
    <t xml:space="preserve">Споруда соляного складу котельні "Центральна № 1, 2"  </t>
  </si>
  <si>
    <t>84200, 
вул. Нахімова, 13</t>
  </si>
  <si>
    <t>Електросилова мережа 0,4 кВт в котельні</t>
  </si>
  <si>
    <t xml:space="preserve">Димова труба котельні "12 квартал" </t>
  </si>
  <si>
    <t xml:space="preserve">Будівля прохідної  </t>
  </si>
  <si>
    <t xml:space="preserve">Башта труби для відводу димових газів </t>
  </si>
  <si>
    <t>Будівля насосної котельні № 10</t>
  </si>
  <si>
    <t>Будівля ремонтної частини</t>
  </si>
  <si>
    <t>Будівля автомобільного боксу</t>
  </si>
  <si>
    <r>
      <t xml:space="preserve">Каналізаційний колектор </t>
    </r>
    <r>
      <rPr>
        <sz val="10"/>
        <color rgb="FFFF0000"/>
        <rFont val="Times New Roman"/>
        <family val="1"/>
        <charset val="204"/>
      </rPr>
      <t/>
    </r>
  </si>
  <si>
    <t xml:space="preserve">Огорожа залізобетонна </t>
  </si>
  <si>
    <t xml:space="preserve">Ворота металеві </t>
  </si>
  <si>
    <t xml:space="preserve">Тепловий колодязь, котельня № 4 </t>
  </si>
  <si>
    <t xml:space="preserve">Автодорога від с. Ярова до очисних споруд </t>
  </si>
  <si>
    <t xml:space="preserve">Водопровід на березі р. Сіверський Донець </t>
  </si>
  <si>
    <t>Водопровід D560 мм КП 2</t>
  </si>
  <si>
    <t xml:space="preserve">Нежитлова будівля  </t>
  </si>
  <si>
    <t>Теплові мережі 186 кварталу</t>
  </si>
  <si>
    <t>Трубопровід опалення і ГВП 186 кварталу</t>
  </si>
  <si>
    <t xml:space="preserve">Гараж котельні </t>
  </si>
  <si>
    <t xml:space="preserve">Котельня </t>
  </si>
  <si>
    <t xml:space="preserve">Котельня лікарні № 1 </t>
  </si>
  <si>
    <t xml:space="preserve">Теплові мережі лікарні </t>
  </si>
  <si>
    <t>Теплові мережі (Д/с 87 )</t>
  </si>
  <si>
    <t>Теплові мережі 480 кварталу</t>
  </si>
  <si>
    <t>Теплові мережі 179 кварталу</t>
  </si>
  <si>
    <t>Трубопровід опалення і ГВП (Д/б 6 )</t>
  </si>
  <si>
    <t xml:space="preserve">Теплові мережі </t>
  </si>
  <si>
    <r>
      <t xml:space="preserve">Траса теплова </t>
    </r>
    <r>
      <rPr>
        <sz val="10"/>
        <color rgb="FFFF0000"/>
        <rFont val="Times New Roman"/>
        <family val="1"/>
        <charset val="204"/>
      </rPr>
      <t/>
    </r>
  </si>
  <si>
    <t xml:space="preserve">Лінія водопроводу </t>
  </si>
  <si>
    <t xml:space="preserve">Мережі каналізаційні 
</t>
  </si>
  <si>
    <t>Траса теплова 82 кварталу</t>
  </si>
  <si>
    <t>Трубопровід опалення і ГВП 82 кварталу</t>
  </si>
  <si>
    <t>Тепломережі  Аеропорту</t>
  </si>
  <si>
    <t xml:space="preserve">Теплопункт 179 кварталу </t>
  </si>
  <si>
    <t xml:space="preserve">Траса теплова </t>
  </si>
  <si>
    <t xml:space="preserve">Мережі низьковольтні </t>
  </si>
  <si>
    <t>Водопровід ТП</t>
  </si>
  <si>
    <t>Мережі каналізаційні ТП</t>
  </si>
  <si>
    <t>Мережі слабкострумові ТП</t>
  </si>
  <si>
    <t>Теплопункт 178 кварталу</t>
  </si>
  <si>
    <t xml:space="preserve">Оздоровчий комплекс </t>
  </si>
  <si>
    <t xml:space="preserve">Димова труба котельні № 19 </t>
  </si>
  <si>
    <t xml:space="preserve">Резервуар води </t>
  </si>
  <si>
    <t xml:space="preserve">Теплотраси </t>
  </si>
  <si>
    <t xml:space="preserve">Під'їзна дорога до майданчика </t>
  </si>
  <si>
    <t xml:space="preserve">Автодорога від резервуарів </t>
  </si>
  <si>
    <t xml:space="preserve">Каналізація </t>
  </si>
  <si>
    <t xml:space="preserve">Водопровід </t>
  </si>
  <si>
    <t xml:space="preserve">Каналізація в/у </t>
  </si>
  <si>
    <t>Резервуар каналізація</t>
  </si>
  <si>
    <t xml:space="preserve">Викидний колектор    </t>
  </si>
  <si>
    <t xml:space="preserve">Господарський питний водопровід від свердловини </t>
  </si>
  <si>
    <t xml:space="preserve">Електричне постачання від майданчика </t>
  </si>
  <si>
    <t xml:space="preserve">Зовнішнє освітлення </t>
  </si>
  <si>
    <t xml:space="preserve">ЛЕП до 10 кв п/л 1570 </t>
  </si>
  <si>
    <t xml:space="preserve">Теплопостачання майданчика </t>
  </si>
  <si>
    <t xml:space="preserve">Каналізаційні мережі </t>
  </si>
  <si>
    <t xml:space="preserve">Самопливний колектор </t>
  </si>
  <si>
    <t>Реконструкція існуючих водопровідних переходів  (дюкер)</t>
  </si>
  <si>
    <t xml:space="preserve">Будівля "Котельня Дорожна" </t>
  </si>
  <si>
    <t xml:space="preserve">Будівля автомобільного боксу   </t>
  </si>
  <si>
    <t xml:space="preserve">
Будівля теплопункту № 4  </t>
  </si>
  <si>
    <t>Теплопункт № 6</t>
  </si>
  <si>
    <t xml:space="preserve">Будівля теплопункту № 2 </t>
  </si>
  <si>
    <t xml:space="preserve">Теплотраса "Східний" </t>
  </si>
  <si>
    <t xml:space="preserve">Зовнішні мережі теплопостачання </t>
  </si>
  <si>
    <t xml:space="preserve">Система вентиляції </t>
  </si>
  <si>
    <t>Котельня "Набережна"</t>
  </si>
  <si>
    <t xml:space="preserve">Котельня № 1 </t>
  </si>
  <si>
    <t xml:space="preserve">Димар котельні № 1 </t>
  </si>
  <si>
    <t xml:space="preserve">Резервуар котельні № 1 </t>
  </si>
  <si>
    <t xml:space="preserve">Котельня № 5 </t>
  </si>
  <si>
    <t xml:space="preserve">Димар котельні № 5 </t>
  </si>
  <si>
    <t xml:space="preserve">Резервуар котельні № 5 </t>
  </si>
  <si>
    <t xml:space="preserve">Тепломережа </t>
  </si>
  <si>
    <t xml:space="preserve">Димар котельні </t>
  </si>
  <si>
    <t xml:space="preserve">Димар </t>
  </si>
  <si>
    <t>Тепломережа ТК8</t>
  </si>
  <si>
    <t xml:space="preserve">Огорожа </t>
  </si>
  <si>
    <t xml:space="preserve">Площадка асфальтована </t>
  </si>
  <si>
    <t xml:space="preserve">Теплотраса до житлових будівель </t>
  </si>
  <si>
    <t>85280, 
вул. Юності  11</t>
  </si>
  <si>
    <t xml:space="preserve">Теплотраса котельні 165 квартал </t>
  </si>
  <si>
    <t xml:space="preserve">Теплотраса котельні </t>
  </si>
  <si>
    <r>
      <t xml:space="preserve">Теплотраса котельні </t>
    </r>
    <r>
      <rPr>
        <sz val="10"/>
        <color rgb="FFFF0000"/>
        <rFont val="Times New Roman"/>
        <family val="1"/>
        <charset val="204"/>
      </rPr>
      <t/>
    </r>
  </si>
  <si>
    <t>Будівля котельні 89 квартал</t>
  </si>
  <si>
    <t>Теплотраса котельні</t>
  </si>
  <si>
    <t xml:space="preserve">Теплотраса котельні  </t>
  </si>
  <si>
    <t>Теплотраса котельні 102 квартал</t>
  </si>
  <si>
    <t xml:space="preserve">Теплотраса котельні 88 </t>
  </si>
  <si>
    <t xml:space="preserve">Траса </t>
  </si>
  <si>
    <r>
      <t xml:space="preserve">Траса </t>
    </r>
    <r>
      <rPr>
        <sz val="10"/>
        <color rgb="FFFF0000"/>
        <rFont val="Times New Roman"/>
        <family val="1"/>
        <charset val="204"/>
      </rPr>
      <t/>
    </r>
  </si>
  <si>
    <r>
      <t xml:space="preserve">Теплотраса </t>
    </r>
    <r>
      <rPr>
        <sz val="10"/>
        <color rgb="FFFF0000"/>
        <rFont val="Times New Roman"/>
        <family val="1"/>
        <charset val="204"/>
      </rPr>
      <t/>
    </r>
  </si>
  <si>
    <t>Траса введення</t>
  </si>
  <si>
    <t xml:space="preserve">Траса від ТК- 10 </t>
  </si>
  <si>
    <t xml:space="preserve">Будівля </t>
  </si>
  <si>
    <t xml:space="preserve">Насосна </t>
  </si>
  <si>
    <t xml:space="preserve">Траса від К- 9 </t>
  </si>
  <si>
    <t>Траса</t>
  </si>
  <si>
    <t>Траса від ТК- 11</t>
  </si>
  <si>
    <t>М</t>
  </si>
  <si>
    <t xml:space="preserve">Адміністративна будівля </t>
  </si>
  <si>
    <t xml:space="preserve">Траса  </t>
  </si>
  <si>
    <t>Траса від ТК- 12</t>
  </si>
  <si>
    <t xml:space="preserve">Насосна  </t>
  </si>
  <si>
    <t xml:space="preserve"> Траса </t>
  </si>
  <si>
    <t xml:space="preserve"> 84130, 
вул. Івана Мазепи, 23   </t>
  </si>
  <si>
    <t>85200, 
вул. В.Сорочука 12, 13</t>
  </si>
  <si>
    <t xml:space="preserve"> 85280, 
вул. Юності, 23            </t>
  </si>
  <si>
    <t xml:space="preserve"> 85280, 
вул. Юності, 10       </t>
  </si>
  <si>
    <t>Теплотраса котельні 168 квартал</t>
  </si>
  <si>
    <r>
      <t xml:space="preserve">85280, 
</t>
    </r>
    <r>
      <rPr>
        <sz val="10"/>
        <rFont val="Times New Roman"/>
        <family val="1"/>
        <charset val="204"/>
      </rPr>
      <t xml:space="preserve">вул. Калужська      </t>
    </r>
    <r>
      <rPr>
        <sz val="10"/>
        <rFont val="Times New Roman"/>
        <family val="1"/>
        <charset val="1"/>
      </rPr>
      <t xml:space="preserve">         </t>
    </r>
  </si>
  <si>
    <t xml:space="preserve">       85280, 
вул. Юності, 12           </t>
  </si>
  <si>
    <t xml:space="preserve">85280, 
вул. Юності, 22                 </t>
  </si>
  <si>
    <t xml:space="preserve">85280, 
вул. Юності, 15             </t>
  </si>
  <si>
    <t xml:space="preserve">84205,
 вул. Донецька, 17 </t>
  </si>
  <si>
    <t>84205,
 вул. Донецька, 17</t>
  </si>
  <si>
    <t xml:space="preserve">85400, 
вул. Щорса, 3  </t>
  </si>
  <si>
    <t xml:space="preserve">85400, 
вул. Нагорна, 41 </t>
  </si>
  <si>
    <t>85700,
 пров. Павлова, 2А</t>
  </si>
  <si>
    <t>85700,
 вул. Менделєєва, 17А</t>
  </si>
  <si>
    <t>85700,
 пров. Залізничний, 21</t>
  </si>
  <si>
    <t>85700, 
 вул. Менделєєва, 2А</t>
  </si>
  <si>
    <t>85700, 
пров. Енергетичний, 3В</t>
  </si>
  <si>
    <t>85700,
 пров. Матросова, 5А</t>
  </si>
  <si>
    <t>85721,  
вул. Проценка, 21А</t>
  </si>
  <si>
    <t>85700, 
вул. Менделєєва, 17А</t>
  </si>
  <si>
    <t>85732, 
 мкрн. Південний, 6А</t>
  </si>
  <si>
    <t>85732,
 вул. Громової, 47А</t>
  </si>
  <si>
    <t>85730,
 вул. Первомайська, 34Б</t>
  </si>
  <si>
    <t>85700,
вул. Менделєєва, 17А</t>
  </si>
  <si>
    <t>84453,
 вул. Соборна, 137</t>
  </si>
  <si>
    <r>
      <t xml:space="preserve">Нежитлова будівля, котельня № 14 </t>
    </r>
    <r>
      <rPr>
        <sz val="10"/>
        <rFont val="Times New Roman"/>
        <family val="1"/>
        <charset val="204"/>
      </rPr>
      <t>К</t>
    </r>
    <r>
      <rPr>
        <sz val="10"/>
        <rFont val="Times New Roman"/>
        <family val="1"/>
        <charset val="1"/>
      </rPr>
      <t>вартальна</t>
    </r>
  </si>
  <si>
    <t>Свердловина  артезіанська</t>
  </si>
  <si>
    <t>Підвищуюча  підстанція</t>
  </si>
  <si>
    <t>Каналізаційний колектор з майданчика резервуарів</t>
  </si>
  <si>
    <t xml:space="preserve">Технологічний трубопровід </t>
  </si>
  <si>
    <t xml:space="preserve">Мережі (телефон) </t>
  </si>
  <si>
    <t xml:space="preserve">ЛЕП </t>
  </si>
  <si>
    <t xml:space="preserve">Водопровідна лінія </t>
  </si>
  <si>
    <t>ЛЕП-10 кв. насосна 1</t>
  </si>
  <si>
    <r>
      <t xml:space="preserve">85200, 
</t>
    </r>
    <r>
      <rPr>
        <sz val="10"/>
        <rFont val="Times New Roman"/>
        <family val="1"/>
        <charset val="204"/>
      </rPr>
      <t xml:space="preserve">вул. Р.-Корсакова 8,10,11,12   </t>
    </r>
  </si>
  <si>
    <r>
      <t xml:space="preserve">85291, 
</t>
    </r>
    <r>
      <rPr>
        <sz val="10"/>
        <rFont val="Times New Roman"/>
        <family val="1"/>
        <charset val="204"/>
      </rPr>
      <t>просп. Піонерів 8,10</t>
    </r>
  </si>
  <si>
    <r>
      <t xml:space="preserve">85291, 
</t>
    </r>
    <r>
      <rPr>
        <sz val="10"/>
        <rFont val="Times New Roman"/>
        <family val="1"/>
        <charset val="204"/>
      </rPr>
      <t>вул. Миролюбівська 2</t>
    </r>
  </si>
  <si>
    <r>
      <t>Теплотраса котельні</t>
    </r>
    <r>
      <rPr>
        <sz val="10"/>
        <rFont val="Times New Roman"/>
        <family val="1"/>
        <charset val="204"/>
      </rPr>
      <t xml:space="preserve"> 165 квартал </t>
    </r>
    <r>
      <rPr>
        <sz val="10"/>
        <rFont val="Times New Roman"/>
        <family val="1"/>
        <charset val="1"/>
      </rPr>
      <t xml:space="preserve">дитячий садочок </t>
    </r>
  </si>
  <si>
    <r>
      <t>Будівля котельні</t>
    </r>
    <r>
      <rPr>
        <sz val="10"/>
        <rFont val="Times New Roman"/>
        <family val="1"/>
        <charset val="204"/>
      </rPr>
      <t xml:space="preserve"> 168а квартал</t>
    </r>
  </si>
  <si>
    <r>
      <t xml:space="preserve">Будівля котельні </t>
    </r>
    <r>
      <rPr>
        <sz val="10"/>
        <rFont val="Times New Roman"/>
        <family val="1"/>
        <charset val="204"/>
      </rPr>
      <t>70 квартал</t>
    </r>
  </si>
  <si>
    <r>
      <t xml:space="preserve">Будівля теплопункту </t>
    </r>
    <r>
      <rPr>
        <sz val="10"/>
        <rFont val="Times New Roman"/>
        <family val="1"/>
        <charset val="204"/>
      </rPr>
      <t>70 квартал</t>
    </r>
  </si>
  <si>
    <r>
      <t>Теплотраса котельні</t>
    </r>
    <r>
      <rPr>
        <sz val="10"/>
        <rFont val="Times New Roman"/>
        <family val="1"/>
        <charset val="204"/>
      </rPr>
      <t xml:space="preserve"> 70 квартал </t>
    </r>
    <r>
      <rPr>
        <sz val="10"/>
        <rFont val="Times New Roman"/>
        <family val="1"/>
        <charset val="1"/>
      </rPr>
      <t>"Т.Ц"</t>
    </r>
  </si>
  <si>
    <t>Будівлі вузла змішування</t>
  </si>
  <si>
    <t>площа підстави 38,5</t>
  </si>
  <si>
    <t xml:space="preserve">85400, 
вул. Чернишевського, 5        </t>
  </si>
  <si>
    <t xml:space="preserve">  Котельня "Западна"</t>
  </si>
  <si>
    <t xml:space="preserve">Трубопровід теплової мережі (подаючий ) Д 219 мм в котельні </t>
  </si>
  <si>
    <t xml:space="preserve">Трубопровід теплової мережі (зворотній) Д 108 мм в котельні </t>
  </si>
  <si>
    <t>Трубопровід з мережевої води Д=250 мм (зворотній та подаючий)</t>
  </si>
  <si>
    <t xml:space="preserve">Надземні теплові мережі в ППУ </t>
  </si>
  <si>
    <t>84122,
вул. Торська, 4</t>
  </si>
  <si>
    <t>84116,
вул. Бульварна, 15</t>
  </si>
  <si>
    <t>84122, 
вул. Святогірська, 2</t>
  </si>
  <si>
    <t>84116,
 пров. Корнійчука, 51</t>
  </si>
  <si>
    <t>Резервуарна ємність</t>
  </si>
  <si>
    <t>Приймальна  ємність</t>
  </si>
  <si>
    <t>84432, 
станція Святогірськ, 7</t>
  </si>
  <si>
    <t>Залізнича естакада</t>
  </si>
  <si>
    <t>Навіс під трубогинний верстат</t>
  </si>
  <si>
    <t>Огорожа з з/б панелей</t>
  </si>
  <si>
    <r>
      <t xml:space="preserve"> Волноваський р-н, 
</t>
    </r>
    <r>
      <rPr>
        <sz val="10"/>
        <rFont val="Times New Roman"/>
        <family val="1"/>
        <charset val="204"/>
      </rPr>
      <t xml:space="preserve">м. Волноваха </t>
    </r>
  </si>
  <si>
    <t xml:space="preserve">Споруда металева для складування </t>
  </si>
  <si>
    <t>Шиферний житловий будинок 4 регістр</t>
  </si>
  <si>
    <t>Водопровід дюкера до санаторію Шахтар</t>
  </si>
  <si>
    <t xml:space="preserve">Теплотраса котельні  165 квартал </t>
  </si>
  <si>
    <t>85200, 
вул. 91 Дивізії 3,1</t>
  </si>
  <si>
    <t xml:space="preserve">Теплопункт кот. 1 Травня </t>
  </si>
  <si>
    <r>
      <t>Розвідкова</t>
    </r>
    <r>
      <rPr>
        <sz val="10"/>
        <rFont val="Times New Roman Cyr"/>
        <family val="1"/>
        <charset val="204"/>
      </rPr>
      <t xml:space="preserve"> свердловина</t>
    </r>
  </si>
  <si>
    <t>Експлуатаційна свердловина</t>
  </si>
  <si>
    <t>ВЛ-10 кв ТП свердловина № 6</t>
  </si>
  <si>
    <t>Водопровід від свердловини № 3</t>
  </si>
  <si>
    <t xml:space="preserve">84130, 
вул. Соснова  </t>
  </si>
  <si>
    <t xml:space="preserve">  84130, 
вул. Курортна </t>
  </si>
  <si>
    <t xml:space="preserve">85200, 
вул. Євгена Седнєва </t>
  </si>
  <si>
    <t>Мережі зовнішні водопровідні ЗОШ № 18</t>
  </si>
  <si>
    <t>Теплотраса від колодязя УТ1 до бойлерної</t>
  </si>
  <si>
    <t xml:space="preserve">85327, 
вул. Черніцина, 2б  </t>
  </si>
  <si>
    <t>Трубопровід мережевої води Д=200 мм зворотній подаючий</t>
  </si>
  <si>
    <t>Б/в бетонний паркан</t>
  </si>
  <si>
    <t xml:space="preserve">84100, 
вул. Волзька, 125 </t>
  </si>
  <si>
    <t>84100, 
вул. Волзька, 125</t>
  </si>
  <si>
    <t xml:space="preserve">Прибудова ГРП котельні № 23  </t>
  </si>
  <si>
    <t>Будівля -прибудови до котельні № 9а</t>
  </si>
  <si>
    <t xml:space="preserve">Будівля "Котельня 
с. Новолуганське"   </t>
  </si>
  <si>
    <t>84522, 
вул. Миколи Закаряна, 25А</t>
  </si>
  <si>
    <t xml:space="preserve"> 84404, 
пров. Робочий, 6А</t>
  </si>
  <si>
    <t xml:space="preserve">84404, 
пров. Робочий, 6А </t>
  </si>
  <si>
    <t>85280, 
вул. Нова, 6А</t>
  </si>
  <si>
    <t xml:space="preserve">85200,
вул. Рябошапки, 6А  </t>
  </si>
  <si>
    <t xml:space="preserve">85200, 
вул. Євгена Седнєва, 6А </t>
  </si>
  <si>
    <t>84205, 
вул. Соборна, 16А</t>
  </si>
  <si>
    <t xml:space="preserve">85400, 
вул. Карбишева, 26А  </t>
  </si>
  <si>
    <t xml:space="preserve">85327, 
мкрн. Молодіжний, 16А </t>
  </si>
  <si>
    <t>Мікрорайон "Молодіжний", 16А (т/мережа)</t>
  </si>
  <si>
    <t>84122, 
вул. Торська, 16А</t>
  </si>
  <si>
    <t>84130, 
вул. Молодіжна, 66А</t>
  </si>
  <si>
    <t>84551,
 вул. Зелена, 6А</t>
  </si>
  <si>
    <t>84551, 
вул. Зелена, 6А</t>
  </si>
  <si>
    <t>84522, 
вул. Північна, 4Б</t>
  </si>
  <si>
    <t xml:space="preserve"> 84404, 
вул. Привокзальна, 16Г</t>
  </si>
  <si>
    <t xml:space="preserve">84404, 
вул. Івана Лейко, 4Д </t>
  </si>
  <si>
    <t>84404, 
вул. Івана Лейко, 12В</t>
  </si>
  <si>
    <t xml:space="preserve">84404, 
вул. Студентська, 10В </t>
  </si>
  <si>
    <t xml:space="preserve">84404, 
вул. Привокзальна, 20Д </t>
  </si>
  <si>
    <t xml:space="preserve">84404, 
вул. Деповська, 5В </t>
  </si>
  <si>
    <t xml:space="preserve"> 84400, 
вул. Пушкіна, 7Б</t>
  </si>
  <si>
    <t>84400, 
вул. Грушевського, 3В</t>
  </si>
  <si>
    <t>84400, 
вул. Комунальна, 17Б</t>
  </si>
  <si>
    <t>84400, 
вул. Свободи, 27Б</t>
  </si>
  <si>
    <t>84400, 
вул. Оборони, 10В</t>
  </si>
  <si>
    <t>84404, 
вул. Слов'янська, 1Д</t>
  </si>
  <si>
    <t>84400, 
пров. Східний, 2А</t>
  </si>
  <si>
    <t>84400, 
вул. Леоніда Бикова, 2А</t>
  </si>
  <si>
    <t xml:space="preserve">84400, 
вул. Незалежності, 15В </t>
  </si>
  <si>
    <t xml:space="preserve"> 84404, 
вул. Деповська, 5В</t>
  </si>
  <si>
    <t xml:space="preserve">84404, 
вул. К.Гасієва, 7Г </t>
  </si>
  <si>
    <t>84404, 
вул. Івана Лейко, 4Д</t>
  </si>
  <si>
    <t xml:space="preserve">84522, 
вул. Північна, 4Б </t>
  </si>
  <si>
    <t>84400, 
вул. Пушкіна, 7Б</t>
  </si>
  <si>
    <t xml:space="preserve">84400, 
вул. Свободи, 27Б </t>
  </si>
  <si>
    <t xml:space="preserve"> 84400, 
вул. Оборони, 10В</t>
  </si>
  <si>
    <t>84404, 
вул. Привокзальна, 16Г</t>
  </si>
  <si>
    <t xml:space="preserve"> 84404, 
вул. Івана Лейко, 12В</t>
  </si>
  <si>
    <t xml:space="preserve"> 84130, 
вул. Незалежності, 29А </t>
  </si>
  <si>
    <t xml:space="preserve">84197, 
вул. Садова, 11А </t>
  </si>
  <si>
    <t xml:space="preserve">84130, 
вул. Камишева, 19А </t>
  </si>
  <si>
    <t>84197,
вул. Садова, 11А</t>
  </si>
  <si>
    <t>84197, 
вул. Садова, 11А</t>
  </si>
  <si>
    <t xml:space="preserve">84130, 
р. Сіверський Донець </t>
  </si>
  <si>
    <t xml:space="preserve"> 84130, 
вул. Соснова</t>
  </si>
  <si>
    <t>84130,
вул. Набережна</t>
  </si>
  <si>
    <t xml:space="preserve">85280, 
вул. Юності, 27Б      </t>
  </si>
  <si>
    <t xml:space="preserve">85291, 
вул. Пушкіна, 4А       </t>
  </si>
  <si>
    <t xml:space="preserve">85200, 
вул. Грушевського, 14А  </t>
  </si>
  <si>
    <r>
      <t>85200, 
вул. Лесі Українки,</t>
    </r>
    <r>
      <rPr>
        <sz val="10"/>
        <rFont val="Times New Roman"/>
        <family val="1"/>
        <charset val="204"/>
      </rPr>
      <t xml:space="preserve"> 25Б</t>
    </r>
  </si>
  <si>
    <t xml:space="preserve">85295, 
вул. Поштова, 28А </t>
  </si>
  <si>
    <t xml:space="preserve">85200, 
вул. Польова, 18А  </t>
  </si>
  <si>
    <t xml:space="preserve">85200, 
вул. Лісова, 12А </t>
  </si>
  <si>
    <t xml:space="preserve">85200, 
вул. 91 Дивізії, 3А </t>
  </si>
  <si>
    <t xml:space="preserve">85200, 
вул. Лісова 12, 12А </t>
  </si>
  <si>
    <t xml:space="preserve">85200, 
вул. Гайдара, 25А  </t>
  </si>
  <si>
    <t xml:space="preserve">85200, 
вул. Гайдара, 24А </t>
  </si>
  <si>
    <t xml:space="preserve"> 85200, 
вул. Гайдара, 24А  </t>
  </si>
  <si>
    <t xml:space="preserve">85200, 
вул. Глінки, 2Б  </t>
  </si>
  <si>
    <t xml:space="preserve">85200, 
вул. Маяковського, 28Б  </t>
  </si>
  <si>
    <t xml:space="preserve">85200, 
вул. Лісова, 23А </t>
  </si>
  <si>
    <t xml:space="preserve">85200, 
вул. Братська, 8А </t>
  </si>
  <si>
    <t>85200, 
вул. Маяковського, 4Б</t>
  </si>
  <si>
    <t>84307, 
вул. Центральна, 5А</t>
  </si>
  <si>
    <t>84308, 
вул. К. Білокур, 1А</t>
  </si>
  <si>
    <t>84200, 
вул. Кошового, 1А</t>
  </si>
  <si>
    <t>84201,
 вул. Котляревського, 151</t>
  </si>
  <si>
    <t>84200, 
вул. Самарська, 28А</t>
  </si>
  <si>
    <t>84207, 
вул. Космонавтів, 10А</t>
  </si>
  <si>
    <t>84206, 
вул. Космонавтів, 15А</t>
  </si>
  <si>
    <t>84207, 
вул. Космонавтів, 54А</t>
  </si>
  <si>
    <t>84206, 
вул. Космонавтів, 71А</t>
  </si>
  <si>
    <t>84207, 
вул. Енгельса, 84А</t>
  </si>
  <si>
    <t>84207, 
вул. Козацька, 98А</t>
  </si>
  <si>
    <t>84207, 
вул. Енгельса, 92А</t>
  </si>
  <si>
    <t>84206, 
вул. Космонавтів, 47А</t>
  </si>
  <si>
    <t xml:space="preserve">85400, 
вул. Шахтарської Слави, 9А  </t>
  </si>
  <si>
    <t>85400, 
вул. Нагірна, 17А</t>
  </si>
  <si>
    <t xml:space="preserve">85400, 
вул. Берегова, 117А </t>
  </si>
  <si>
    <t xml:space="preserve">85400, 
вул. К.Маркса, 3  </t>
  </si>
  <si>
    <t xml:space="preserve">85400, 
вул. Чернишевського, 5А </t>
  </si>
  <si>
    <t xml:space="preserve">85327, 
вул. Соборна, 20А </t>
  </si>
  <si>
    <t xml:space="preserve">85323, 
вул. Соборна, 28А </t>
  </si>
  <si>
    <t xml:space="preserve"> 85327, 
мкрн. Молодіжний, 30А </t>
  </si>
  <si>
    <t xml:space="preserve">85327, 
мкрн. Молодіжний, 17А </t>
  </si>
  <si>
    <t xml:space="preserve">85327, 
мкрн. Східний, 3А  </t>
  </si>
  <si>
    <t>85327, 
мкрн. Східний, 17А</t>
  </si>
  <si>
    <t xml:space="preserve">85327, 
мкрн. Східний, 22Б </t>
  </si>
  <si>
    <t xml:space="preserve">85323, 
Квартал 40, буд. 5А </t>
  </si>
  <si>
    <t xml:space="preserve">85323, 
мкрн. "Західний", 25А </t>
  </si>
  <si>
    <t>85323, 
вул. Центральна, 17А</t>
  </si>
  <si>
    <t>85323, 
вул. Горького, 25А</t>
  </si>
  <si>
    <t xml:space="preserve">85327, 
вул. Черніцина, 2Б </t>
  </si>
  <si>
    <t xml:space="preserve">85323, 
вул. Гринька, 10А </t>
  </si>
  <si>
    <t>85327, 
вул. Гірнична, 3А</t>
  </si>
  <si>
    <t>85485, 
вул. Б.Хмельницького, 4А</t>
  </si>
  <si>
    <t xml:space="preserve">84122, 
вул. Свободи, 36Б </t>
  </si>
  <si>
    <t>84116, 
пров. Г.Батюка, 7А</t>
  </si>
  <si>
    <t>84116, 
пров. Парковий, 9А</t>
  </si>
  <si>
    <t xml:space="preserve">84173, 
вул. Ювілейна, 33, А1 </t>
  </si>
  <si>
    <t>84173, 
вул. Ювілейна, 33, А1</t>
  </si>
  <si>
    <t>84122, 
вул. Центральна, 35А</t>
  </si>
  <si>
    <t xml:space="preserve">84122, 
вул. Корольова, 23А </t>
  </si>
  <si>
    <t>84122, 
вул. Центральна, 43А</t>
  </si>
  <si>
    <t>84122, 
вул. Торгова, 28А</t>
  </si>
  <si>
    <t>84122, 
вул. Торгова, 58, буд. 7А</t>
  </si>
  <si>
    <t>84122, 
вул. Світлодарська, 40А</t>
  </si>
  <si>
    <t xml:space="preserve">84101, 
вул. Сучасна, 15А </t>
  </si>
  <si>
    <t xml:space="preserve">84101,
 вул. Хользунова, 4А </t>
  </si>
  <si>
    <t>84101,
 вул. Донська, 3Б</t>
  </si>
  <si>
    <t xml:space="preserve">84101, 
вул. Кутузова, 8А </t>
  </si>
  <si>
    <t xml:space="preserve">84102, 
вул. Дарвіна, 8А </t>
  </si>
  <si>
    <t xml:space="preserve">84109, 
пл. Привокзальна, 2А </t>
  </si>
  <si>
    <t>84109,
 вул. Комяхова, 51А</t>
  </si>
  <si>
    <t xml:space="preserve">84109,
 вул. Вокзальна, 57А </t>
  </si>
  <si>
    <t xml:space="preserve">84122, 
вул. Вокзальна, 27А </t>
  </si>
  <si>
    <t xml:space="preserve">84122, 
вул. Вокзальна, 45А </t>
  </si>
  <si>
    <t xml:space="preserve">84100, 
вул. Барвінківська, 9А </t>
  </si>
  <si>
    <t xml:space="preserve">84111, 
вул. Гагаріна, 2А </t>
  </si>
  <si>
    <t xml:space="preserve">84432, 
вул. Лісна, 1В  </t>
  </si>
  <si>
    <t xml:space="preserve">84130,
 вул. Івана Мазепи, 50Б </t>
  </si>
  <si>
    <t>84130, 
вул. Кільцева, 95Б</t>
  </si>
  <si>
    <t xml:space="preserve">84130, 
вул. Кільцева, 95А </t>
  </si>
  <si>
    <t xml:space="preserve">87401, 
пров. Дружби, 9А </t>
  </si>
  <si>
    <t>85700,
 вул. Менделєєва, 7В</t>
  </si>
  <si>
    <t>85102, 
вул. Білоусова, 6Б</t>
  </si>
  <si>
    <t>85102, 
вул. Громова, 6Т</t>
  </si>
  <si>
    <t>85102, 
вул. Європейська, 58Б</t>
  </si>
  <si>
    <t>85102, 
вул. Калмикова, 5І</t>
  </si>
  <si>
    <t>85102,
 вул. Громова, 34А</t>
  </si>
  <si>
    <t>85102, 
вул. Б.Хмельницького, 20А</t>
  </si>
  <si>
    <t xml:space="preserve"> 85102, 
вул. Незалежності, 231А</t>
  </si>
  <si>
    <t xml:space="preserve">85102, 
вул. Житомирська, 15А </t>
  </si>
  <si>
    <t>85102, 
вул. Ціолковського, 14А</t>
  </si>
  <si>
    <t>85102, 
вул. Леваневського, 14А</t>
  </si>
  <si>
    <t>85102,
 вул. Незалежності, 252А</t>
  </si>
  <si>
    <t>85102, 
вул. Соборності, 42А</t>
  </si>
  <si>
    <t>85102, 
вул. О.Островського, 208А</t>
  </si>
  <si>
    <t>85102, 
вул. Бульварна, 29Г</t>
  </si>
  <si>
    <t>85102,
 вул. Краснодарська, 5В</t>
  </si>
  <si>
    <t>85102, 
вул. Громова, 34А</t>
  </si>
  <si>
    <t>85102, 
вул. Незалежності, 278А</t>
  </si>
  <si>
    <t>85102, 
вул. Білоусова, 7В</t>
  </si>
  <si>
    <t>85102, 
просп. Ломоносова, 165В</t>
  </si>
  <si>
    <t>85102, 
просп. Ломоносова, 165Д</t>
  </si>
  <si>
    <t>85102, 
просп. Ломоносова, 161М</t>
  </si>
  <si>
    <t>85102, 
вул. Шмідта, 2Б</t>
  </si>
  <si>
    <t xml:space="preserve">  85102, 
вул. Інженерна, 23А</t>
  </si>
  <si>
    <t>85102, 
вул. Панфілова, 37А</t>
  </si>
  <si>
    <t>85102, 
вул. Островського, 208А</t>
  </si>
  <si>
    <t>85102, 
вул. Незалежності, 278Б</t>
  </si>
  <si>
    <t xml:space="preserve"> 85102, 
вул. Трудова, 400Б</t>
  </si>
  <si>
    <t>85102, 
вул. Європейська, 58В</t>
  </si>
  <si>
    <t>85102, 
б-р Космонавтів, 3А</t>
  </si>
  <si>
    <t>85102, 
вул. Європейська, 38В</t>
  </si>
  <si>
    <t>85102, 
пл. Перемоги, 2Г</t>
  </si>
  <si>
    <t>85102, 
вул. Безнощенко, 3А</t>
  </si>
  <si>
    <t>85102,
вул. Білоусова, 10А</t>
  </si>
  <si>
    <t>85102, 
вул. 6-го вересня, 69В</t>
  </si>
  <si>
    <t>85102, 
вул. Безнощенко № 8К</t>
  </si>
  <si>
    <t>85102, 
вул. Європейська, 58Г</t>
  </si>
  <si>
    <t xml:space="preserve"> 85102, 
вул. Громова, 3І</t>
  </si>
  <si>
    <t>85102, 
вул. Калмикова, 17Б</t>
  </si>
  <si>
    <t>85102, 
вул. Інженерна, 23А</t>
  </si>
  <si>
    <t>85102, 
вул. Незалежності, 231А</t>
  </si>
  <si>
    <t>85184, 
вул. Каспійська, 1А</t>
  </si>
  <si>
    <t>84551, 
вул. М.Ковалевського, 2А</t>
  </si>
  <si>
    <t>84551, 
вул. Дніпровська, 29А</t>
  </si>
  <si>
    <t>84551,
 вул. Пирогова, 3Б</t>
  </si>
  <si>
    <t>84551, 
вул. Недогибченко, 5А</t>
  </si>
  <si>
    <t>84551, 
вул. Південна, 2А</t>
  </si>
  <si>
    <t>84551, 
вул. Борисоглібська, 3А</t>
  </si>
  <si>
    <t>84551, 
вул. Борисоглібська, 3Б</t>
  </si>
  <si>
    <t>84551, 
вул. Пирогова, 3Б</t>
  </si>
  <si>
    <t>84551, 
вул. Недогибченка, 5А</t>
  </si>
  <si>
    <t>84551,
вул. Борисоглібська, 3Б</t>
  </si>
  <si>
    <t xml:space="preserve">84551, 
вул. Кобзаря, 4А </t>
  </si>
  <si>
    <t>84562, 
вул. Шкільна, 1А</t>
  </si>
  <si>
    <t>84113, 
вул. Калмикова, 5А</t>
  </si>
  <si>
    <t>Лиманський район, 
с. Олександрівка</t>
  </si>
  <si>
    <t>Слов’янський р-н, 
с. Сидорове</t>
  </si>
  <si>
    <t>Слов’янський р-н,
 с. Сидорове</t>
  </si>
  <si>
    <t>Слов’янський р-н, 
с. Тетянівка</t>
  </si>
  <si>
    <t>Слов’янський р-н,
 с. Тетянівка</t>
  </si>
  <si>
    <t>с. Ярова
с. Олександрівка</t>
  </si>
  <si>
    <t>Слов’янський р-н,
с. Тетянівка</t>
  </si>
  <si>
    <t>85700,
 вул. Центральна, 1</t>
  </si>
  <si>
    <t>Нежитлова будівля, котельня № 2 (прибудова)</t>
  </si>
  <si>
    <t>ВО ОКП "ДТКЕ"  "Святогірське БКГ"</t>
  </si>
  <si>
    <t xml:space="preserve">85200, 
вул. Лісова, 19А </t>
  </si>
  <si>
    <t xml:space="preserve">84116, 
вул. Олімпійська, 5Б </t>
  </si>
  <si>
    <t>84116, 
вул. Олімпійська, 5А</t>
  </si>
  <si>
    <t>85700, 
вул. Обручева, 15</t>
  </si>
  <si>
    <t xml:space="preserve">Теплотраса "МКР "Північний" </t>
  </si>
  <si>
    <t>Всього:</t>
  </si>
  <si>
    <t xml:space="preserve">Зовнішні мережі водопровід </t>
  </si>
  <si>
    <t>Каналізація котельні і господарського корпусу</t>
  </si>
  <si>
    <t>Водопровід котельні і господарського корпусу</t>
  </si>
  <si>
    <r>
      <t xml:space="preserve">Теплотраса </t>
    </r>
    <r>
      <rPr>
        <sz val="10"/>
        <rFont val="Times New Roman"/>
        <family val="1"/>
        <charset val="204"/>
      </rPr>
      <t xml:space="preserve">Котельні "Новая" </t>
    </r>
  </si>
  <si>
    <r>
      <t xml:space="preserve"> Будівля </t>
    </r>
    <r>
      <rPr>
        <sz val="10"/>
        <rFont val="Times New Roman"/>
        <family val="1"/>
        <charset val="204"/>
      </rPr>
      <t>Котельня "Новая”</t>
    </r>
  </si>
  <si>
    <t>Зовнішній газопровід до котельні № 17</t>
  </si>
  <si>
    <t xml:space="preserve">Будівля котельні № 1 Димитрівської центральної міської лікарні </t>
  </si>
  <si>
    <t>Тепломережа "Західний"</t>
  </si>
  <si>
    <t>Теплотраса від котельні ОЗСМ до лікарні</t>
  </si>
  <si>
    <t>Теплотраса від котельні № 4 до школи</t>
  </si>
  <si>
    <t xml:space="preserve">Трубопровід котельні </t>
  </si>
  <si>
    <t>Теплові мережі надземні на опорах з ППУ (у 2-о трубному обчисленні)</t>
  </si>
  <si>
    <t xml:space="preserve">Теплові мережі котельні </t>
  </si>
  <si>
    <t>Тепломережа котельні № 40</t>
  </si>
  <si>
    <t>Тепломережа котельні № 40а</t>
  </si>
  <si>
    <t xml:space="preserve">Будівля котельні № 19 </t>
  </si>
  <si>
    <t xml:space="preserve">Будівля котельні № 2 </t>
  </si>
  <si>
    <t>Будівля котельні № 38</t>
  </si>
  <si>
    <t>Будівля котельні № 11</t>
  </si>
  <si>
    <t>Будівля котельні № 21</t>
  </si>
  <si>
    <t>Будівля котельні № 27</t>
  </si>
  <si>
    <t xml:space="preserve">Будівля котельні № 40 </t>
  </si>
  <si>
    <t>Будівля котельні № 15</t>
  </si>
  <si>
    <t>Будівля котельні  № 33</t>
  </si>
  <si>
    <t>Будівля котельні № 35</t>
  </si>
  <si>
    <t>Будівля котельні № 24</t>
  </si>
  <si>
    <t>Будівельна котельні № 34</t>
  </si>
  <si>
    <t>Будівля котельні № 22</t>
  </si>
  <si>
    <t>Будівля котельні № 37</t>
  </si>
  <si>
    <t>Будівля котельні № 18</t>
  </si>
  <si>
    <t>Будівля котельні № 20</t>
  </si>
  <si>
    <t>Будівля котельні № 29</t>
  </si>
  <si>
    <t>Будівля котельні № 30</t>
  </si>
  <si>
    <t>Будівля котельні № 31</t>
  </si>
  <si>
    <t>Будівля котельні № 28</t>
  </si>
  <si>
    <t>Будівля котельні № 36</t>
  </si>
  <si>
    <t>Будівля котельні № 23</t>
  </si>
  <si>
    <t>Будівля котельні № 32</t>
  </si>
  <si>
    <t>Будівля котельні № 39</t>
  </si>
  <si>
    <t>Будівля котельні № 26</t>
  </si>
  <si>
    <t>Будівля котельні № 25</t>
  </si>
  <si>
    <t>Додаткова будівля котельні № 25а</t>
  </si>
  <si>
    <t xml:space="preserve">Теплотраса котельні 81-92 кв. </t>
  </si>
  <si>
    <t xml:space="preserve">Теплотраса котельні Житомирський </t>
  </si>
  <si>
    <t xml:space="preserve">Теплотраса котельні Дорожня </t>
  </si>
  <si>
    <t xml:space="preserve">Теплотраса котельні № 23  </t>
  </si>
  <si>
    <t>Теплотраса котельні 322 кварталу</t>
  </si>
  <si>
    <t>Теплотраса котельні  Краснодарська</t>
  </si>
  <si>
    <t xml:space="preserve">Теплотраса котельні  "Стаціонар"  </t>
  </si>
  <si>
    <t xml:space="preserve">Теплотраса котельні "Краснодарська"  </t>
  </si>
  <si>
    <t xml:space="preserve">Теплотраса котельні
 с. Клинове </t>
  </si>
  <si>
    <t xml:space="preserve">Теплотраса котельні 
с. Новолуганське   </t>
  </si>
  <si>
    <t xml:space="preserve">Теплотраса котельні
 с. Новолуганське   </t>
  </si>
  <si>
    <t xml:space="preserve">Теплотраса котельні "МКР № 2" </t>
  </si>
  <si>
    <t xml:space="preserve">Теплотраса котельні "Спецінтернат" </t>
  </si>
  <si>
    <t>Теплові мережі котельні, Ємельянова</t>
  </si>
  <si>
    <t xml:space="preserve">Теплотраса котельні Островського </t>
  </si>
  <si>
    <t>Теплотраса котельні № 24</t>
  </si>
  <si>
    <t xml:space="preserve">Теплотраса котельні, Білоусова </t>
  </si>
  <si>
    <t xml:space="preserve">Теплотраса котельні 68-69 кварталу "МКР "Північний" </t>
  </si>
  <si>
    <t xml:space="preserve">Теплотраса котельні "Школа- інтернат"  </t>
  </si>
  <si>
    <t xml:space="preserve">Теплотраса котельні "Стаціонар"  </t>
  </si>
  <si>
    <t xml:space="preserve">Теплотраса котельні "Поліклініка" </t>
  </si>
  <si>
    <t xml:space="preserve">Теплотраса котельні "Дитяча лікарня"  </t>
  </si>
  <si>
    <t>Теплотраса котельні  "Учбово-виробничий комбінат"</t>
  </si>
  <si>
    <t xml:space="preserve">Теплотраса котельні "МКР № 1" </t>
  </si>
  <si>
    <t>Кабельні лінії котельні № 2</t>
  </si>
  <si>
    <t>Кабельні лінії котельні № 3</t>
  </si>
  <si>
    <t>Кабельні лінії котельні № 7</t>
  </si>
  <si>
    <t>Огороджування котельні № 9</t>
  </si>
  <si>
    <t>Теплові мережі котельні № 1</t>
  </si>
  <si>
    <t>Теплові мережі котельні № 10</t>
  </si>
  <si>
    <t>Теплові мережі котельні № 2</t>
  </si>
  <si>
    <t>Теплові мережі котельні  № 3</t>
  </si>
  <si>
    <t>Теплові мережі котельні № 4</t>
  </si>
  <si>
    <t>Теплові мережі котельні № 5</t>
  </si>
  <si>
    <t>Теплові мережі котельні № 6</t>
  </si>
  <si>
    <t>Теплові мережі котельні № 7</t>
  </si>
  <si>
    <t>Теплові мережі котельні № 8</t>
  </si>
  <si>
    <t>Теплові мережі котельні № 9</t>
  </si>
  <si>
    <t>Теплові мережі котельні № 6, Профілакторій</t>
  </si>
  <si>
    <t xml:space="preserve">Теплова мережа котельні Островського </t>
  </si>
  <si>
    <t xml:space="preserve">Будівля ТП 2 </t>
  </si>
  <si>
    <t>Будівля ТП 1</t>
  </si>
  <si>
    <t xml:space="preserve">Будівля ТП 1 </t>
  </si>
  <si>
    <t>Будівля ТП 2</t>
  </si>
  <si>
    <t xml:space="preserve">Індивідуальний ТП </t>
  </si>
  <si>
    <t xml:space="preserve">БудівляТП1 </t>
  </si>
  <si>
    <t xml:space="preserve">Будівля ТП 3 </t>
  </si>
  <si>
    <t>Будівля ТП 2 (кімната)</t>
  </si>
  <si>
    <t>Будівля ТП 1 (кімната)</t>
  </si>
  <si>
    <t>Тепломережа від ТК 2 до школи</t>
  </si>
  <si>
    <t>Тепломережа від котельні до ТК 2</t>
  </si>
  <si>
    <t>Тепломережа від ТК 2 до храму</t>
  </si>
  <si>
    <t>Тепломережа від ТК 2 до ДК і амбулаторії</t>
  </si>
  <si>
    <r>
      <t xml:space="preserve">Тепломережа ТК 1 </t>
    </r>
    <r>
      <rPr>
        <sz val="10"/>
        <color rgb="FFFF0000"/>
        <rFont val="Times New Roman"/>
        <family val="1"/>
        <charset val="204"/>
      </rPr>
      <t/>
    </r>
  </si>
  <si>
    <t>Тепломережа від котельні ТК 8, ТК 9</t>
  </si>
  <si>
    <t>Тепломережа ТК 8 лікарня</t>
  </si>
  <si>
    <t xml:space="preserve">Тепломережа ТК 2 </t>
  </si>
  <si>
    <t xml:space="preserve">Тепломережа ТК 4 </t>
  </si>
  <si>
    <t xml:space="preserve">Тепломережа ТК 6 </t>
  </si>
  <si>
    <t xml:space="preserve">Тепломережа ТК 8 </t>
  </si>
  <si>
    <t>Резервуар котельні Північна</t>
  </si>
  <si>
    <t>Тепломережа ТК 9</t>
  </si>
  <si>
    <t xml:space="preserve">Тепломережа ТК 3 </t>
  </si>
  <si>
    <t>Тепломережа ТК 6 к ж/д 143, 149, 153</t>
  </si>
  <si>
    <t>Тепломережа ТК 13-СПК</t>
  </si>
  <si>
    <t>Тепломережа ТК 2, мкрн. Південний до лікарні</t>
  </si>
  <si>
    <t>Тепломережа ТК 6, ТК 11</t>
  </si>
  <si>
    <t xml:space="preserve">Тепломережа ТК 11 </t>
  </si>
  <si>
    <t>Тепломережа ТК 31</t>
  </si>
  <si>
    <t xml:space="preserve">Тепломережа ТК 33 </t>
  </si>
  <si>
    <t>Тепломережа ТК 33-спорткомплекс</t>
  </si>
  <si>
    <t>Тепломережа ТК 7 до школи</t>
  </si>
  <si>
    <t>Тепломережа від котельні ТК 2, ТК 4</t>
  </si>
  <si>
    <t>Тепломережа ТК 2-ТК 33</t>
  </si>
  <si>
    <t>Пересувна котельня</t>
  </si>
  <si>
    <t>Каналізаційно-насосна станція № 3</t>
  </si>
  <si>
    <t>Передавальний пристрій тепломережі № 1</t>
  </si>
  <si>
    <t>Місце для зварювальника</t>
  </si>
  <si>
    <t xml:space="preserve"> Гараж</t>
  </si>
  <si>
    <t xml:space="preserve">Труба димова з відтяжкою </t>
  </si>
  <si>
    <t>Тепломережа</t>
  </si>
  <si>
    <t xml:space="preserve">Зовнішні мережі каналізації майданчика водовузла </t>
  </si>
  <si>
    <r>
      <t xml:space="preserve">Зовнішні </t>
    </r>
    <r>
      <rPr>
        <b/>
        <sz val="10"/>
        <rFont val="Times New Roman"/>
        <family val="1"/>
        <charset val="204"/>
      </rPr>
      <t>слабо</t>
    </r>
    <r>
      <rPr>
        <sz val="10"/>
        <rFont val="Times New Roman"/>
        <family val="1"/>
        <charset val="204"/>
      </rPr>
      <t xml:space="preserve">плинні мережі водовузла </t>
    </r>
  </si>
  <si>
    <t xml:space="preserve">Зовнішнє освітлення та мережі водовузла </t>
  </si>
  <si>
    <t xml:space="preserve">Зовнішні мережі водопроводу від свердловини 7 водовузла </t>
  </si>
  <si>
    <t>Водопровід майданчика  водовузла</t>
  </si>
  <si>
    <t xml:space="preserve">Зовнішні слабоплинні мережі майданчика майстерень водовузла </t>
  </si>
  <si>
    <t>85700, 
пров. Путейський, 18А</t>
  </si>
  <si>
    <t>Тепломережа ТК 1, енергоділянка, метеостанція, ТК 22</t>
  </si>
  <si>
    <t>85102, 
вул. Б. Хмельницького, 20А</t>
  </si>
  <si>
    <t>85102, 
вул. О. Островського, 208А</t>
  </si>
  <si>
    <t>84551, 
вул. Б. Хмельницького, 1А</t>
  </si>
  <si>
    <t>84551, 
вул. В. Олійника, 11А</t>
  </si>
  <si>
    <t>Теплотраса котельні "Валюга" СЮТ ППУ                      Д-108/200</t>
  </si>
  <si>
    <t>84207, 
вул. Я. Мудрого, 42</t>
  </si>
  <si>
    <t>Кімната ТП 2 "Хімік"</t>
  </si>
  <si>
    <t>84116, 
вул. М. Василевського, 16</t>
  </si>
  <si>
    <t xml:space="preserve">84116,
 вул. М. Василевського, 16 </t>
  </si>
  <si>
    <t xml:space="preserve">84116, 
вул. М. Василевського, 16 </t>
  </si>
  <si>
    <t>84116,
 вул. М. Василевського, 16</t>
  </si>
  <si>
    <t>84116, 
вул. М. Василевського, 17</t>
  </si>
  <si>
    <t>84116,
 вул. М. Василевського, 17</t>
  </si>
  <si>
    <t>84116, 
вул. М. Василевського, 18</t>
  </si>
  <si>
    <t>84116,
 вул. М. Василевського, 18</t>
  </si>
  <si>
    <t>84116, 
вул. М. Василевського, 19</t>
  </si>
  <si>
    <t>84116,
 вул. М. Василевського, 19</t>
  </si>
  <si>
    <t>84116, 
вул. М. Василевського, 20</t>
  </si>
  <si>
    <t>84116,
 вул. М. Василевського, 20</t>
  </si>
  <si>
    <t>84116, 
вул. М. Василевського, 21</t>
  </si>
  <si>
    <t>84116,
 вул. М. Василевського, 21</t>
  </si>
  <si>
    <t>84116, 
вул. М. Василевського, 22</t>
  </si>
  <si>
    <t>84116,
 вул. М. Василевського, 22</t>
  </si>
  <si>
    <t>84116, 
вул. М. Василевського, 23</t>
  </si>
  <si>
    <t>84116,
 вул. М. Василевського, 23</t>
  </si>
  <si>
    <t>84116, 
вул. М. Василевського, 24</t>
  </si>
  <si>
    <t>84116,
 вул. М. Василевського, 24</t>
  </si>
  <si>
    <t>84116, 
вул. М. Василевського, 25</t>
  </si>
  <si>
    <t xml:space="preserve"> Лиманський р-н,
 с. Щурове </t>
  </si>
  <si>
    <t xml:space="preserve">Лиманський р-н, 
с. Щурове </t>
  </si>
  <si>
    <t xml:space="preserve">Лиманський р-н,
 с. Щурове </t>
  </si>
  <si>
    <t>84551, 
вул. М. Ковалевського, 2А</t>
  </si>
  <si>
    <t xml:space="preserve">Гараж (5 автомобілів) </t>
  </si>
  <si>
    <t>Напірний колектор від насосної станції "Зелений гай" до КНС № 3</t>
  </si>
  <si>
    <t>Напірний колектор від насосної станції пансіонату "Слов'яногірський" до КНС  "Зелений гай"</t>
  </si>
  <si>
    <r>
      <t xml:space="preserve">Траса </t>
    </r>
    <r>
      <rPr>
        <b/>
        <sz val="10"/>
        <color rgb="FFFF0000"/>
        <rFont val="Times New Roman"/>
        <family val="1"/>
        <charset val="204"/>
      </rPr>
      <t xml:space="preserve">  </t>
    </r>
  </si>
  <si>
    <t>Існуючі теплові мережі котельні № 94 
(в 2-о трубному обчисленні)</t>
  </si>
  <si>
    <t xml:space="preserve">Існуючі теплові мережі котельні № 1  
(в 2-о трубному обчисленні) </t>
  </si>
  <si>
    <t>Будівля котельні № 41 
(Нежитлова будівля теплопункту № 5)</t>
  </si>
  <si>
    <t>Тепломережа ТК 2, 
Леніна, 11, 13, 19, ШЧ-6</t>
  </si>
  <si>
    <t xml:space="preserve">Будівля котельні "Житомирська" </t>
  </si>
  <si>
    <t>Модульна котельня "125 квартал"
 блок № 1</t>
  </si>
  <si>
    <t>Модульна котельня "125 квартал" 
блок № 2</t>
  </si>
  <si>
    <t xml:space="preserve">Модульна котельня № 23 
 блок № 1 </t>
  </si>
  <si>
    <t xml:space="preserve">Будівля котельні "Білоусова"  </t>
  </si>
  <si>
    <t xml:space="preserve">Будівля котельні "Поліклініка" </t>
  </si>
  <si>
    <t xml:space="preserve">Будівля котельні "Стаціонар"  </t>
  </si>
  <si>
    <t xml:space="preserve">Будівля котельні "Школа- інтернат"  </t>
  </si>
  <si>
    <t xml:space="preserve">Будівля ЦТП - 1   </t>
  </si>
  <si>
    <t xml:space="preserve">Будівля ЦТП - 3   </t>
  </si>
  <si>
    <t xml:space="preserve">Будівля ЦТП "МКР № 2 "   </t>
  </si>
  <si>
    <t xml:space="preserve">Споруда сольового складу котельні
 "МКР № 2" </t>
  </si>
  <si>
    <t xml:space="preserve">Будівля насосної котельні
 "МКР № 2" </t>
  </si>
  <si>
    <t xml:space="preserve">Димові труби котелень
 "Центральна № 1, № 2 " </t>
  </si>
  <si>
    <t xml:space="preserve">Димова труба котельні 
"125 квартал" </t>
  </si>
  <si>
    <t xml:space="preserve">Димова труба котельні 
№ 125 "квартал"   </t>
  </si>
  <si>
    <t xml:space="preserve">Споруда соляного складу  котельні "
81-92 квартал" </t>
  </si>
  <si>
    <t>Будівля зварювального посту
 котельні № 10</t>
  </si>
  <si>
    <t>Будівля "Контора теплового районну 
м. Часів Яр"</t>
  </si>
  <si>
    <t xml:space="preserve">Теплотраса котельні "Зоря"  </t>
  </si>
  <si>
    <t>Модульна котельня "125 квартал" 
блок № 1</t>
  </si>
  <si>
    <t>Модульна котельня "125 квартал"
 блок № 2</t>
  </si>
  <si>
    <t>Будиночок КСО-1, 
медичний ізолятор</t>
  </si>
  <si>
    <t>Трансформаторна підстанція
 КТП- 250 кВа</t>
  </si>
  <si>
    <t>Трансформаторна підстанція
 КТП-250</t>
  </si>
  <si>
    <t xml:space="preserve"> Будівля, Котельня "Новая”</t>
  </si>
  <si>
    <t>Будівля котельні № 165 квартал</t>
  </si>
  <si>
    <r>
      <t xml:space="preserve">Теплотраса котельні </t>
    </r>
    <r>
      <rPr>
        <sz val="10"/>
        <rFont val="Times New Roman"/>
        <family val="1"/>
        <charset val="204"/>
      </rPr>
      <t>165 квартал</t>
    </r>
  </si>
  <si>
    <t>Будівля котельні 87 квартал</t>
  </si>
  <si>
    <t>Теплотраса котельні 87 квартал</t>
  </si>
  <si>
    <t>Будівля котельні 88 квартал</t>
  </si>
  <si>
    <r>
      <t xml:space="preserve">Теплотраса котельні </t>
    </r>
    <r>
      <rPr>
        <sz val="10"/>
        <rFont val="Times New Roman"/>
        <family val="1"/>
        <charset val="204"/>
      </rPr>
      <t xml:space="preserve">70 квартал </t>
    </r>
    <r>
      <rPr>
        <sz val="10"/>
        <rFont val="Times New Roman"/>
        <family val="1"/>
        <charset val="1"/>
      </rPr>
      <t>КЕТБ-2к</t>
    </r>
  </si>
  <si>
    <r>
      <t xml:space="preserve">Теплотраса котельні </t>
    </r>
    <r>
      <rPr>
        <sz val="10"/>
        <rFont val="Times New Roman"/>
        <family val="1"/>
        <charset val="204"/>
      </rPr>
      <t xml:space="preserve">70 квартал </t>
    </r>
    <r>
      <rPr>
        <sz val="10"/>
        <rFont val="Times New Roman"/>
        <family val="1"/>
        <charset val="1"/>
      </rPr>
      <t>ЦМЛ (лікарня)</t>
    </r>
  </si>
  <si>
    <r>
      <t xml:space="preserve">Теплотраса котельні </t>
    </r>
    <r>
      <rPr>
        <sz val="10"/>
        <rFont val="Times New Roman"/>
        <family val="1"/>
        <charset val="204"/>
      </rPr>
      <t>70 квартал</t>
    </r>
  </si>
  <si>
    <r>
      <t>Будівля котельні</t>
    </r>
    <r>
      <rPr>
        <sz val="10"/>
        <rFont val="Times New Roman"/>
        <family val="1"/>
        <charset val="204"/>
      </rPr>
      <t xml:space="preserve"> 90 квартал</t>
    </r>
  </si>
  <si>
    <r>
      <t xml:space="preserve">Будівля теплопункту </t>
    </r>
    <r>
      <rPr>
        <sz val="10"/>
        <rFont val="Times New Roman"/>
        <family val="1"/>
        <charset val="204"/>
      </rPr>
      <t>90 квартал</t>
    </r>
  </si>
  <si>
    <r>
      <t>Теплотраса котельні</t>
    </r>
    <r>
      <rPr>
        <sz val="10"/>
        <rFont val="Times New Roman"/>
        <family val="1"/>
        <charset val="204"/>
      </rPr>
      <t xml:space="preserve"> 90 квартал </t>
    </r>
    <r>
      <rPr>
        <sz val="10"/>
        <rFont val="Times New Roman"/>
        <family val="1"/>
        <charset val="1"/>
      </rPr>
      <t>(опалення)</t>
    </r>
  </si>
  <si>
    <t>Теплотраса ТП 179 кварталу</t>
  </si>
  <si>
    <t>Котельня 1Травня</t>
  </si>
  <si>
    <t>Тепломережа мікрорайону "Світлий"</t>
  </si>
  <si>
    <t>84130, 
вул. Курортна, 14Б</t>
  </si>
  <si>
    <t xml:space="preserve">Каналізаційно-насосна станція № 4 </t>
  </si>
  <si>
    <t xml:space="preserve">Магазин </t>
  </si>
  <si>
    <t>84522, 
вул. Молодіжна, 1Б</t>
  </si>
  <si>
    <t>ЛЕП-10 кв ТП свердловини № 6-РП 2</t>
  </si>
  <si>
    <t>Теплотраса котельні "Білоруська"</t>
  </si>
  <si>
    <t>85291, 
просп. Піонерів, 10А</t>
  </si>
  <si>
    <r>
      <t>Будівля ко</t>
    </r>
    <r>
      <rPr>
        <sz val="10"/>
        <rFont val="Times New Roman"/>
        <family val="1"/>
        <charset val="204"/>
      </rPr>
      <t>тельні ВГРЗ</t>
    </r>
  </si>
  <si>
    <t xml:space="preserve">85200, 
вул. Саратовська 2, 4, 
вул. Сєченова, 3  </t>
  </si>
  <si>
    <t xml:space="preserve">85200, 
вул. Польова, вул. Центральна  </t>
  </si>
  <si>
    <t xml:space="preserve">Теплотраса до дитсадочка № 6 </t>
  </si>
  <si>
    <t xml:space="preserve">Теплотраса котельні до дитячого 
садочку № 7 </t>
  </si>
  <si>
    <r>
      <t xml:space="preserve">Теплотраса котельні </t>
    </r>
    <r>
      <rPr>
        <sz val="10"/>
        <rFont val="Times New Roman"/>
        <family val="1"/>
        <charset val="204"/>
      </rPr>
      <t xml:space="preserve">70 квартал 
</t>
    </r>
    <r>
      <rPr>
        <sz val="10"/>
        <rFont val="Times New Roman"/>
        <family val="1"/>
        <charset val="1"/>
      </rPr>
      <t>(розводка КЄТБ)</t>
    </r>
  </si>
  <si>
    <r>
      <t xml:space="preserve">Теплотраса котельні </t>
    </r>
    <r>
      <rPr>
        <sz val="10"/>
        <rFont val="Times New Roman"/>
        <family val="1"/>
        <charset val="204"/>
      </rPr>
      <t xml:space="preserve">90 квартал 
</t>
    </r>
    <r>
      <rPr>
        <sz val="10"/>
        <rFont val="Times New Roman"/>
        <family val="1"/>
        <charset val="1"/>
      </rPr>
      <t>(гаряча вода)</t>
    </r>
  </si>
  <si>
    <t xml:space="preserve">Будівля решіток </t>
  </si>
  <si>
    <t>Теплотраса котельні “Польова”</t>
  </si>
  <si>
    <t xml:space="preserve">Теплотраса котельні 102 квартал ППУ 219 </t>
  </si>
  <si>
    <r>
      <t xml:space="preserve">Димова труба котельні </t>
    </r>
    <r>
      <rPr>
        <sz val="10"/>
        <rFont val="Times New Roman"/>
        <family val="1"/>
        <charset val="204"/>
      </rPr>
      <t>102 квартал</t>
    </r>
  </si>
  <si>
    <r>
      <t xml:space="preserve">Будівля теплопункту </t>
    </r>
    <r>
      <rPr>
        <sz val="10"/>
        <rFont val="Times New Roman"/>
        <family val="1"/>
        <charset val="204"/>
      </rPr>
      <t>102 квартал</t>
    </r>
    <r>
      <rPr>
        <sz val="10"/>
        <rFont val="Times New Roman"/>
        <family val="1"/>
        <charset val="1"/>
      </rPr>
      <t xml:space="preserve"> № 1</t>
    </r>
  </si>
  <si>
    <r>
      <t xml:space="preserve">Будівля теплопункту </t>
    </r>
    <r>
      <rPr>
        <sz val="10"/>
        <rFont val="Times New Roman"/>
        <family val="1"/>
        <charset val="204"/>
      </rPr>
      <t xml:space="preserve">102 квартал </t>
    </r>
    <r>
      <rPr>
        <sz val="10"/>
        <rFont val="Times New Roman"/>
        <family val="1"/>
        <charset val="1"/>
      </rPr>
      <t>№ 2</t>
    </r>
  </si>
  <si>
    <r>
      <t xml:space="preserve">Будівля котельні </t>
    </r>
    <r>
      <rPr>
        <sz val="10"/>
        <rFont val="Times New Roman"/>
        <family val="1"/>
        <charset val="204"/>
      </rPr>
      <t>102 квартал</t>
    </r>
  </si>
  <si>
    <r>
      <t>Будівля котельні</t>
    </r>
    <r>
      <rPr>
        <sz val="10"/>
        <rFont val="Times New Roman"/>
        <family val="1"/>
        <charset val="204"/>
      </rPr>
      <t xml:space="preserve"> 168 квартал</t>
    </r>
  </si>
  <si>
    <t>Система димовидалення з 2-х
 димових труб</t>
  </si>
  <si>
    <t>ВО ОКП "ДТКЕ" "Дружківка-
тепломережа"</t>
  </si>
  <si>
    <t>Нежитлова будівля В-1, База</t>
  </si>
  <si>
    <t>Охолоджувальний колодязь і канал</t>
  </si>
  <si>
    <t>Будівля солесховища</t>
  </si>
  <si>
    <t>Будівля котельні № 5 "Очеретино"</t>
  </si>
  <si>
    <t>Теплові мережі виробничої бази
 смт Очеретине</t>
  </si>
  <si>
    <r>
      <t>Передавальний пристрій тепломережі</t>
    </r>
    <r>
      <rPr>
        <b/>
        <sz val="10"/>
        <color rgb="FFFF0000"/>
        <rFont val="Times New Roman"/>
        <family val="1"/>
        <charset val="204"/>
      </rPr>
      <t xml:space="preserve"> </t>
    </r>
    <r>
      <rPr>
        <sz val="10"/>
        <rFont val="Times New Roman"/>
        <family val="1"/>
        <charset val="204"/>
      </rPr>
      <t>№ 2</t>
    </r>
  </si>
  <si>
    <t>Передавальний пристрій тепломережі № 7</t>
  </si>
  <si>
    <r>
      <t>Передавальний пристрій тепломережі</t>
    </r>
    <r>
      <rPr>
        <b/>
        <sz val="10"/>
        <rFont val="Times New Roman"/>
        <family val="1"/>
        <charset val="204"/>
      </rPr>
      <t xml:space="preserve"> </t>
    </r>
    <r>
      <rPr>
        <sz val="10"/>
        <rFont val="Times New Roman"/>
        <family val="1"/>
        <charset val="204"/>
      </rPr>
      <t>№ 4</t>
    </r>
  </si>
  <si>
    <r>
      <t>Передавальний пристрій 
тепломережі № 23</t>
    </r>
    <r>
      <rPr>
        <sz val="11"/>
        <color theme="1"/>
        <rFont val="Calibri"/>
        <family val="2"/>
        <charset val="204"/>
        <scheme val="minor"/>
      </rPr>
      <t/>
    </r>
  </si>
  <si>
    <t>Передавальний пристрій 
тепломережі № 20</t>
  </si>
  <si>
    <t>Передавальний пристрій 
тепломережі № 21</t>
  </si>
  <si>
    <t xml:space="preserve">Надземні теплові мережі опалення
 Д=108/200 мм з теплогідроізольованих труб ППУ (Котельня-ОШ № 4) </t>
  </si>
  <si>
    <t>Нежитлова будівля (котельня "Новатор")</t>
  </si>
  <si>
    <t>Існуючі теплові мережі від котельні № 5
 (в 2х трубному обчисленні)</t>
  </si>
  <si>
    <t>Існуючі теплові мережі від котельні № 6
 (в 2х трубному обчисленні)</t>
  </si>
  <si>
    <t>Нежитлова будівля, (Котельня № 94)</t>
  </si>
  <si>
    <t xml:space="preserve">85323, 
Квартал 40, буд 5А </t>
  </si>
  <si>
    <t>Нежитлова будівля котельні 
(Котельня ВГРЗ)</t>
  </si>
  <si>
    <t xml:space="preserve">Трубопроводи каналізації  в котельні
 Д 50, 100і  </t>
  </si>
  <si>
    <t>Димова труба Д 530 Н=18 м
 (котельня "Восточна" № 42)</t>
  </si>
  <si>
    <t>84122, 
вул. Центральна, 38А</t>
  </si>
  <si>
    <t xml:space="preserve"> Слов’янський р-н,
 с-ще Мирне </t>
  </si>
  <si>
    <t>Металевий сарай для зберігання смоли 
І ГСМ</t>
  </si>
  <si>
    <t xml:space="preserve">Нежитлова будівля контори гаражу та інструментальної майстерні </t>
  </si>
  <si>
    <t>Тепломережа ТК 1 до Д/У, Д/С, ТК6, 
ТК2, ТК8</t>
  </si>
  <si>
    <t xml:space="preserve">Тепломережа ТК1, ТК14 </t>
  </si>
  <si>
    <t>Тепломережа ТК2</t>
  </si>
  <si>
    <t>Тепломережа ТК13</t>
  </si>
  <si>
    <t>Тепломережа  ТК2, ТК3, ТК4, ТК6</t>
  </si>
  <si>
    <t>Резервуар металевий котельня ПТУ</t>
  </si>
  <si>
    <t>Тепломережа від котельні до РОВД, ТК6</t>
  </si>
  <si>
    <t>Тепломережа від котельні до ТК1, ТК27</t>
  </si>
  <si>
    <t>Тепломережа від ТК27 до майстерні школи</t>
  </si>
  <si>
    <t xml:space="preserve">Тепломережа  ТК16 </t>
  </si>
  <si>
    <t>Тепломережа  ТК16</t>
  </si>
  <si>
    <t>Тепломережа від котельні до ТК6</t>
  </si>
  <si>
    <t>Димова труба котельні "МКР № 2"</t>
  </si>
  <si>
    <t xml:space="preserve">Будівля котельні 
"Центральна № 1"   </t>
  </si>
  <si>
    <t xml:space="preserve">Будівля котельні "Центральна № 2"  </t>
  </si>
  <si>
    <t xml:space="preserve">Будівля котельні "Абрамова"  </t>
  </si>
  <si>
    <t xml:space="preserve">Будівля котельні "Жилпобутсервіс" </t>
  </si>
  <si>
    <t xml:space="preserve">Будівля котельні "Ємельянова"    </t>
  </si>
  <si>
    <t>Костянтинівський р-н, 
с-ще Зоря</t>
  </si>
  <si>
    <t>РАЗОМ ПО ОКП "ДОНЕЦЬКТЕПЛОКОМУНЕНЕРГО":</t>
  </si>
  <si>
    <t>84101,
 вул. Сучасна, 15А</t>
  </si>
  <si>
    <t>Авдіївське ВУВКГ КП «Компанія «Вода Донбасу»</t>
  </si>
  <si>
    <t>м. Авдіївка</t>
  </si>
  <si>
    <t>86065, 
вул. Молодіжна, 15</t>
  </si>
  <si>
    <t xml:space="preserve"> Питна насосна станція № 1</t>
  </si>
  <si>
    <t xml:space="preserve"> Приміщення майстерень</t>
  </si>
  <si>
    <t xml:space="preserve"> Приміщення для прийому їжі</t>
  </si>
  <si>
    <t xml:space="preserve"> КНС № 1</t>
  </si>
  <si>
    <t xml:space="preserve"> Побутове приміщення КНС № 1 </t>
  </si>
  <si>
    <t>86060, 
вул. Героїв, 59</t>
  </si>
  <si>
    <t xml:space="preserve"> Будівля КНС № 2 </t>
  </si>
  <si>
    <t xml:space="preserve">86060, 
вул. Героїв, 53 </t>
  </si>
  <si>
    <t xml:space="preserve"> Паркан</t>
  </si>
  <si>
    <t>86060, 
вул. Героїв, 53</t>
  </si>
  <si>
    <t xml:space="preserve"> Підвал</t>
  </si>
  <si>
    <t xml:space="preserve"> Будівля котельні бази</t>
  </si>
  <si>
    <t xml:space="preserve"> Будівля гаражів на 8 стоянок</t>
  </si>
  <si>
    <t xml:space="preserve"> Будівля гаражів на 3 стоянки</t>
  </si>
  <si>
    <t xml:space="preserve"> Будівля майстерень</t>
  </si>
  <si>
    <t xml:space="preserve"> Будівля контори бази</t>
  </si>
  <si>
    <t xml:space="preserve"> Будівля центрального складу</t>
  </si>
  <si>
    <t xml:space="preserve"> Будівля контори прорабської</t>
  </si>
  <si>
    <t xml:space="preserve"> Склад ГЗМ</t>
  </si>
  <si>
    <t xml:space="preserve"> Гараж на 2 стоянки</t>
  </si>
  <si>
    <t xml:space="preserve"> Туалет</t>
  </si>
  <si>
    <t>Будівля лазні бази</t>
  </si>
  <si>
    <t>86060, 
вул. Коксохіміків</t>
  </si>
  <si>
    <t>Питна НС № 2 Керамічний завод</t>
  </si>
  <si>
    <t xml:space="preserve">86060, 
вул. Соборна, 73 </t>
  </si>
  <si>
    <t>Питна насосна станція</t>
  </si>
  <si>
    <t>Ясинуватський р-н, 
с-ще Ласточкине</t>
  </si>
  <si>
    <t>Водопровідні мережі с. Ласточкине</t>
  </si>
  <si>
    <t>86060,
 вул. Соборна</t>
  </si>
  <si>
    <t>Водопровідний колодязь</t>
  </si>
  <si>
    <t>86060,
 вул. Толстого</t>
  </si>
  <si>
    <t xml:space="preserve">Водогінна мережа  </t>
  </si>
  <si>
    <t xml:space="preserve">86060,
 вул. 50-ти річчя АКХЗ </t>
  </si>
  <si>
    <t xml:space="preserve">86060, 
вул. І.Франка </t>
  </si>
  <si>
    <t>86060,
 пров. Гурова</t>
  </si>
  <si>
    <t xml:space="preserve">86060, 
пров. Залізничний </t>
  </si>
  <si>
    <t>86060,
 пров. Клубний</t>
  </si>
  <si>
    <t xml:space="preserve">86060, 
пров. Кар'єрний </t>
  </si>
  <si>
    <t xml:space="preserve">86060, 
пров. Котовського </t>
  </si>
  <si>
    <t xml:space="preserve">86060, 
пров. Коцюбинського </t>
  </si>
  <si>
    <t>86060, 
пров. Робочий</t>
  </si>
  <si>
    <t xml:space="preserve">86060, 
пров. Світлий </t>
  </si>
  <si>
    <t>86060, 
пров. Театральний</t>
  </si>
  <si>
    <t xml:space="preserve">86060, 
пров. Благодатний </t>
  </si>
  <si>
    <t>86060,
 вул. Княгині Ольги</t>
  </si>
  <si>
    <t>1958-2006</t>
  </si>
  <si>
    <t>86060,
 вул. Перемоги</t>
  </si>
  <si>
    <t>86060,
 вул. Свободи</t>
  </si>
  <si>
    <t xml:space="preserve"> 86060, 
вул. Фестивальна </t>
  </si>
  <si>
    <t xml:space="preserve"> 86060, 
вул. Донецька </t>
  </si>
  <si>
    <t>86060, 
вул. Дружби</t>
  </si>
  <si>
    <t>86060, 
вул. Єлагіна</t>
  </si>
  <si>
    <t>86060, 
вул. Красна</t>
  </si>
  <si>
    <t xml:space="preserve">86060, 
вул. Металургів </t>
  </si>
  <si>
    <t xml:space="preserve">86060, 
вул. Соборна </t>
  </si>
  <si>
    <t>1958-2010</t>
  </si>
  <si>
    <t>86060, 
вул. Миру</t>
  </si>
  <si>
    <t>86060, 
вул. Некрасова</t>
  </si>
  <si>
    <t>86060, 
вул. Чепижного</t>
  </si>
  <si>
    <t xml:space="preserve">86060,
 вул. Абрикосова </t>
  </si>
  <si>
    <t>1960-2008</t>
  </si>
  <si>
    <t>86060, 
вул. Островського</t>
  </si>
  <si>
    <t>86060,
 вул. Лесі Українки</t>
  </si>
  <si>
    <t>86060, 
вул. Первомайська</t>
  </si>
  <si>
    <t xml:space="preserve">86060, 
вул. Сапронова   </t>
  </si>
  <si>
    <t>1965-2012</t>
  </si>
  <si>
    <t>86060, 
вул. Садова</t>
  </si>
  <si>
    <t>86060, 
вул. Сєдова</t>
  </si>
  <si>
    <t>86060,
 вул. Незалежності</t>
  </si>
  <si>
    <t>86060, 
вул. Степна</t>
  </si>
  <si>
    <t>1959-2007</t>
  </si>
  <si>
    <t>86060, 
вул. Суворова-пров. Клубний</t>
  </si>
  <si>
    <t>86060, 
вул. Тургенєва</t>
  </si>
  <si>
    <t xml:space="preserve">86060, 
вул. Паркова </t>
  </si>
  <si>
    <t>86060, 
вул. Чехова</t>
  </si>
  <si>
    <t>86060, 
вул. Чистякова</t>
  </si>
  <si>
    <t>2004-2008</t>
  </si>
  <si>
    <t>86060,
 вул. Чкалова</t>
  </si>
  <si>
    <t>1962-2011</t>
  </si>
  <si>
    <t>86060,
 вул. Шестакова</t>
  </si>
  <si>
    <t xml:space="preserve">86060, 
вул. Солов'яненка </t>
  </si>
  <si>
    <t>1965-2013</t>
  </si>
  <si>
    <t>86060, 
вул. Пушкіна</t>
  </si>
  <si>
    <t>86060, 
 вул. Комунальна до ж/д 10</t>
  </si>
  <si>
    <t xml:space="preserve">86060, 
вул. Комунальна до ж/д 6 </t>
  </si>
  <si>
    <t xml:space="preserve">86060, 
вул. Комунальна до ж/д 7 </t>
  </si>
  <si>
    <t>86060, 
 вул. Комунальна до ж/д 8</t>
  </si>
  <si>
    <t xml:space="preserve"> 86060, 
 вул. Комунальна до ж/д 9</t>
  </si>
  <si>
    <t>86060, 
від млина до МПТУ № 43</t>
  </si>
  <si>
    <t>86060,
 пров. 50-ти річчя АКХЗ</t>
  </si>
  <si>
    <t xml:space="preserve"> 86060,
 пров. Ясинуватський </t>
  </si>
  <si>
    <t>86060, 
пров. Залізничний</t>
  </si>
  <si>
    <t>м. Авдіївка, 
 с-ще Хімік</t>
  </si>
  <si>
    <t>86060, 
вул. Соборна, 218-272</t>
  </si>
  <si>
    <t>86060, 
вул. Нечаєва</t>
  </si>
  <si>
    <t>2003-2009</t>
  </si>
  <si>
    <t xml:space="preserve"> 86060,
 вул. Спортивна</t>
  </si>
  <si>
    <t>86060,
 вул. Чайковського</t>
  </si>
  <si>
    <t>86060, 
вул. Добролюбова</t>
  </si>
  <si>
    <t xml:space="preserve">86060, 
вул. Донецька, 1-134 </t>
  </si>
  <si>
    <t xml:space="preserve">86060, 
вул. Заводська, 1-116 </t>
  </si>
  <si>
    <t>86060, 
вул. Заводська, 116-136</t>
  </si>
  <si>
    <t xml:space="preserve">86060, 
вул. Чепижного </t>
  </si>
  <si>
    <t xml:space="preserve">86060, 
вул. Лесі Українки </t>
  </si>
  <si>
    <t>86060, 
вул. Свободи</t>
  </si>
  <si>
    <t xml:space="preserve"> 86060, 
вул. Бєлінського</t>
  </si>
  <si>
    <t>1970-2009</t>
  </si>
  <si>
    <t xml:space="preserve"> 86060,
від вул. Єлагіна
 до пров. Больничного</t>
  </si>
  <si>
    <t>86060, 
вул. Єлагіна до тубдиспансера</t>
  </si>
  <si>
    <t xml:space="preserve"> 86060, 
вул. Калініна</t>
  </si>
  <si>
    <t>1966-2003</t>
  </si>
  <si>
    <t>86060, 
вул. Красна, 94-216</t>
  </si>
  <si>
    <t xml:space="preserve">86060,
 вул. Металургів, 115-155 </t>
  </si>
  <si>
    <t>86060, 
вул. Лісна</t>
  </si>
  <si>
    <t>86060, 
вул. Ломоносова</t>
  </si>
  <si>
    <t>86060,
 вул. Маяковського</t>
  </si>
  <si>
    <t>1964-2003</t>
  </si>
  <si>
    <t>86060,
 вул. Нахімова</t>
  </si>
  <si>
    <t xml:space="preserve"> 86060, 
вул. Некрасова</t>
  </si>
  <si>
    <t xml:space="preserve">86060, 
вул. Незалежності, 156-194 </t>
  </si>
  <si>
    <t>86060, 
вул. 8-го Березня</t>
  </si>
  <si>
    <t>86060,
 вул. Суворова</t>
  </si>
  <si>
    <t>Ясинуватський р-н, 
с. Орлівка</t>
  </si>
  <si>
    <t>територія села</t>
  </si>
  <si>
    <t>Водогінна мережа с. Орлівка</t>
  </si>
  <si>
    <t>1972; 1994; 2012</t>
  </si>
  <si>
    <t xml:space="preserve">86060, 
вул. Грушевського </t>
  </si>
  <si>
    <t xml:space="preserve"> Водопровідна мережа 70-ти квартирного житлового будинку № 79 по 
 вул. Грушевського (Чапаєва)</t>
  </si>
  <si>
    <t>86060, 
вул. Грушевського, 81 (14 ет.)</t>
  </si>
  <si>
    <t>Каналізаційні  мережі</t>
  </si>
  <si>
    <t xml:space="preserve">86060, 
просп. Центральний  </t>
  </si>
  <si>
    <t xml:space="preserve"> 86060, 
вул. Соборна, 73- МПТУ № 43</t>
  </si>
  <si>
    <t>86060, 
вул. Грушевського, 77, кв. 35</t>
  </si>
  <si>
    <t xml:space="preserve">86060, 
вул. Грушевського, 78, кв. 70  </t>
  </si>
  <si>
    <t>86060
вул. Грушевського, 75, кв. 70</t>
  </si>
  <si>
    <t>86060, 
вул. Грушевського, 79, кв. 70</t>
  </si>
  <si>
    <t>86060
Побутові приміщення ТРМ</t>
  </si>
  <si>
    <t>86060,
МПТУ № 43 (центральний вхід)</t>
  </si>
  <si>
    <t>86060
МПТУ № 43</t>
  </si>
  <si>
    <t>86060, 
вул. Грушевського, 73, кв. 20</t>
  </si>
  <si>
    <t>86060,
 пров. Індустріальний</t>
  </si>
  <si>
    <t>1963-1972</t>
  </si>
  <si>
    <t>м. Авдіївка,
 с-ще Хімік</t>
  </si>
  <si>
    <t>Напірний каналізаційний колектор</t>
  </si>
  <si>
    <t>86060,
вул. Миру</t>
  </si>
  <si>
    <t>86060,
вул. Грушевського</t>
  </si>
  <si>
    <t>Каналізаційні мережі 35-ти квартирного житлового будинку вул. Грушевського,
 буд. 77 (вул. Чапаєва)</t>
  </si>
  <si>
    <t>86060,
вул. Соборна</t>
  </si>
  <si>
    <t>Каналізаційні  мережі ПТУ 43</t>
  </si>
  <si>
    <t>Каналізаційні  мережі 70-ти квартирного житлового будинку № 79
 вул. Грушевського ( Чапаєва)</t>
  </si>
  <si>
    <t>86060,
вул. Маяковського</t>
  </si>
  <si>
    <t>Каналізаційні  мережі побутового приміщення Авдіївського заводу нестандартного обладнання</t>
  </si>
  <si>
    <t>86060,
квартал Ювілейний</t>
  </si>
  <si>
    <t xml:space="preserve"> Водопровідна мережа </t>
  </si>
  <si>
    <t>86060,
9-й квартал</t>
  </si>
  <si>
    <t>Зовнішня мережа водопроводу</t>
  </si>
  <si>
    <t>1958-1990</t>
  </si>
  <si>
    <t>86060,
вул. Героїв</t>
  </si>
  <si>
    <t>Зовнішній газопровід</t>
  </si>
  <si>
    <t>пог. м</t>
  </si>
  <si>
    <t>86060,
вул. Комунальна</t>
  </si>
  <si>
    <t>Пожежний гідрант</t>
  </si>
  <si>
    <t>86060,
вул. Гагаріна</t>
  </si>
  <si>
    <t>86060,
просп. Центральний</t>
  </si>
  <si>
    <t>Водопровідна мережа питної води</t>
  </si>
  <si>
    <t>Водопровідна мережа вулиця Грушевського (Чапаєва)</t>
  </si>
  <si>
    <t>Мережа  керамічних труб житлового будинку № 27 9-го кварталу</t>
  </si>
  <si>
    <t>Центральний колектор проспекту Центральний (К.Маркса)</t>
  </si>
  <si>
    <t>Лінія електропередачі</t>
  </si>
  <si>
    <t xml:space="preserve">Волноваське ВУВКГ КП "Компанія "Вода Донбасу" </t>
  </si>
  <si>
    <t>м. Волноваха</t>
  </si>
  <si>
    <t xml:space="preserve"> 85700,
вул. 1 Травня, 97</t>
  </si>
  <si>
    <t>Адміністративно-побутовий корпус</t>
  </si>
  <si>
    <t>Складські приміщення</t>
  </si>
  <si>
    <t>Будівля контори гаражу</t>
  </si>
  <si>
    <t>Будівля котельні</t>
  </si>
  <si>
    <t>Будівля механічного цеху</t>
  </si>
  <si>
    <t>Будівля розчинного вузла</t>
  </si>
  <si>
    <t>Будівля столярної майстерні</t>
  </si>
  <si>
    <t xml:space="preserve">північно-східна частина міста </t>
  </si>
  <si>
    <t>Камера перемикання РЧВ (резервуару чистої води)</t>
  </si>
  <si>
    <t>Трансформаторна підстанція</t>
  </si>
  <si>
    <t>Будівля хлораторної</t>
  </si>
  <si>
    <t>85701,
вул. Губенка, 185</t>
  </si>
  <si>
    <t>Будівля АПК (адміністративно-побутового комплексу)</t>
  </si>
  <si>
    <t>Будівля гараж-компресорна</t>
  </si>
  <si>
    <t>Будівля решіток</t>
  </si>
  <si>
    <t>Будівля мулової насосної</t>
  </si>
  <si>
    <t>Будівля фільтрів</t>
  </si>
  <si>
    <t>Будівля дренажу</t>
  </si>
  <si>
    <t>Будівля розподільчого пристрою</t>
  </si>
  <si>
    <t>Контактний резервуар</t>
  </si>
  <si>
    <t>Камера мулова</t>
  </si>
  <si>
    <t>Пісколовка № 1</t>
  </si>
  <si>
    <t>Пісколовка № 2</t>
  </si>
  <si>
    <t>Муловий ущільнювач</t>
  </si>
  <si>
    <t>Розподільна чаша</t>
  </si>
  <si>
    <t>Окисний блок № 1</t>
  </si>
  <si>
    <t>Окисний блок № 2</t>
  </si>
  <si>
    <t>Камера плаваючих речовин</t>
  </si>
  <si>
    <t>Пісковий майданчик</t>
  </si>
  <si>
    <t>Лотки Вентури</t>
  </si>
  <si>
    <t>Муловий майданчик</t>
  </si>
  <si>
    <t>Волноваський р-н, 
с-ще Новотроїцьке</t>
  </si>
  <si>
    <t xml:space="preserve">85732,
вул. Вербна, 31 </t>
  </si>
  <si>
    <t>Будівля водопровідної насосної станції</t>
  </si>
  <si>
    <t>Хлораторна продуктивністю 2 кг хлору
 за годину</t>
  </si>
  <si>
    <t>85732,
вул. Вербна, 31</t>
  </si>
  <si>
    <r>
      <rPr>
        <sz val="10"/>
        <color rgb="FF000000"/>
        <rFont val="Times New Roman"/>
        <family val="1"/>
        <charset val="204"/>
      </rPr>
      <t>Резервуар чистої води V=3000 м</t>
    </r>
    <r>
      <rPr>
        <vertAlign val="superscript"/>
        <sz val="10"/>
        <color rgb="FF000000"/>
        <rFont val="Times New Roman"/>
        <family val="1"/>
        <charset val="204"/>
      </rPr>
      <t>3</t>
    </r>
    <r>
      <rPr>
        <sz val="10"/>
        <color rgb="FF000000"/>
        <rFont val="Times New Roman"/>
        <family val="1"/>
        <charset val="204"/>
      </rPr>
      <t xml:space="preserve"> 2 од.</t>
    </r>
  </si>
  <si>
    <t>Будівля контрольно-вимірювальних приладів</t>
  </si>
  <si>
    <t>Котельна</t>
  </si>
  <si>
    <t>85732, 
вул. Київська, 64</t>
  </si>
  <si>
    <t>Приміщення підвалу по вул. Київська
 (вул. Радянська)</t>
  </si>
  <si>
    <t>Гараж</t>
  </si>
  <si>
    <t>85732,
вул. Лермонтова, 14</t>
  </si>
  <si>
    <t>Котельня на майданчику очисних споруд</t>
  </si>
  <si>
    <t>Блок контора-лабораторія</t>
  </si>
  <si>
    <t>Хлораторна на майданчику очисних споруд</t>
  </si>
  <si>
    <t>Каналізаційна насосна станція</t>
  </si>
  <si>
    <t>Зливна станція</t>
  </si>
  <si>
    <t>Горизонтальні пісколовки 2 од.</t>
  </si>
  <si>
    <t>Двоярусні каналізаційні відстійники 4 од.</t>
  </si>
  <si>
    <t>Вторинні каналізаційні відстійники 2 од.</t>
  </si>
  <si>
    <t>Водовимірювальні лотки стічних вод</t>
  </si>
  <si>
    <t>Приймальні камери</t>
  </si>
  <si>
    <t>Біофільтри на  майданчику очисних споруд</t>
  </si>
  <si>
    <t xml:space="preserve">85732, 
вул. Вербна, 31А  </t>
  </si>
  <si>
    <t>Каналізаційно- насосна станція НС-13-6</t>
  </si>
  <si>
    <t>Волноваський р-н, 
смт Володимирівка</t>
  </si>
  <si>
    <t xml:space="preserve">85721, 
вул. Запорожця, 6А </t>
  </si>
  <si>
    <t>Будівля насосної станції</t>
  </si>
  <si>
    <r>
      <rPr>
        <sz val="10"/>
        <color rgb="FF000000"/>
        <rFont val="Times New Roman"/>
        <family val="1"/>
        <charset val="204"/>
      </rPr>
      <t>Резервуар чистої води № 1 V=3000м</t>
    </r>
    <r>
      <rPr>
        <vertAlign val="superscript"/>
        <sz val="10"/>
        <color rgb="FF000000"/>
        <rFont val="Times New Roman"/>
        <family val="1"/>
        <charset val="204"/>
      </rPr>
      <t>3</t>
    </r>
  </si>
  <si>
    <t>85721, 
вул. Запорожця, 6А</t>
  </si>
  <si>
    <r>
      <rPr>
        <sz val="10"/>
        <color rgb="FF000000"/>
        <rFont val="Times New Roman"/>
        <family val="1"/>
        <charset val="204"/>
      </rPr>
      <t>Резервуар чистої води № 2 V=3000м</t>
    </r>
    <r>
      <rPr>
        <vertAlign val="superscript"/>
        <sz val="10"/>
        <color rgb="FF000000"/>
        <rFont val="Times New Roman"/>
        <family val="1"/>
        <charset val="204"/>
      </rPr>
      <t>3</t>
    </r>
  </si>
  <si>
    <t>85721,
вул. Запорожця, 6</t>
  </si>
  <si>
    <t xml:space="preserve">Будівля КПП (контрольно-пропускного пункту) </t>
  </si>
  <si>
    <t>85721,
 вул. Каштанова, 13</t>
  </si>
  <si>
    <t>Кімната в адміністративній будівлі</t>
  </si>
  <si>
    <t>85721,
вул. Каштанова, 13</t>
  </si>
  <si>
    <t>Контора житлово-комунального відділу</t>
  </si>
  <si>
    <t>85721,
 вул. Каштанова, 14</t>
  </si>
  <si>
    <t>Будівля  гаражу на 3 автомашини</t>
  </si>
  <si>
    <t>85721,
вул. Каштанова, 14</t>
  </si>
  <si>
    <t>Майстерні в підвальному приміщенні</t>
  </si>
  <si>
    <t>85721,
пров. Озерний, 12А</t>
  </si>
  <si>
    <t>Будівля каналізаційної насосної станції</t>
  </si>
  <si>
    <t xml:space="preserve">85721,
вул. Островського, 135 </t>
  </si>
  <si>
    <t xml:space="preserve">Горизонтальні пісколовки </t>
  </si>
  <si>
    <t>85721,
вул. Островського, 135</t>
  </si>
  <si>
    <t>Відстійники каналізаційні двоярусні</t>
  </si>
  <si>
    <t>Відстійники каналізаційні первинні вертикальні</t>
  </si>
  <si>
    <t>Відстійники каналізаційні вторинні вертикальні</t>
  </si>
  <si>
    <t>85721,
вул. Островського, 136</t>
  </si>
  <si>
    <t>Аерофільтри 2 од.</t>
  </si>
  <si>
    <t>вул. Островського, 132</t>
  </si>
  <si>
    <t>Гараж на 2 автомашини</t>
  </si>
  <si>
    <t xml:space="preserve">вул. Островського, 134 </t>
  </si>
  <si>
    <t>Блок допоміжних приміщень</t>
  </si>
  <si>
    <t>Волноваський р-н, 
смт Мирне</t>
  </si>
  <si>
    <t>87120, 
вул. Заводська, 16А</t>
  </si>
  <si>
    <t>Артскважина 109 ВНС (водопровідної насосної станції) 1-го підйому</t>
  </si>
  <si>
    <t xml:space="preserve">87120, 
вул. Заводська, 16А </t>
  </si>
  <si>
    <r>
      <rPr>
        <sz val="10"/>
        <color rgb="FF000000"/>
        <rFont val="Times New Roman"/>
        <family val="1"/>
        <charset val="204"/>
      </rPr>
      <t>Резервуар чистої води V=50 м</t>
    </r>
    <r>
      <rPr>
        <vertAlign val="superscript"/>
        <sz val="10"/>
        <color rgb="FF000000"/>
        <rFont val="Times New Roman"/>
        <family val="1"/>
        <charset val="204"/>
      </rPr>
      <t>3</t>
    </r>
  </si>
  <si>
    <t xml:space="preserve">87120,
вул. Заводська, 16А </t>
  </si>
  <si>
    <t xml:space="preserve">Будівля насосної станції ВНС (водопровідної насосної станції) 1-го підйому № 109 </t>
  </si>
  <si>
    <t>87124, 
вул. Жовтнева, 2А</t>
  </si>
  <si>
    <t>Артскважина 114 ВНС (водопровідної насосної станції) 1-го підйому</t>
  </si>
  <si>
    <t>Артскважина № 114а ВНС (водопровідної насосної станції) 1-го підйому</t>
  </si>
  <si>
    <t>Будівля насосної станції 114 1-го підйому</t>
  </si>
  <si>
    <t xml:space="preserve">87120, 
вул. Гагаріна, 2А </t>
  </si>
  <si>
    <t>Насосна станція перекачування
 (будівля КНС)</t>
  </si>
  <si>
    <t xml:space="preserve">87120, 
вул. Театральна         </t>
  </si>
  <si>
    <t>Будівля насосної станції ВНС 2-го підйому</t>
  </si>
  <si>
    <t>Будівля хлораторної ВНС 2-го підйому</t>
  </si>
  <si>
    <t>Резервуар чистої води ВНС 2-го підйому</t>
  </si>
  <si>
    <t>Будівля прохідної ВНС  2-го підйому (КПП)</t>
  </si>
  <si>
    <r>
      <rPr>
        <sz val="10"/>
        <color rgb="FF000000"/>
        <rFont val="Times New Roman"/>
        <family val="1"/>
        <charset val="204"/>
      </rPr>
      <t>південно</t>
    </r>
    <r>
      <rPr>
        <sz val="10"/>
        <rFont val="Times New Roman"/>
        <family val="1"/>
        <charset val="204"/>
      </rPr>
      <t xml:space="preserve">-східна частина селища </t>
    </r>
  </si>
  <si>
    <r>
      <rPr>
        <sz val="10"/>
        <color rgb="FF000000"/>
        <rFont val="Times New Roman"/>
        <family val="1"/>
        <charset val="204"/>
      </rPr>
      <t>південно</t>
    </r>
    <r>
      <rPr>
        <sz val="10"/>
        <rFont val="Times New Roman"/>
        <family val="1"/>
        <charset val="204"/>
      </rPr>
      <t>-східна частина селища</t>
    </r>
  </si>
  <si>
    <r>
      <rPr>
        <sz val="10"/>
        <rFont val="Times New Roman"/>
        <family val="1"/>
        <charset val="204"/>
      </rPr>
      <t xml:space="preserve">Двоярусний </t>
    </r>
    <r>
      <rPr>
        <sz val="10"/>
        <color rgb="FF000000"/>
        <rFont val="Times New Roman"/>
        <family val="1"/>
        <charset val="204"/>
      </rPr>
      <t>відстійник</t>
    </r>
  </si>
  <si>
    <t>Будівля біофільтрів</t>
  </si>
  <si>
    <t>Огорожа ВНС 2-го підйому</t>
  </si>
  <si>
    <t>по всій території селища</t>
  </si>
  <si>
    <t>Каналізаційні мережі</t>
  </si>
  <si>
    <t>Водогінні мережі</t>
  </si>
  <si>
    <t xml:space="preserve"> мкрн. "Північний"</t>
  </si>
  <si>
    <t>Водогінні мережі мікрорайону "Північний"</t>
  </si>
  <si>
    <t>1960-96</t>
  </si>
  <si>
    <t>85700,
 від ФС у с. Ольгинка через
 с. Зелений Гай до м. Волноваха</t>
  </si>
  <si>
    <t>Водовід Д500 мм "ФС-ДХМЗ-ВУ</t>
  </si>
  <si>
    <t>мкрн. "Сонячний"</t>
  </si>
  <si>
    <t>Водопровідні мережі мікрорайону "Сонячний"</t>
  </si>
  <si>
    <t>85772,
 вул. Центральна</t>
  </si>
  <si>
    <t>Водопровідні мережі центральної районної  лікарні</t>
  </si>
  <si>
    <t xml:space="preserve">м. Волноваха </t>
  </si>
  <si>
    <t>Водопровідні мережі села Карлівка</t>
  </si>
  <si>
    <t>Волноваський р-н, 
с. Новопавлівка</t>
  </si>
  <si>
    <t>85701,
 вул. Волошкова</t>
  </si>
  <si>
    <t>Водопровідні мережі села Новопавлівка</t>
  </si>
  <si>
    <t>85700,
 від ФС у с. Ольгинка через 
с. Зелений Гай до с. Стритенка</t>
  </si>
  <si>
    <t>Водовід Д700 мм "ФС-ДХМЗ"</t>
  </si>
  <si>
    <t>85700, 
вул. 100 років Червоному хресту, 
вул. Громової, вул. Шевцової</t>
  </si>
  <si>
    <t>Водопровідні мережі Північна частина міста</t>
  </si>
  <si>
    <t>Водопровідні мережі центр міста</t>
  </si>
  <si>
    <t xml:space="preserve">85701, 
вул. Центральна </t>
  </si>
  <si>
    <t>Магістральний водопровід 
вул. Центральна (Леніна)</t>
  </si>
  <si>
    <t>85701, 
СПТУ - вул. Ювілейна</t>
  </si>
  <si>
    <t>Магістральний водопровід від СПТУ-
вул. Ювілейна "Ближнянський"</t>
  </si>
  <si>
    <t>Магістральний водопровід від СПТУ-
вул. Ювілейна "Щербаковський"</t>
  </si>
  <si>
    <t>ВУ-СПКІ</t>
  </si>
  <si>
    <t>Магістральний водопровід від ВУ до станції переливання крові</t>
  </si>
  <si>
    <t>85701, 
вул. Геологів</t>
  </si>
  <si>
    <t>Магістральний водопровід по вул. Геологів</t>
  </si>
  <si>
    <t>85701, 
вул. Ювілейна</t>
  </si>
  <si>
    <t>Розподільна мережа Ювілейна гілка</t>
  </si>
  <si>
    <t>південно-східна частина міста</t>
  </si>
  <si>
    <t>Водогінна мережа Південно-східної частини міста</t>
  </si>
  <si>
    <t>с. Стритенка</t>
  </si>
  <si>
    <t>85780, 
по всій території села</t>
  </si>
  <si>
    <t>Водогінна мережа</t>
  </si>
  <si>
    <t>Волноваський р-н, 
с. Ближнє</t>
  </si>
  <si>
    <t>85736, 
по всій території села</t>
  </si>
  <si>
    <t>Водогінна мережа с. Ближнє</t>
  </si>
  <si>
    <t>85700, 
від водопроводного вузла до очисних споруд</t>
  </si>
  <si>
    <t>Кабельно - повітряна лінія-10вВТ ТП-20 "СПТУ"-ТП-13</t>
  </si>
  <si>
    <t>Кабельно - повітряна лінія-10кВТ ТП588-ТП13</t>
  </si>
  <si>
    <t>85700,  
0,3 км на північ від водопровідного вузла</t>
  </si>
  <si>
    <t>Трансформаторна підстанція 588 630
 (ТВН 630)</t>
  </si>
  <si>
    <t>85701,
вул. Тягова</t>
  </si>
  <si>
    <t>Кабельно-повітряна лінія-10кВ ПС 110/35/10кВ "Тяговая" ТП588</t>
  </si>
  <si>
    <t>85701, 
вул. Менделєєва</t>
  </si>
  <si>
    <t>Кабельно - повітряна лінія -10кВ ТП-17 (хлібозавод) ТП588</t>
  </si>
  <si>
    <t xml:space="preserve">85700, 
вул. Губенка, 185 </t>
  </si>
  <si>
    <t>Огорожа очисних споруд</t>
  </si>
  <si>
    <t>85700, 
вул. Губенка, 185</t>
  </si>
  <si>
    <t>Автодорога</t>
  </si>
  <si>
    <t xml:space="preserve">85701, 
вул. Губенка   </t>
  </si>
  <si>
    <t>Колектор</t>
  </si>
  <si>
    <t>по території всього міста</t>
  </si>
  <si>
    <t>Мережі каналізації</t>
  </si>
  <si>
    <t>85700, 
вул. Короленка, вул. Коневського, 
вул. Губенка</t>
  </si>
  <si>
    <t xml:space="preserve"> Каналізаційні мережі вул. Короленка, Коневського, Губенка</t>
  </si>
  <si>
    <t xml:space="preserve"> Каналізаційні мережі </t>
  </si>
  <si>
    <t>85700, 
вул. Обручева</t>
  </si>
  <si>
    <t>Каналізаційні мережі Південно-східної частина міста</t>
  </si>
  <si>
    <t>85700, 
вул. Фіалковського</t>
  </si>
  <si>
    <t>Каналізаційні мережі вул. Фіалковського</t>
  </si>
  <si>
    <t xml:space="preserve">85700,
мкрн. "Північний" вул. Героїв, 51 </t>
  </si>
  <si>
    <t>Мережа каналізації</t>
  </si>
  <si>
    <t xml:space="preserve">85700,  
вул. Центральна, 1 </t>
  </si>
  <si>
    <t>с. Карлівка</t>
  </si>
  <si>
    <t>205.4</t>
  </si>
  <si>
    <t>85700, 
мкрн. "Північний"</t>
  </si>
  <si>
    <t>від мкрн. "Сонячний" до очисних споруд</t>
  </si>
  <si>
    <t>Позамайданчикові мережі каналізаційного колектора</t>
  </si>
  <si>
    <t xml:space="preserve">85701,
вул. Центральна </t>
  </si>
  <si>
    <t>85701, 
вул. Менделєєва, 21А</t>
  </si>
  <si>
    <t>85701, 
пров. Енергетичний, 7</t>
  </si>
  <si>
    <t>85701, 
вул. Центральна - вул. Губенка</t>
  </si>
  <si>
    <t>Самопливний каналізаційний колектор
 вул. Центральна (Леніна) - Губенка</t>
  </si>
  <si>
    <t>85701, 
вул. Центральна, 169</t>
  </si>
  <si>
    <t>Автопід' їзд до водопровідного вузла</t>
  </si>
  <si>
    <t xml:space="preserve">Благоустрій майданчика- вертикальне планування </t>
  </si>
  <si>
    <t>85732, 
західна частина селища</t>
  </si>
  <si>
    <t>Випуск із самопливного водоводу</t>
  </si>
  <si>
    <t>Освітлення майданчику водопровідного вузла</t>
  </si>
  <si>
    <t>Пожежні гідранти</t>
  </si>
  <si>
    <t>Обвідний водопровід</t>
  </si>
  <si>
    <t>Переливна труба з резервуару</t>
  </si>
  <si>
    <t>Аварійне перемикання водопроводу</t>
  </si>
  <si>
    <t>Відвідний водовод</t>
  </si>
  <si>
    <t>Грязьовий трубопровід</t>
  </si>
  <si>
    <t>Водовід до котельні</t>
  </si>
  <si>
    <t>Водовід, по якому подається вода до резервуару</t>
  </si>
  <si>
    <t>Внутрішньомайданчикові мережі</t>
  </si>
  <si>
    <t>Повітряна лінія електричних передач-10кВ до ВВ Новотроїцьке</t>
  </si>
  <si>
    <t>західна частина кар'єру</t>
  </si>
  <si>
    <t>Розвідні мережі в західній частині кар'єру</t>
  </si>
  <si>
    <t xml:space="preserve">від пров. Верхній до вул. Київська </t>
  </si>
  <si>
    <t>Водопровід пров. Верхній до вул. Київська (колишня вул. Радянська)</t>
  </si>
  <si>
    <t>85732, 
 вул. Шевцової, дитячий садок</t>
  </si>
  <si>
    <t>Водопровід вул. Шевцової, дитячий садок</t>
  </si>
  <si>
    <t>85732,
пров. Східний</t>
  </si>
  <si>
    <t>Водопровід пров. Східний</t>
  </si>
  <si>
    <t xml:space="preserve">85732, 
 від вул. Івана Кононенка до водонапірної вежі </t>
  </si>
  <si>
    <t xml:space="preserve">Водопровід вул. Івана Кононенка
 (вул. Октябрська) до водонапірної вежі </t>
  </si>
  <si>
    <t xml:space="preserve">Водопровід вул. Івана Кононенка
 (колишня вул. Октябрська) до вул. Кошового </t>
  </si>
  <si>
    <t>Водопровід вул. Івана Кононенка
 (Октябрська) до вул. Київська (Радянська)</t>
  </si>
  <si>
    <t>85732,
вул. Івана Кононенка 
від пров. Надії до магазину "Промінь"</t>
  </si>
  <si>
    <t>85732,
вул. Покровська до вул. Шевцової</t>
  </si>
  <si>
    <t>Водопровід вул. Покровська (Леніна) до 
вул. Шевцової</t>
  </si>
  <si>
    <t>Водопровід вул. Шевцової від пров. Центральний до пров. Гайдара</t>
  </si>
  <si>
    <t>85732,
вул. Кошового, 135, пров. Молодіжний</t>
  </si>
  <si>
    <t>Водопровід вул. Кошового б. 135
 пров. Молодіжний</t>
  </si>
  <si>
    <t>85732,
вул. Київська від пров. Гайдара до
пров. Театральний</t>
  </si>
  <si>
    <t>Водопровід вул. Київська (Радянська) від пров. Гайдара до пров. Театральний</t>
  </si>
  <si>
    <t>85732, 
від нарядної до розчинного вузла ОКС</t>
  </si>
  <si>
    <t>Водопровід від нарядної до розчинного вузла ОКС</t>
  </si>
  <si>
    <t>85732, 
вул. Покровська</t>
  </si>
  <si>
    <t xml:space="preserve">Водопровід від вул. Покровська  (Леніна) до нарядної </t>
  </si>
  <si>
    <t>85732, 
вул. Шевцової до вул. Громової</t>
  </si>
  <si>
    <t>Водопровід від вул. Шевцової до вул. Громової</t>
  </si>
  <si>
    <t>85732,
від вул. Покровська до вул. Громової</t>
  </si>
  <si>
    <t>Водопровід від вул. Покровська (Леніна) до
 вул. Громової</t>
  </si>
  <si>
    <t xml:space="preserve">85732,
від вул. Кошового до вул. Київська </t>
  </si>
  <si>
    <t>Водопровід від вул. Кошового до 
вул. Київська (Радянська)</t>
  </si>
  <si>
    <t>Водопровід від вул. Івана Кононенка
 буд. 58 до вул. Шевцової буд. 89</t>
  </si>
  <si>
    <t>85732,
вул. Шевцової до пров. Центральний, 106</t>
  </si>
  <si>
    <t>Водопровід від вул. Шевцової до 
пров. Центральний  буд. 106</t>
  </si>
  <si>
    <t xml:space="preserve">Водопровід  пров. Молодіжний від 
вул. Київська (Радянська) до вул. Кошового </t>
  </si>
  <si>
    <t xml:space="preserve">85732,
від вул. Кошового, 130 до 
 вул. Івана Кононенка </t>
  </si>
  <si>
    <t xml:space="preserve">Водопровід від вул. Кошового буд. 130 - 
 вул. Івана Кононенка </t>
  </si>
  <si>
    <t>Водопровід пров. Центральний буд.11 до
 вул. Івана Кононенка (Октябрська)</t>
  </si>
  <si>
    <t>85732,
від пров. Надії до пров. Нижній</t>
  </si>
  <si>
    <t>Водопровід  від пров. Надії ( К.Маркса) до 
пров. Нижній</t>
  </si>
  <si>
    <t>Водопровід  пров. Театральний від вул. Громової  буд. 112 до вул. Івана Кононенка (Октябрська)</t>
  </si>
  <si>
    <t>85732,
пров. Надії</t>
  </si>
  <si>
    <t>Водопровід пров. Надії (К.Маркса)</t>
  </si>
  <si>
    <t xml:space="preserve">85732,
по вул. Покровська до пров. Надії </t>
  </si>
  <si>
    <t>Водопровід по вул. Покровська (Леніна) до
 пров. Надії (К.Маркса)</t>
  </si>
  <si>
    <t xml:space="preserve"> 85732,
вул. Івана Кононенка</t>
  </si>
  <si>
    <t>Водопровід по вул. Івана Кононенка (Октябрська) на вул. Щорса і вул. Гастелло</t>
  </si>
  <si>
    <t>західна частина селища</t>
  </si>
  <si>
    <t>Розвідні мережі водопроводу 
смт Новотроїцьке (західна частина селища)</t>
  </si>
  <si>
    <t xml:space="preserve">85732,
вул. Пушкіна </t>
  </si>
  <si>
    <t>Водовід на проммайданчику 
(вул. Пушкіна)</t>
  </si>
  <si>
    <t>Волноваський р-н, 
с. Ольгинка</t>
  </si>
  <si>
    <t>85730, 
по всьому селу</t>
  </si>
  <si>
    <t>Водопровід с. Ольгинка</t>
  </si>
  <si>
    <t>85730,
 від ФС до водонапірної вежі
 с. Ольгинка</t>
  </si>
  <si>
    <t>Введення від фільтрувальної станції до водонапірної вежі с. Ольгинка</t>
  </si>
  <si>
    <t>Розвідні мережі с. Ольгинка</t>
  </si>
  <si>
    <t xml:space="preserve">           3280                    </t>
  </si>
  <si>
    <t>Розвідні мережі с. Ольгинка кар'єр № 2</t>
  </si>
  <si>
    <t xml:space="preserve">Розвідні мережі с. Ольгинка </t>
  </si>
  <si>
    <t xml:space="preserve">            2800                    </t>
  </si>
  <si>
    <t>східна частина селища</t>
  </si>
  <si>
    <t>Водовод від майданчика в східну частину селища</t>
  </si>
  <si>
    <t>85732, 
південна частина селища</t>
  </si>
  <si>
    <t>Мережа телефонізації водопровідного вузла 
с. Новотроїцьке</t>
  </si>
  <si>
    <t>Водовід від Велико-Анадольської фільтрувальної станції до відключення на
 с. Новотроїцьке</t>
  </si>
  <si>
    <t>85732,
 від майданчика водопровідного вузла в західну частину селища</t>
  </si>
  <si>
    <t>Водовод від майданчика водопровідного вузла в західну частину селища</t>
  </si>
  <si>
    <t>85732, 
східна частина селища</t>
  </si>
  <si>
    <t>Розвідні мережі смт. Новотроїцьке № 1</t>
  </si>
  <si>
    <t>Розвідні мережі смт. Новотроїцьке № 2</t>
  </si>
  <si>
    <t>Розвідні мережі смт. Новотроїцьке № 3</t>
  </si>
  <si>
    <t>85732,
 східна частина селища</t>
  </si>
  <si>
    <t>Розвідні мережі смт Новотроїцьке № 4</t>
  </si>
  <si>
    <t xml:space="preserve">Мережа водопроводу </t>
  </si>
  <si>
    <t>85732,
 від підвищувальної насосної станції до майданчику очисних споруд</t>
  </si>
  <si>
    <t>Водопровід від підвищувальної насосної станції до майданчику очисних споруд</t>
  </si>
  <si>
    <t>Будівля підвищувальної насосної станції</t>
  </si>
  <si>
    <t xml:space="preserve">Трансформаторна підстанція ПНС </t>
  </si>
  <si>
    <t>85732, 
гірничий відвід рудоуправління</t>
  </si>
  <si>
    <t>Автопід'їзд до майданчику водопровідної підвищувальної станції</t>
  </si>
  <si>
    <t>85732, 
очисні споруди смт Новотроїцьке ≈ 2,5 км на північ від селища</t>
  </si>
  <si>
    <t>Напірний трубопровід до насосної станції 
№ 1 на майданчику очисних споруд</t>
  </si>
  <si>
    <t>85732, 
мкрн. Південний</t>
  </si>
  <si>
    <t>Позаквартальні мережі каналізації в районі лікарні</t>
  </si>
  <si>
    <t>85732, 
від кіоску до фільтрувальної станції</t>
  </si>
  <si>
    <t>Електролінія від кіоску до фільтрувальної станції</t>
  </si>
  <si>
    <t>85732,
 очисні споруди смт Новотроїцьке ≈ 2,5 км на північ від селища</t>
  </si>
  <si>
    <t>Технологічні комунікації на майданчику очисних споруд</t>
  </si>
  <si>
    <t>Каналізаційний колектор V</t>
  </si>
  <si>
    <t>85732,
 від вул. Київська до побуткомбінату</t>
  </si>
  <si>
    <t>Каналізаційний колектор II</t>
  </si>
  <si>
    <t>85732, 
по парку до вул. Кошового</t>
  </si>
  <si>
    <t>Каналізаційний колектор I</t>
  </si>
  <si>
    <t>85732,
 по території селища</t>
  </si>
  <si>
    <t>85732, 
вул. Лермонтова, 14</t>
  </si>
  <si>
    <t>Колектор випуску очисних споруд</t>
  </si>
  <si>
    <t>85732,
 вул. Лермонтова, 14</t>
  </si>
  <si>
    <t>Мережа теплопостачання на майданчику очисних споруд</t>
  </si>
  <si>
    <t>85730, 
вул. Івана Кононенка</t>
  </si>
  <si>
    <t>Каналізація до спортпавільйону</t>
  </si>
  <si>
    <t>85730, 
від вул. Кошового, 129 -130</t>
  </si>
  <si>
    <t>85730, 
від вул. Громової до їдальні № 4</t>
  </si>
  <si>
    <t>Каналізація від вул. Громової (молокозавод) до їдальні № 4</t>
  </si>
  <si>
    <t>85732, 
вул. Вербна, 31А, вул. Лермонтова, 14</t>
  </si>
  <si>
    <t>Каналізація від фекальної насосної до відстійника напірного трубопроводу</t>
  </si>
  <si>
    <t>Каналізація від вул. Кошового 47 до
 їдальні № 4</t>
  </si>
  <si>
    <t>85732, 
Від лікарні до вул. Кошового, 47</t>
  </si>
  <si>
    <t xml:space="preserve">Каналізація від лікарні до вул. Кошового 47 </t>
  </si>
  <si>
    <t>85732, 
від вул. Кошового, 49 до їдальні № 4</t>
  </si>
  <si>
    <t>Каналізація від вул. Кошового 49 до
 їдальні № 4</t>
  </si>
  <si>
    <t>Каналізація на майданчику очисних споруд</t>
  </si>
  <si>
    <t>Каналізація від школи-інтернату до побуткомбінату</t>
  </si>
  <si>
    <t>85732,
 вул. Вербна, 31А</t>
  </si>
  <si>
    <t>Каналізація від побуткомбінату до фекальної насосної</t>
  </si>
  <si>
    <t>Каналізація від вул. Київська (Радянська)
 буд. 93 по пров. Центральний до їдальні № 4</t>
  </si>
  <si>
    <t>85732, 
від їдальні № 4 до фекальної станції</t>
  </si>
  <si>
    <t>Каналізація від їдальні № 4 до фекальної станції</t>
  </si>
  <si>
    <t>85732, 
Від вул. Громової до їдальні № 4</t>
  </si>
  <si>
    <t>Каналізація від вул. Громової до їдальні № 4</t>
  </si>
  <si>
    <t xml:space="preserve">85721,
вул. Руднична - вул. Залізнична </t>
  </si>
  <si>
    <t>Мережа водоводу вул. Руднична - 
вул. Залізнична (Фрунзе)</t>
  </si>
  <si>
    <t>Волноваський р-н, 
смт Благодатне</t>
  </si>
  <si>
    <t>Водогінна мережа с. Благодатне</t>
  </si>
  <si>
    <t>смт Володимирівка</t>
  </si>
  <si>
    <t>85721,
вул. Симоненка</t>
  </si>
  <si>
    <t>Зовнішній водопровід до гуртожитку
 вул. Симоненка</t>
  </si>
  <si>
    <t>85721, 
квартал 1012</t>
  </si>
  <si>
    <t>85721,
вул. Заводська</t>
  </si>
  <si>
    <t>Зовнішні мережі водоводу вул. Заводська</t>
  </si>
  <si>
    <t>85721,
вул. Симоненка, 9</t>
  </si>
  <si>
    <t>Зовнішній водопровід до гуртожитку 
вул. Симоненка, 9</t>
  </si>
  <si>
    <t>85721,
вул. Запорожця, 6А</t>
  </si>
  <si>
    <t xml:space="preserve">Кабельна лінія ЛЕП 6кВ </t>
  </si>
  <si>
    <t>Волноваський р-н, 
с. Микільське,</t>
  </si>
  <si>
    <t>85720, 
по всій території села</t>
  </si>
  <si>
    <t>Водопровідна мережа с. Микільське</t>
  </si>
  <si>
    <t>Волноваський р-н,
смт Володимирівка</t>
  </si>
  <si>
    <t>Водовід</t>
  </si>
  <si>
    <t>Перекладний водопровід до гуртожитку</t>
  </si>
  <si>
    <t xml:space="preserve"> 85721, 
від резервуарів вул. Запорожця, 6 до водоводу Південно-Донбаської шахти</t>
  </si>
  <si>
    <t>Водопровідний колектор В-1 від резервуарів до водоводу Південно-Донбаської шахти</t>
  </si>
  <si>
    <t>85721,
 вул. Островського, 135</t>
  </si>
  <si>
    <t>Автодорога під'їзна до майданчика очисних споруд</t>
  </si>
  <si>
    <t>Вертикальне планування</t>
  </si>
  <si>
    <t>85721, 
від пров. Озерний, 12А до 
вул. Островського, 135</t>
  </si>
  <si>
    <t>Напірний колектор К-2</t>
  </si>
  <si>
    <t xml:space="preserve">85721,
вул. Гагаріна </t>
  </si>
  <si>
    <t>Самопливний колектор К-3 вул. Гагаріна</t>
  </si>
  <si>
    <t>85721, 
по території всього селища</t>
  </si>
  <si>
    <t>Самопливний колектор К-4</t>
  </si>
  <si>
    <t>85721,
вул. Жовтнева - вул. Садова</t>
  </si>
  <si>
    <t xml:space="preserve">Самопливний колектор К-1 </t>
  </si>
  <si>
    <t>85721,
 вул. Островсько, 135</t>
  </si>
  <si>
    <t>Господарсько- побутова каналізація очисних споруд</t>
  </si>
  <si>
    <t>Зовнішні мережі каналізації до СШ № 1 квартал 1012</t>
  </si>
  <si>
    <t xml:space="preserve">85721,
вул. Руднична   </t>
  </si>
  <si>
    <t>Зовнішня мережа каналізації</t>
  </si>
  <si>
    <t>85721,
вул. Запорожця</t>
  </si>
  <si>
    <t>Зовнішня мережа каналізації вул. Запорожця</t>
  </si>
  <si>
    <t>85721,
вул. Запорожця,1</t>
  </si>
  <si>
    <t>Зовнішня мережа каналізації до житлового будинку № 1 по вул. Запорожця</t>
  </si>
  <si>
    <t>Зовнішня мережа каналізації гуртожитку</t>
  </si>
  <si>
    <t>Внутрішньомайданчикова мережа на майданчику каналізаційної насосної станції</t>
  </si>
  <si>
    <t>Внутрішньомайданчикова мережа насосної станції</t>
  </si>
  <si>
    <t xml:space="preserve">85721,
вул. Островського </t>
  </si>
  <si>
    <t>ЛЕП 6кВ № 6</t>
  </si>
  <si>
    <t>85721,
вул. Островського</t>
  </si>
  <si>
    <t>ЛЕП 6кВ № 3</t>
  </si>
  <si>
    <t>ЛЕП 6кВ № 4</t>
  </si>
  <si>
    <t>85721, 
вул. Островського, 135</t>
  </si>
  <si>
    <t>Внутрішньомайданчикові електричні мережі</t>
  </si>
  <si>
    <t>85700,
 вул. Героїв 51 ОМВР, 97
 (колишня вул. 1 Травня)</t>
  </si>
  <si>
    <t>Теплові мережі</t>
  </si>
  <si>
    <t>85700,
 вул. Героїв 51 ОМВР, 97 
(колишня вул. 1 Травня)</t>
  </si>
  <si>
    <t>Повірочна майстерня</t>
  </si>
  <si>
    <t>Волноваський р-н,
смт Донське</t>
  </si>
  <si>
    <t xml:space="preserve">85772,
вул. Заводська </t>
  </si>
  <si>
    <t>Будівля блоку фільтрів біологічної очистки стічних вод</t>
  </si>
  <si>
    <t>Будівля виробничого корпусу біологічної очистки стічних вод</t>
  </si>
  <si>
    <t>Будівля хлораторної біологічної очистки стічних вод</t>
  </si>
  <si>
    <t>Трубопровід аварійного перекачування стічної рідини біологічної очистки стічних вод</t>
  </si>
  <si>
    <t>Споруда водовимірювальних і з з'єднуючих лотків біологічної очистки стічних вод</t>
  </si>
  <si>
    <t>Споруда пісколовок</t>
  </si>
  <si>
    <t>Споруда мулових майданчиків</t>
  </si>
  <si>
    <t>Споруда контактного резервуару біологічної очистки стічних вод</t>
  </si>
  <si>
    <t>Металевий обслуговуючий майданчик будівлі виробничого корпусу біологічної очистки стічних вод</t>
  </si>
  <si>
    <t>Автодорога біологічної очистки стічних вод</t>
  </si>
  <si>
    <t>Споруда блоку ємностей біологічної очистки стічних вод</t>
  </si>
  <si>
    <t>Трубопровід дренажу від пісколовок біологічної очистки стічних вод</t>
  </si>
  <si>
    <t>Напірний трубопровід надлишкового активного мулу мулових майданчиків</t>
  </si>
  <si>
    <t>Кабельні мережі контрольно вимірювальних приладів  виробничого корпусу біологічної очистки стічних вод</t>
  </si>
  <si>
    <t>Напірний трубопровід спорожнення блоку ємностей біологічної очистки стічних вод</t>
  </si>
  <si>
    <t>Водопровід біологічної очистки стічних вод</t>
  </si>
  <si>
    <t>Підвідний трубопровід стічної рідини біологічної очистки стічних вод</t>
  </si>
  <si>
    <t>Естакада біологічної очистки стічних вод</t>
  </si>
  <si>
    <t>Трубопровід очищеної води від відстійника біологічної очистки стічних вод</t>
  </si>
  <si>
    <t>Трубопровід мінералізованого осаду і надлишково активного мулу біологічної очистки стічних вод</t>
  </si>
  <si>
    <t>Зовнішнє освітлення</t>
  </si>
  <si>
    <t>Будівля каналізаційного насосного комплексу</t>
  </si>
  <si>
    <t>Автодорога під' їзна</t>
  </si>
  <si>
    <t xml:space="preserve">85772,
вул. Менделєєва  </t>
  </si>
  <si>
    <t>Водовод технічної води від насосної "Центральна"</t>
  </si>
  <si>
    <t>Водопровід В-3 позамайданчикові від центральної насосної до кільця заводу</t>
  </si>
  <si>
    <t>Мережа водопостачання внутрішньомайданчикова центральної насосної</t>
  </si>
  <si>
    <t>Трубопровід в будівлі центральної насосної</t>
  </si>
  <si>
    <t>85772,
вул. Менделєєва-вул. Заводська</t>
  </si>
  <si>
    <t>85772, 
поза територією селища</t>
  </si>
  <si>
    <t>Водопровід технічної води Південно-Донбаського водопроводу</t>
  </si>
  <si>
    <t>Будівля насосної питної води "Центральна"</t>
  </si>
  <si>
    <t>Колодязь джерельної води насосної "Центральна"</t>
  </si>
  <si>
    <t>Резервуар V =100м3</t>
  </si>
  <si>
    <t>85772,
 по території селища</t>
  </si>
  <si>
    <t>Каналізаційна мережа селища</t>
  </si>
  <si>
    <t>85772, 
квартал 21</t>
  </si>
  <si>
    <t>Каналізаційний колектор кварталу 21</t>
  </si>
  <si>
    <t>85722, 
вул. Заводська</t>
  </si>
  <si>
    <t>85722,
 вул. Кошевого</t>
  </si>
  <si>
    <t>Каналізаційна мережа школи</t>
  </si>
  <si>
    <t>85772,
вул. 40 років Перемоги, 7</t>
  </si>
  <si>
    <t>85772,
квартал 21, буд. 3, 14</t>
  </si>
  <si>
    <t>Мережа каналізації внутрішньомайданчикова до буд. 3, 14</t>
  </si>
  <si>
    <t>85772,
квартал 21, буд. 12</t>
  </si>
  <si>
    <t>85772,
квартал 21, буд. 13</t>
  </si>
  <si>
    <t>Мережа каналізації буд. 13 квартал 21</t>
  </si>
  <si>
    <t>85772,
квартал 21, буд. 16</t>
  </si>
  <si>
    <t>Зовнішня мережа каналізації буд. 16 кварталу 21</t>
  </si>
  <si>
    <t>85772,
квартал 21, буд. 9</t>
  </si>
  <si>
    <t>Зовнішня мережа господарсько-фекальної каналізації буд. 9</t>
  </si>
  <si>
    <t>85772,
вул. Заводська, 43А</t>
  </si>
  <si>
    <t>85772,
вул. Заводська</t>
  </si>
  <si>
    <t>Трубопровід аварійний обвідний БОСВ</t>
  </si>
  <si>
    <t>Металевий обслуговуючий майданчик до будівлі решіток</t>
  </si>
  <si>
    <t>Кабельні мережі зовнішні будівлі КНС</t>
  </si>
  <si>
    <t>Кабельна лінія до насосної станції</t>
  </si>
  <si>
    <t>Витяжна вентиляційна система КНС</t>
  </si>
  <si>
    <t>85772, 
вул. Кошового</t>
  </si>
  <si>
    <t>Мережа водопостачання школи</t>
  </si>
  <si>
    <t>Мережа водопостачання дитячого садка</t>
  </si>
  <si>
    <t>85772,
вул. Менделєєва</t>
  </si>
  <si>
    <t>Мережа водопостачання  вул. Менделєєва</t>
  </si>
  <si>
    <t>85772,
квартал 21, буд. 7</t>
  </si>
  <si>
    <t>Мережа водопостачання  буд. 7 кварталу 21</t>
  </si>
  <si>
    <t>85772,
квартал 21, буд. 3</t>
  </si>
  <si>
    <t>Мережа водопостачання  внутрішньомайданчикова  буд. 3 кварталу 21</t>
  </si>
  <si>
    <t>85772,
квартал 21 буд. 12</t>
  </si>
  <si>
    <t>Мережа водопостачання буд. 12 кварталу 21</t>
  </si>
  <si>
    <t>Мережа водопостачання буд. 13 кварталу 21</t>
  </si>
  <si>
    <t>85772,
квартал 21 буд. 1</t>
  </si>
  <si>
    <t>Мережа водопостачання буд. 1 кварталу 21</t>
  </si>
  <si>
    <t>85772, 
вул. Кошового, 1</t>
  </si>
  <si>
    <t>Зовнішня мережа водопостачання 
вул. Кошового, 1 кварталу 21</t>
  </si>
  <si>
    <t>Зовнішня мережа водопостачання
 буд. 16 кварталу 21</t>
  </si>
  <si>
    <t>Зовнішня мережа водопостачання  магазину-павільйону</t>
  </si>
  <si>
    <t>Зовнішня мережа водопостачання
 буд. 9 кварталу 21</t>
  </si>
  <si>
    <t>85772, 
по території всього селища</t>
  </si>
  <si>
    <t>Мережа водоводу питної води селища</t>
  </si>
  <si>
    <t>85772,
вул. Заводська, 39</t>
  </si>
  <si>
    <t>Нежитлове приміщення по
 вул. Заводська буд. 39</t>
  </si>
  <si>
    <t>85772,
 вул. Геологічна, 1А</t>
  </si>
  <si>
    <t>Огорожа майданчику</t>
  </si>
  <si>
    <t>Контактний освітлювач</t>
  </si>
  <si>
    <t>Резервуар питної води V=3000м3</t>
  </si>
  <si>
    <t>Резервуар виробничих стічних вод V=50м3</t>
  </si>
  <si>
    <t>Повітропровід від фільтра-поглинача до резервуару</t>
  </si>
  <si>
    <t>Всмоктуючий трубопровід від резервуару до насосної</t>
  </si>
  <si>
    <t>Водопровід питної води до споживача - В1,2</t>
  </si>
  <si>
    <t>Переливний трубопровід резервуару</t>
  </si>
  <si>
    <t>Водопровід В-1 від насосної до хлораторної</t>
  </si>
  <si>
    <t>Трубопровід виробничих стічних вод</t>
  </si>
  <si>
    <t>Аварійний трубопровід</t>
  </si>
  <si>
    <t>Трубопровід спорожнення резервуару</t>
  </si>
  <si>
    <t>Будівля фільтрувальної станції</t>
  </si>
  <si>
    <t>В'їзний пост фільтрувальної станції</t>
  </si>
  <si>
    <t>Обслуговуючий майданчик контактних освітлювачів</t>
  </si>
  <si>
    <t>Обслуговуючий майданчик засувок</t>
  </si>
  <si>
    <t>Обслуговуючий майданчик  кран-балок</t>
  </si>
  <si>
    <t>Паркан фільтрувальної станції</t>
  </si>
  <si>
    <t>Вхідна камера</t>
  </si>
  <si>
    <t>Внутрішні електротехнічні мережі</t>
  </si>
  <si>
    <t xml:space="preserve">Внутрішні мережі ділянки КІП </t>
  </si>
  <si>
    <t xml:space="preserve">Позамайданчикова мережа  трубопроводу </t>
  </si>
  <si>
    <t>Зовнішня мережа питної води</t>
  </si>
  <si>
    <t>Внутрішній технологічний трубопровід</t>
  </si>
  <si>
    <t>85700, 
вул. Героїв 51 ОМБР
 (колишня вул.1 Травня),  97</t>
  </si>
  <si>
    <t>87124, 
південно-східна частина селища</t>
  </si>
  <si>
    <t>Комплексна трансформаторна підстанція КТП</t>
  </si>
  <si>
    <t>ЛЕП 6кВ</t>
  </si>
  <si>
    <t>смт. Новотроїцьке</t>
  </si>
  <si>
    <t>Лінія електричних передач 10кВ "Оленівська підвищувальна насосна станція"</t>
  </si>
  <si>
    <t>Торецьке ВУВКГ КП "Компанія "Вода Донбасу"</t>
  </si>
  <si>
    <t xml:space="preserve"> 85200,  
вул. Львівська, 20</t>
  </si>
  <si>
    <t xml:space="preserve"> НС що перекачує мікрорайон № 1</t>
  </si>
  <si>
    <t>20011</t>
  </si>
  <si>
    <t>196.00</t>
  </si>
  <si>
    <t>85200,
вул. Донецька, 11А</t>
  </si>
  <si>
    <t xml:space="preserve"> Трансформаторна підстанція перекачки Авангард</t>
  </si>
  <si>
    <t>20013</t>
  </si>
  <si>
    <t>11.00</t>
  </si>
  <si>
    <t xml:space="preserve"> КНС "Авангард"</t>
  </si>
  <si>
    <t>20015</t>
  </si>
  <si>
    <t>78.40</t>
  </si>
  <si>
    <t xml:space="preserve"> 85200, 
вул. Іванівська, 41</t>
  </si>
  <si>
    <t>20017</t>
  </si>
  <si>
    <t>67.10</t>
  </si>
  <si>
    <t>85200, 
вул. Іванівська, 41</t>
  </si>
  <si>
    <t>20018</t>
  </si>
  <si>
    <t>52.50</t>
  </si>
  <si>
    <t>85200,
 вул. Іванівська, 41</t>
  </si>
  <si>
    <t xml:space="preserve"> КНС від кварталу 89</t>
  </si>
  <si>
    <t>20020</t>
  </si>
  <si>
    <t>164.20</t>
  </si>
  <si>
    <t>85200, 
вул. Онезька, 20</t>
  </si>
  <si>
    <t xml:space="preserve"> Горизонтальна пісколовка № 1 на ОС
 м. Торецьк</t>
  </si>
  <si>
    <t>20021</t>
  </si>
  <si>
    <t>19.80</t>
  </si>
  <si>
    <t xml:space="preserve"> Горизонтальна пісколовка № 2 на ОС
 м. Торецьк</t>
  </si>
  <si>
    <t>20022</t>
  </si>
  <si>
    <t>31.40</t>
  </si>
  <si>
    <t>59.70</t>
  </si>
  <si>
    <t>20023</t>
  </si>
  <si>
    <t>128.10</t>
  </si>
  <si>
    <t xml:space="preserve"> Аеротенк № 1 на ОС м. Торецьк</t>
  </si>
  <si>
    <t>20025</t>
  </si>
  <si>
    <t>568.80</t>
  </si>
  <si>
    <t xml:space="preserve"> Аеротенк № 2 на ОС м. Торецьк</t>
  </si>
  <si>
    <t>489.60</t>
  </si>
  <si>
    <t xml:space="preserve"> Аеротенк № 3 на ОС м. Торецьк</t>
  </si>
  <si>
    <t>504.00</t>
  </si>
  <si>
    <t>20026</t>
  </si>
  <si>
    <t xml:space="preserve"> Блок доочистки на ОС м. Торецьк</t>
  </si>
  <si>
    <t>20027</t>
  </si>
  <si>
    <t>171.00</t>
  </si>
  <si>
    <t xml:space="preserve"> Аеробний мінералізатор № 1 на ОС
 м. Торецьк</t>
  </si>
  <si>
    <t>20031</t>
  </si>
  <si>
    <t>147.30</t>
  </si>
  <si>
    <t xml:space="preserve"> Аеробний мінералізатор № 2 на ОС
 м. Торецьк</t>
  </si>
  <si>
    <t xml:space="preserve"> Аеробний мінералізатор № 3 на ОС
 м. Торецьк</t>
  </si>
  <si>
    <t xml:space="preserve"> Аеробний мінералізатор № 4 на ОС 
м. Торецьк</t>
  </si>
  <si>
    <t>20035</t>
  </si>
  <si>
    <t>20036</t>
  </si>
  <si>
    <t>34.30</t>
  </si>
  <si>
    <t xml:space="preserve"> Насосна стація сирого осаду на ОС
 м. Торецька</t>
  </si>
  <si>
    <t>40007</t>
  </si>
  <si>
    <t>65.20</t>
  </si>
  <si>
    <t xml:space="preserve"> Корпус зневоднення на ОС м. Торецька</t>
  </si>
  <si>
    <t>40008</t>
  </si>
  <si>
    <t>340.10</t>
  </si>
  <si>
    <t xml:space="preserve"> Насосно-повітредувна станція на ОС
 м. Торецьк</t>
  </si>
  <si>
    <t>40009</t>
  </si>
  <si>
    <t>300.00</t>
  </si>
  <si>
    <t xml:space="preserve"> Насосна станція повернення на ОС 
м. Торецька</t>
  </si>
  <si>
    <t>40010</t>
  </si>
  <si>
    <t>112.90</t>
  </si>
  <si>
    <t xml:space="preserve"> Склад-хлораторна на ОС м. Торецьк</t>
  </si>
  <si>
    <t>40011</t>
  </si>
  <si>
    <t>275.10</t>
  </si>
  <si>
    <t>Будівля Адміністративно-побутового комбінату на ОС м. Торецьк</t>
  </si>
  <si>
    <t>40012</t>
  </si>
  <si>
    <t>436.70</t>
  </si>
  <si>
    <t>40013</t>
  </si>
  <si>
    <t>30.00</t>
  </si>
  <si>
    <t xml:space="preserve"> Гараж на ОС м. Торецьк</t>
  </si>
  <si>
    <t>133.70</t>
  </si>
  <si>
    <t xml:space="preserve"> Котельня на ОС м. Торецьк</t>
  </si>
  <si>
    <t>40016</t>
  </si>
  <si>
    <t>145.30</t>
  </si>
  <si>
    <t xml:space="preserve">85200, 
 вул. Центральна, 65 </t>
  </si>
  <si>
    <t xml:space="preserve"> Склад-вагон</t>
  </si>
  <si>
    <t>7003010</t>
  </si>
  <si>
    <t xml:space="preserve"> -</t>
  </si>
  <si>
    <t xml:space="preserve"> Склад-вагон на базі ВУВКГ</t>
  </si>
  <si>
    <t>700301</t>
  </si>
  <si>
    <t xml:space="preserve"> Склад-вагон на базі ВУВКГ (виробничого управління водопровідно-каналізаційного господарства)</t>
  </si>
  <si>
    <t>700302</t>
  </si>
  <si>
    <t>700303</t>
  </si>
  <si>
    <t>85200, 
 вул. Центральна, 65</t>
  </si>
  <si>
    <t>700304</t>
  </si>
  <si>
    <t xml:space="preserve">  85200, 
 вул. Центральна, 65</t>
  </si>
  <si>
    <t>700305</t>
  </si>
  <si>
    <t>700306</t>
  </si>
  <si>
    <t>700307</t>
  </si>
  <si>
    <t>700308</t>
  </si>
  <si>
    <t>700309</t>
  </si>
  <si>
    <t xml:space="preserve"> Адміністративно-побутовий комбінат на базі ВУВКГ</t>
  </si>
  <si>
    <t>80002</t>
  </si>
  <si>
    <t>762.58</t>
  </si>
  <si>
    <t>Виробничий корпус на базі ВУВКГ</t>
  </si>
  <si>
    <t>80003</t>
  </si>
  <si>
    <t>648.50</t>
  </si>
  <si>
    <t xml:space="preserve"> Склад-навіс на базі ВУВКГ</t>
  </si>
  <si>
    <t>80004</t>
  </si>
  <si>
    <t>1065.70</t>
  </si>
  <si>
    <t xml:space="preserve"> Котельня на базі ВУВКГ</t>
  </si>
  <si>
    <t>80005</t>
  </si>
  <si>
    <t>134.60</t>
  </si>
  <si>
    <t>85200, 
вул. Центральна, 65</t>
  </si>
  <si>
    <t xml:space="preserve"> Трансформаторна на базі ВУВКГ</t>
  </si>
  <si>
    <t>80006</t>
  </si>
  <si>
    <t>47.00</t>
  </si>
  <si>
    <t xml:space="preserve"> 85200, 
 вул. Центральна, 65 </t>
  </si>
  <si>
    <t xml:space="preserve"> ВНС кварталу 102 "а"</t>
  </si>
  <si>
    <t>80007</t>
  </si>
  <si>
    <t>м. Торецьк, 
смт Північне</t>
  </si>
  <si>
    <t>85200, 
вул. Некрасова, 5</t>
  </si>
  <si>
    <t xml:space="preserve"> Насосна станція продуктивністю 
40000 куб. м/добу</t>
  </si>
  <si>
    <t>80008</t>
  </si>
  <si>
    <t>398.80</t>
  </si>
  <si>
    <t>85200, 
вул. Некрасова, 54</t>
  </si>
  <si>
    <t xml:space="preserve"> Прохідна з котельною</t>
  </si>
  <si>
    <t>80009</t>
  </si>
  <si>
    <t>64.40</t>
  </si>
  <si>
    <t xml:space="preserve"> - </t>
  </si>
  <si>
    <t xml:space="preserve"> Резервуар ємністю 10000 куб. м</t>
  </si>
  <si>
    <t>70012</t>
  </si>
  <si>
    <t>77.30</t>
  </si>
  <si>
    <t xml:space="preserve"> Насосна станція 3-го підйому</t>
  </si>
  <si>
    <t>70021</t>
  </si>
  <si>
    <t>315.60</t>
  </si>
  <si>
    <t>85200, 
вул. Юності, 28</t>
  </si>
  <si>
    <t xml:space="preserve"> ВНС "168 квартал"</t>
  </si>
  <si>
    <t>80010</t>
  </si>
  <si>
    <t xml:space="preserve"> Водопровід до пральні у 89 кварталі             </t>
  </si>
  <si>
    <t xml:space="preserve"> 85200, 
 пров. Декабристів</t>
  </si>
  <si>
    <t xml:space="preserve">Водопровід по пров. Декабристів               </t>
  </si>
  <si>
    <t xml:space="preserve"> 85200, 
пров. 3 Гірний</t>
  </si>
  <si>
    <t xml:space="preserve">Водопровід по провулку 3-й Гірний                   </t>
  </si>
  <si>
    <t xml:space="preserve"> 85200,
вул. Нахімова</t>
  </si>
  <si>
    <t xml:space="preserve">Водопровід по вул. Нахімова                  </t>
  </si>
  <si>
    <t xml:space="preserve"> 85200, 
вул. Ростовська</t>
  </si>
  <si>
    <t xml:space="preserve">Водопровід по вул. Ростовська                </t>
  </si>
  <si>
    <t>м. Торецьк, 
смт Південне</t>
  </si>
  <si>
    <t>85293, 
вул. Лісова</t>
  </si>
  <si>
    <t xml:space="preserve">Водопровід по вул. Лісова (Південна)          </t>
  </si>
  <si>
    <t xml:space="preserve">85293, 
вул. Московська </t>
  </si>
  <si>
    <t xml:space="preserve">Водопровід по вул. Московська               </t>
  </si>
  <si>
    <t>м. Торецьк,
 смт Петрівка</t>
  </si>
  <si>
    <t>85200, 
вул. Першотравнева</t>
  </si>
  <si>
    <t xml:space="preserve">Водопровід по вул. Першотравневій 
смт Петрівка    </t>
  </si>
  <si>
    <t xml:space="preserve"> м. Торецьк, 
смт Новгородське</t>
  </si>
  <si>
    <t xml:space="preserve"> 85293, 
пров. Гірничий</t>
  </si>
  <si>
    <t xml:space="preserve">Водопровід по провулку Гірничий                   </t>
  </si>
  <si>
    <t>85293, 
вул. Червона</t>
  </si>
  <si>
    <t xml:space="preserve">Водопровід по вул. Червона                  </t>
  </si>
  <si>
    <t>м. Торецьк,
 м. Залізне</t>
  </si>
  <si>
    <t>85290, 
вул. 8 Березня</t>
  </si>
  <si>
    <t xml:space="preserve">Водопровід по вул. 8 Березня                    </t>
  </si>
  <si>
    <t xml:space="preserve">м. Торецьк, 
м. Залізне </t>
  </si>
  <si>
    <t>85290,  
 вул. Іванівська</t>
  </si>
  <si>
    <t xml:space="preserve">Водопровід по вул. Іванівська                 </t>
  </si>
  <si>
    <t>м. Торецьк, 
смт Новгородське</t>
  </si>
  <si>
    <t>85200, 
вул. Кооперативна</t>
  </si>
  <si>
    <t xml:space="preserve">Водопровід по вул. Кооперативна               </t>
  </si>
  <si>
    <t>м. Торецьк,
 смт Новгородське</t>
  </si>
  <si>
    <t xml:space="preserve">85200, 
вул. Армійська </t>
  </si>
  <si>
    <t xml:space="preserve">Водопровід по вул. Армійська
 (колишня Червоноармійська)            </t>
  </si>
  <si>
    <t xml:space="preserve">м. Торецьк,
 м. Залізне </t>
  </si>
  <si>
    <t xml:space="preserve"> 85290, 
вул. Підгорна</t>
  </si>
  <si>
    <t xml:space="preserve">Водопровід по вул. Підгорна                  </t>
  </si>
  <si>
    <t>85290, 
вул. Саратовська</t>
  </si>
  <si>
    <t xml:space="preserve">Водопровід по вул. Саратовська                </t>
  </si>
  <si>
    <t xml:space="preserve"> 85200,
 вул. Смоленська</t>
  </si>
  <si>
    <t xml:space="preserve">Водопровід по вул. Смоленська                 </t>
  </si>
  <si>
    <t xml:space="preserve">м. Торецьк, 
смт Північне </t>
  </si>
  <si>
    <t xml:space="preserve">85280,
вул. Щаслива </t>
  </si>
  <si>
    <t xml:space="preserve">Водопровід по вул. Щаслива
 (колишня Фрунзе)                     </t>
  </si>
  <si>
    <t>85280, 
  вул. Чайковського</t>
  </si>
  <si>
    <t xml:space="preserve">Водопровід по вул. Чайковського                </t>
  </si>
  <si>
    <t xml:space="preserve"> 85290,
 вул. Вишнева </t>
  </si>
  <si>
    <t xml:space="preserve">Водопровід по вул. Вишнева
 (колишня Чапаєва)                    </t>
  </si>
  <si>
    <t xml:space="preserve"> 85290, 
вул. Шахтна</t>
  </si>
  <si>
    <t xml:space="preserve">Водопровід по вул. Шахтна                    </t>
  </si>
  <si>
    <t xml:space="preserve">85200, 
вул. Дружби </t>
  </si>
  <si>
    <t xml:space="preserve">Водопровід до музичного училища                   </t>
  </si>
  <si>
    <t>85200, 
вул. 8 Березня</t>
  </si>
  <si>
    <t>Водопровід від  вул. 8 Березня до 
вул. Онезької, Партизанської</t>
  </si>
  <si>
    <t>85200, 
вул. Козача</t>
  </si>
  <si>
    <t xml:space="preserve">Водопровід від башти водонапірної по 
вул. Козача (колишня Котовського)   </t>
  </si>
  <si>
    <t>85290, 
просп. Піонерів</t>
  </si>
  <si>
    <t>Водопровід від залізнично-дорожнього переїзду до вул. Артема до пр. Піонерів</t>
  </si>
  <si>
    <t xml:space="preserve">85200, 
вул. Грушевського </t>
  </si>
  <si>
    <t xml:space="preserve">Водопровід від  вул. Грушевського (колишня Енгельса) до Державного Банку       </t>
  </si>
  <si>
    <t>85200, 
вул. Шевченка</t>
  </si>
  <si>
    <t xml:space="preserve">Водопровід від фільтрувальної до водопроводу         </t>
  </si>
  <si>
    <t>85200, 
вул. Акмолинська</t>
  </si>
  <si>
    <t xml:space="preserve">Водопровід по вул. Акмолинська            </t>
  </si>
  <si>
    <t>85200, 
вул. Ангарська</t>
  </si>
  <si>
    <t xml:space="preserve">Водопровід по вул. Ангарська                </t>
  </si>
  <si>
    <t>85200, 
вул. Гомельська</t>
  </si>
  <si>
    <t xml:space="preserve">Водопровід по вул. Гомельська               </t>
  </si>
  <si>
    <t>85200, 
пров. Громова</t>
  </si>
  <si>
    <t xml:space="preserve">Водопровід по пров. Громова                  </t>
  </si>
  <si>
    <t xml:space="preserve">85200, 
вул. Залізнична, 
вул. Пилипенка </t>
  </si>
  <si>
    <t>85200, 
вул. Наборського</t>
  </si>
  <si>
    <t>85200, 
вул. Маріупольська</t>
  </si>
  <si>
    <t xml:space="preserve">Водопровід по вул. Маріупольська            </t>
  </si>
  <si>
    <t>85200, 
вул. Нахімова</t>
  </si>
  <si>
    <t xml:space="preserve">Водопровід по вул. Нахімова                 </t>
  </si>
  <si>
    <t>85200, 
вул. Папаніна</t>
  </si>
  <si>
    <t xml:space="preserve">Водопровід по вул. Папаніна                 </t>
  </si>
  <si>
    <t>85200, 
вул. Парова</t>
  </si>
  <si>
    <t xml:space="preserve">Водопровід по вул. Парова                  </t>
  </si>
  <si>
    <t xml:space="preserve">85200, 
вул. Гаврилова </t>
  </si>
  <si>
    <t xml:space="preserve">Водопровід по вул. Гаврилова 
(колишня Пролетарська)             </t>
  </si>
  <si>
    <t>85200, 
вул. Північна</t>
  </si>
  <si>
    <t xml:space="preserve">Водопровід по вул. Північна                 </t>
  </si>
  <si>
    <t>85200, 
вул. Визволителів Донбасу 
до вул. Миру</t>
  </si>
  <si>
    <t xml:space="preserve">Водопровід по вул. Визволителів Донбасу (колишня Радянська) до вул. Миру     </t>
  </si>
  <si>
    <t>85280, 
вул. Фестивальна</t>
  </si>
  <si>
    <t xml:space="preserve">Водопровід по вул. Фестивальна             </t>
  </si>
  <si>
    <t>85200, 
вул. Брянцева</t>
  </si>
  <si>
    <t xml:space="preserve">Водопровід по вул. Брянцева                  </t>
  </si>
  <si>
    <t>85200, 
вул. Зелена</t>
  </si>
  <si>
    <t xml:space="preserve">Водопровід по  вул. Зелена                   </t>
  </si>
  <si>
    <t>85200, 
вул. Кожедуба</t>
  </si>
  <si>
    <t xml:space="preserve">Водопровід по вул. Кожедуба                  </t>
  </si>
  <si>
    <t>85200, 
вул. Євгена Седнєва</t>
  </si>
  <si>
    <t xml:space="preserve">Водопровід по вул. Євгена Седнєва
 (колишня Чапаєва)                   </t>
  </si>
  <si>
    <t xml:space="preserve">Водопровід 190-го, 202-го кварталів                       </t>
  </si>
  <si>
    <t xml:space="preserve">м. Торецьк,
м. Залізне </t>
  </si>
  <si>
    <t>85290, 
вул. Пушкіна, вул. Шосейна, 
вул. Маяковського, вул. Ломоносова</t>
  </si>
  <si>
    <t xml:space="preserve">Водопровід 72-го кварталу                            </t>
  </si>
  <si>
    <t xml:space="preserve">Водопровід № 3 м. Залізне 
(колишнє Артемове)                    </t>
  </si>
  <si>
    <t>85200,
 вул. Маяковського</t>
  </si>
  <si>
    <t xml:space="preserve">Водопровід Державної податкової адміністрації               </t>
  </si>
  <si>
    <t xml:space="preserve">85290, 
вул. Варшавська </t>
  </si>
  <si>
    <t xml:space="preserve">Водопровід в 43-му кварталі по 
вул. Варшавська (колишня Фрунзе)             </t>
  </si>
  <si>
    <t>85200,
 вул. Терешкової, 10</t>
  </si>
  <si>
    <t>85200, 
вул. Терешкової 3,4</t>
  </si>
  <si>
    <t xml:space="preserve">Водопровід у мікрорайон № 1 
вул. Терешкової, 3, 4      </t>
  </si>
  <si>
    <t>м. Торецьк, 
смт Петрівка</t>
  </si>
  <si>
    <t>85200, 
вул. Енгельса</t>
  </si>
  <si>
    <t xml:space="preserve">Водопровід у смт Петрівка вул. Енгельса                  </t>
  </si>
  <si>
    <t>85200,
 вул. Герцена, вул. Р.-Корсакова</t>
  </si>
  <si>
    <t xml:space="preserve">Водопровід позаквартальних мереж кварталів 207, 200             </t>
  </si>
  <si>
    <t>85290, 
вул. Крупської</t>
  </si>
  <si>
    <t>85280, 
вул. Юності</t>
  </si>
  <si>
    <t xml:space="preserve">Водопровід водопостачання кварталів 90, 91, 168 (300); Д=325х8 </t>
  </si>
  <si>
    <t>85200, 
вул. Р.- Корсакова</t>
  </si>
  <si>
    <t xml:space="preserve">м. Торецьк,
смт Північне </t>
  </si>
  <si>
    <t>85280, 
вул. Фінська</t>
  </si>
  <si>
    <t xml:space="preserve">Водопровід від 4-х квартирних  будинків           </t>
  </si>
  <si>
    <t xml:space="preserve">Водопровід Забалочної частини                 </t>
  </si>
  <si>
    <t xml:space="preserve">Водопровід до 9-ти етажного 66-ти квартирного буд. №11 кварталу 91            </t>
  </si>
  <si>
    <t>85290,
просп. Піонерів</t>
  </si>
  <si>
    <t xml:space="preserve">Водопровід до міського професійно-технічного училища № 89                     </t>
  </si>
  <si>
    <t xml:space="preserve">Водопровід до будинку побуту "Схід "              </t>
  </si>
  <si>
    <t xml:space="preserve">Водопровід до дому Рад                   </t>
  </si>
  <si>
    <t xml:space="preserve">Водопровід до житлових будинків 12а, 12б просп. Піонерів     </t>
  </si>
  <si>
    <t xml:space="preserve">Водопровід до житлового будинку № 1 кварталу 89                  </t>
  </si>
  <si>
    <t>85200,
вул. Терешкової</t>
  </si>
  <si>
    <t xml:space="preserve">Водопровід до житлового будинку № 10, Мікрорайон № 1               </t>
  </si>
  <si>
    <t xml:space="preserve">85200,
вул. Грушевського </t>
  </si>
  <si>
    <t xml:space="preserve">Водопровід до житлового будинку № 12 по вул. Грушевського (колишня Енгельса)        </t>
  </si>
  <si>
    <t xml:space="preserve">Водопровід до житлового будинку № 12 кварталу 89                  </t>
  </si>
  <si>
    <t xml:space="preserve">Водопровід до житлового будинку № 13 кварталу 89                 </t>
  </si>
  <si>
    <t>85200,
вул. Лісова</t>
  </si>
  <si>
    <t xml:space="preserve">Водопровід до житлового будинку № 16, Мікрорайон № 1              </t>
  </si>
  <si>
    <t xml:space="preserve">Водопровід до житлового будинку № 2 кварталу 89                   </t>
  </si>
  <si>
    <t xml:space="preserve">Водопровід до житлового будинку № 20, Мікрорайон № 1               </t>
  </si>
  <si>
    <t xml:space="preserve">Водопровід до житлового будинку № 26,
 вул. Лісова, Мікрорайон № 1      </t>
  </si>
  <si>
    <t xml:space="preserve">Водопровід до житлового будинку № 3 кварталу 89                   </t>
  </si>
  <si>
    <t xml:space="preserve">Водопровід до житлового будинку № 4 кварталу 89                  </t>
  </si>
  <si>
    <t>85200, 
вул. Лісова</t>
  </si>
  <si>
    <t xml:space="preserve">Водопровід до житлового будинку № 4 мікрорайон № 1                </t>
  </si>
  <si>
    <t>85200, 
вул. Маяковського</t>
  </si>
  <si>
    <t xml:space="preserve">Водопровід до житлового будинку № 41
 вул. Маяковського        </t>
  </si>
  <si>
    <t xml:space="preserve">Водопровід до житлового будинку Лісова 1, Мікрорайон № 1          </t>
  </si>
  <si>
    <t xml:space="preserve">Водопровід до житлового будинку, Мікрорайон № 1                   </t>
  </si>
  <si>
    <t>85200,
вул. Віктора Сорочука</t>
  </si>
  <si>
    <t xml:space="preserve">Водопровід до житлового будинку №13 мікрорайон № 1                </t>
  </si>
  <si>
    <t xml:space="preserve">Водопровід до житлового будинку № 16в мікрорайоні № 1              </t>
  </si>
  <si>
    <t xml:space="preserve">Водопровід до житлового будинку № 16 кварталу 89                  </t>
  </si>
  <si>
    <t xml:space="preserve">Водопровід до житлового будинку № 25, Мікрорайон № 1                </t>
  </si>
  <si>
    <t xml:space="preserve">Водопровід до житлового будинку по
 вул. Р.Корсакова Д=60    </t>
  </si>
  <si>
    <t>Водопровід до житлового будинку по
 вул. Р.Корсакова</t>
  </si>
  <si>
    <t xml:space="preserve">Водопровід до очисних споруд                           </t>
  </si>
  <si>
    <t>85200, 
вул. Терешкової</t>
  </si>
  <si>
    <t xml:space="preserve">Водопровід до гуртожитку по 
вул. Терешкової       </t>
  </si>
  <si>
    <t>85200, 
вул. Гайдара</t>
  </si>
  <si>
    <t xml:space="preserve">Водопровід до психіатричної лікарні                  </t>
  </si>
  <si>
    <t>85290, 
вул. Декабристів</t>
  </si>
  <si>
    <t xml:space="preserve">Водопровід до складу продовольчих товарів           </t>
  </si>
  <si>
    <t xml:space="preserve">Водопровід до тублікарні           </t>
  </si>
  <si>
    <t xml:space="preserve">Водопровід до шахти «Валюга»                       </t>
  </si>
  <si>
    <t xml:space="preserve">Водопровід до школи № 3                       </t>
  </si>
  <si>
    <t xml:space="preserve">Водопровід до 35-ти квартирного житлового будинку № 40 вул. Маяковського     </t>
  </si>
  <si>
    <t xml:space="preserve">Водопровід кварталу № 88                        </t>
  </si>
  <si>
    <t xml:space="preserve">Водопровід Мікрорайону № 1                          </t>
  </si>
  <si>
    <t>85200, 
вул. Білоруська</t>
  </si>
  <si>
    <t xml:space="preserve">Водопровід на молокозавод                  </t>
  </si>
  <si>
    <t>85280, 
вул. Некрасова</t>
  </si>
  <si>
    <t xml:space="preserve">Водопровід до вул. Некрасова       </t>
  </si>
  <si>
    <t>85280, 
вул. Червоні колодязі</t>
  </si>
  <si>
    <t xml:space="preserve">Водопровід від 165-го кварталу до Палацу Культури                  </t>
  </si>
  <si>
    <t>85200, 
смт Петрівка</t>
  </si>
  <si>
    <t xml:space="preserve">85200, 
вул. Центральна </t>
  </si>
  <si>
    <t xml:space="preserve">Водопровід від Автотранспортного підприємства № 04112                    </t>
  </si>
  <si>
    <t>м. Торецьк,
 смт Північне</t>
  </si>
  <si>
    <t>85200,
вул. Шкільна, вул. Партизанська</t>
  </si>
  <si>
    <t xml:space="preserve">Водопровід від башти до колишнього селища Партизан по вул. Шкільна </t>
  </si>
  <si>
    <t>85200,
вул. Дарвіна</t>
  </si>
  <si>
    <t xml:space="preserve">Водопровід від вежі до вул. Дарвіна           </t>
  </si>
  <si>
    <t xml:space="preserve">85200,
вул. Національна </t>
  </si>
  <si>
    <t xml:space="preserve">Водопровід від вежі до вул. Національна (колишня Радянська)           </t>
  </si>
  <si>
    <t xml:space="preserve"> м. Торецьк, 
смт Північне </t>
  </si>
  <si>
    <t xml:space="preserve">Водопровід від вежі до вул. Шевченка           </t>
  </si>
  <si>
    <t>85200,
вул. Поштова</t>
  </si>
  <si>
    <t xml:space="preserve">Водопровід від вежі до вул. Поштова          </t>
  </si>
  <si>
    <t>85200, 
вул. Дарвіна</t>
  </si>
  <si>
    <t xml:space="preserve">Водопровід від вежі до шахти по вул. Дарвіна                </t>
  </si>
  <si>
    <t>85290, 
пров. Піонерів</t>
  </si>
  <si>
    <t xml:space="preserve">Водопровід від водопровідного вузла по 
пров. Піонерів м. Залізне (колишнє Артемове) </t>
  </si>
  <si>
    <t>85200, 
вул. Кочегарка</t>
  </si>
  <si>
    <t xml:space="preserve">Водопровід від водонапірної вежі до
 вул. Кочегарка       </t>
  </si>
  <si>
    <t xml:space="preserve">Водопровід від водонапірної вежі до водобасейну       </t>
  </si>
  <si>
    <t>Водопровідна лінія від центрального басейну</t>
  </si>
  <si>
    <t xml:space="preserve">Внутрішньоквартальні мережі від Горлівської водонапірної вежі   </t>
  </si>
  <si>
    <t>85200, 
пров. Любимий</t>
  </si>
  <si>
    <t xml:space="preserve">Водопровід від Горлівської вежі по
 пров. Любимий (колишній Димитрова)                 </t>
  </si>
  <si>
    <t>85200, 
вул. Дарвіна, вул. Руднична</t>
  </si>
  <si>
    <t>85200, 
вул. Історична</t>
  </si>
  <si>
    <t>м. Торецьк,
смт Північне</t>
  </si>
  <si>
    <t>85280, 
вул. Соцмістечка</t>
  </si>
  <si>
    <t xml:space="preserve">Водопровід від кварталу 100 до 
вул. Соцмістечка          </t>
  </si>
  <si>
    <t xml:space="preserve">Водопровід від мікрорайону № 1 до вежі                </t>
  </si>
  <si>
    <t>85200,
вул. Шахтарська, вул. Ломоносова</t>
  </si>
  <si>
    <t>85200,
пров. Пирогова</t>
  </si>
  <si>
    <t xml:space="preserve">Водопровід від пров. Пирогова                  </t>
  </si>
  <si>
    <t xml:space="preserve">85200,
вул. Руднична </t>
  </si>
  <si>
    <t xml:space="preserve">Водопровід від переїзду до 4-ї столової         </t>
  </si>
  <si>
    <t xml:space="preserve">Водопровід від майданчика водопровідного вузла до вул. Центральна
 (колишня Дзержинського)       </t>
  </si>
  <si>
    <t xml:space="preserve">Водопровід від підстанції до 
сел. Партизанський    </t>
  </si>
  <si>
    <t xml:space="preserve">Водопровід від Професійного технічного училища до ст. Магдалинівка        </t>
  </si>
  <si>
    <t xml:space="preserve">85200, 
вул. Скачкова до Тоболенка 
просп. Шахтарів </t>
  </si>
  <si>
    <t>Водопровід від вул. Скачкова до 
вул. Тоболенка, посп. Шахтарів 
(колишнє Свердлова)</t>
  </si>
  <si>
    <t>85200, 
вул. Соцмістечка, вул. Павлова</t>
  </si>
  <si>
    <t>85200, 
вул. Партизанська</t>
  </si>
  <si>
    <t xml:space="preserve">Водопровід від Рятувальної до 
вул. Партизанська           </t>
  </si>
  <si>
    <t>85200, 
вул. Центральна</t>
  </si>
  <si>
    <t xml:space="preserve">Водопровід від рятувальної до 
вул. Центральна (колишня Дзержинського)     </t>
  </si>
  <si>
    <t>85200, 
вул. К.Маркса</t>
  </si>
  <si>
    <t xml:space="preserve">Водопровід  від ст. Магдалинівка до 
вул. Карла Маркса       </t>
  </si>
  <si>
    <t>85200, 
вул. Одеська, вул. Соцмістечка</t>
  </si>
  <si>
    <t xml:space="preserve">Водопровід від ст. Магдалинівка до 165 кварталу    </t>
  </si>
  <si>
    <t>85200, 
вул. Треста</t>
  </si>
  <si>
    <t xml:space="preserve">Водопровід від СЕС до Треста                 </t>
  </si>
  <si>
    <t>85200, 
вул. Червоний Профінтерн</t>
  </si>
  <si>
    <t xml:space="preserve">Водопровід від СЕС по вул. Червоний Профінтерн          </t>
  </si>
  <si>
    <t>85200, 
вул. Дарвіна до вул. Руднична</t>
  </si>
  <si>
    <t xml:space="preserve">85200,
вул. Фабрична до вул. Історична </t>
  </si>
  <si>
    <t xml:space="preserve">Водопровід від вул. Фабрична 
(колишня Крупської) до вул. Історична (колишня Леніна)     </t>
  </si>
  <si>
    <t>85280,
вул. Нестеренка до вул. Дегтярьова</t>
  </si>
  <si>
    <t xml:space="preserve">Водопровід від вул. Нестеренка 
(колишня Р.Люксембург) до вул. Дегтярьова        </t>
  </si>
  <si>
    <t xml:space="preserve">85200,
вул. Торгова до вул. Руднична </t>
  </si>
  <si>
    <t xml:space="preserve">85200,
вул. Торгова </t>
  </si>
  <si>
    <t xml:space="preserve">Водопровід від вул. Торгова
 (колишня Комсомольська) до ремонтно-будівельного управління       </t>
  </si>
  <si>
    <t>85200,
вул. Кременчуцька</t>
  </si>
  <si>
    <t>85280,
вул. Кренкеля, вул. Юності</t>
  </si>
  <si>
    <t>85280,
вул. Кренкеля до Кольцова</t>
  </si>
  <si>
    <t>85200,
вул. Ломоносова до вул. Херсонська</t>
  </si>
  <si>
    <t>85200,
вул. Жовтнева до вул. Донбаська</t>
  </si>
  <si>
    <t>Водопровід від вул. Жовтнева до 
вул. Донбаська</t>
  </si>
  <si>
    <t>85200,
вул. Павлова до вул. Фестивальна</t>
  </si>
  <si>
    <t>Водопровід від вул. Павлова до 
вул. Фестивальна</t>
  </si>
  <si>
    <t>85290
вул. Панфілова</t>
  </si>
  <si>
    <t xml:space="preserve">Водопровід від вул. Панфілова                  </t>
  </si>
  <si>
    <t>85280,
вул. Партизанська до пров. Базарний</t>
  </si>
  <si>
    <t xml:space="preserve">Водопровід від вул. Партизанська до провулку Базарний     </t>
  </si>
  <si>
    <t xml:space="preserve">85280,
вул. Партизанська до вул. Павлова </t>
  </si>
  <si>
    <t xml:space="preserve">Водопровід від вул. Партизанська до 
вул. Павлова       </t>
  </si>
  <si>
    <t xml:space="preserve">85280
вул. Партизанська до вул. Шкільна </t>
  </si>
  <si>
    <t xml:space="preserve">Водопровід від вул. Партизанська до 
вул. Шкільна    </t>
  </si>
  <si>
    <t xml:space="preserve">85280,
вул. Напільна до вул. Базарна </t>
  </si>
  <si>
    <t xml:space="preserve">Водопровід від вул. Напільна до вул. Базарна  </t>
  </si>
  <si>
    <t xml:space="preserve">85280,
вул. Польова до Подільська </t>
  </si>
  <si>
    <t xml:space="preserve">Водопровід від вул. Польова до 
вул. Подольська       </t>
  </si>
  <si>
    <t>85290
вул. Потьомкіна до вул. Горіхова</t>
  </si>
  <si>
    <t>Водопровід від вул. Потьомкіна до
 вул. Горіхова (колишня Дзержинського)</t>
  </si>
  <si>
    <t xml:space="preserve"> 85200,
вул. Поштова до вул. Шевченка</t>
  </si>
  <si>
    <t>85200,
вул. Цвіточна до скверу</t>
  </si>
  <si>
    <t xml:space="preserve">Водопровід від вул. Квіткова
 (колишня Рози Люксембург) до скверу     </t>
  </si>
  <si>
    <t>85200,
вул. Визволителів Донбасу до дитячого садка</t>
  </si>
  <si>
    <t>Водопровід від вул. Визволителів Донбасу (колишня Радянська) до дитячого садка</t>
  </si>
  <si>
    <t xml:space="preserve">Водопровід від вул. Визволителів Донбасу (колишня Радянська) до с. Комсомол </t>
  </si>
  <si>
    <t xml:space="preserve">85200,
вул. Тимірязєва до вул. Соцмістечка </t>
  </si>
  <si>
    <t>Водопровід від вул. Тимірязєва до 
вул. Соцмістечка Ремонтно-Механічного Заводу</t>
  </si>
  <si>
    <t xml:space="preserve">85280,
вул. Руднична </t>
  </si>
  <si>
    <t xml:space="preserve">Водопровід від вул. Руднична
 (колишня Урицького)                   </t>
  </si>
  <si>
    <t>85200,
вул. Руднична до вул. Шахтарська</t>
  </si>
  <si>
    <t xml:space="preserve">Водопровід від вул. Руднична
 (колишня Урицького) до вул. Шахтарська (колишня Кірова)      </t>
  </si>
  <si>
    <t>85280,
вул. Шкільна до вул. К.Маркса</t>
  </si>
  <si>
    <t>85200,
вул. Шкільна до вул. Пушкіна</t>
  </si>
  <si>
    <t>85200,
вул. Героїв Праці до пров. Новий</t>
  </si>
  <si>
    <t xml:space="preserve">Водопровід від вул. Героїв Праці 
(колишня Щорса) до провулка Новий         </t>
  </si>
  <si>
    <t xml:space="preserve">Водопровід від фільтрувальної до водопровідної вежі        </t>
  </si>
  <si>
    <t xml:space="preserve">Водопровід від центральної лінії шахти «Південна»                   </t>
  </si>
  <si>
    <t>85200,
вул. Грушевського</t>
  </si>
  <si>
    <t xml:space="preserve">Водопровід від центральної лінії до 
вул. Грушевського (колишня Енгельса)    </t>
  </si>
  <si>
    <t>м. Торецьк,
 смт Південне</t>
  </si>
  <si>
    <t xml:space="preserve">Водопровід від шахти «Гагаріна» до 
вул. Полтавська      </t>
  </si>
  <si>
    <t>85290,
вул. Хмельницька вул. Ломоносова</t>
  </si>
  <si>
    <t xml:space="preserve">Водопровід від школи до 30, 43 кварталів до проспекту Піонерів    </t>
  </si>
  <si>
    <t>85290,
вул. Мирна</t>
  </si>
  <si>
    <t xml:space="preserve">Водопровід сел. Мирний </t>
  </si>
  <si>
    <t xml:space="preserve">Водопровід смт Петрівка                       </t>
  </si>
  <si>
    <t>85200,
вул. 1-й Проспект</t>
  </si>
  <si>
    <t xml:space="preserve">Водопровід по вул. 1 Проспект                   </t>
  </si>
  <si>
    <t>85200,
вул. Маяковського</t>
  </si>
  <si>
    <t xml:space="preserve">Водопровід до житлового будинку № 42 
вул. Маяковського       </t>
  </si>
  <si>
    <t>85200,
пров. Орловський</t>
  </si>
  <si>
    <t xml:space="preserve">Водопровід по провулку Орловський               </t>
  </si>
  <si>
    <t>85200,
пров. 1-й Гірний</t>
  </si>
  <si>
    <t xml:space="preserve">Водопровід по провулку 1 Гірний                 </t>
  </si>
  <si>
    <t>85200,
пров. Горняцький</t>
  </si>
  <si>
    <t xml:space="preserve">Водопровід по провулку Горняцький                </t>
  </si>
  <si>
    <t xml:space="preserve">Водопровід по провулку Демократичний (колишній Червоноармійський)          </t>
  </si>
  <si>
    <t>85200
пров. Свердлова</t>
  </si>
  <si>
    <t xml:space="preserve">Водопровід по провулку Свердлова                </t>
  </si>
  <si>
    <t>85200,
пров. Сєдова</t>
  </si>
  <si>
    <t xml:space="preserve">Водопровід по провулку Сєдова                   </t>
  </si>
  <si>
    <t>85200,
пров. Саратовський</t>
  </si>
  <si>
    <t xml:space="preserve">Водопровід по провулку Саратовський              </t>
  </si>
  <si>
    <t>м. Торецьк,
смт Новгородське</t>
  </si>
  <si>
    <t>85200,
пров. 1-й Театральний</t>
  </si>
  <si>
    <t xml:space="preserve">Водопровід  по провулку 1-й Театральний             </t>
  </si>
  <si>
    <t>85200,
пров. 2-й Травневий</t>
  </si>
  <si>
    <t xml:space="preserve">Водопровід по провулку 2-й Травневий                </t>
  </si>
  <si>
    <t>85200, 
пров. 2-й Гірний</t>
  </si>
  <si>
    <t xml:space="preserve">Водопровід по провулку 2-й Гірний                  </t>
  </si>
  <si>
    <t>85200,
пров. 2-й Театральний</t>
  </si>
  <si>
    <t xml:space="preserve">Водопровід по провулку 2 Театральний              </t>
  </si>
  <si>
    <t>85200,
пров. Волжський</t>
  </si>
  <si>
    <t xml:space="preserve">Водопровід по провулку Волжському                 </t>
  </si>
  <si>
    <t>85200,
пров. Донецький</t>
  </si>
  <si>
    <t xml:space="preserve">Водопровід по провулку Донецький                  </t>
  </si>
  <si>
    <t>85200,
пров. Дорожній</t>
  </si>
  <si>
    <t xml:space="preserve">Водопровід по провулку Дорожньому                 </t>
  </si>
  <si>
    <t>85200,
пров. Залізничний</t>
  </si>
  <si>
    <t xml:space="preserve">Водопровід по провулку Залізничний          </t>
  </si>
  <si>
    <t xml:space="preserve">Водопровід по провулку Іванівський, 
вул. Коксова         </t>
  </si>
  <si>
    <t>85200,
пров. Іванівський</t>
  </si>
  <si>
    <t xml:space="preserve">Водопровід по провулку Іванівський               </t>
  </si>
  <si>
    <t>85200,
пров. Луганський</t>
  </si>
  <si>
    <t xml:space="preserve">Водопровід по провулку Луганський               </t>
  </si>
  <si>
    <t>85200,
пров. Магнітогорський</t>
  </si>
  <si>
    <t xml:space="preserve">Водопровід по провулку Магнітогорський            </t>
  </si>
  <si>
    <t>85200,
пров. Новий</t>
  </si>
  <si>
    <t xml:space="preserve">Водопровід по провулку Новий                    </t>
  </si>
  <si>
    <t>85200,
пров. Павлова</t>
  </si>
  <si>
    <t xml:space="preserve">Водопровід по провулку Павлова                   </t>
  </si>
  <si>
    <t>85200,
пров. Покришкіна</t>
  </si>
  <si>
    <t xml:space="preserve">Водопровід по провулку Покришкіна                </t>
  </si>
  <si>
    <t>85200,
пров. Рязанський</t>
  </si>
  <si>
    <t xml:space="preserve">Водопровід по провулку Рязанський                 </t>
  </si>
  <si>
    <t xml:space="preserve">85200,
просп. Шахтарів </t>
  </si>
  <si>
    <t>85200,
пров. Смирнова</t>
  </si>
  <si>
    <t xml:space="preserve">Водопровід по провулку Смирнова                  </t>
  </si>
  <si>
    <t>85200,
пров. Фінський</t>
  </si>
  <si>
    <t xml:space="preserve">Водопровід по провулку Фінський                   </t>
  </si>
  <si>
    <t>85200,
пров. Целінський</t>
  </si>
  <si>
    <t xml:space="preserve">Водопровід по провулку Целінський               </t>
  </si>
  <si>
    <t>85200,
пров. Шевченка</t>
  </si>
  <si>
    <t xml:space="preserve">Водопровід по провулку Шевченка                  </t>
  </si>
  <si>
    <t>85200,
вул. Соцмістечко</t>
  </si>
  <si>
    <t xml:space="preserve">Водопровід по соцмістечку до шахти «Південна»           </t>
  </si>
  <si>
    <t>85200,
вул. Матросова</t>
  </si>
  <si>
    <t xml:space="preserve">Водопровід по вул. Матросова                  </t>
  </si>
  <si>
    <t xml:space="preserve">Водопровід по вул. Маяковського до житлового будинку № 10         </t>
  </si>
  <si>
    <t>85200,
вул. Миру</t>
  </si>
  <si>
    <t xml:space="preserve">Водопровід по вул. Миру                       </t>
  </si>
  <si>
    <t>85200,
вул. Продольна</t>
  </si>
  <si>
    <t xml:space="preserve">Водопровід по вул. Продольна                 </t>
  </si>
  <si>
    <t xml:space="preserve">85200,
вул. Дружби </t>
  </si>
  <si>
    <t xml:space="preserve">Водопровід по вул. Дружби
 (колишня 50 років Жовтня) до Адміністративно-побутового комбінату      </t>
  </si>
  <si>
    <t>85200,
вул. 8 Березня</t>
  </si>
  <si>
    <t xml:space="preserve">Водопровід по вул. 8 Березня                   </t>
  </si>
  <si>
    <t>85200,
вул. 9 Січня</t>
  </si>
  <si>
    <t xml:space="preserve">Водопровід по вул. 9 Січня                  </t>
  </si>
  <si>
    <t>85200,
вул. Айвазовського</t>
  </si>
  <si>
    <t xml:space="preserve">Водопровід по вул. Айвазовського              </t>
  </si>
  <si>
    <t>85200,
вул. Бетховена</t>
  </si>
  <si>
    <t xml:space="preserve">Водопровід по вул. Бетховена                 </t>
  </si>
  <si>
    <t>85200,
вул. Волинська</t>
  </si>
  <si>
    <t xml:space="preserve">Водопровід по вул. Волинська                </t>
  </si>
  <si>
    <t>85200,
вул. Декабристів</t>
  </si>
  <si>
    <t xml:space="preserve">Водопровід по вул. Декабристів               </t>
  </si>
  <si>
    <t>85200, 
вул. Запорізька</t>
  </si>
  <si>
    <t xml:space="preserve">Водопровід по вул. Запорізька              </t>
  </si>
  <si>
    <t>85200,
вул. Торецька, вул. Коксова</t>
  </si>
  <si>
    <t xml:space="preserve">Водопровід по вул. Торецька
 (колишня Клари Цеткін), вул. Коксова        </t>
  </si>
  <si>
    <t xml:space="preserve">Водопровід по вул. Лесі Українки
 (колишня Кірова)                    </t>
  </si>
  <si>
    <t>85200,
вул. Берегова</t>
  </si>
  <si>
    <t xml:space="preserve">Водопровід по вул. Берегова
 (колишня Комсомольська)             </t>
  </si>
  <si>
    <t>85290,
вул. Кутузова</t>
  </si>
  <si>
    <t xml:space="preserve">Водопровід по вул. Кутузова                  </t>
  </si>
  <si>
    <t xml:space="preserve">Водопровід по вул. Маяковського               </t>
  </si>
  <si>
    <t xml:space="preserve">85200,
вул. Славна </t>
  </si>
  <si>
    <t xml:space="preserve">Водопровід по вул. Славна
 (колишня Піонерська)               </t>
  </si>
  <si>
    <t xml:space="preserve">85200,
вул. Польова  </t>
  </si>
  <si>
    <t xml:space="preserve">Водопровід по вул. Польова                   </t>
  </si>
  <si>
    <t>85200, 
вул. Попова</t>
  </si>
  <si>
    <t xml:space="preserve">Водопровід по вул. Попова                    </t>
  </si>
  <si>
    <t>85200,
просп. Шахтарів, вул. ІТР</t>
  </si>
  <si>
    <t xml:space="preserve">Водопровід від проспекта Шахтарів
 (колишня Свердлова) до вул. ІТР       </t>
  </si>
  <si>
    <t xml:space="preserve">85290,
вул. Київська </t>
  </si>
  <si>
    <t xml:space="preserve">Водопровід по вул. Київська 
(колишня Радянська)                 </t>
  </si>
  <si>
    <t>85290,
вул. Суворова</t>
  </si>
  <si>
    <t xml:space="preserve">Водопровід по вул. Суворова                  </t>
  </si>
  <si>
    <t xml:space="preserve">85200,
вул. Тимирязева  </t>
  </si>
  <si>
    <t xml:space="preserve">Водопровід по вул. Тимірязєва                </t>
  </si>
  <si>
    <t>85290,
вул. Харківська</t>
  </si>
  <si>
    <t xml:space="preserve">Водопровід по вул. Харківська               </t>
  </si>
  <si>
    <t>85200,
вул. Харківська</t>
  </si>
  <si>
    <t>85200, 
вул. Будівельників</t>
  </si>
  <si>
    <t xml:space="preserve">Водопровід по вул. Будівельників
 (колишня ХХ Партз'їзду)             </t>
  </si>
  <si>
    <t xml:space="preserve">85293,
вул. Островського </t>
  </si>
  <si>
    <t xml:space="preserve">Водопровід по вул. Островського              </t>
  </si>
  <si>
    <t>м. Торецьк,
смт Південне</t>
  </si>
  <si>
    <t>85293,
вул. Чернишевського до вул. Харківська</t>
  </si>
  <si>
    <t>Водопровід по вул. Чернишевського до 
вул. Харківська</t>
  </si>
  <si>
    <t xml:space="preserve">85200,
вул. Чубенко </t>
  </si>
  <si>
    <t xml:space="preserve">Водопровід по вул. Чубенко                   </t>
  </si>
  <si>
    <t xml:space="preserve">85200,
вул. 12 грудня  </t>
  </si>
  <si>
    <t xml:space="preserve">Водопровід по вул. 12 грудня                 </t>
  </si>
  <si>
    <t>85200
вул. Саманна</t>
  </si>
  <si>
    <t xml:space="preserve">Водопровід по вул. Саманна
 (колишня 3-го Інтернаціоналу) </t>
  </si>
  <si>
    <t>85200,
вул. 8 березня</t>
  </si>
  <si>
    <t>85293,
вул. Амурська</t>
  </si>
  <si>
    <t xml:space="preserve">Водопровід по вул. Амурська                   </t>
  </si>
  <si>
    <t xml:space="preserve">85200,
вул. Соборна </t>
  </si>
  <si>
    <t xml:space="preserve">Водопровід по вул. Соборна 
(колишня Артема)                     </t>
  </si>
  <si>
    <t>м. Торецьк,
 смт Щербинівка</t>
  </si>
  <si>
    <t xml:space="preserve">85200,
вул. Привокзальна </t>
  </si>
  <si>
    <t xml:space="preserve">Водопровід по вул. Привокзальна
 (колишня Артема)                     </t>
  </si>
  <si>
    <t>85200,
вул. Гулака Артемовського</t>
  </si>
  <si>
    <t xml:space="preserve">Водопровід по вул. Гулака Артемовського               </t>
  </si>
  <si>
    <t xml:space="preserve">85200, 
вул. Астраханська </t>
  </si>
  <si>
    <t xml:space="preserve">Водопровід по вул. Астраханська               </t>
  </si>
  <si>
    <t>85200,
пров. Базарний</t>
  </si>
  <si>
    <t xml:space="preserve">Водопровід по провулку Базарному                  </t>
  </si>
  <si>
    <t>85200,
вул. Незалежності</t>
  </si>
  <si>
    <t xml:space="preserve">Водопровід по вул. Незалежності
 (колишня Баумана)                    </t>
  </si>
  <si>
    <t>85200,
вул. Бєлгородська</t>
  </si>
  <si>
    <t xml:space="preserve">Водопровід по вул. Белгородська               </t>
  </si>
  <si>
    <t xml:space="preserve">85200,
вул. Бєлінського </t>
  </si>
  <si>
    <t xml:space="preserve">Водопровід по вул. Бєлінського                 </t>
  </si>
  <si>
    <t>85200,
вул. Білоруська</t>
  </si>
  <si>
    <t xml:space="preserve">Водопровід по вул. Білоруська                </t>
  </si>
  <si>
    <t>85200,
вул. Бєлякова</t>
  </si>
  <si>
    <t xml:space="preserve">Водопровід по вул. Бєлякова                   </t>
  </si>
  <si>
    <t>85200,
вул. Центральна</t>
  </si>
  <si>
    <t xml:space="preserve">Водопровід  від вул. Лікарняна до Будівельного управління № 6         </t>
  </si>
  <si>
    <t>85200,
вул. Братська</t>
  </si>
  <si>
    <t xml:space="preserve">Водопровід по вул. Братська                 </t>
  </si>
  <si>
    <t xml:space="preserve">Водопровід по вул. Васнєцова                  </t>
  </si>
  <si>
    <t>85200,
вул. Довженка</t>
  </si>
  <si>
    <t xml:space="preserve">Водопровід по вул. Довженка 
(колишня Ватутіна)                   </t>
  </si>
  <si>
    <t>85200,
вул. Верхня</t>
  </si>
  <si>
    <t xml:space="preserve">Водопровід по вул. Верхня                    </t>
  </si>
  <si>
    <t>85200,
вул. Володимирська</t>
  </si>
  <si>
    <t xml:space="preserve">Водопровід по вул. Володимирська              </t>
  </si>
  <si>
    <t>85200, 
вул. Вологодська</t>
  </si>
  <si>
    <t xml:space="preserve">Водопровід по вул. Вологодська                </t>
  </si>
  <si>
    <t>м. Торецьк,
смт Петрівка</t>
  </si>
  <si>
    <t>85200, 
вул. Воровського</t>
  </si>
  <si>
    <t xml:space="preserve">Водопровід по вул. Воровського                 </t>
  </si>
  <si>
    <t>85200, 
вул. Воронежська</t>
  </si>
  <si>
    <t xml:space="preserve">Водопровід по вул. Воронежська                </t>
  </si>
  <si>
    <t>85200, 
вул. Герцена</t>
  </si>
  <si>
    <t xml:space="preserve">Водопровід по вул. Герцена                    </t>
  </si>
  <si>
    <t>85200, 
вул. Глінки</t>
  </si>
  <si>
    <t xml:space="preserve">Водопровід по вул. Глінки                     </t>
  </si>
  <si>
    <t>85200, 
вул. Гоголя</t>
  </si>
  <si>
    <t xml:space="preserve">Водопровід по вул. Гоголя                     </t>
  </si>
  <si>
    <t>85290, 
вул. Гірняцька</t>
  </si>
  <si>
    <t xml:space="preserve">Водопровід по вул. Гірняцька                  </t>
  </si>
  <si>
    <t>85200, 
вул. Гірняцька</t>
  </si>
  <si>
    <t xml:space="preserve">85290, 
вул. Горького </t>
  </si>
  <si>
    <t xml:space="preserve">Водопровід по вул. Горького                   </t>
  </si>
  <si>
    <t xml:space="preserve">85200, 
вул. Горького </t>
  </si>
  <si>
    <t>85200, 
вул. Грибоєдова</t>
  </si>
  <si>
    <t xml:space="preserve">Водопровід по вул. Грибоєдова                 </t>
  </si>
  <si>
    <t>85200, 
вул. Гризодубова</t>
  </si>
  <si>
    <t xml:space="preserve">Водопровід по вул. Гризодубова                </t>
  </si>
  <si>
    <t xml:space="preserve">Водопровід по вул. Дарвіна                    </t>
  </si>
  <si>
    <t xml:space="preserve">85290, 
вул. Декабристів </t>
  </si>
  <si>
    <t xml:space="preserve">Водопровід по вул. Декабристів                </t>
  </si>
  <si>
    <t>85200, 
 вул. Центральна до вул. Червона</t>
  </si>
  <si>
    <t xml:space="preserve">Водопровід від вул. Центральна
 (колишня Дзержинського) до вул. Червона     </t>
  </si>
  <si>
    <t>85200, 
вул. Даргомижського</t>
  </si>
  <si>
    <t xml:space="preserve">Водопровід по вул. Даргомижського               </t>
  </si>
  <si>
    <t xml:space="preserve">Водопровід по вул. Центральна
 (колишня Дзержинського)               </t>
  </si>
  <si>
    <t xml:space="preserve">Водопровід по вул. Центральна 
(колишня Дзержинського)               </t>
  </si>
  <si>
    <t>85200, 
вул. Доватора</t>
  </si>
  <si>
    <t xml:space="preserve">Водопровід по вул. Доватора                   </t>
  </si>
  <si>
    <t>85200, 
вул. Донецька</t>
  </si>
  <si>
    <t xml:space="preserve">Водопровід по вул. Донецька                 </t>
  </si>
  <si>
    <t>85200, 
вул. Достоєвського</t>
  </si>
  <si>
    <t xml:space="preserve">Водопровід по вул. Достоєвського               </t>
  </si>
  <si>
    <t xml:space="preserve">85200, 
вул. Дружба </t>
  </si>
  <si>
    <t xml:space="preserve">Водопровід по вул. Дружба                     </t>
  </si>
  <si>
    <t>85200, 
вул. Дубова</t>
  </si>
  <si>
    <t xml:space="preserve">Водопровід по вул. Дубова                   </t>
  </si>
  <si>
    <t>85200,
 вул. Жданова</t>
  </si>
  <si>
    <t xml:space="preserve">Водопровід по вул. Жданова                    </t>
  </si>
  <si>
    <t>85290, 
вул. Залізнична</t>
  </si>
  <si>
    <t xml:space="preserve">Водопровід по вул. Залізнична            </t>
  </si>
  <si>
    <t>85200, 
вул. Залізнична</t>
  </si>
  <si>
    <t>85200, 
вул. Житомирська, вул. Коксова</t>
  </si>
  <si>
    <t xml:space="preserve">Водопровід по вул. Житомирська, 
вул. Коксова       </t>
  </si>
  <si>
    <t>85200, 
вул. З.Космодем'янської</t>
  </si>
  <si>
    <t xml:space="preserve">Водопровід  по вул. Зої Космодем'янської          </t>
  </si>
  <si>
    <t xml:space="preserve">85200, 
вул. Заводська, вул. Коксова </t>
  </si>
  <si>
    <t xml:space="preserve">Водопровід по вул. Заводська, вул. Коксова         </t>
  </si>
  <si>
    <t xml:space="preserve">м. Торець,
м. Залізне </t>
  </si>
  <si>
    <t>85290, 
вул. Загірна</t>
  </si>
  <si>
    <t xml:space="preserve">Водопровід по вул. Загірна                   </t>
  </si>
  <si>
    <t xml:space="preserve">Водопровід по вул. Запорізька                </t>
  </si>
  <si>
    <t>85200, 
вул. Запорізька, вул. Пилипенка</t>
  </si>
  <si>
    <t xml:space="preserve">Водопровід по вул. Запорізька до 
вул. Пилипенка (колишня Тельмана)                </t>
  </si>
  <si>
    <t xml:space="preserve">м. Торецьк,
 с. Південний </t>
  </si>
  <si>
    <t>85200, 
вул. Зарічна</t>
  </si>
  <si>
    <t xml:space="preserve">Водопровід по вул. Зарічна                   </t>
  </si>
  <si>
    <t xml:space="preserve"> 85290, 
вул. Зелена </t>
  </si>
  <si>
    <t xml:space="preserve">Водопровід по вул. Зелена                    </t>
  </si>
  <si>
    <t xml:space="preserve">85200, 
вул. І.Франко </t>
  </si>
  <si>
    <t xml:space="preserve">Водопровід по вул. Івана Франко                   </t>
  </si>
  <si>
    <t>85200, 
вул. Індивідуальна</t>
  </si>
  <si>
    <t xml:space="preserve">Водопровід по вул. Індивідуальна             </t>
  </si>
  <si>
    <t xml:space="preserve">85200, 
вул. В.Інтернаціоналістів </t>
  </si>
  <si>
    <t xml:space="preserve">Водопровід по вул. Інтернаціональна
 смт Щербинівка      </t>
  </si>
  <si>
    <t>85200, 
вул. Іркутська</t>
  </si>
  <si>
    <t xml:space="preserve">Водопровід по вул. Іркутська                  </t>
  </si>
  <si>
    <t xml:space="preserve">85200, 
вул. Різдвяна </t>
  </si>
  <si>
    <t>85200, 
вул. Різдвяна</t>
  </si>
  <si>
    <t>85200,
 вул. Григорія Сковороди</t>
  </si>
  <si>
    <t xml:space="preserve">Водопровід по вул. Григорія Сковороди (колишня Карла Маркса)                   </t>
  </si>
  <si>
    <t>м. Торець,
 смт Петрівка</t>
  </si>
  <si>
    <t xml:space="preserve">85200, 
вул. Карла Маркса </t>
  </si>
  <si>
    <t xml:space="preserve">Водопровід по вул. Карла Маркса                   </t>
  </si>
  <si>
    <t>85200, 
вул. Казанська</t>
  </si>
  <si>
    <t xml:space="preserve">Водопровід по вул. Казанська                  </t>
  </si>
  <si>
    <t xml:space="preserve">85200, 
вул. Горіхова </t>
  </si>
  <si>
    <t xml:space="preserve">Водопровід по вул. Горіхова
 (колишня Калініна)                   </t>
  </si>
  <si>
    <t>85200, 
вул. Калинова</t>
  </si>
  <si>
    <t xml:space="preserve">Водопровід по вул. Калинова
 (колишня Калініна)                   </t>
  </si>
  <si>
    <t xml:space="preserve">85200, 
вул. Гамаюна </t>
  </si>
  <si>
    <t xml:space="preserve">Водопровід по вул. Гамаюна
 (колишня Калінінградська)            </t>
  </si>
  <si>
    <t>85200, 
вул. Калужська</t>
  </si>
  <si>
    <t xml:space="preserve">Водопровід по вул. Калужська                  </t>
  </si>
  <si>
    <t>85290, 
вул. Каспійська</t>
  </si>
  <si>
    <t xml:space="preserve">Водопровід по вул. Каспійська                 </t>
  </si>
  <si>
    <t>85290, 
вул. Качалова</t>
  </si>
  <si>
    <t xml:space="preserve">Водопровід по вул. Качалова                   </t>
  </si>
  <si>
    <t>85200, 
вул. Качалова</t>
  </si>
  <si>
    <t>85200,
 вул. Качалова до вул. Віктора Якушина</t>
  </si>
  <si>
    <t>85200, 
вул. Київська</t>
  </si>
  <si>
    <t xml:space="preserve">Водопровід по вул. Київська                 </t>
  </si>
  <si>
    <t>85200, 
вул. Раєвського</t>
  </si>
  <si>
    <t xml:space="preserve">Водопровід по вул. Раєвського         </t>
  </si>
  <si>
    <t xml:space="preserve">Водопровід по вул. Київська                  </t>
  </si>
  <si>
    <t xml:space="preserve">85200, 
вул. Вишнева </t>
  </si>
  <si>
    <t xml:space="preserve">Водопровід по вул. Вишнева (колишня Кірова)                     </t>
  </si>
  <si>
    <t xml:space="preserve">м. Торець,
 м. Залізне </t>
  </si>
  <si>
    <t xml:space="preserve">85290,
вул. Хмельницька, вул. Травнева </t>
  </si>
  <si>
    <t xml:space="preserve">Водопровід по вул. Хмельницька 
(колишня Кірова) і вул. Травнева
 (колишня Першотравнева)         </t>
  </si>
  <si>
    <t>85200, 
вул. Клименко</t>
  </si>
  <si>
    <t xml:space="preserve">Водопровід по вул. Клименка          </t>
  </si>
  <si>
    <t>85200, 
вул. Коксова</t>
  </si>
  <si>
    <t xml:space="preserve">Водопровід по вул. Коксова      </t>
  </si>
  <si>
    <t>85200, 
вул. Гужви</t>
  </si>
  <si>
    <t xml:space="preserve">Водопровід по вул. Гужви
 (колишня Колгоспна)                  </t>
  </si>
  <si>
    <t xml:space="preserve">85200, 
вул. Колгоспна </t>
  </si>
  <si>
    <t xml:space="preserve">85200, 
вул. Кольцова </t>
  </si>
  <si>
    <t xml:space="preserve">Водопровід по вул. Кольцова                   </t>
  </si>
  <si>
    <t>85290, 
вул. Комарова</t>
  </si>
  <si>
    <t xml:space="preserve">Водопровід по вул. Комарова                   </t>
  </si>
  <si>
    <t>85200, 
вул. Комарова</t>
  </si>
  <si>
    <t>85200, 
вул. Родникова</t>
  </si>
  <si>
    <t xml:space="preserve">Водопровід по вул. Родникова 
(колишня Комсомольська)              </t>
  </si>
  <si>
    <t>85200, 
вул. Торгова</t>
  </si>
  <si>
    <t xml:space="preserve">Водопровід по вул. Торгова
 (колишня Комсомольська)              </t>
  </si>
  <si>
    <t>85200,
 вул. Конституції</t>
  </si>
  <si>
    <t xml:space="preserve">Водопровід по вул. Конституції                </t>
  </si>
  <si>
    <t>85290, 
вул. Конторська</t>
  </si>
  <si>
    <t xml:space="preserve">Водопровід по вул. Конторська                 </t>
  </si>
  <si>
    <t xml:space="preserve">85200,
 вул. Кооперативна до вул. Литвинова </t>
  </si>
  <si>
    <t xml:space="preserve">Водопровід по вул. Кооперативна до
 вул. Литвинова         </t>
  </si>
  <si>
    <t>85200, 
вул. Короленка</t>
  </si>
  <si>
    <t xml:space="preserve">Водопровід по вул. Короленка                  </t>
  </si>
  <si>
    <t>85290, 
вул. Мінська</t>
  </si>
  <si>
    <t xml:space="preserve">Водопровід по вул. Мінська
 (колишня Корчагіна)                  </t>
  </si>
  <si>
    <t>85200, 
вул. Світла</t>
  </si>
  <si>
    <t xml:space="preserve">Водопровід по вул. Світла
(колишня Корчагіна)                  </t>
  </si>
  <si>
    <t xml:space="preserve">85200, 
вул. Космонавтів </t>
  </si>
  <si>
    <t xml:space="preserve">Водопровід по вул. Космонавтів                </t>
  </si>
  <si>
    <t>85200, 
вул. Костромська</t>
  </si>
  <si>
    <t xml:space="preserve">Водопровід по вул. Костромська                </t>
  </si>
  <si>
    <t xml:space="preserve">85200, 
вул. Гірська </t>
  </si>
  <si>
    <t xml:space="preserve">Водопровід по вул. Гірська
 (колишня Котовського)                 </t>
  </si>
  <si>
    <t xml:space="preserve">85200, 
вул. Кочубея  </t>
  </si>
  <si>
    <t xml:space="preserve">Водопровід по вул. Кочубея                    </t>
  </si>
  <si>
    <t>85290, 
вул. О.Кошевого</t>
  </si>
  <si>
    <t xml:space="preserve">85200, 
вул. Догаєва </t>
  </si>
  <si>
    <t xml:space="preserve">Водопровід по вул. Догаєва
 (колишня Красіна)                    </t>
  </si>
  <si>
    <t>85200, 
вул. Широка</t>
  </si>
  <si>
    <t xml:space="preserve">Водопровід по вул. Широка
 (колишня Червоноармійська)            </t>
  </si>
  <si>
    <t xml:space="preserve">85200, 
вул. Краснодарська  </t>
  </si>
  <si>
    <t xml:space="preserve">Водопровід по вул. Краснодарська              </t>
  </si>
  <si>
    <t>85200, 
вул. Червонодонська</t>
  </si>
  <si>
    <t xml:space="preserve">Водопровід по вул. Червонодонська              </t>
  </si>
  <si>
    <t>85200,
вул. Червоноярська</t>
  </si>
  <si>
    <t xml:space="preserve">Водопровід по вул. Червоноярська               </t>
  </si>
  <si>
    <t>85200,
вул. Фабрична</t>
  </si>
  <si>
    <t xml:space="preserve">Водопровід по вул. Фабрична 
(колишня Крупської)                   </t>
  </si>
  <si>
    <t>85200, 
вул. Кримська</t>
  </si>
  <si>
    <t xml:space="preserve">Водопровід по вул. Кримська                   </t>
  </si>
  <si>
    <t xml:space="preserve">85200, 
вул. Кубанська  </t>
  </si>
  <si>
    <t xml:space="preserve">Водопровід по вул. Кубанська                  </t>
  </si>
  <si>
    <t xml:space="preserve">85290, 
вул. Кутузова </t>
  </si>
  <si>
    <t xml:space="preserve">Водопровід по вул. Кутузова                   </t>
  </si>
  <si>
    <t xml:space="preserve">85200, 
вул. Кутузова </t>
  </si>
  <si>
    <t>85200, 
вул. Л. Чайкіної</t>
  </si>
  <si>
    <t xml:space="preserve">Водопровід по вул. Лізи Чайкіної                 </t>
  </si>
  <si>
    <t xml:space="preserve">85200, 
вул. Леваневського </t>
  </si>
  <si>
    <t xml:space="preserve">Водопровід по вул. Леваневського               </t>
  </si>
  <si>
    <t xml:space="preserve">85200,
 вул. Левицького </t>
  </si>
  <si>
    <t xml:space="preserve">Водопровід по вул. Левицького                  </t>
  </si>
  <si>
    <t xml:space="preserve">85200, 
вул. Історична </t>
  </si>
  <si>
    <t xml:space="preserve">Водопровід по вул. Історична 
(колишня Леніна)                     </t>
  </si>
  <si>
    <t>вул. Історична</t>
  </si>
  <si>
    <t xml:space="preserve">Водопровід по вул. Історична
 (колишня Леніна)                     </t>
  </si>
  <si>
    <t>м. Торець, 
смт Щербинівка</t>
  </si>
  <si>
    <t>85200,
вул. Зарічна</t>
  </si>
  <si>
    <t xml:space="preserve">Водопровід по вул. Зарічна (колишня Леніна) смт Щербинівка      </t>
  </si>
  <si>
    <t>85200, 
вул. Лермонтова</t>
  </si>
  <si>
    <t xml:space="preserve">Водопровід по вул. Лермонтова                 </t>
  </si>
  <si>
    <t xml:space="preserve">Водопровід по вул. Лермонтова                </t>
  </si>
  <si>
    <t>м. Торець</t>
  </si>
  <si>
    <t>85200,
вул. Ломоносова</t>
  </si>
  <si>
    <t xml:space="preserve">Водопровід по вул. Ломоносова                 </t>
  </si>
  <si>
    <t xml:space="preserve">85200, 
вул. Луганська </t>
  </si>
  <si>
    <t xml:space="preserve">Водопровід по вул. Луганська                  </t>
  </si>
  <si>
    <t>м. Торець, 
смт Північне</t>
  </si>
  <si>
    <t>85200, 
вул. Луначарського</t>
  </si>
  <si>
    <t xml:space="preserve">Водопровід по вул. Луначарського               </t>
  </si>
  <si>
    <t>85200, 
вул. Львівська</t>
  </si>
  <si>
    <t xml:space="preserve">Водопровід по вул. Львівська                  </t>
  </si>
  <si>
    <t>85200, 
вул. Магдалинівська</t>
  </si>
  <si>
    <t xml:space="preserve">Водопровід по вул. Магдалинівська                 </t>
  </si>
  <si>
    <t>85200, 
вул. Матросова</t>
  </si>
  <si>
    <t>85290,
вул. Маяковського</t>
  </si>
  <si>
    <t>85200, 
вул. Московська</t>
  </si>
  <si>
    <t xml:space="preserve">Водопровід по вул. Московська                </t>
  </si>
  <si>
    <t xml:space="preserve">85200,
 вул. Миролюбівська </t>
  </si>
  <si>
    <t xml:space="preserve">Водопровід по вул. Миролюбівська
 (колишня Маяковського)                </t>
  </si>
  <si>
    <t xml:space="preserve">85200, 
вул. Маяковського, 42  </t>
  </si>
  <si>
    <t xml:space="preserve">Водопровід до житлового будинку по 
вул. Маяковського 42               </t>
  </si>
  <si>
    <t>85200, 
вул. Миру</t>
  </si>
  <si>
    <t>85200,
вул. Миргородська</t>
  </si>
  <si>
    <t xml:space="preserve">Водопровід по вул. Миргородська               </t>
  </si>
  <si>
    <t xml:space="preserve">85290,
вул. Мирна </t>
  </si>
  <si>
    <t xml:space="preserve">Водопровід по вул. Мирна                     </t>
  </si>
  <si>
    <t xml:space="preserve">85280,
вул. Мічуріна </t>
  </si>
  <si>
    <t xml:space="preserve">Водопровід по вул. Мічуріна                   </t>
  </si>
  <si>
    <t xml:space="preserve">85290,
вул. Мічурина </t>
  </si>
  <si>
    <t>85200,
вул. Молода Гвардія</t>
  </si>
  <si>
    <t xml:space="preserve">Водопровід по вул. Молода Гвардія            </t>
  </si>
  <si>
    <t>85200,
вул. Молодіжна</t>
  </si>
  <si>
    <t xml:space="preserve">Водопровід по вул. Молодіжна                 </t>
  </si>
  <si>
    <t>85200, 
вул. Молодіжна, вул. Фестивальна</t>
  </si>
  <si>
    <t xml:space="preserve">Водопровід по вул. Молодіжна,
 вул. Фестивальна   </t>
  </si>
  <si>
    <t>85200, 
вул. Набережна</t>
  </si>
  <si>
    <t xml:space="preserve">Водопровід по вул. Набережна                 </t>
  </si>
  <si>
    <t>85200,
 вул. Нахімова</t>
  </si>
  <si>
    <t xml:space="preserve">Водопровід по вул. Нахімова                   </t>
  </si>
  <si>
    <t xml:space="preserve">85200, 
вул. Нижня  </t>
  </si>
  <si>
    <t xml:space="preserve">Водопровід по вул. Нижня                     </t>
  </si>
  <si>
    <t>м .Торецьк</t>
  </si>
  <si>
    <t>85200, 
вул. Миколаївська</t>
  </si>
  <si>
    <t xml:space="preserve">Водопровід по вул. Миколаївська                 </t>
  </si>
  <si>
    <t>85200, 
вул. Нова</t>
  </si>
  <si>
    <t xml:space="preserve">Водопровід по вул. Нова                      </t>
  </si>
  <si>
    <t xml:space="preserve">85200, 
вул. Новоросійська </t>
  </si>
  <si>
    <t xml:space="preserve">Водопровід по вул. Новоросійська                  </t>
  </si>
  <si>
    <t>140,6,</t>
  </si>
  <si>
    <t>85200, 
вул. О.Кошового</t>
  </si>
  <si>
    <t xml:space="preserve">85200, 
вул. Одеська </t>
  </si>
  <si>
    <t xml:space="preserve">Водопровід по вул. Одеська                   </t>
  </si>
  <si>
    <t xml:space="preserve">85200, 
вул. Жовтнева </t>
  </si>
  <si>
    <t xml:space="preserve">Водопровід по вул. Жовтнева                </t>
  </si>
  <si>
    <t xml:space="preserve">Водопровід по вул. Світла 
(колишня Жовтнева) 4               </t>
  </si>
  <si>
    <t xml:space="preserve">Водопровід по вул. Світла
 (колишня Жовтнева)               </t>
  </si>
  <si>
    <t>85200, 
вул. Онезька</t>
  </si>
  <si>
    <t xml:space="preserve">Водопровід по вул. Онезька                   </t>
  </si>
  <si>
    <t>85200, 
вул. Оренбурзька</t>
  </si>
  <si>
    <t xml:space="preserve">Водопровід по вул. Оренбурзька               </t>
  </si>
  <si>
    <t xml:space="preserve">85280, 
вул. Осипенка  </t>
  </si>
  <si>
    <t xml:space="preserve">Водопровід по вул. Осипенка                   </t>
  </si>
  <si>
    <t>85200, 
вул. Островського</t>
  </si>
  <si>
    <t xml:space="preserve">Водопровід по вул. Островського                </t>
  </si>
  <si>
    <t>85290, 
вул. Папаніна</t>
  </si>
  <si>
    <t xml:space="preserve">Водопровід по вул. Папаніна                   </t>
  </si>
  <si>
    <t xml:space="preserve">Водопровід по вул. Партизанська
 смт Щербинівка      </t>
  </si>
  <si>
    <t>85280, 
вул. Партизанська</t>
  </si>
  <si>
    <t xml:space="preserve">Водопровід по вул. Партизанська       </t>
  </si>
  <si>
    <t xml:space="preserve">85200, 
вул. Софійська </t>
  </si>
  <si>
    <t xml:space="preserve">Водопровід по вул. Софійська 
(колишня Паризька комуна)                 </t>
  </si>
  <si>
    <t xml:space="preserve">85280, 
вул. Народна </t>
  </si>
  <si>
    <t xml:space="preserve">Водопровід по вул. Народна
 (колишня Пархоменка)                 </t>
  </si>
  <si>
    <t>вул. Володіна</t>
  </si>
  <si>
    <t xml:space="preserve">Водопровід по вул. Володіна
 (колишня Пархоменко)                 </t>
  </si>
  <si>
    <t xml:space="preserve">Водопровід по вул. Першотравнева          </t>
  </si>
  <si>
    <t>м. Торецьк 
смт Новгородське</t>
  </si>
  <si>
    <t xml:space="preserve">Водопровід по вул. Першотравнева               </t>
  </si>
  <si>
    <t>85290, 
вул. Пісочна</t>
  </si>
  <si>
    <t xml:space="preserve">Водопровід по вул. Пісочна                   </t>
  </si>
  <si>
    <t>85200, 
вул. Петровська</t>
  </si>
  <si>
    <t xml:space="preserve">Водопровід по вул. Петровська                 </t>
  </si>
  <si>
    <t>м. Торецьк 
м. Залізне</t>
  </si>
  <si>
    <t>85290, 
вул. Піонерів</t>
  </si>
  <si>
    <t xml:space="preserve">Водопровід по вул. Піонерів                   </t>
  </si>
  <si>
    <t>85200,
вул. Ринкова</t>
  </si>
  <si>
    <t xml:space="preserve">Водопровід по вул. Ринкова 
(колишня Піонерська)                   </t>
  </si>
  <si>
    <t>85200, 
вул. Пирогова</t>
  </si>
  <si>
    <t xml:space="preserve">Водопровід по вул. Пирогова                   </t>
  </si>
  <si>
    <t>85290, 
вул. Перемоги</t>
  </si>
  <si>
    <t xml:space="preserve">Водопровід по вул. Перемоги                     </t>
  </si>
  <si>
    <t>85200, 
вул. Перемоги</t>
  </si>
  <si>
    <t xml:space="preserve">85200, 
вул. Полтавська </t>
  </si>
  <si>
    <t xml:space="preserve">Водопровід по вул. Полтавська                </t>
  </si>
  <si>
    <t xml:space="preserve">85200, 
вул. Потьомкіна  </t>
  </si>
  <si>
    <t xml:space="preserve">Водопровід по вул. Потьомкіна                  </t>
  </si>
  <si>
    <t xml:space="preserve">м. Торецьк,
  м. Залізне </t>
  </si>
  <si>
    <t xml:space="preserve">вул. Козацька </t>
  </si>
  <si>
    <t xml:space="preserve">Водопровід по вул. Козацька
 (колишня Потьомкіна)                  </t>
  </si>
  <si>
    <t>85200, 
вул. Продольна</t>
  </si>
  <si>
    <t>85200, 
вул. Гаврилова</t>
  </si>
  <si>
    <t xml:space="preserve">Водопровід по вул. Гаврилова 
(колишня Пролетарська)               </t>
  </si>
  <si>
    <t>м .Торецьк, 
смт Петрівка</t>
  </si>
  <si>
    <t>85200, 
вул. Пролетарська</t>
  </si>
  <si>
    <t xml:space="preserve">Водопровід по вул. Пролетарська               </t>
  </si>
  <si>
    <t xml:space="preserve">85200, 
вул. Псковська  </t>
  </si>
  <si>
    <t xml:space="preserve">Водопровід по вул. Псковська                  </t>
  </si>
  <si>
    <t xml:space="preserve">85200, 
вул. Р.Корсакова  </t>
  </si>
  <si>
    <t xml:space="preserve">85200,
вул. Цвіточна </t>
  </si>
  <si>
    <t xml:space="preserve">Водопровід по вул. Цвіточна 
(колишня Рози Люксембург)               </t>
  </si>
  <si>
    <t xml:space="preserve">85200,
вул. Робітнича </t>
  </si>
  <si>
    <t xml:space="preserve">Водопровід по вул. Робітнича 
(колишня Рози Люксембург)               </t>
  </si>
  <si>
    <t>85200,
 вул. Нестеренка</t>
  </si>
  <si>
    <t xml:space="preserve">Водопровід по вул. Нестеренка
(колишня Рози Люксембург)               </t>
  </si>
  <si>
    <t xml:space="preserve">85200, 
вул. Рєпіна </t>
  </si>
  <si>
    <t xml:space="preserve">Водопровід по вул. Рєпіна                     </t>
  </si>
  <si>
    <t xml:space="preserve">85290, 
вул. Рєпіна </t>
  </si>
  <si>
    <t>85200, 
вул. Шкільна</t>
  </si>
  <si>
    <t xml:space="preserve">Водопровід по вул. Шкільна
 (колишня Сергія Лазо)                     </t>
  </si>
  <si>
    <t xml:space="preserve">85290,
вул. Садова </t>
  </si>
  <si>
    <t xml:space="preserve">Водопровід по вул. Садова                    </t>
  </si>
  <si>
    <t xml:space="preserve">85200, 
вул. Садова </t>
  </si>
  <si>
    <t xml:space="preserve">85200, 
вул. Саратовська до вул. Жовтнева  </t>
  </si>
  <si>
    <t xml:space="preserve">Водопровід по вул. Саратовська до 
вул. Світла (колишня Жовтнева)  </t>
  </si>
  <si>
    <t>85290,
вул. Саратовська</t>
  </si>
  <si>
    <t xml:space="preserve">85200, 
вул. Літня </t>
  </si>
  <si>
    <t xml:space="preserve">Водопровід по вул. Літня (колишня Свердлова)                  </t>
  </si>
  <si>
    <t xml:space="preserve">85200, 
вул. Свободи  </t>
  </si>
  <si>
    <t xml:space="preserve">Водопровід по вул. Свободи                    </t>
  </si>
  <si>
    <t xml:space="preserve">85200, 
вул. Севастопольська </t>
  </si>
  <si>
    <t xml:space="preserve">Водопровід по вул. Північна                   </t>
  </si>
  <si>
    <t xml:space="preserve"> 85200, 
вул. Сєрова        </t>
  </si>
  <si>
    <t xml:space="preserve">Водопровід по вул. Сєрова                     </t>
  </si>
  <si>
    <t>85200, 
вул. Сєчєнова</t>
  </si>
  <si>
    <t xml:space="preserve">Водопровід по вул. Сєчєнова                   </t>
  </si>
  <si>
    <t>85200, 
вул. Скачкова</t>
  </si>
  <si>
    <t xml:space="preserve">Водопровід по вул. Скачкова                   </t>
  </si>
  <si>
    <t>85200, 
вул. Скачкова до свиноферми</t>
  </si>
  <si>
    <t xml:space="preserve">Водопровід від вул. Скачкова до свиноферми     </t>
  </si>
  <si>
    <t>85200, 
вул. Скачкова, вул. Партизанська</t>
  </si>
  <si>
    <t xml:space="preserve">Водопровід по вул. Скачкова Партизанська         </t>
  </si>
  <si>
    <t>85200, 
вул. Визволителів Донбасу</t>
  </si>
  <si>
    <t xml:space="preserve">Водопровід по вул. Визволителів Донбасу (колишня Радянська)                  </t>
  </si>
  <si>
    <t xml:space="preserve">85200, 
вул. Пузанова </t>
  </si>
  <si>
    <t xml:space="preserve">Водопровід по вул. Пузанова
 (колишня Радгоспна)                  </t>
  </si>
  <si>
    <t>85200, 
вул. Сормівська</t>
  </si>
  <si>
    <t xml:space="preserve">Водопровід по вул. Сормівська                 </t>
  </si>
  <si>
    <t xml:space="preserve">85200, 
вул. Соцмістечко </t>
  </si>
  <si>
    <t xml:space="preserve">Водопровід по вул. Соцмістечко                </t>
  </si>
  <si>
    <t xml:space="preserve">Водопровід по вул. Соцмістечко до Ремонтно-механічного заводу             </t>
  </si>
  <si>
    <t>85290, 
вул. Спортивна</t>
  </si>
  <si>
    <t xml:space="preserve">Водопровід по вул. Спортивна                 </t>
  </si>
  <si>
    <t xml:space="preserve">85200, 
вул. Слов'янська </t>
  </si>
  <si>
    <t xml:space="preserve">Водопровід по вул. Слов'янська
 (колишня Стаханівська)                  </t>
  </si>
  <si>
    <t xml:space="preserve">85290, 
вул. Степова </t>
  </si>
  <si>
    <t xml:space="preserve">Водопровід по вул. Степова                    </t>
  </si>
  <si>
    <t>м. Торецьк, 
с-ще Дружба</t>
  </si>
  <si>
    <t xml:space="preserve">85200, 
вул. Степова </t>
  </si>
  <si>
    <t xml:space="preserve">85200, 
вул. Степова до вул. Харківська  </t>
  </si>
  <si>
    <t xml:space="preserve">Водопровід по вул. Степова до вул. Харківська  </t>
  </si>
  <si>
    <t>85200,
вул. Суворова</t>
  </si>
  <si>
    <t xml:space="preserve">Водопровід по вул. Суворова                   </t>
  </si>
  <si>
    <t xml:space="preserve">85200, 
вул. Віктора Якушина </t>
  </si>
  <si>
    <t xml:space="preserve">85200, 
вул. Пилипенка </t>
  </si>
  <si>
    <t xml:space="preserve">Водопровід по вул. Пилипенка 
(колишня Тельмана)                   </t>
  </si>
  <si>
    <t xml:space="preserve">85200, 
вул. Тимірязева до вул. Братська </t>
  </si>
  <si>
    <t xml:space="preserve">Водопровід по вул. Тимірязєва до
 вул. Братська       </t>
  </si>
  <si>
    <t xml:space="preserve">85200, 
вул. Тимірязева   </t>
  </si>
  <si>
    <t xml:space="preserve">Водопровід по вул.Тимірязєва                 </t>
  </si>
  <si>
    <t>85200,
вул. Тополенька</t>
  </si>
  <si>
    <t xml:space="preserve">Водопровід по вул. Тоболенка                  </t>
  </si>
  <si>
    <t>85200,
вул. Тоболенка</t>
  </si>
  <si>
    <t xml:space="preserve">85200, 
вул. Толбухіна </t>
  </si>
  <si>
    <t xml:space="preserve">Водопровід по вул. Толбухіна                  </t>
  </si>
  <si>
    <t xml:space="preserve">85290, 
вул. Толстого </t>
  </si>
  <si>
    <t xml:space="preserve">Водопровід по вул. Толстого                   </t>
  </si>
  <si>
    <t xml:space="preserve">85200, 
вул. Толстого </t>
  </si>
  <si>
    <t xml:space="preserve">85290, 
вул. Торгова </t>
  </si>
  <si>
    <t xml:space="preserve">Водопровід по вул. Торгова                   </t>
  </si>
  <si>
    <t xml:space="preserve">85200, 
вул. Трудова  </t>
  </si>
  <si>
    <t xml:space="preserve">Водопровід по вул. Трудова                   </t>
  </si>
  <si>
    <t>85200, 
вул. Тургенєва</t>
  </si>
  <si>
    <t xml:space="preserve">Водопровід по вул. Тургенєва                  </t>
  </si>
  <si>
    <t>85200, 
вул. Вугільників</t>
  </si>
  <si>
    <t xml:space="preserve">Водопровід по вул. Вугільників                 </t>
  </si>
  <si>
    <t xml:space="preserve">85290, 
вул. Українська </t>
  </si>
  <si>
    <t xml:space="preserve">Водопровід по вул. Українська                 </t>
  </si>
  <si>
    <t xml:space="preserve">85200, 
вул. Українська </t>
  </si>
  <si>
    <t xml:space="preserve">85200, 
вул. Мирна </t>
  </si>
  <si>
    <t xml:space="preserve">Водопровід по вул. Мирна
 (колишня Урицького)                   </t>
  </si>
  <si>
    <t>85200, 
вул. Федосєєва</t>
  </si>
  <si>
    <t xml:space="preserve">Водопровід по вул. Федосєєва                  </t>
  </si>
  <si>
    <t>85200,
вул. Філатова</t>
  </si>
  <si>
    <t xml:space="preserve">Водопровід по вул. Філатова                   </t>
  </si>
  <si>
    <t>85280, 
вул. Тиха</t>
  </si>
  <si>
    <t xml:space="preserve">Водопровід по вул. Тиха 
(колишня Фурманова)                  </t>
  </si>
  <si>
    <t xml:space="preserve">85200,
 вул. Пушкаренка </t>
  </si>
  <si>
    <t xml:space="preserve">Водопровід по вул. Пушкаренка 
(колишня Фурманова)                  </t>
  </si>
  <si>
    <t>85200, 
вул. Харківська, вул. Гомельська,
вул. Ростовська</t>
  </si>
  <si>
    <t xml:space="preserve">Водопровід по вул. Харківська, 
вул. Гомельська, вул. Ростовська </t>
  </si>
  <si>
    <t>85200, 
 вул. Херсонська</t>
  </si>
  <si>
    <t xml:space="preserve">Водопровід по вул. Херсонська                 </t>
  </si>
  <si>
    <t xml:space="preserve">85200, 
вул. Хімічна </t>
  </si>
  <si>
    <t xml:space="preserve">Водопровід по вул. Хімічна            </t>
  </si>
  <si>
    <t xml:space="preserve">85200,
 вул. Б.Хмельницького </t>
  </si>
  <si>
    <t xml:space="preserve">Водопровід по вул. Б.Хмельницького               </t>
  </si>
  <si>
    <t>85200,
 вул. Квіткова до пров. Квітковий</t>
  </si>
  <si>
    <t xml:space="preserve">Водопровід по вул. Квіткова до 
пров. Квітковий   </t>
  </si>
  <si>
    <t>85290, 
вул. Квіткова</t>
  </si>
  <si>
    <t xml:space="preserve">Водопровід по вул. Квіткова                  </t>
  </si>
  <si>
    <t>85200, 
вул. Квіткова</t>
  </si>
  <si>
    <t xml:space="preserve">85290, 
вул. Центральна </t>
  </si>
  <si>
    <t xml:space="preserve">Водопровід по вул. Центральна                </t>
  </si>
  <si>
    <t>85200, 
вул. Чайковського</t>
  </si>
  <si>
    <t xml:space="preserve">85200, 
вул. Лугова </t>
  </si>
  <si>
    <t xml:space="preserve">м. Торецьк, 
 м. Залізне </t>
  </si>
  <si>
    <t>85290, 
вул. Челюскіна</t>
  </si>
  <si>
    <t xml:space="preserve">Водопровід по вул. Челюскіна                  </t>
  </si>
  <si>
    <t>85200, 
вул. Челюскіна</t>
  </si>
  <si>
    <t>85290, 
вул. Чернишевського</t>
  </si>
  <si>
    <t xml:space="preserve">Водопровід по вул. Чернишевського              </t>
  </si>
  <si>
    <t>85200, 
вул. Чернишевського</t>
  </si>
  <si>
    <t xml:space="preserve">85290, 
вул. Чехова </t>
  </si>
  <si>
    <t xml:space="preserve">Водопровід по вул. Чехова                     </t>
  </si>
  <si>
    <t xml:space="preserve">85200, 
вул. Чехова </t>
  </si>
  <si>
    <t xml:space="preserve">85200, 
вул. Чкалова </t>
  </si>
  <si>
    <t xml:space="preserve">Водопровід по вул. Чкалова                    </t>
  </si>
  <si>
    <t>85290, 
вул. Шахтарська</t>
  </si>
  <si>
    <t xml:space="preserve">Водопровід по вул. Шахтарська                </t>
  </si>
  <si>
    <t>85200, 
вул. Шахтарська</t>
  </si>
  <si>
    <t xml:space="preserve">Водопровід по вул. Шахтарська                  </t>
  </si>
  <si>
    <t>85200, 
вул. Шахтна</t>
  </si>
  <si>
    <t>85280, 
вул. Шевченка</t>
  </si>
  <si>
    <t xml:space="preserve">Водопровід по вул. Шевченко                   </t>
  </si>
  <si>
    <t>м. Торецьк, 
смт Щербинівка</t>
  </si>
  <si>
    <t xml:space="preserve">Водопровід по вул. Шкільна                   </t>
  </si>
  <si>
    <t>85200, 
вул. Шмідта</t>
  </si>
  <si>
    <t xml:space="preserve">Водопровід по вул. Шмідта                     </t>
  </si>
  <si>
    <t>85200, 
вул. Шосейна</t>
  </si>
  <si>
    <t xml:space="preserve">Водопровід по вул. Шосейна                  </t>
  </si>
  <si>
    <t>85200, 
вул. Щедріна</t>
  </si>
  <si>
    <t xml:space="preserve">Водопровід по вул. Щедріна                    </t>
  </si>
  <si>
    <t xml:space="preserve">85200, 
вул. Щербакової </t>
  </si>
  <si>
    <t xml:space="preserve">Водопровід по вул. Щербакової
 (колишня Щербакова)                  </t>
  </si>
  <si>
    <t>85200, 
вул. Щербинівська</t>
  </si>
  <si>
    <t xml:space="preserve">Водопровід по вул. Щербинівська               </t>
  </si>
  <si>
    <t>85200, 
вул. Героїв праці</t>
  </si>
  <si>
    <t xml:space="preserve">Водопровід по вул. Героїв праці
 (колишня Щорса)                      </t>
  </si>
  <si>
    <t xml:space="preserve">85290, 
вул. Щорса  </t>
  </si>
  <si>
    <t xml:space="preserve">Водопровід по вул. Щорса                      </t>
  </si>
  <si>
    <t xml:space="preserve">Водопровід по вул. Енгельса                   </t>
  </si>
  <si>
    <t xml:space="preserve">85200, 
вул. Грушевського 
до Радченка, вул. 2 проспект  </t>
  </si>
  <si>
    <t xml:space="preserve">Водопровід по вул. Грушевського
 (колишня Енгельса) до вул. Радченка,
 вул. 2 проспект  </t>
  </si>
  <si>
    <t>85200, 
вул. Грушевського, 3</t>
  </si>
  <si>
    <t xml:space="preserve">Водопровід по вул. Грушевського
 (колишня Енгельса) 3                 </t>
  </si>
  <si>
    <t>85200, 
вул. Юності</t>
  </si>
  <si>
    <t xml:space="preserve">Водопровід по вул. Юності                     </t>
  </si>
  <si>
    <t>85200,
вул. Яблочкова</t>
  </si>
  <si>
    <t xml:space="preserve">Водопровід по вул. Яблочкова                  </t>
  </si>
  <si>
    <t>85200, 
вул. Ярославська</t>
  </si>
  <si>
    <t xml:space="preserve">Водопровід по вул. Ярославська                </t>
  </si>
  <si>
    <t xml:space="preserve">85200, 
вул. Франка </t>
  </si>
  <si>
    <t xml:space="preserve">Водопровід до смт Новгородське                 </t>
  </si>
  <si>
    <t xml:space="preserve">Водопровід по вул. Кочегарка                   </t>
  </si>
  <si>
    <t>85200, 
вул. Федорова</t>
  </si>
  <si>
    <t xml:space="preserve">Водопровід по вул. Федорова                    </t>
  </si>
  <si>
    <t xml:space="preserve">Водопровід просп. Шахтарів
 (колишня Свердлова) по вул. Скачкова до дитячого садку   </t>
  </si>
  <si>
    <t xml:space="preserve">85290, 
вул. Вишнева </t>
  </si>
  <si>
    <t xml:space="preserve">Зовнішні мережі водопостачання
 вул. Вишнева (колишня Чапаєва)                 </t>
  </si>
  <si>
    <t>85290, 
вул. Болгарська</t>
  </si>
  <si>
    <t xml:space="preserve">Зовнішні мережі по вул. Болгарська
 (колишня 30 років ВЛКСМ)               </t>
  </si>
  <si>
    <t>85290, 
вул. Травнева</t>
  </si>
  <si>
    <t xml:space="preserve">Внутрішньоквартальні мережі від 
Шахти «Центральна» (колишня Дзержинська)             </t>
  </si>
  <si>
    <t xml:space="preserve">85290, 
вул. Травнева </t>
  </si>
  <si>
    <t xml:space="preserve">Зовнішні мережі водопостачання по
 вул. Травнева (колишня Першотравнева)  </t>
  </si>
  <si>
    <t>85200, 
вул. Донбаська</t>
  </si>
  <si>
    <t xml:space="preserve">Позаквартальний водопровід по 
вул. Донбаська          </t>
  </si>
  <si>
    <t xml:space="preserve">85200,
 вул. Дружби </t>
  </si>
  <si>
    <t xml:space="preserve">Позаквартальний водопровід до житлових будинків по вул. Дружби (колишня 50 років Жовтня) </t>
  </si>
  <si>
    <t>85200, 
вул. Юності, вул. Нова</t>
  </si>
  <si>
    <t xml:space="preserve">Позаквартальні мережі 165-168 кварталів            </t>
  </si>
  <si>
    <t>85200, 
вул. Терешкової, вул. Лісова, 
вул. Віктора Сорочука</t>
  </si>
  <si>
    <t>85200, 
вул. Некрасова</t>
  </si>
  <si>
    <t xml:space="preserve">Внутрішньомайданчикові мережі водопровідного вузла        </t>
  </si>
  <si>
    <t xml:space="preserve">Внутрішньомайданчикові мережі  водопровідного вузла        </t>
  </si>
  <si>
    <t>Водопровід від Горлівської лінії до водонапірної вежі</t>
  </si>
  <si>
    <t xml:space="preserve">Водопровід від ДВТ до шахти «Артема»             </t>
  </si>
  <si>
    <t>85290,
від сквера по вул. Леніна, вул. Мічуріна</t>
  </si>
  <si>
    <t>Водопровід від сквера по вул. Леніна та 
вул. Мічуріна</t>
  </si>
  <si>
    <t xml:space="preserve">85290, 
 вул. Козацька до вул. Корольова </t>
  </si>
  <si>
    <t xml:space="preserve">Водопровід від вул. Козацька 
(колишня Потьомкіна) до вул. Корольова (колишня Крупської) </t>
  </si>
  <si>
    <t xml:space="preserve">85290, 
 вул. Козацька, до вул. Сумська </t>
  </si>
  <si>
    <t>Водопровід від вул. Козацька 
(колишня Потьомкіна) до вул. Сумська (колишня Р.Люксембург)</t>
  </si>
  <si>
    <t>85290, 
вул. Маріупольська</t>
  </si>
  <si>
    <t xml:space="preserve">Водопровід по вул. Маріупольська
 (колишня Свердлова) </t>
  </si>
  <si>
    <t xml:space="preserve">Водопровідний басейн (вежа)          </t>
  </si>
  <si>
    <t xml:space="preserve">Водопровід вуличних мереж           </t>
  </si>
  <si>
    <t xml:space="preserve">Зовнішній водопровід в експлуатації житлового будинка № 10 квартал 168       </t>
  </si>
  <si>
    <t xml:space="preserve">Зовнішні мережі водопостачання до житлового будинку № 13 квартал 102          </t>
  </si>
  <si>
    <t xml:space="preserve">Зовнішні мережі до школи з басейном         </t>
  </si>
  <si>
    <t>85200,
 вул. Лісова</t>
  </si>
  <si>
    <t xml:space="preserve">Зовнішні мережі водопостачання до житлового будинку № 12-13 кварталу 102       </t>
  </si>
  <si>
    <t xml:space="preserve">Зовнішні мережу водопостачання до житлового будинку № 14 кварталу 90           </t>
  </si>
  <si>
    <t xml:space="preserve">Зовнішні мережі водопостачання до житлового будинку № 4 кварталу 102            </t>
  </si>
  <si>
    <t>85280,
вул. Юності</t>
  </si>
  <si>
    <t xml:space="preserve">Зовнішні мережі водопостачання житлового будинку № 11 кварталу 168             </t>
  </si>
  <si>
    <t xml:space="preserve">Зовнішні мережі водопостачання житлового будинку № 16 кварталу 168             </t>
  </si>
  <si>
    <t>Зовнішні мережі водопостачання житлового будинку до котельної кварталу 168
 смт Північне (колишнє Кірове)</t>
  </si>
  <si>
    <t xml:space="preserve">Зовнішні мережі водопостачання до автовокзалу               </t>
  </si>
  <si>
    <t xml:space="preserve">Зовнішні мережі водопостачання до житлового будинку № 13 кварталу 168            </t>
  </si>
  <si>
    <t xml:space="preserve">Зовнішні мережі водопостачання до житлового будинку № 9 по вул. Юності          </t>
  </si>
  <si>
    <t xml:space="preserve">Зовнішні мережі водопостачання до житлового будинку № 4 кварталу 90              </t>
  </si>
  <si>
    <t xml:space="preserve">Зовнішні мережі водопостачання до житлового будинку № 11 кварталу 102           </t>
  </si>
  <si>
    <t xml:space="preserve">Зовнішні мережі водопостачання до житлового будинку № 12 кварталу 102           </t>
  </si>
  <si>
    <t xml:space="preserve">Зовнішні мережі водопостачання до жилого будинку № 12 кварталу 168           </t>
  </si>
  <si>
    <t>Зовнішні мережі водопостачання до житлового будинку № 12 по вул. Дружби (колишня 50 років Жовтня)</t>
  </si>
  <si>
    <t xml:space="preserve">Зовнішні мережі водопостачання до житлового будинку № 15 кварталу 168           </t>
  </si>
  <si>
    <t xml:space="preserve">Зовнішні мережі водопостачання до житлового будинку № 15 кварталу 89            </t>
  </si>
  <si>
    <t xml:space="preserve">Зовнішні мережі водопостачання до житлового будинку № 15а кварталу 90            </t>
  </si>
  <si>
    <t xml:space="preserve">Зовнішні мережі водопостачання до житлового будинку № 17 кварталу 90            </t>
  </si>
  <si>
    <t xml:space="preserve">Зовнішні мережі водопостачання до житлового будинку № 17 кварталу 102            </t>
  </si>
  <si>
    <t xml:space="preserve">Зовнішні мережі водопостачання до житлового будинку № 19 кварталу 90            </t>
  </si>
  <si>
    <t>85200, 
вул. 91 Дивізії</t>
  </si>
  <si>
    <t xml:space="preserve">Зовнішні мережі водопостачання до житлового будинку № 2а кварталу 102           </t>
  </si>
  <si>
    <t xml:space="preserve">Зовнішні мережі водопостачання до житлового будинку № 3 кварталу 102            </t>
  </si>
  <si>
    <t>85200,
 вул. Центральна, ж.б. 43</t>
  </si>
  <si>
    <t xml:space="preserve">Зовнішні мережі водопостачання до житлового будинку № 43 по вул. Центральна (колишня Дзержинського)      </t>
  </si>
  <si>
    <t xml:space="preserve">Зовнішні мережі водопостачання до житлового будинку № 5 кварталу 168            </t>
  </si>
  <si>
    <t xml:space="preserve">Зовнішні мережі водопостачання до житлового будинку № 5 кварталу 102            </t>
  </si>
  <si>
    <t xml:space="preserve">85200, 
 вул. Догаєва, 56 </t>
  </si>
  <si>
    <t xml:space="preserve">Водопровід до житлового будинку № 56
 вул. Догаєва (колишня Красіна)       </t>
  </si>
  <si>
    <t xml:space="preserve">Зовнішні мережі водопостачання до житлового будинку № 6 кварталу 102            </t>
  </si>
  <si>
    <t xml:space="preserve">Зовнішні мережі водопостачання до житлового будинку № 7 кварталу 102            </t>
  </si>
  <si>
    <t xml:space="preserve">Зовнішні мережі водопостачання до житлового будинку № 7 кварталу 168            </t>
  </si>
  <si>
    <t xml:space="preserve">Зовнішні мережі водопостачання до житлового будинку № 8 кварталу 102            </t>
  </si>
  <si>
    <t xml:space="preserve">Зовнішні мережі водопостачання до житлового будинку КЕТБ кварталу 102           </t>
  </si>
  <si>
    <t>85200,  
вул. Юності</t>
  </si>
  <si>
    <t xml:space="preserve">Зовнішні мережі водопостачання до житлового будинку № 2 кварталу 168 
смт Північне (колишнє Кірове)     </t>
  </si>
  <si>
    <t xml:space="preserve">Зовнішні мережі водопостачання до житлового будинку № 18 кварталу 90             </t>
  </si>
  <si>
    <t>85200,
вул. Некрасова - вул. Юності</t>
  </si>
  <si>
    <t xml:space="preserve">Зовнішні мережі водопостачання до житлового будинку № 14 кварталу 102, 89         </t>
  </si>
  <si>
    <t xml:space="preserve">Зовнішні мережі водопостачання до житлового будинку № 9 кварталу 89              </t>
  </si>
  <si>
    <t xml:space="preserve">Зовнішні мережі водопостачання до житлового будинку № 10 кварталу 89              </t>
  </si>
  <si>
    <t xml:space="preserve">Зовнішні мережі водопостачання до житлового будинку № 6 кварталу 89               </t>
  </si>
  <si>
    <t xml:space="preserve">Зовнішні мережі водопостачання компресорного теплопункту кварталу 90        </t>
  </si>
  <si>
    <t xml:space="preserve">Зовнішні мережі водопостачання будинків
 № 2,3,4 вул. Грушевського (колишня Енгельса)       </t>
  </si>
  <si>
    <t xml:space="preserve">Зовнішні мережі водопостачання до 26 квартир по вул. Лесі Українки (колишня Кірова)              </t>
  </si>
  <si>
    <t xml:space="preserve">Зовнішні мережі водопостачання до  житлового будинку № 16 блок 102 квартал         </t>
  </si>
  <si>
    <t xml:space="preserve">Зовнішні мережі водопостачання до житлового будинку № 1 квартал 90              </t>
  </si>
  <si>
    <t xml:space="preserve">Зовнішні мережі водопостачання до житлового будинку № 11 кварталу 89             </t>
  </si>
  <si>
    <t xml:space="preserve">Зовнішні мережі водопостачання  до житлового будинку № 18 кварталу 89             </t>
  </si>
  <si>
    <t xml:space="preserve">Зовнішні мережі водопостачання до житлового будинку № 7 кварталу 90              </t>
  </si>
  <si>
    <t xml:space="preserve">Зовнішні мережі водопостачання до житлового будинку № 8 кварталу 89               </t>
  </si>
  <si>
    <t xml:space="preserve">Зовнішні мережі водопостачання до житлового будинку № 5 кварталу 89               </t>
  </si>
  <si>
    <t xml:space="preserve">Зовнішні мережі водопостачання КНС кварталу 89            </t>
  </si>
  <si>
    <t xml:space="preserve">Зовнішні мережі водопостачання введені 
в експлуатацію житлового будинку № 9 кварталу 168        </t>
  </si>
  <si>
    <t>м. Торецьк,
с. Неліпівка</t>
  </si>
  <si>
    <t xml:space="preserve">Зовнішні мережі водопостачання с. Неліпівка                  </t>
  </si>
  <si>
    <t xml:space="preserve">Зовнішні мережі водопостачання по котельній на 2 котла квартал 102     </t>
  </si>
  <si>
    <t xml:space="preserve">Зовнішні мережі водопостачання стоматології      </t>
  </si>
  <si>
    <t xml:space="preserve">Зовнішні мережі житлового будинку 102 кварталу                     </t>
  </si>
  <si>
    <t xml:space="preserve">Зовнішні мережі до котельної кварталу 168                   </t>
  </si>
  <si>
    <t xml:space="preserve">Зовнішні мережі до пральні 168 кварталу                </t>
  </si>
  <si>
    <t xml:space="preserve">Зовнішні мережі лікувально-терапевтичного корпусу       </t>
  </si>
  <si>
    <t xml:space="preserve">85200, 
вул. Р.- Корсакова  </t>
  </si>
  <si>
    <t xml:space="preserve">Зовнішні мережі по вул. Римського Корсакова, до житлового будинку № 12       </t>
  </si>
  <si>
    <t xml:space="preserve">Зовнішні мережі по вул. Римського-Корсакова              </t>
  </si>
  <si>
    <t xml:space="preserve">Зовнішні мережі енергозбереження водопровідного вузла      </t>
  </si>
  <si>
    <t xml:space="preserve">Зовнішні мережі бази             </t>
  </si>
  <si>
    <t xml:space="preserve">Зовнішні мережі телефонізації бази            </t>
  </si>
  <si>
    <t xml:space="preserve">Подаючий трубопровід від КНС        </t>
  </si>
  <si>
    <t xml:space="preserve">Водопровід питної води "Червоні колодязі"         </t>
  </si>
  <si>
    <t xml:space="preserve">85290, 
просп. Піонерів  </t>
  </si>
  <si>
    <t xml:space="preserve">Водопровід по просп. Піонерів                        </t>
  </si>
  <si>
    <t xml:space="preserve">Прибудова РУ-6, КРП-2             </t>
  </si>
  <si>
    <t xml:space="preserve">85200, 
вул. Л.Українки </t>
  </si>
  <si>
    <t xml:space="preserve">Розвідні мережі водоводу           </t>
  </si>
  <si>
    <t>85200, 
вул. Народна, вул. Поповича</t>
  </si>
  <si>
    <t xml:space="preserve">Мережі водопостачання по вул. Народна (колишня Лазарєва), Поповича      </t>
  </si>
  <si>
    <t xml:space="preserve">Мережі водопостачання до житлового будинку № 1 м. Залізне       </t>
  </si>
  <si>
    <t>85200, 
вул. Дружби</t>
  </si>
  <si>
    <t xml:space="preserve">Мережі водопостачання до міської лазні                </t>
  </si>
  <si>
    <t xml:space="preserve">Мережі водопостачання вул. Кочубея, Народна, Павла Поповича                    </t>
  </si>
  <si>
    <t>85200,
 вул. Тоболенка</t>
  </si>
  <si>
    <t>Канал до житлового будинку № 10,12,14 
вул. Тоболенка</t>
  </si>
  <si>
    <t xml:space="preserve">85200,
вул. Центральна </t>
  </si>
  <si>
    <t>Каналізація від лікарні Леніна до хлораторної</t>
  </si>
  <si>
    <t>Каналізація від міської бані до хлораторної</t>
  </si>
  <si>
    <t>Каналізація внутрішніх мереж</t>
  </si>
  <si>
    <t>м. Торецьк,
м. Залізне</t>
  </si>
  <si>
    <t>Самопливний колектор шахти «Артема»</t>
  </si>
  <si>
    <t xml:space="preserve">м. Торецьк, 
смт Південне </t>
  </si>
  <si>
    <t xml:space="preserve">85293, 
вул. Травнева </t>
  </si>
  <si>
    <t>Господарчо-фекальний колектор шахти «Південна»</t>
  </si>
  <si>
    <t>Внутрішні мережі 166 кварталу</t>
  </si>
  <si>
    <t>ВНС квартальні мережі 206 квартал</t>
  </si>
  <si>
    <t>85280, 
 вул. Юності</t>
  </si>
  <si>
    <t>ВНС квартирні мережі 165 квартал</t>
  </si>
  <si>
    <t>Напірній колектор від пульта</t>
  </si>
  <si>
    <t>Позаквартальні мережі від клубу піонерів до вул. Маяковського</t>
  </si>
  <si>
    <t>Самопливний колектор до стадіону</t>
  </si>
  <si>
    <t>Самопливний колектор до вул. Дружби (колишня 50 років Жовтня)</t>
  </si>
  <si>
    <t>Каналізація від житлового будинку
вул. Історична (колишня Леніна)</t>
  </si>
  <si>
    <t xml:space="preserve">Напірний колектор </t>
  </si>
  <si>
    <t>Каналізація до  будинку № 2 167 квартал</t>
  </si>
  <si>
    <t>Вуличний колектор прос. Шахтарів
 (колишня Свердлова)</t>
  </si>
  <si>
    <t>Самопливний колектор № 13 від НС "Авангард" 90 квартал до вул. Історична (колишня Леніна)</t>
  </si>
  <si>
    <t>Самопливний колектор № 9 до ОС</t>
  </si>
  <si>
    <t>Вуличний колектор</t>
  </si>
  <si>
    <t xml:space="preserve">85200, 
просп. Шахтарів </t>
  </si>
  <si>
    <t>Зовнішні мережі каналізації до житлового будинку № 14 квартал 89</t>
  </si>
  <si>
    <t>Зовнішні мережі каналізації до житлового будинку № 8  квартал 168</t>
  </si>
  <si>
    <t>Зовнішні мережі каналізації до житлового будинку № 7</t>
  </si>
  <si>
    <t>Зовнішні мережі каналізації насосної станції квартал 89</t>
  </si>
  <si>
    <t>Каналізаційний колектор від кварталу 168</t>
  </si>
  <si>
    <t xml:space="preserve">85200,
вул. Віктора Сорочука </t>
  </si>
  <si>
    <t>Зовнішні мережі каналізації житлового будинку № 13 кварталу 102</t>
  </si>
  <si>
    <t>Позаквартальна каналізація 88 квартал</t>
  </si>
  <si>
    <t>85200, 
вул. Толстого</t>
  </si>
  <si>
    <t>Самопливний колектор по вул. Толстого</t>
  </si>
  <si>
    <t>85200, 
вул. Скачкова, вул. Білоруська</t>
  </si>
  <si>
    <t>Самопливний колектор по вул. Скачкова
 і вул. Білоруська</t>
  </si>
  <si>
    <t>85200, 
вул. Національна</t>
  </si>
  <si>
    <t>Напірний колектор шахти «Північна»</t>
  </si>
  <si>
    <t xml:space="preserve">85200, 
вул. Світла </t>
  </si>
  <si>
    <t>Колектор № 12 вул. Світла 
(колишня Жовтнева)</t>
  </si>
  <si>
    <t>Каналізація від автобази до колектору</t>
  </si>
  <si>
    <t>Каналізація  мікрорайону № 1 житлових будинків № 21, 22</t>
  </si>
  <si>
    <t>Каналізація від житлового будинку № 20 мікрорайон № 1</t>
  </si>
  <si>
    <t>Каналізація до музичного училища</t>
  </si>
  <si>
    <t>85280, 
вул. Юності 10</t>
  </si>
  <si>
    <t>Каналізація до житлового будинку по
 вул.  Юності, 10</t>
  </si>
  <si>
    <t>Каналізація до житлового будинку № 23 мікрорайон № 1</t>
  </si>
  <si>
    <t>від д/биту вул. Дружби (колишня 50 років Жовтня) міська лазня</t>
  </si>
  <si>
    <t>Каналізація від будинку биту вул. Дружби (колишня 50 років Жовтня) міська лазня</t>
  </si>
  <si>
    <t>Каналізація до житлового будинку № 10 мікрорайон № 1</t>
  </si>
  <si>
    <t>Каналізація до житлового будинку № 16 мікрорайон № 1</t>
  </si>
  <si>
    <t>Каналізація до житлового будинку № 25 мікрорайон № 1</t>
  </si>
  <si>
    <t>Каналізація до житлового будинку № 24 мікрорайон № 1</t>
  </si>
  <si>
    <t>Каналізація до житлового будинку № 26 мікрорайон № 1</t>
  </si>
  <si>
    <t>Каналізація по вул. Терешкова 6 (гуртожиток)</t>
  </si>
  <si>
    <t>Каналізація вул. Грушевського, 3
 (колишня Енгельса)</t>
  </si>
  <si>
    <t>Каналізація до пральні самообслуговування</t>
  </si>
  <si>
    <t>85200, 
вул. 51 Армії</t>
  </si>
  <si>
    <t>Каналізація до котельні школи квартал 102</t>
  </si>
  <si>
    <t>Каналізація до житлового будинку № 12 кварталу 89</t>
  </si>
  <si>
    <t>Каналізація до житлового будинку № 15 (Лісова) мікрорайон № 1</t>
  </si>
  <si>
    <t xml:space="preserve">85290,
вул. Травнева </t>
  </si>
  <si>
    <t>Каналізація до житлового будинку № 1 кварталу 167 м. Залізне (колишнє Артемове)</t>
  </si>
  <si>
    <t>Каналізація до житлового будинку № 13
 в мікрорайоні № 1</t>
  </si>
  <si>
    <t>Каналізація до житлового будинку № 14
 в мікрорайоні № 1</t>
  </si>
  <si>
    <t>Каналізація до житлового будинку № 1
 вул. Грушевського (колишня Енгельса)</t>
  </si>
  <si>
    <t>Напірний колектор вул. Донецька</t>
  </si>
  <si>
    <t xml:space="preserve">Мережі каналізації по вул. Грушевського (колишня Енгельса) 19, 21 </t>
  </si>
  <si>
    <t>Внутрішньомайданчикові мережі каналізації водопровідного вузла</t>
  </si>
  <si>
    <t xml:space="preserve">Контурний дренаж </t>
  </si>
  <si>
    <t>Мережі каналізації до житлового будинку
 № 16 кварталу 89</t>
  </si>
  <si>
    <t>Каналізаційний колектор кварталу 89</t>
  </si>
  <si>
    <t>Зовнішні мережі каналізації до 
вул. Лесі Українки (колишня Кірова)</t>
  </si>
  <si>
    <t>Зовнішні мережі каналізації до житлового будинку № 15  кварталу 89</t>
  </si>
  <si>
    <t>Каналізаційні мережі колектор 89 квартал</t>
  </si>
  <si>
    <t>Зовнішні мережі 64-х квартирного житлового будинку № 14б</t>
  </si>
  <si>
    <t>Зовнішні мережі пускового колектора</t>
  </si>
  <si>
    <t>Зовнішні мережі  каналізації будинок № 3 квартал 90</t>
  </si>
  <si>
    <t>Самопливний колектор 102 кварталу до ОС</t>
  </si>
  <si>
    <t>Зовнішні мережі до дитячих ясел квартал 90</t>
  </si>
  <si>
    <t>85200, 
вул. Дружби, вул. Маяковського</t>
  </si>
  <si>
    <t>Зовнішні мережі до школи № 6 м. Торецьк</t>
  </si>
  <si>
    <t>Зовнішні мережі виробничої бази ВУВКГ</t>
  </si>
  <si>
    <t xml:space="preserve">85200, 
вул. Віктора Сорочука </t>
  </si>
  <si>
    <t>Зовнішні мережі до житлового будинку
 № 12,13 кварталу 102</t>
  </si>
  <si>
    <t>85200, 
вул. Віктора Сорочука</t>
  </si>
  <si>
    <t>Зовнішні мережі до житлового будинку 11а кварталу 102</t>
  </si>
  <si>
    <t>Зовнішні мережі до житлового будинку 12 кварталу 102</t>
  </si>
  <si>
    <t xml:space="preserve">85200,
 вул. Грушевського, 1, 2, 3, 4 </t>
  </si>
  <si>
    <t xml:space="preserve">85200,  
вул. Грушевського, 14 </t>
  </si>
  <si>
    <t>Мережі каналізації по вул. Народна 
(колишня Лазарєва), Поповича</t>
  </si>
  <si>
    <t>Зовнішні мережі каналізації до житлового будинку № 3 квартал 102</t>
  </si>
  <si>
    <t>Зовнішні мережі до житлового будинку
 № 15а квартал 90</t>
  </si>
  <si>
    <t>Зовнішні мережі каналізації до житлового будинку № 14 квартал 90</t>
  </si>
  <si>
    <t>Зовнішні мережі пральної 168 квартал</t>
  </si>
  <si>
    <t>30165а</t>
  </si>
  <si>
    <t>Зовнішні мережі каналізації до житлового будинку № 2 квартал 102</t>
  </si>
  <si>
    <t xml:space="preserve">Зовнішня каналізація до СТО "Автовазтехобслуговування" </t>
  </si>
  <si>
    <t>Зовнішні мережі каналізації до  житлового будинку № 3 квартал 102</t>
  </si>
  <si>
    <t>Позаквартальні мережі каналізації квартал 168 смт Північне (колишнє Кірове)</t>
  </si>
  <si>
    <t>Зовнішні мережі каналізації введені у експлуатацію по житловому будинку № 7 квартал 102</t>
  </si>
  <si>
    <t>Зовнішні мережі каналізації до введеного
 в експлуатацію житлового будинку № 10 квартал 168</t>
  </si>
  <si>
    <t>Зовнішні мережі каналізації до введеного 
в експлуатацію  житлового будинку № 9 квартал 168</t>
  </si>
  <si>
    <t>Каналізація внутрішніх мереж водопровідного вузла</t>
  </si>
  <si>
    <t>Зовнішні мережі у котельню смт Північне (колишнє Кірове)</t>
  </si>
  <si>
    <t xml:space="preserve">Зовнішні каналізаційні мережи стоматологічної поліклініки </t>
  </si>
  <si>
    <t>Зовнішні мережі каналізації до 24 квартир 4-х поверхового будинку</t>
  </si>
  <si>
    <t>Каналізаційні зовнішні мережі 70 кварталу житлового будинку шахти ім. Артема
 м. Залізне (колишнє Артемове)</t>
  </si>
  <si>
    <t>85200, 
вул. Дружби, 12</t>
  </si>
  <si>
    <t>Зовнішні мережі № 12 вул. Дружби (колишня 50 років Жовтня) 90 квартал</t>
  </si>
  <si>
    <t>85280,
вул. Юності, 22</t>
  </si>
  <si>
    <t>85280, 
вул. Юності, 20</t>
  </si>
  <si>
    <t xml:space="preserve">Зовнішні мережі № 11 квартал 168 
(Юності 20) </t>
  </si>
  <si>
    <t>85280, 
вул. Юності, 20А</t>
  </si>
  <si>
    <t>Зовнішні мережі  до будинку 12 квартал 168 (Юності 20а)</t>
  </si>
  <si>
    <t>Зовнішні мережі каналізації до житлового будинку № 16 квартал 102 (Лісова 21)</t>
  </si>
  <si>
    <t>Зовнішні мережі до житлового будинку з магазином по вул. Дружби (колишня 50 років Жовтня) 16</t>
  </si>
  <si>
    <t>Зовнішні мережі каналізації будинка 15 квартал 102 (Лісова 22)</t>
  </si>
  <si>
    <t>85200, 
вул. Леваневського</t>
  </si>
  <si>
    <t>Каналізаційний колектор кварталу 90 (Леваневського)</t>
  </si>
  <si>
    <t>Зовнішні мережі каналізації до житлового будинку № 14 квартал 102</t>
  </si>
  <si>
    <t>85200, 
вул. Скачкова, вул. Онезька</t>
  </si>
  <si>
    <t>Каналізаційний колектор від вул. Скачкова до очисних споруд</t>
  </si>
  <si>
    <t xml:space="preserve">85200, 
вул. Юності </t>
  </si>
  <si>
    <t>Зовнішні мережі каналізації до житлового будинку № 15 квартал 168</t>
  </si>
  <si>
    <t xml:space="preserve">85200, 
вул. Р-Корсакова  </t>
  </si>
  <si>
    <t>Зовнішні мережі каналізації по вул. Римського-Корсакова до будинку № 2</t>
  </si>
  <si>
    <t>Зовнішні мережі каналізації до житлового будинку № 40 по вул. Маяковського</t>
  </si>
  <si>
    <t>85200, 
вул. Сонячна, 1</t>
  </si>
  <si>
    <t>Зовнішні мережі каналізації до житлового будинку № 10 вул. Маяковського</t>
  </si>
  <si>
    <t>Зовнішні мережі каналізації до міської лазні</t>
  </si>
  <si>
    <t>Зовнішні мережі каналізації до житлового будинку № 8 квартал 102 вул. 91 Дивізії</t>
  </si>
  <si>
    <t>Зовнішні мережі  каналізації Д=150 керамічні</t>
  </si>
  <si>
    <t>Зовнішні мережі каналізації до житлового будинку по вул. Римського-Корсакова</t>
  </si>
  <si>
    <t>Зовнішні мережі каналізації по 
вул. Римського-Корсакова</t>
  </si>
  <si>
    <t>85200, 
вул. Маяковського, 42</t>
  </si>
  <si>
    <t xml:space="preserve"> Зовнішній каналізаційний колектор по
 вул. Маяковського, 42</t>
  </si>
  <si>
    <t xml:space="preserve"> Каналізаційний колектор по вул. Світла (колишня Жовтнева)</t>
  </si>
  <si>
    <t>Каналізаційний колектор по вул. Світла (колишня Жовтнева), 4</t>
  </si>
  <si>
    <t xml:space="preserve">Зовнішні мережі каналізації адміністрації Державної податкової </t>
  </si>
  <si>
    <t>85200,
вул. Хмельницька</t>
  </si>
  <si>
    <t>Благоустрій КНС від кварталу 89</t>
  </si>
  <si>
    <t>Благоустрій майданчика очисних споруд</t>
  </si>
  <si>
    <t>Позаквартальні мережі каналізації кварталу 168 труба чавун смт Північне (колишнє Кірове)</t>
  </si>
  <si>
    <t xml:space="preserve"> вул. Некрасова, 54</t>
  </si>
  <si>
    <t>Водопровідний вузол теплотраса</t>
  </si>
  <si>
    <t>85200,
 вул. Онезька</t>
  </si>
  <si>
    <t>Повітровід сталевий</t>
  </si>
  <si>
    <t>Повітровід сталевий Д=150</t>
  </si>
  <si>
    <t>Повітровід сталевий Д=50</t>
  </si>
  <si>
    <t>Ворота без рами</t>
  </si>
  <si>
    <t>Ворота в'їзні</t>
  </si>
  <si>
    <t xml:space="preserve">85200,
вул. Центральна, 65 </t>
  </si>
  <si>
    <t>Ворота з рамою</t>
  </si>
  <si>
    <t>85200, 
 вул. Онезька</t>
  </si>
  <si>
    <t xml:space="preserve">м. Торецьк,
 смт Північне </t>
  </si>
  <si>
    <t>85280,
вул. Некрасова, 54</t>
  </si>
  <si>
    <t>Двері до будівлі водопровідного вузла</t>
  </si>
  <si>
    <t>Двері металеві</t>
  </si>
  <si>
    <t>Дюкер 1д. ст.труб Д-150</t>
  </si>
  <si>
    <t>Дюкер 2д. ст.труб Д-500</t>
  </si>
  <si>
    <t>85200, 
вул. Догаєва, 56</t>
  </si>
  <si>
    <t xml:space="preserve"> 85200, 
вул. Червоні Колодязі</t>
  </si>
  <si>
    <t>Колодязь залізо-бетонний 150 куб. м</t>
  </si>
  <si>
    <t>Комунікації на майданчику бази</t>
  </si>
  <si>
    <t>Лінія АТС гучномовець</t>
  </si>
  <si>
    <t>Лотки вертикальні</t>
  </si>
  <si>
    <t>Лотки між спорудами</t>
  </si>
  <si>
    <t>Міські водопровідні споруди</t>
  </si>
  <si>
    <t>85200, 
 вул. Львівська, 20</t>
  </si>
  <si>
    <t>Металоконструкції під насоси</t>
  </si>
  <si>
    <t>Зовнішні мережі до пральні 168 кварталу</t>
  </si>
  <si>
    <t>Зовнішні мережі КНС кварталу 89</t>
  </si>
  <si>
    <t>Зовнішні мережі енергозбереження КНС кварталу 89</t>
  </si>
  <si>
    <t>Насосна станція господарчо-фекальних вод</t>
  </si>
  <si>
    <t>Навісне обладнання</t>
  </si>
  <si>
    <t>Напірний трубопровід повернення вод (сталевий Д=200)</t>
  </si>
  <si>
    <t>Напірний трубопровід сирого залишку (сталевий Д=200)</t>
  </si>
  <si>
    <t>Зовнішні мережі енергозбереження бази</t>
  </si>
  <si>
    <t>85200, 
 вул. Львівська,  20</t>
  </si>
  <si>
    <t>Пристрої для знезаражування гіпохлоритом натрія</t>
  </si>
  <si>
    <t>85200, 
 вул. Львівська, 21</t>
  </si>
  <si>
    <t>Огорожа майданчика</t>
  </si>
  <si>
    <t xml:space="preserve">Вікно до будівлі повітродувки </t>
  </si>
  <si>
    <t>Опалювальний склад площею 32 м2</t>
  </si>
  <si>
    <t>Піскові площі</t>
  </si>
  <si>
    <t>Під'їзна дорога</t>
  </si>
  <si>
    <t>Резервуар питної води</t>
  </si>
  <si>
    <t>Резервуар промивки до фільтрів</t>
  </si>
  <si>
    <t>Резервуар промивки після фільтрів</t>
  </si>
  <si>
    <t>Решітки-дробарки</t>
  </si>
  <si>
    <t>Скидний трубопровід очисних вод 
(з/б Д=600)</t>
  </si>
  <si>
    <t>Скидний колектор
 (з/б безнапірний Д=600)</t>
  </si>
  <si>
    <t>Зварювальний пост з листів, критий</t>
  </si>
  <si>
    <t>Мережі теплопостачання на ОС (Д=100 сталеві)</t>
  </si>
  <si>
    <t>Трубопровід аварійного випуску мулу та сирого осаду Д=20</t>
  </si>
  <si>
    <t>Трубопровід напірний збитку мулу</t>
  </si>
  <si>
    <t>Трубопровід між спорудами Д-630 сталевий</t>
  </si>
  <si>
    <t>85200, 
 вул. 91 Дивізії</t>
  </si>
  <si>
    <t xml:space="preserve">Водогін
 (збільшення балансової вартості водогону) </t>
  </si>
  <si>
    <t>85320,
вул. Соборна, 40</t>
  </si>
  <si>
    <t>Будівля адміністративно-побутового корпусу</t>
  </si>
  <si>
    <t>85320, 
мкрн. Західний, 33А</t>
  </si>
  <si>
    <t>Будівля котельної мікрорайону «Західний», майстерні</t>
  </si>
  <si>
    <t>85320, 
мкрн. Молодіжний, 30А</t>
  </si>
  <si>
    <t xml:space="preserve">Прибудова до котельної теплопункту № 2 </t>
  </si>
  <si>
    <t>85320,
 мкрн. Західний, 51А</t>
  </si>
  <si>
    <t>Будівля водопровідної насосної станції № 4</t>
  </si>
  <si>
    <t>85320, 
квартал 40, буд. 8А</t>
  </si>
  <si>
    <t>Будівля водопровідної насосної станції № 5</t>
  </si>
  <si>
    <t>85320,
вул. Гончара, 15</t>
  </si>
  <si>
    <t>Будівля  водонапірної вежі</t>
  </si>
  <si>
    <t>Будівля  водопровідної насосної № 10
 з хлородозувачем</t>
  </si>
  <si>
    <t>85320, 
вул. Ізотова, 1А</t>
  </si>
  <si>
    <t>Водопровідна насосна станція № 11</t>
  </si>
  <si>
    <t>85320, 
вул. Донська, 1А</t>
  </si>
  <si>
    <t>Будівля  водопровідної насосної № 12</t>
  </si>
  <si>
    <t>85320, 
вул. Черніцина, 2Б</t>
  </si>
  <si>
    <t>Будівля КНС № 7</t>
  </si>
  <si>
    <t>85320, 
вул. Горького, 1А</t>
  </si>
  <si>
    <t>Будівля КНС № 8</t>
  </si>
  <si>
    <t>85320, 
вул. Лізи Чайкіної, 34А</t>
  </si>
  <si>
    <t xml:space="preserve">Покровський р-н, 
с. Рівне </t>
  </si>
  <si>
    <t>85325, 
пров. Шахтний, 5</t>
  </si>
  <si>
    <t>85325, 
пров. Шахтний, 6</t>
  </si>
  <si>
    <t>Будівля КНС № 6</t>
  </si>
  <si>
    <t>85325, 
вул. Громової, 4А</t>
  </si>
  <si>
    <t>Будівля пункту обліку</t>
  </si>
  <si>
    <t>85325, 
пров. Шахтний, 5А</t>
  </si>
  <si>
    <t>Бак з люком</t>
  </si>
  <si>
    <t>Ємність для рідини</t>
  </si>
  <si>
    <t>Котел</t>
  </si>
  <si>
    <t>Будівля котельної</t>
  </si>
  <si>
    <t>Будівля решіток в комплексі «об'єднані очисні споруди»</t>
  </si>
  <si>
    <t>Аеротенки</t>
  </si>
  <si>
    <t>Радіальний відстійник</t>
  </si>
  <si>
    <t xml:space="preserve">Радіальний відстійник  II           </t>
  </si>
  <si>
    <t>Будівля блоку хлораторної із складом</t>
  </si>
  <si>
    <t>Будівля повітродувна станції</t>
  </si>
  <si>
    <t>Резервуар 100 куб. м</t>
  </si>
  <si>
    <t>Піскоуловлювачі</t>
  </si>
  <si>
    <t>Піскомайданчик</t>
  </si>
  <si>
    <t>Мулові пруди</t>
  </si>
  <si>
    <t>Каналізаційна мережа</t>
  </si>
  <si>
    <t>Низьковольтна мережа</t>
  </si>
  <si>
    <t>ЛЕП промислового майданчика</t>
  </si>
  <si>
    <t>Водопровід на проммайданчику</t>
  </si>
  <si>
    <t>Благоустрій майданчика</t>
  </si>
  <si>
    <t>Підвідна ЛЕП 6 кВт</t>
  </si>
  <si>
    <t>Гідроелеватор</t>
  </si>
  <si>
    <t>Розподільна камера 2-х відстійників</t>
  </si>
  <si>
    <t>Розподільна камера аеротенків</t>
  </si>
  <si>
    <t>Будівля КНС</t>
  </si>
  <si>
    <t>Камера сирого осаду б/в</t>
  </si>
  <si>
    <t>Піскомайданчик б/в</t>
  </si>
  <si>
    <t>Пісковловлювач</t>
  </si>
  <si>
    <t>Ємність для рідини б/в</t>
  </si>
  <si>
    <t>Вторинний радіальний відстійник</t>
  </si>
  <si>
    <t>Первинний радіальний відстійник</t>
  </si>
  <si>
    <t>Резервуар 50 куб. м технічний</t>
  </si>
  <si>
    <t>Пісковловлювачі</t>
  </si>
  <si>
    <t>Водовимірювальні  лотки</t>
  </si>
  <si>
    <t>Водовимірювальні лотки</t>
  </si>
  <si>
    <t>Камера розподільна</t>
  </si>
  <si>
    <t>85325, 
вул. Соборна, 51Б</t>
  </si>
  <si>
    <t>Частина будівлі складу  ГШО
 (гірнично-шахтного обладнання)</t>
  </si>
  <si>
    <t>85320, 
мкрн. Східний, 13</t>
  </si>
  <si>
    <t>Каналізаційна мережа діаметром 200 мм, 100 мм / Східний, 13</t>
  </si>
  <si>
    <t>85320, 
мкрн. Східний</t>
  </si>
  <si>
    <t>Водовід мікрорайону «Східний»</t>
  </si>
  <si>
    <t>85320, 
вул. Ушакова</t>
  </si>
  <si>
    <t>Водовимірювальний вузол</t>
  </si>
  <si>
    <t>85320, 
вул. Фізкультурна</t>
  </si>
  <si>
    <t>85320, 
вул. Соборна, 40</t>
  </si>
  <si>
    <t>Опори ЛЕП СВ 10.5 с</t>
  </si>
  <si>
    <t>85320, 
вул. Стуса</t>
  </si>
  <si>
    <t>Водопровідна мережа вул. Стуса (Димитрова)</t>
  </si>
  <si>
    <t>85320, 
мкрн. Молодіжний</t>
  </si>
  <si>
    <t>Водопровідна мережа поліклініки</t>
  </si>
  <si>
    <t>85320, 
вул. Перемоги</t>
  </si>
  <si>
    <t>Водовід вул. Перемоги d=100 чавун</t>
  </si>
  <si>
    <t>85320, 
вул. Разіна</t>
  </si>
  <si>
    <t>Каналізаційна мережа, Поліклініка, 5/23</t>
  </si>
  <si>
    <t>85320, 
вул. Гончара</t>
  </si>
  <si>
    <t>Водовід від Карлівки до вежі 1200 м</t>
  </si>
  <si>
    <t>Водовід від насосної станції до водопровідної вежі</t>
  </si>
  <si>
    <t>85320, 
вул. Шосейна</t>
  </si>
  <si>
    <t>Водовід № 2 Н-Економічне 14</t>
  </si>
  <si>
    <t>85320, 
вул. Соборна</t>
  </si>
  <si>
    <t xml:space="preserve">Водовід шахти "3-3 Біс" квартал 31 </t>
  </si>
  <si>
    <t>85320, 
пров. Шахтний, 5А</t>
  </si>
  <si>
    <t>Напірний колектор насосної станції</t>
  </si>
  <si>
    <t>Каналізаційний колектор насосної станції</t>
  </si>
  <si>
    <t xml:space="preserve">Водовід мікрорайону 5/23 </t>
  </si>
  <si>
    <t xml:space="preserve">Водовід від районного Водоводу до водопровідної вежі  </t>
  </si>
  <si>
    <t xml:space="preserve">Водовід до лазні шахти "5/6" </t>
  </si>
  <si>
    <t>85320,
 мкрн. Світлий</t>
  </si>
  <si>
    <t>Водовід б. 9 Світлий</t>
  </si>
  <si>
    <t>85320, 
мкрн. Західний</t>
  </si>
  <si>
    <t>Водовід до мікрорайону Західний Д=500 довжиною 2837 пог.м</t>
  </si>
  <si>
    <t xml:space="preserve">85320, 
мкрн. Східний </t>
  </si>
  <si>
    <t>Трубопровід каналізаційний до котельні Восточна L=80 м D=200</t>
  </si>
  <si>
    <t>85320, 
вул. Л.Чайкіної</t>
  </si>
  <si>
    <t>Каналізаційна мережа школи-інтернату
 вул. Л.Чайкіної Д=150, 100</t>
  </si>
  <si>
    <t>Водопровід Л.Чайкіної, 32 школа-інтернат</t>
  </si>
  <si>
    <t>Каналізаційна мережа яслі/сад № 4
 L=300 D=200</t>
  </si>
  <si>
    <t>Водопровід з колодязем ясла-сад № 4</t>
  </si>
  <si>
    <t>Каналізаційна мережа ясла/сад № 9
L=300 D=200</t>
  </si>
  <si>
    <t>85320, 
вул. Залізнична</t>
  </si>
  <si>
    <t>85320, 
вул. Центральна</t>
  </si>
  <si>
    <t>Каналізаційний колектор № 5
Д=300 L=2200 м</t>
  </si>
  <si>
    <t>Каналізаційний колектор № 5
 Д=150 L=1000 м</t>
  </si>
  <si>
    <t>85320, 
вул. Коржова</t>
  </si>
  <si>
    <t xml:space="preserve">Каналізаційна мережа вул.  Коржова, 
вул. Соборна (Бабушкіна-Ватутіна) D=150 </t>
  </si>
  <si>
    <t>85320, 
вул. Плеханова</t>
  </si>
  <si>
    <t>85320, 
вул. Мухамадєєва</t>
  </si>
  <si>
    <t>85320, 
вул. Комарова</t>
  </si>
  <si>
    <t>85320, 
вул. Новаторська</t>
  </si>
  <si>
    <t>Каналізаційна мережа вул.  Новаторська 
(3-го Інтернаціоналу) Д=100 L=460 м</t>
  </si>
  <si>
    <t>85320, 
пров. Львівський</t>
  </si>
  <si>
    <t>Каналізаційна мережа пров. Львівський
Д=100 L=560 м</t>
  </si>
  <si>
    <t>85320, 
пров. Брудіна</t>
  </si>
  <si>
    <t>Каналізаційна мережа пров. Брудіна
 Д=100 L=560 м</t>
  </si>
  <si>
    <t>85320, 
пров. Тітова</t>
  </si>
  <si>
    <t>Каналізаційна мережа пров. Тітова
 Д=100 L=1,141 км</t>
  </si>
  <si>
    <t>85320, 
вул. Різдва Христова</t>
  </si>
  <si>
    <t>85320, 
вул. Челябінська</t>
  </si>
  <si>
    <t>Каналізаційна мережа Челябінська 
Д=100 L=80 м</t>
  </si>
  <si>
    <t>85320, 
вул. Одеська</t>
  </si>
  <si>
    <t>Каналізаційна мережа інфекційна лікарня Д=200 L=1,65 км</t>
  </si>
  <si>
    <t>85320, 
пров. Парковий</t>
  </si>
  <si>
    <t>Каналізаційна мережа пров. Парковий (Орджонікідзе) Д=200 L=400 м</t>
  </si>
  <si>
    <t>Каналізаційна мережа Західний
 Д=200 L=5,7 км</t>
  </si>
  <si>
    <t>85320, 
пров. Технічний</t>
  </si>
  <si>
    <t>Каналізаційна мережа пров. Технічний 
Д=200 L=0,16 км</t>
  </si>
  <si>
    <t>85320, 
вул. Гірнична</t>
  </si>
  <si>
    <t>Каналізаційна мережа вул. Гірнична (Радянська) Д=200 L=0,14 км</t>
  </si>
  <si>
    <t>85320, 
пров. Шкільний</t>
  </si>
  <si>
    <t>Каналізаційна мережа Шкільний -Гагаріна Д=200 L=100</t>
  </si>
  <si>
    <t>85320, 
вул. Толбухіна</t>
  </si>
  <si>
    <t>Каналізаційна мережа Парковий (Орджонікідзе) Д=200 L=0,2 км</t>
  </si>
  <si>
    <t>85320, 
вул. Торгова</t>
  </si>
  <si>
    <t>Водовід вул. Торгова (Раскової) Д=75</t>
  </si>
  <si>
    <t>Каналізаційна мережа кв-л "Г" 
Д=200 L=750 м</t>
  </si>
  <si>
    <t>Каналізаційна мережа пров. Шкільний, 26 
Д=150 довжина 222 м</t>
  </si>
  <si>
    <t xml:space="preserve">Каналізаційна мережа вул. Гірнична (Радянська), 25 КПД Д=200 </t>
  </si>
  <si>
    <t>Каналізаційна мережа Західний, 74 
Д=150 довжина 320 м</t>
  </si>
  <si>
    <t xml:space="preserve">85320,
40-Квартал, 8А </t>
  </si>
  <si>
    <t>Колектор від котельні мікрорайону «Західний» до мікрорайону «Молодіжний»</t>
  </si>
  <si>
    <t>Каналізаційна мережа їдальні 3ападний Д=150 довжиною 5,36 км</t>
  </si>
  <si>
    <t xml:space="preserve">85320, 
вул. Соборна </t>
  </si>
  <si>
    <t>Водопровід Соборна (Ватутіна) довжиною 0,08 км Д=100</t>
  </si>
  <si>
    <t>Водопровід вул. Соборна ( Ватутіна) 1,2 км  Д=150</t>
  </si>
  <si>
    <t>Водопровід вул. Соборна (Ватутіна) 0,08 км  Д=50</t>
  </si>
  <si>
    <t>Водопровід вул. Соборна (Ватутіна) 0,48 км  Д=100</t>
  </si>
  <si>
    <t>Водопровід вул. Центральна (Артема) 0,2 км  Д=100</t>
  </si>
  <si>
    <t>Водопровід вул. Центральна (Артема) 0,4 км  Д=300</t>
  </si>
  <si>
    <t>Водопровід вул. Центральна (Артема) 0,08 км Д=50</t>
  </si>
  <si>
    <t>Водовід вул. Центральна (Артема) 0,8 км 
 Д=200</t>
  </si>
  <si>
    <t>Водопровід вул. Центральна (Артема) 0,4 км  Д=100</t>
  </si>
  <si>
    <t>Водовід вул. Центральна (Артема) 1,1 км, Д=200</t>
  </si>
  <si>
    <t>85320, 
вул. Вороб'євського</t>
  </si>
  <si>
    <t>Водопровід вул. Вороб'євського 0,37 км,  Д=100</t>
  </si>
  <si>
    <t>Водопровід вул. Вороб'євського 0,03 км,  Д=100</t>
  </si>
  <si>
    <t>85320, 
вул. Гастелло</t>
  </si>
  <si>
    <t>Водопровід вул. Гастелло 1,7 км
 Д=75</t>
  </si>
  <si>
    <t>85320, 
вул. Сільська</t>
  </si>
  <si>
    <t>Водопровід вул.  Сільська 0,35 км 
Д=50</t>
  </si>
  <si>
    <t>85320, 
вул. Абрамця</t>
  </si>
  <si>
    <t>Водопровід вул. Абрамця (І.Матвєєва) 0,057 км  Д=50</t>
  </si>
  <si>
    <t>85320, 
вул. Садова</t>
  </si>
  <si>
    <t>Водопровід вул. Садова 0,5 км 
Д=250</t>
  </si>
  <si>
    <t>Водопровід вул. Садова 1,0 км
 Д=100</t>
  </si>
  <si>
    <t>85320, 
вул. Сумська</t>
  </si>
  <si>
    <t>Водопровід вул. Сумська 0,45 км 
Д=75</t>
  </si>
  <si>
    <t>Водопровід вул. Сумська 0,35 км 
Д=100</t>
  </si>
  <si>
    <t>85320, 
вул. Чітінська</t>
  </si>
  <si>
    <t>Водопровід вул. Чітінська 0,1 км  
Д=100</t>
  </si>
  <si>
    <t>85320, 
вул. Лугова</t>
  </si>
  <si>
    <t>Водопровід вул. Лугова (Ленінградська) 0,7 км  Д=100</t>
  </si>
  <si>
    <t>Водопровід вул. Лугова (Ленінградська) 0,1 км  Д=100</t>
  </si>
  <si>
    <t>Водопровід вул. Коржова (Бабушкіна) 0,3 км   Д=100</t>
  </si>
  <si>
    <t>Водопровід вул. Коржова ( Бабушкіна) 0,2 км  Д=50</t>
  </si>
  <si>
    <t>Водопровід вул. Коржова (Бабушкіна) 0,2 км  Д=80</t>
  </si>
  <si>
    <t>85320, 
вул. Невського</t>
  </si>
  <si>
    <t>Водопровід вул. Невського 1.0 км 
Д=100</t>
  </si>
  <si>
    <t>85320, 
вул. Слов'янська</t>
  </si>
  <si>
    <t>Водопровід вул. Слов'янська (Журби) 
L=0,08 км Д=100</t>
  </si>
  <si>
    <t>Водопровід вул. Слов'янська (Журби)
 L=0,08 км Д=100</t>
  </si>
  <si>
    <t>85320, 
вул. Дарко</t>
  </si>
  <si>
    <t>Водопровід вул. Дарко 0,75 км
 Д=150</t>
  </si>
  <si>
    <t>Водопровід вул. Дарко
 L=0,2 км Д=150</t>
  </si>
  <si>
    <t>Водопровід вул. Дарко 
L=0,2 км Д=200</t>
  </si>
  <si>
    <t>Водопровід вул. Дарко 
L=0,8 км Д=50</t>
  </si>
  <si>
    <t>85320, 
пров. Азовський</t>
  </si>
  <si>
    <t>85320, 
пров. Уральський</t>
  </si>
  <si>
    <t>85320, 
вул. Уфимська</t>
  </si>
  <si>
    <t>Водопровід вул. Уфимська 0,1 км 
 Д=50</t>
  </si>
  <si>
    <t>85320, 
пров. Стандартний</t>
  </si>
  <si>
    <t>Водопровід пров. Стандартний (Шота) 0,07 км Д=150</t>
  </si>
  <si>
    <t>Водопровід пров. Стандартний (Шота) L=0,08 км Д=50</t>
  </si>
  <si>
    <t>Водопровід пров. Стандартний (Шота) L=0,2 км Д=100</t>
  </si>
  <si>
    <t>Водопровід пров. Стандартний (Шота) L=0,5 км Д=150</t>
  </si>
  <si>
    <t>85320, 
пров. Маріупольський</t>
  </si>
  <si>
    <t>85320, 
вул. Юридична</t>
  </si>
  <si>
    <t>85320, 
вул. Мінська</t>
  </si>
  <si>
    <t>Внутрішньоквартальні каналізаційні мережі буд. 1,2 кв. 5/23</t>
  </si>
  <si>
    <t>Внутрішньоквартальні каналізаційні мережі буд. 3 кв. 5/23</t>
  </si>
  <si>
    <t>Внутрішньоквартальні каналізаційні мережі буд. 4 кв. 5/23</t>
  </si>
  <si>
    <t>Внутрішньоквартальні каналізаційні мережі буд. 5 кв. 5/23</t>
  </si>
  <si>
    <t>Внутрішньоквартальні каналізаційні мережі буд. 20,21 кв. 5/23</t>
  </si>
  <si>
    <t>Водопровід вул. Мінська 0,3 км
 Д=150</t>
  </si>
  <si>
    <t>Водопровід вул. Мінська 0,2 км 
 Д=150</t>
  </si>
  <si>
    <t>85320, 
пров. Томський</t>
  </si>
  <si>
    <t>Водопровід пров. Томський 0,3 км Д=50</t>
  </si>
  <si>
    <t>Водопровід пров.Томський 0,34 км 
 Д=100</t>
  </si>
  <si>
    <t>85320, 
вул. Курська</t>
  </si>
  <si>
    <t>Водопровід вул. Курська 0,3 км 
Д=100</t>
  </si>
  <si>
    <t>Водопровід вул. Курська 0,2 км
 Д=50</t>
  </si>
  <si>
    <t>85320, 
вул. Автомобілістів</t>
  </si>
  <si>
    <t>85320, 
вул. Переяславська</t>
  </si>
  <si>
    <t>Водопровід вул. Переяславська 0,2 км, Д=100</t>
  </si>
  <si>
    <t>Водопровід вул. Переяславська L=0,02 км,  Д=273</t>
  </si>
  <si>
    <t>Водопровід вул. Торгова (Раскової) 0,05 км, Д=100</t>
  </si>
  <si>
    <t>Водопровід вул. Торгова (Раскової) 0,02 км  Д=100</t>
  </si>
  <si>
    <t>85320, 
пров. Зубка</t>
  </si>
  <si>
    <t>Водопровід пров. Зубка (Красноярський) 
0,2 км  Д=100</t>
  </si>
  <si>
    <t>Водовід від водонапірної башти до
 вул. Юридична (Фрунзе)</t>
  </si>
  <si>
    <t>85320, 
вул. Севастопольська</t>
  </si>
  <si>
    <t>Водовід від водонапірної вежі до 
вул. Севастопольська</t>
  </si>
  <si>
    <t>85320, 
вул. Волгоградська</t>
  </si>
  <si>
    <t>Водовід від водонапірної вежі до
 вул. Волгоградська</t>
  </si>
  <si>
    <t>85320, 
вул. Березова</t>
  </si>
  <si>
    <t>Водопровід вул. Березова (Щорса)</t>
  </si>
  <si>
    <t>85320, 
вул. Козацька</t>
  </si>
  <si>
    <t>85320, 
вул. Шолохова</t>
  </si>
  <si>
    <t>Водопровід вул. Шолохова</t>
  </si>
  <si>
    <t>Водопровід школа-інтернат</t>
  </si>
  <si>
    <t>Водопровід вул. Гірнична (Радянська), 1</t>
  </si>
  <si>
    <t>85320, 
вул. Божка</t>
  </si>
  <si>
    <t>Водопровід до гуртожитку</t>
  </si>
  <si>
    <t>Водопровід пров. Парковий (Орджонікідзе,) 1</t>
  </si>
  <si>
    <t>85320, 
пров. Копержинської</t>
  </si>
  <si>
    <t>Водопровід пров. Копержинської (Кірова)</t>
  </si>
  <si>
    <t>85320, 
пров. Чкалова</t>
  </si>
  <si>
    <t>Водопровід пров. Чкалова</t>
  </si>
  <si>
    <t>Водопровід пров. Шкільний</t>
  </si>
  <si>
    <t>85320, 
вул. Бридька</t>
  </si>
  <si>
    <t>Водопровід вул. Бридька (Леніна), 1</t>
  </si>
  <si>
    <t>85320, 
пров. Шевченка</t>
  </si>
  <si>
    <t>Водопровід пров. Шевченка</t>
  </si>
  <si>
    <t>85320, 
пров. Толбухіна</t>
  </si>
  <si>
    <t>Водопровід вул. Толбухіна</t>
  </si>
  <si>
    <t>85320, 
вул. Гагаріна</t>
  </si>
  <si>
    <t>Водопровід вул. Гагаріна, 1</t>
  </si>
  <si>
    <t>85320, 
вул. Ветеранська</t>
  </si>
  <si>
    <t>Водопровід вул. Ветеранська (Октябрська), 1</t>
  </si>
  <si>
    <t>Водопровід вул. Перемоги</t>
  </si>
  <si>
    <t>85320, 
вул. Тихого</t>
  </si>
  <si>
    <t>Водопровід вул. Тихого</t>
  </si>
  <si>
    <t>Водопровід вул. Козацька (Свердлова) 0,2 км Д=100</t>
  </si>
  <si>
    <t>85320, 
вул. Калинова</t>
  </si>
  <si>
    <t>Водопровід вул. Калинова (Калініна)</t>
  </si>
  <si>
    <t>85320, 
вул. Горького</t>
  </si>
  <si>
    <t>Водопровід вул. Горького, 1</t>
  </si>
  <si>
    <t>85320, 
вул. Гвардєйська</t>
  </si>
  <si>
    <t>Водопровід вул. Гвардійська</t>
  </si>
  <si>
    <t>85320, 
вул. Ветеранів війни</t>
  </si>
  <si>
    <t>Водопровід вул. Ветеранів війни 
(40 років Октября), 1</t>
  </si>
  <si>
    <t>85320, 
вул. Базарна</t>
  </si>
  <si>
    <t>Водопровід вул. Базарна</t>
  </si>
  <si>
    <t>85320, 
вул. Леваневського</t>
  </si>
  <si>
    <t>Водопровід вул. Леваневського, 1</t>
  </si>
  <si>
    <t>85320,
 вул. Пушкіна</t>
  </si>
  <si>
    <t>Водопровід вул. Пушкіна</t>
  </si>
  <si>
    <t>85320, 
вул. Павлова</t>
  </si>
  <si>
    <t>Водопровід вул. Гагаріна</t>
  </si>
  <si>
    <t>85320, 
вул. Гризодубової</t>
  </si>
  <si>
    <t>85320, 
вул. Кітченко</t>
  </si>
  <si>
    <t>Водопровід вул. Кітченко</t>
  </si>
  <si>
    <t>85320, 
вул. Стрітенська</t>
  </si>
  <si>
    <t>Водопровід вул. Стрітенська (Постишева), 1</t>
  </si>
  <si>
    <t>Водопровід вул. Разіна</t>
  </si>
  <si>
    <t>85320, 
вул. Сенна</t>
  </si>
  <si>
    <t>Водопровід вул. Сенна (Олександрова)</t>
  </si>
  <si>
    <t>85320, 
вул. Сєрова</t>
  </si>
  <si>
    <t>Водопровід вул. Сєрова, 1</t>
  </si>
  <si>
    <t>85320, 
вул. Черняховського</t>
  </si>
  <si>
    <t>Водопровід вул. Черняховського</t>
  </si>
  <si>
    <t>85320, 
вул. Лермонтова</t>
  </si>
  <si>
    <t>Водопровід вул. Лермонтова</t>
  </si>
  <si>
    <t>85320, 
вул. Суворова</t>
  </si>
  <si>
    <t>Водопровід вул. Суворова</t>
  </si>
  <si>
    <t>85320, 
вул. Кутузова</t>
  </si>
  <si>
    <t>Водопровід вул. Кутузова</t>
  </si>
  <si>
    <t>Водопровід вул. Калинова (Калініна), 1</t>
  </si>
  <si>
    <t>85320,
вул. Тихого</t>
  </si>
  <si>
    <t>Водопровід вул. Тихого (Котовського)</t>
  </si>
  <si>
    <t>Водопровід вул. Гончара (Фадєєва)</t>
  </si>
  <si>
    <t>85320, 
вул. Солов'яненка</t>
  </si>
  <si>
    <t>Водопровід від лікарні до вул. Солов'яненка (Фурманова)</t>
  </si>
  <si>
    <t>85320, 
вул. Тульська</t>
  </si>
  <si>
    <t>85320, 
пров. Кузнецький</t>
  </si>
  <si>
    <t>85320,
вул. Брянська</t>
  </si>
  <si>
    <t>85320, 
вул. Брянська</t>
  </si>
  <si>
    <t>Водопровід вул. Юридична (Фрунзе) 0,5 км  Д=250</t>
  </si>
  <si>
    <t>85320, 
вул. Успенська</t>
  </si>
  <si>
    <t>Водопровід вул. Успенська (Краснофлотська) 0,3 км Д=50</t>
  </si>
  <si>
    <t>85320, 
вул. В.Власова</t>
  </si>
  <si>
    <t>Водопровід вул. В.Власова (Гринька) 0,08 км Д=80</t>
  </si>
  <si>
    <t>Водопровід вул. В.Власова (Гринька) 0,12 км  Д=100</t>
  </si>
  <si>
    <t>85320, 
пров. Омський</t>
  </si>
  <si>
    <t>Водопровід Омський 0,1 км Д=400</t>
  </si>
  <si>
    <t>85320, 
вул. Коршункова</t>
  </si>
  <si>
    <t>Водопровід Коршункова 0,4 км  Д=100</t>
  </si>
  <si>
    <t>Водопровід Коршункова 0,08 км Д=50</t>
  </si>
  <si>
    <t>85320, 
вул. Таганрозька</t>
  </si>
  <si>
    <t>Водопровід Таганрозька 0,4 км  Д=50</t>
  </si>
  <si>
    <t>Водопровід Таганрозька 0,3 км Д=50</t>
  </si>
  <si>
    <t>Водопровід Таганрозька 1,7 км  Д=100</t>
  </si>
  <si>
    <t>85320, 
вул. Чернігівська</t>
  </si>
  <si>
    <t>Водопровід Чернігівська 0,2 км Д=100</t>
  </si>
  <si>
    <t>Водопровід Чернігівська 0,05 км Д=150</t>
  </si>
  <si>
    <t>85320, 
вул. Конторська</t>
  </si>
  <si>
    <t>Водопровід Конторська 0,18 км Д=50</t>
  </si>
  <si>
    <t>85320, 
вул. Затишна</t>
  </si>
  <si>
    <t>Водопровід Космодем'янської 1,0 км Д=50</t>
  </si>
  <si>
    <t>Водопровід Мухамадєєва 1,8 км Д=100</t>
  </si>
  <si>
    <t>85320, 
вул. Плєханова</t>
  </si>
  <si>
    <t>Водопровід Плєханова 0,7 км  Д=100</t>
  </si>
  <si>
    <t>Водопровід Комарова 0,8 км Д=150</t>
  </si>
  <si>
    <t>Водопровід Новаторська (3-го Інтернаціоналу) 0,46 км Д=100</t>
  </si>
  <si>
    <t>Водопровід Львівський 0,56 км Д=100</t>
  </si>
  <si>
    <t>Водопровід Брудіна 0,56 км Д=100</t>
  </si>
  <si>
    <t>Водопровід Тітова 1,41 км Д=100</t>
  </si>
  <si>
    <t>85320, 
пров. Різдва Христова</t>
  </si>
  <si>
    <t>Водопровід Різдва Христова (Островського) 0,63 км Д=100</t>
  </si>
  <si>
    <t>Водопровід Челябінська 0,8 км  Д=50</t>
  </si>
  <si>
    <t>Водопровід Західний 5,0 км Д=150</t>
  </si>
  <si>
    <t>85320, 
пров. Маяковського</t>
  </si>
  <si>
    <t>Водопровід Маяковського 0,45 км Д=50</t>
  </si>
  <si>
    <t>Водопровід Горького 0,9 км Д=50</t>
  </si>
  <si>
    <t>Водопровід Толбухіна 0,325 км Д=50</t>
  </si>
  <si>
    <t>Водопровід Севастопольська 0,325 км Д=50</t>
  </si>
  <si>
    <t>Самопливний колектор Ново-Економічне Д=800 довжиною 1500 м</t>
  </si>
  <si>
    <t>Зовнішній каналізаційний колектор буд. 28 кв/л 4/21</t>
  </si>
  <si>
    <t>Каналізаційна мережа до теплопункту мікрорайону «Східний»</t>
  </si>
  <si>
    <t>Водопровід буд. 1,2</t>
  </si>
  <si>
    <t>Водопровід буд. 3</t>
  </si>
  <si>
    <t>Водопровід буд. 4</t>
  </si>
  <si>
    <t>Водопровід буд. 5</t>
  </si>
  <si>
    <t>Водопровід буд. 9,13,16,18,20</t>
  </si>
  <si>
    <t>Водопровід буд. 26, 28</t>
  </si>
  <si>
    <t>Водопровід квартальний буд. 30</t>
  </si>
  <si>
    <t>Водопровід квартальний буд. 29</t>
  </si>
  <si>
    <t>Внутрішньоквартальні каналізаційні мережі буд. 9, 19а, 16, 20, 21 кварталу 5/23</t>
  </si>
  <si>
    <t>Внутрішньоквартальні каналізаційні мережі буд. 26, 27, 28</t>
  </si>
  <si>
    <t>Внутрішньоквартальні каналізаційні мережі буд. 30</t>
  </si>
  <si>
    <t>Внутрішньоквартальні каналізаційні мережі буд. 29</t>
  </si>
  <si>
    <t>85320, 
вул. Янтарна</t>
  </si>
  <si>
    <t>Каналізаційний колектор вул. Янтарна (Чичеріна) Д=800 довжиною 1047 м</t>
  </si>
  <si>
    <t>85320, 
пров. Робочий</t>
  </si>
  <si>
    <t>Каналізаційна мережа пров. Робочий, 10  Д=200</t>
  </si>
  <si>
    <t>85320, 
вул. Черніцина</t>
  </si>
  <si>
    <t>Каналізаційна мережа вул. Черніцина 6уд, 1 довжиною 0,063 км Д=200</t>
  </si>
  <si>
    <t>Самопливний колектор Д=800</t>
  </si>
  <si>
    <t>Каналізаційна мережа вул. Черніцина, 2А  Д=100</t>
  </si>
  <si>
    <t>Каналізаційна мережа пров. Робочий, 1А Д=100</t>
  </si>
  <si>
    <t>Каналізаційна мережа пров. Уральський, 15 Д=100</t>
  </si>
  <si>
    <t>Каналізаційна мережа пров. Уральський, 8  Д=100</t>
  </si>
  <si>
    <t>Каналізаційна мережа пров. Уральський, 6 Д=100</t>
  </si>
  <si>
    <t>Каналізаційна мережа пров. Уральський, 10 Д=100</t>
  </si>
  <si>
    <t>85320, 
вул. Читинська</t>
  </si>
  <si>
    <t>Напірна каналізація, 
5 Д=150</t>
  </si>
  <si>
    <t>Водопровід вул. Черніцина, 2а
 Д=50</t>
  </si>
  <si>
    <t>Водопровідна мережа пров. Уральський, 15 Д=50</t>
  </si>
  <si>
    <t>Водопровідна мережа пров. Уральський, 10 Д=25</t>
  </si>
  <si>
    <t>Водопровідна мережа пров. Робочий, 4
  Д=20</t>
  </si>
  <si>
    <t>85320, 
вул. Мухамадієва</t>
  </si>
  <si>
    <t>Колодязь під вимірювальні прилади</t>
  </si>
  <si>
    <t>Каналізаційний колектор школи-інтернат Л.Чайкіної-Щербакова</t>
  </si>
  <si>
    <t>85320, 
мкрн. Світлий</t>
  </si>
  <si>
    <t>85320, 
вул. Гончара, 15</t>
  </si>
  <si>
    <t>Огорожа насосної хлордозаторної № 10</t>
  </si>
  <si>
    <t>85320, 
вул. Гончара, 16</t>
  </si>
  <si>
    <t>Автопід'їзд</t>
  </si>
  <si>
    <t>85320,
 мкрн. Молодіжний</t>
  </si>
  <si>
    <t>Внутрішньоквартальна каналізаційна мережа квартал  4/21 Д=400 довжиною 543 пог.м</t>
  </si>
  <si>
    <t>Водопровід кварталу  4/21</t>
  </si>
  <si>
    <t>Водовід бази до вул. Солов'яненка (Фурманова)</t>
  </si>
  <si>
    <t>Внутрішньоквартальні каналізаційні мережі буд. 4, 5,  мікрорайону 4/21, теплопункт</t>
  </si>
  <si>
    <t>Водопровід буд. 1 квартал  4/21</t>
  </si>
  <si>
    <t>Внутрішньоквартальні каналізаційні мережі кварталу  4/21</t>
  </si>
  <si>
    <t>Водопровід буд. 32, 33 квартал  4/21</t>
  </si>
  <si>
    <t>Водопровід буд. 30, 31 квартал  4/21</t>
  </si>
  <si>
    <t>Водопровід буд. 28</t>
  </si>
  <si>
    <t>Внутрішньоквартальна каналізаційна мережа буд. 28 квартал 5/23, школа</t>
  </si>
  <si>
    <t>85320, 
вул. Дударенка</t>
  </si>
  <si>
    <t>Водопровід вул. Дударенка, 1</t>
  </si>
  <si>
    <t>Водопровід буд. 15</t>
  </si>
  <si>
    <t>Внутрішньоквартальні каналізаційні мережі буд. 15 квартал  4/21</t>
  </si>
  <si>
    <t>Внутрішньоквартальні каналізаційні мережі мікрорайон 4/21</t>
  </si>
  <si>
    <t>Водопровід квартал  4/21 буд. 1,12</t>
  </si>
  <si>
    <t>Водопровід  4/21 буд. 13, 14</t>
  </si>
  <si>
    <t>Каналізаційні мережі 4/21 буд. 1, 12</t>
  </si>
  <si>
    <t>Каналізаційна  мережа 4/21 буд. 13, 14</t>
  </si>
  <si>
    <t>85320, 
40-квартал</t>
  </si>
  <si>
    <t>Водопровід квартал 40 буд. 4, 3</t>
  </si>
  <si>
    <t>Водопровідна зовнішня мережа Димитрова</t>
  </si>
  <si>
    <t>Каналізаційна мережа квартал 40 буд. 3, 4</t>
  </si>
  <si>
    <t>Каналізаційна мережа квартал 40</t>
  </si>
  <si>
    <t xml:space="preserve">85320,
 мкрн. Молодіжний </t>
  </si>
  <si>
    <t>Водопровід квартал 4/21 буд. 4</t>
  </si>
  <si>
    <t>Водопровід квартал 40 буд. 1</t>
  </si>
  <si>
    <t>Водопровід до котельної</t>
  </si>
  <si>
    <t>Каналізаційна мережа буд.1 квартал 40</t>
  </si>
  <si>
    <t>Каналізаційна мережа до котельної кварталу 40</t>
  </si>
  <si>
    <t>Водопровід квартал 40 буд. 6, 8, 2</t>
  </si>
  <si>
    <t>Канаізаційна мережа буд. 16, 17 мікрорайон 4/21</t>
  </si>
  <si>
    <t>Водопровід мікрорайону  4/21 буд. 16, 17</t>
  </si>
  <si>
    <t>Водопровід 4/21 буд. 1</t>
  </si>
  <si>
    <t>Каналізаційна мережа буд. 9 мікрорайон 4/21</t>
  </si>
  <si>
    <t>Водопровід мікрорайон 4/21 буд. 2</t>
  </si>
  <si>
    <t>Каналізаційна мережа буд. 2 мікрорайон 4/21</t>
  </si>
  <si>
    <t>Водовід вул. Бридька (Леніна)</t>
  </si>
  <si>
    <t>85320, 
вул. Некрасова</t>
  </si>
  <si>
    <t>Водовід вул. Некрасова</t>
  </si>
  <si>
    <t>85320, 
вул. Гоголя</t>
  </si>
  <si>
    <t>Водовід вул. Гоголя</t>
  </si>
  <si>
    <t>Водопровід мікрорайон 4/21 буд. 18, 19</t>
  </si>
  <si>
    <t>Каналізаційна мережа буд.18, 19 мікрорайон 4/21</t>
  </si>
  <si>
    <t>Каналізаційна мережа буд. 7, 8 квартал 40</t>
  </si>
  <si>
    <t>Водопровід  4/21 буд. 20, 21</t>
  </si>
  <si>
    <t xml:space="preserve">  -</t>
  </si>
  <si>
    <t>Каналізаційна мережа мікрорайон 4/21 
буд. 20, 21</t>
  </si>
  <si>
    <t>Каналізаційна мережа  мікрорайон 4/21
 буд. 22, 23</t>
  </si>
  <si>
    <t xml:space="preserve">85320, 
вул. 8 Березня </t>
  </si>
  <si>
    <t>Водопровід вул. 8 Березня</t>
  </si>
  <si>
    <t>Водопровід до лікарні квартал 4/21</t>
  </si>
  <si>
    <t>Водопровід зовнішня мережа  буд. 20, 23</t>
  </si>
  <si>
    <t>Водопровід буд. 24 квартал 4/21</t>
  </si>
  <si>
    <t>Каналізаційна мережа мікрорайон 4/21 буд. 24</t>
  </si>
  <si>
    <t>Каналізаційна мережа буд. 26, 27 мікрорайон 4/21</t>
  </si>
  <si>
    <t>Водопровід буд. 26,27</t>
  </si>
  <si>
    <t>Водопровід вул. Соборна (Ватутіна), 1</t>
  </si>
  <si>
    <t>Водопровід до буд. 3 квартал 4/21</t>
  </si>
  <si>
    <t>Каналізаційна мережа буд. 3 мікрорайон 4/21</t>
  </si>
  <si>
    <t>Водопровід до буд. 39 кварталу 4/21</t>
  </si>
  <si>
    <t>Каналізаційна мережа буд. 39а, 39б  мікрорайон 4/21</t>
  </si>
  <si>
    <t>Зовнішній водопровід 4/21</t>
  </si>
  <si>
    <t>Каналізаційна мережа буд. 38 мікрорайон 4/21</t>
  </si>
  <si>
    <t>Водопровід  до буд. 9 квартал 40</t>
  </si>
  <si>
    <t>Водопровід до буд. 38 квартал  4/21</t>
  </si>
  <si>
    <t>Водопровід  до буд. 5 квартал  40</t>
  </si>
  <si>
    <t>Водопровід до буд. 12 квартал 40</t>
  </si>
  <si>
    <t>Каналізаційна мережа квартал 40 б. 9</t>
  </si>
  <si>
    <t>Каналізаційна мережа буд. 38  мікрорайон 4/21</t>
  </si>
  <si>
    <t>Каналізаційна мережа квартал 40 буд. 5а, 5б</t>
  </si>
  <si>
    <t>Каналізаційна мережа квартал 40 буд. 12</t>
  </si>
  <si>
    <t>Водопровід до буд. 28 квартал 4/21</t>
  </si>
  <si>
    <t>Водопровід буд. 37</t>
  </si>
  <si>
    <t>Каналізаційна мережа буд. 37 мікрорайон 4/21</t>
  </si>
  <si>
    <t>Водопровід  буд. 10 квартал 40</t>
  </si>
  <si>
    <t>Водопровід буд. 6 квартал 40</t>
  </si>
  <si>
    <t>Зовнішній  водовід</t>
  </si>
  <si>
    <t>Зовнішня каналізаційна мережа до котельні квартал 40</t>
  </si>
  <si>
    <t>Водопровід котельні квартал 40</t>
  </si>
  <si>
    <t>Водопровід буд. 29 квартал 4/21</t>
  </si>
  <si>
    <t>Водопровід  буд. 11 квартал 40</t>
  </si>
  <si>
    <t>Каналізаційна мережа мікрорайону «Світлий» буд. 1 на 90 квартир</t>
  </si>
  <si>
    <t>Водопровід 5-88 мікрорайону «Світлий» 1</t>
  </si>
  <si>
    <t>Водопровід буд. 4 вул. Соборна (Ватутіна)</t>
  </si>
  <si>
    <t>Каналізаційна мережа мікрорайон «Світлий» буд. 4 на 88 квартир</t>
  </si>
  <si>
    <t>Водопровід  буд. 4 мікрорайону «Світлий»</t>
  </si>
  <si>
    <t>Самопливний колектор від м'ясокомбінату</t>
  </si>
  <si>
    <t>Водопровід буд. 8 мікрорайон «Світлий»</t>
  </si>
  <si>
    <t>Водопровід буд. 14 мікрорайон «Світлий»</t>
  </si>
  <si>
    <t>Водопровід буд. 7 мікрорайон «Світлий»</t>
  </si>
  <si>
    <t>Каналізаційна мережа буд. 9 мікрорайон «Світлий»</t>
  </si>
  <si>
    <t>Водопровід буд. 3 мікрорайон «Світлий»</t>
  </si>
  <si>
    <t>Каналізаційна мережа буд. 3 на 60 квартир мікрорайон «Світлий»</t>
  </si>
  <si>
    <t>Водопровід буд. 6 мікрорайон «Світлий»</t>
  </si>
  <si>
    <t>Каналізаційна мережа буд. 6 мікрорайон «Світлий»</t>
  </si>
  <si>
    <t>Водопровід буд. 13 мікрорайон «Світлий»</t>
  </si>
  <si>
    <t>Водопровід до дитячого садка</t>
  </si>
  <si>
    <t>Зовнішня каналізаційна мережа до дитячого садка мікрорайону «Світлий»</t>
  </si>
  <si>
    <t>Водопровід буд. 15 мікрорайон «Світлий»</t>
  </si>
  <si>
    <t>Каналізаційна мережа буд. 15 мікрорайон «Світлий»</t>
  </si>
  <si>
    <t>Водопровід буд. 16 мікрорайон «Світлий»</t>
  </si>
  <si>
    <t>Каналізаційні мережі буд. 16  мікрорайон «Світлий»</t>
  </si>
  <si>
    <t>Водопровід буд. 17 мікрорайон «Світлий»</t>
  </si>
  <si>
    <t>Каналізаційна мережа буд. 17 мікрорайон «Світлий»</t>
  </si>
  <si>
    <t>Водопровід буд. 20 мікрорайону «Світлий»</t>
  </si>
  <si>
    <t>Каналізаційна мережа буд. 2 мікрорайон «Світлий»</t>
  </si>
  <si>
    <t>Водопровід буд. 39 мікрорайон «Світлий»</t>
  </si>
  <si>
    <t>Каналізаційна мережа мікрорайон «Світлий» буд. 39</t>
  </si>
  <si>
    <t>Водопровід буд. 38  мікрорайон «Світлий»</t>
  </si>
  <si>
    <t>Каналізаційна мережа буд. 37 мікрорайон «Світлий»</t>
  </si>
  <si>
    <t>Водопровід буд.36 мікрорайону «Світлий»</t>
  </si>
  <si>
    <t>Каналізаційна мережа буд.36 мікрорайон «Світлий»</t>
  </si>
  <si>
    <t>Зовнішні  каналізаційні мережі буд. 21 мікрорайон «Світлий»</t>
  </si>
  <si>
    <t>Водопровід буд. 21 мікрорайон «Світлий»</t>
  </si>
  <si>
    <t>Каналізаційна мережа мікрорайон «Світлий» буд. 27</t>
  </si>
  <si>
    <t>Каналізаційна мережа буд. 28 мікрорайон «Світлий»</t>
  </si>
  <si>
    <t>Водопровід буд. 27 мікрорайон «Світлий»</t>
  </si>
  <si>
    <t>Водопровід буд. 28 мікрорайон «Світлий»</t>
  </si>
  <si>
    <t>Водопровід до пункту приймання вторсировини мікрорайон «Світлий»</t>
  </si>
  <si>
    <t>Каналізаційна мережа буд. 24 мікрорайон «Світлий»</t>
  </si>
  <si>
    <t>Водопровід буд. 24 мікрорайон «Світлий»</t>
  </si>
  <si>
    <t>Каналізаційна мережа буд. 29 мікрорайон «Світлий»</t>
  </si>
  <si>
    <t>Водопровід буд. 26 мікрорайон «Світлий»</t>
  </si>
  <si>
    <t>Каналізаційна мережа буд. 26 мікрорайон «Світлий»</t>
  </si>
  <si>
    <t>Водопровід буд. 35 мікрорайон «Світлий»</t>
  </si>
  <si>
    <t>Внутрішньоквартальні мережі каналізації мікрорайон «Східний»</t>
  </si>
  <si>
    <t>Водопровід Східний</t>
  </si>
  <si>
    <t>Каналізаційні мережі мікрорайон «Східний» буд. 2</t>
  </si>
  <si>
    <t>Каналізаційні мережі мікрорайон «Східний» буд. 3</t>
  </si>
  <si>
    <t>Водопровід  буд. 2 мікрорайон «Східний»</t>
  </si>
  <si>
    <t>Водопровід буд. 3 мікрорайон «Східний»</t>
  </si>
  <si>
    <t>Водопровід ЧЕТИБ мікрорайон «Східний»</t>
  </si>
  <si>
    <t>Каналізаційні мережі мікрорайон «Східний» буд. 1</t>
  </si>
  <si>
    <t>Водопровід буд. 1 мікрорайон «Східний»</t>
  </si>
  <si>
    <t xml:space="preserve">85320, 
мкрн. Світлий </t>
  </si>
  <si>
    <t>Водопровід буд. 25 мікрорайон «Світлий»</t>
  </si>
  <si>
    <t>85320, 
вул. Донська</t>
  </si>
  <si>
    <t>Водопровід вул. Донська</t>
  </si>
  <si>
    <t>Каналізаційні мережі мікрорайон «Світлий» буд. 25</t>
  </si>
  <si>
    <t>Водопровід буд.18 мікрорайон «Світлий»</t>
  </si>
  <si>
    <t>Каналізаційні мережі до 9-ти поверхового 70-ти квартирного будинку№ 1 мікрорайон «Світлий»</t>
  </si>
  <si>
    <t>Водопровід буд. 19 мікрорайон «Світлий»</t>
  </si>
  <si>
    <t>Каналізаційні мережі мікрорайон «Світлий» буд. 19</t>
  </si>
  <si>
    <t>Водопровід  буд. 20 мікрорайон «Світлий»</t>
  </si>
  <si>
    <t>Каналізаційні мережі мікрорайон «Восточний» буд. 6</t>
  </si>
  <si>
    <t>Водопровід буд. 7 мікрорайон «Восточний»</t>
  </si>
  <si>
    <t>Каналізаційні мережі мікрорайон «Восточний» буд. 7</t>
  </si>
  <si>
    <t>Водопровід буд. 5 мікрорайон «Восточний»</t>
  </si>
  <si>
    <t>Каналізаційна мережа буд. 5 мікрорайон «Восточний»</t>
  </si>
  <si>
    <t>Водопровід  буд. 4 мікрорайон «Восточний»</t>
  </si>
  <si>
    <t>Зовнішня мережа каналізації буд. 4 мікрорайон «Восточний»</t>
  </si>
  <si>
    <t xml:space="preserve">Водопровідні мережі </t>
  </si>
  <si>
    <t>Каналізаційна мережа мікрорайон «Світлий» буд. 32</t>
  </si>
  <si>
    <t>Водопровід буд. 9 мікрорайон «Восточний»</t>
  </si>
  <si>
    <t>Каналізаційні мережі буд. 9 мікрорайон «Восточний»</t>
  </si>
  <si>
    <t>Водопровід буд. 10 мікрорайон «Восточний»</t>
  </si>
  <si>
    <t>Каналізаційні мережі буд. 10 мікрорайон «Восточний»</t>
  </si>
  <si>
    <t>Водопровід  буд. 31 мікрорайон «Світлий»</t>
  </si>
  <si>
    <t>Каналізаційні мережі мікрорайон «Світлий» буд. 31</t>
  </si>
  <si>
    <t>Водопровід буд. 8 мікрорайон «Восточний»</t>
  </si>
  <si>
    <t>Водопровід  буд. 14 мікрорайон «Світлий»</t>
  </si>
  <si>
    <t>Зовнішня каналізаційна мережа буд. 4 мікрорайон «Восточний»</t>
  </si>
  <si>
    <t>Колектор вул. Янтарна (Чичеріна)</t>
  </si>
  <si>
    <t>85320, 
вул. Західна</t>
  </si>
  <si>
    <t>Водопровідна мережа вул. Західна</t>
  </si>
  <si>
    <t>85320, 
вул. Красна</t>
  </si>
  <si>
    <t>Водопровідна мережа вул. Красна</t>
  </si>
  <si>
    <t>85320, 
вул. Кравченка</t>
  </si>
  <si>
    <t>Водопровідна мережа вул. Кравченка
 (Володарського)</t>
  </si>
  <si>
    <t>85320, 
вул. Герцена</t>
  </si>
  <si>
    <t>Водопровідна мережа вул. Герцена</t>
  </si>
  <si>
    <t>85320, 
вул. Ломоносова</t>
  </si>
  <si>
    <t>Водопровідна мережа вул. Ломоносова</t>
  </si>
  <si>
    <t>85320, 
пров. Економічний</t>
  </si>
  <si>
    <t>Водопровідна мережа вул. Енгельса</t>
  </si>
  <si>
    <t>85320, 
вул. Грушевського</t>
  </si>
  <si>
    <t>Водопровідна мережа вул. Грушевського (Крупської)</t>
  </si>
  <si>
    <t>85320,
 вул. Толстого</t>
  </si>
  <si>
    <t>Водопровідна мережа вул. Толстого</t>
  </si>
  <si>
    <t>Водопровідна мережа пров. Стандартний (Шота)</t>
  </si>
  <si>
    <t>85320, 
вул. Чехова</t>
  </si>
  <si>
    <t>Водопровідна мережа вул. Чехова</t>
  </si>
  <si>
    <t>85320, 
вул. Кіма</t>
  </si>
  <si>
    <t>Водопровідна мережа вул. Мирноградська (Кіма)</t>
  </si>
  <si>
    <t>85320, 
вул. Івасюка</t>
  </si>
  <si>
    <t>Водопровідна мережа вул. Івасюка (Пархоменко)</t>
  </si>
  <si>
    <t>85320, 
вул. Торецька</t>
  </si>
  <si>
    <t>Водопровідна мережа вул. Торецька (Кочубея)</t>
  </si>
  <si>
    <t>85320, 
пров. Київський</t>
  </si>
  <si>
    <t>Водопровідна мережа пров. Київський</t>
  </si>
  <si>
    <t>85320, 
вул. Довженка</t>
  </si>
  <si>
    <t>Водопровідна мережа вул. Р.Люксембург</t>
  </si>
  <si>
    <t>85320, 
вул. Бикова</t>
  </si>
  <si>
    <t>Водопровідна мережа вул. Бикова (Луначарського)</t>
  </si>
  <si>
    <t>85320, 
вул. Макаренка</t>
  </si>
  <si>
    <t>Водопровідна мережа  вул. Макаренка</t>
  </si>
  <si>
    <t>85320, 
вул. Попова</t>
  </si>
  <si>
    <t>Водопровідна мережа вул. Попова</t>
  </si>
  <si>
    <t>85320, 
вул. Заньковецької</t>
  </si>
  <si>
    <t>Водопровідна мережа вул. Заньковецької</t>
  </si>
  <si>
    <t>Водопровідна мережа вул. Дударенка</t>
  </si>
  <si>
    <t>85320, 
вул. Молодої Гвардії</t>
  </si>
  <si>
    <t>Водопровідна мережа вул. М.Гвардії</t>
  </si>
  <si>
    <t>Водопровідна мережа вул. Янтарна (Чичеріна)</t>
  </si>
  <si>
    <t>85320, 
вул. Свободи</t>
  </si>
  <si>
    <t>Водопровідна мережа вул. Свободи</t>
  </si>
  <si>
    <t>85320, 
вул. Тюленіна</t>
  </si>
  <si>
    <t>Водопровідна мережа вул. Тюленіна</t>
  </si>
  <si>
    <t>85320, 
вул. Травнева</t>
  </si>
  <si>
    <t>Водопровідна мережа вул. Травнева
 (1 Травня)</t>
  </si>
  <si>
    <t>85320, 
вул. Кар'єрна</t>
  </si>
  <si>
    <t>Водопровідна мережа вул. Кар'єрна (Комінтерна)</t>
  </si>
  <si>
    <t>85320, 
вул. Воронова</t>
  </si>
  <si>
    <t>Водопровідна мережа вул. Воронова</t>
  </si>
  <si>
    <t>85320,
вул. Лютнева</t>
  </si>
  <si>
    <t>Водопровідна мережа вул. Лютнева</t>
  </si>
  <si>
    <t>85320, 
вул. Малишка</t>
  </si>
  <si>
    <t>Водопровідна мережа вул. Малишка (Засядька)</t>
  </si>
  <si>
    <t>85320, 
вул. Ципляка</t>
  </si>
  <si>
    <t>Водопровідна мережа вул. Ципляка 
(20 Партз'їзду)</t>
  </si>
  <si>
    <t>85320, 
вул. Джерельна</t>
  </si>
  <si>
    <t>Водопровідна мережа вул. Джерельна (Ярославська)</t>
  </si>
  <si>
    <t>Водопровідна мережа вул. Лугова (Ленінградська)</t>
  </si>
  <si>
    <t>85320, 
пров. Партизанський</t>
  </si>
  <si>
    <t>Водопровідна мережа пров. Партизанський</t>
  </si>
  <si>
    <t>85320, 
вул. Кримська</t>
  </si>
  <si>
    <t>Водопровідна мережа вул. Кримська</t>
  </si>
  <si>
    <t>85320, 
вул. Польова</t>
  </si>
  <si>
    <t>Водопровідна мережа вул. Польова</t>
  </si>
  <si>
    <t>Водопровідна мережа вул. Шосейна</t>
  </si>
  <si>
    <t>85320, 
вул. Миру</t>
  </si>
  <si>
    <t>Водопровідна мережа вул. Миру</t>
  </si>
  <si>
    <t>Водопровідна мережа вул. Макаренка</t>
  </si>
  <si>
    <t>85320,
вул. Волкова</t>
  </si>
  <si>
    <t>Водопровідна мережа вул. Волкова</t>
  </si>
  <si>
    <t xml:space="preserve">85320, 
вул. Біляєва </t>
  </si>
  <si>
    <t>Водопровідна мережа вул. Біляєва</t>
  </si>
  <si>
    <t>85320, 
вул. Забіли</t>
  </si>
  <si>
    <t>Водопровідна мережа вул. Забіли (Комунарів)</t>
  </si>
  <si>
    <t>85320, 
вул. Колодязна</t>
  </si>
  <si>
    <t>Водопровідна мережа вул. Колодязна
 (24 Партз'їзду)</t>
  </si>
  <si>
    <t>85320,
 вул. Котляревського</t>
  </si>
  <si>
    <t>Водопровідна мережа вул. Котляревського</t>
  </si>
  <si>
    <t>85320, 
вул. Молокова</t>
  </si>
  <si>
    <t>Водопровідна мережа вул. Молокова</t>
  </si>
  <si>
    <t>85320, 
пров. Прокоф'єва</t>
  </si>
  <si>
    <t>Водопровідна мережа пров. Прокоф'єва (Петровського)</t>
  </si>
  <si>
    <t>85320, 
пров. Больничний</t>
  </si>
  <si>
    <t>Водопровідна мережа пров. Больничний</t>
  </si>
  <si>
    <t>85320, 
вул. Чайковського</t>
  </si>
  <si>
    <t>Водопровідна мережа вул. Чайковського</t>
  </si>
  <si>
    <t>85320, 
пров. Липовий</t>
  </si>
  <si>
    <t>Водопровідна мережа пров. Липовий (С.Лазо)</t>
  </si>
  <si>
    <t>85320, 
вул. Франка</t>
  </si>
  <si>
    <t>Водопровідна мережа вул. Франка</t>
  </si>
  <si>
    <t>85320, 
вул. Пугачова</t>
  </si>
  <si>
    <t>Водопровідна мережа вул. Пугачова</t>
  </si>
  <si>
    <t>85320, 
вул. Челюскіна</t>
  </si>
  <si>
    <t>Водопровідна мережа вул. Челюскіна</t>
  </si>
  <si>
    <t>85320, 
вул. Тополина</t>
  </si>
  <si>
    <t>Водопровідна мережа вул. Тополина (Чапаєва)</t>
  </si>
  <si>
    <t>85320, 
пров. Харківський</t>
  </si>
  <si>
    <t>Водопровідна мережа пров. Харківський</t>
  </si>
  <si>
    <t>85320, 
пров. Херсонський</t>
  </si>
  <si>
    <t>Водопровідна мережа пров. Херсонський</t>
  </si>
  <si>
    <t>85320, 
пров. Бердянський</t>
  </si>
  <si>
    <t>Водопровідна мережа пров. Бердянський</t>
  </si>
  <si>
    <t>85320, 
вул. Лиманська</t>
  </si>
  <si>
    <t>Водопровідна мережа пров. Лиманський (Краснолиманський)</t>
  </si>
  <si>
    <t>85320, 
вул. Революції Гідності</t>
  </si>
  <si>
    <t>Водопровідна мережа вул. Революції Гідності (Революції)</t>
  </si>
  <si>
    <t>85320, 
вул. Короленка</t>
  </si>
  <si>
    <t>Водопровідна мережа вул. Короленка</t>
  </si>
  <si>
    <t>85320, 
вул. Руднична</t>
  </si>
  <si>
    <t>Водопровідна мережа вул. Руднична (Красноармійська)</t>
  </si>
  <si>
    <t>Водопровідна мережа вул. Шолохова</t>
  </si>
  <si>
    <t>85320, 
вул. Дніпровська</t>
  </si>
  <si>
    <t>Водопровідна мережа вул. Дніпровська (Дніпропетровська)</t>
  </si>
  <si>
    <t>85320, 
вул. Чернишова</t>
  </si>
  <si>
    <t>Водопровідна мережа  вул. Чернишова (Пролетарська)</t>
  </si>
  <si>
    <t>85320, 
пров. Український</t>
  </si>
  <si>
    <t>Водопровідна мережа пров. Український</t>
  </si>
  <si>
    <t>85320, 
вул. Урожайна</t>
  </si>
  <si>
    <t>Водопровідна мережа вул. Урожайна</t>
  </si>
  <si>
    <t>85320, 
вул. Серафімовича</t>
  </si>
  <si>
    <t>Водопровідна мережа вул. Серафімовича</t>
  </si>
  <si>
    <t>85320, 
вул. Сухомлинського</t>
  </si>
  <si>
    <t>Водопровідна мережа вул.  Сухомлинського (Гайдара)</t>
  </si>
  <si>
    <t>85320, 
пров. Суховерхової</t>
  </si>
  <si>
    <t>Водопровідна мережа пров. Суховерхової (Потьомкіна)</t>
  </si>
  <si>
    <t>85320, 
вул. Шевцової</t>
  </si>
  <si>
    <t>Водопровідна мережа вул. Шевцової</t>
  </si>
  <si>
    <t>85320, 
вул. Чернишевського</t>
  </si>
  <si>
    <t>Водопровідна мережа вул. Чернишевського</t>
  </si>
  <si>
    <t>85320, 
вул. Атрохова</t>
  </si>
  <si>
    <t>Водопровідна мережа вул. Атрохова
 (Горбенко)</t>
  </si>
  <si>
    <t>85320, 
вул. Кренкеля</t>
  </si>
  <si>
    <t>Водопровідна мережа вул. Кренкеля</t>
  </si>
  <si>
    <t>85320, 
вул. Чубинського</t>
  </si>
  <si>
    <t>Водопровідна мережа вул. Чубинського (Федорова)</t>
  </si>
  <si>
    <t>85320, 
вул. Ширшова</t>
  </si>
  <si>
    <t>Водопровідна мережа вул. Ширшова</t>
  </si>
  <si>
    <t>85320, 
вул. Добролюбова</t>
  </si>
  <si>
    <t>Водопровідна мережа вул. Добролюбова</t>
  </si>
  <si>
    <t>85320, 
вул. Легендарна</t>
  </si>
  <si>
    <t>Водопровідна мережа вул. Легендарна (Тельмана)</t>
  </si>
  <si>
    <t>85320, 
пров. Самарський</t>
  </si>
  <si>
    <t>Водопровідна мережа пров. Самарський</t>
  </si>
  <si>
    <t>85320, 
вул. Тургенєва</t>
  </si>
  <si>
    <t>Водопровідна мережа вул. Тургенєва</t>
  </si>
  <si>
    <t>85320, 
пров. Руський</t>
  </si>
  <si>
    <t>Водопровідна мережа пров. Руський</t>
  </si>
  <si>
    <t>85320, 
пров. Заводський</t>
  </si>
  <si>
    <t>Водопровідна мережа пров. Заводський</t>
  </si>
  <si>
    <t>85320, 
вул. Панфілова</t>
  </si>
  <si>
    <t>Водопровідна мережа вул. Панфілова</t>
  </si>
  <si>
    <t>85320, 
пров. Архангельський</t>
  </si>
  <si>
    <t>Водопровідна мережа пров. Архангельський (Морозова)</t>
  </si>
  <si>
    <t>85320, 
пров. Репіна</t>
  </si>
  <si>
    <t>Водопровідна мережа пров. Репіна</t>
  </si>
  <si>
    <t>85320, 
вул. О.Вишні</t>
  </si>
  <si>
    <t>Водопровідна мережа вул. О.Вишні (Корчагіна)</t>
  </si>
  <si>
    <t>Водопровідна мережа вул. Фізкультурна (Руденка)</t>
  </si>
  <si>
    <t>85320,
вул. Кутузова</t>
  </si>
  <si>
    <t>Водопровідна мережа вул. Кутузова</t>
  </si>
  <si>
    <t>85320, 
вул. Родіна</t>
  </si>
  <si>
    <t>Водопровідна мережа вул. Родіна</t>
  </si>
  <si>
    <t>85320, 
вул. Героїв Чорнобиля</t>
  </si>
  <si>
    <t>Водопровідна мережа вул. Героїв Чорнобиля (Карла Маркса)</t>
  </si>
  <si>
    <t>85320, 
пров. Матросова</t>
  </si>
  <si>
    <t>Водопровідна мережа пров. Матросова</t>
  </si>
  <si>
    <t>85320, 
вул. Курченка</t>
  </si>
  <si>
    <t>Водопровідна мережа вул. Курченка</t>
  </si>
  <si>
    <t>85320, 
вул. Новогродівська</t>
  </si>
  <si>
    <t>Водопровідна мережа вул. Новогродівська</t>
  </si>
  <si>
    <t>пров. Шмідта</t>
  </si>
  <si>
    <t>Водопровідна мережа пров. Шмідта</t>
  </si>
  <si>
    <t>пров. Шахтний</t>
  </si>
  <si>
    <t>Водопровідна мережа пров. Шахтний</t>
  </si>
  <si>
    <t>85320, 
вул. Запорізька</t>
  </si>
  <si>
    <t>Водопровідна мережа вул. Запорізька</t>
  </si>
  <si>
    <t>Водопровідна мережа вул. Юридична (Фрунзе)</t>
  </si>
  <si>
    <t>вул. Карбишева</t>
  </si>
  <si>
    <t>Водопровідна мережа вул. Карбишева</t>
  </si>
  <si>
    <t>85320, 
вул. Карбишева</t>
  </si>
  <si>
    <t>Водопровідна мережа  вул. Карбишева</t>
  </si>
  <si>
    <t>Водопровідна мережа пров. Робочий</t>
  </si>
  <si>
    <t>85320, 
вул. Спартака</t>
  </si>
  <si>
    <t>Водопровідна мережа вул. Спартака</t>
  </si>
  <si>
    <t>85320, 
вул. Сорокіна</t>
  </si>
  <si>
    <t>Водопровідна мережа вул. Сорокіна</t>
  </si>
  <si>
    <t>Водопровідна мережа вул. Л.Чайкіної</t>
  </si>
  <si>
    <t>Водопровідна мережам вул. Західна</t>
  </si>
  <si>
    <t>Водопровідна мережа вул. Донська</t>
  </si>
  <si>
    <t>85320, 
вул. Дунаєвського</t>
  </si>
  <si>
    <t>Водопровідна мережа вул. Дунаєвського</t>
  </si>
  <si>
    <t>85320, 
вул. Вовчок</t>
  </si>
  <si>
    <t>Водопровідні мережі вул. Вовчок</t>
  </si>
  <si>
    <t>85320, 
вул. Тимирязєва</t>
  </si>
  <si>
    <t>Водопровідні мережі вул. Тимирязєва</t>
  </si>
  <si>
    <t>85320, 
вул. Редька</t>
  </si>
  <si>
    <t>Водопровідна мережа вул. Редька</t>
  </si>
  <si>
    <t>85320, 
вул. Мічуріна</t>
  </si>
  <si>
    <t>Водопровідні мережі вул. Мічуріна</t>
  </si>
  <si>
    <t xml:space="preserve">85320, 
пров. Лисенка </t>
  </si>
  <si>
    <t>водопровідні мережі пров. Лисенка</t>
  </si>
  <si>
    <t>85320, 
вул. Річна</t>
  </si>
  <si>
    <t>Водопровідні мережі вул. Річна</t>
  </si>
  <si>
    <t xml:space="preserve">85320, 
вул. Благовещенська </t>
  </si>
  <si>
    <t>Водопровідні мережі вул. Благовещенська</t>
  </si>
  <si>
    <t>85320, 
вул. Шептицького</t>
  </si>
  <si>
    <t>Водопровідні мережі вул. Шептицького</t>
  </si>
  <si>
    <t>85320, 
вул. Східна</t>
  </si>
  <si>
    <t>Водопровідні мережі вул. Східна</t>
  </si>
  <si>
    <t>Водопровід мікрорайон "Молодіжний"</t>
  </si>
  <si>
    <t>85320, 
мкрн. Молодіжний, 13-15; 17; 21; 30-31; 34-36; 40; 50; 53, 
мкрн. Східний, 1-3; 6; 7; 10; 11; 13</t>
  </si>
  <si>
    <t>Інженерні вводи житлових будинків мікрорайонів</t>
  </si>
  <si>
    <t xml:space="preserve">Покровський район 
с. Рівне </t>
  </si>
  <si>
    <t>Напірний колектор від КНС 6 до камери гасіння (нов)</t>
  </si>
  <si>
    <t xml:space="preserve">Добропільське ВУВКГ КП "Компанія "Вода Донбасу" </t>
  </si>
  <si>
    <t>м. Добропілля</t>
  </si>
  <si>
    <r>
      <rPr>
        <sz val="10"/>
        <color rgb="FF000000"/>
        <rFont val="Times New Roman"/>
        <family val="1"/>
        <charset val="204"/>
      </rPr>
      <t xml:space="preserve">85000,
</t>
    </r>
    <r>
      <rPr>
        <sz val="10"/>
        <rFont val="Times New Roman"/>
        <family val="1"/>
        <charset val="204"/>
      </rPr>
      <t xml:space="preserve"> просп. Перемоги, 62</t>
    </r>
  </si>
  <si>
    <t>Водопровідна вежа</t>
  </si>
  <si>
    <t>100</t>
  </si>
  <si>
    <t>1953</t>
  </si>
  <si>
    <t>85000,
 вул. Комунальна, 10</t>
  </si>
  <si>
    <t>110</t>
  </si>
  <si>
    <t>Лабораторно-побутовий корпус</t>
  </si>
  <si>
    <t>111</t>
  </si>
  <si>
    <t>85000, 
вул. Комунальна, 10</t>
  </si>
  <si>
    <t>Приміщення хлораторної</t>
  </si>
  <si>
    <t>115</t>
  </si>
  <si>
    <t>Добропільський р-н, 
с. Золотий Колодязь</t>
  </si>
  <si>
    <t>85018, 
вул. Гей М.Т., 2</t>
  </si>
  <si>
    <t>Нежитловий будинок 54 м²</t>
  </si>
  <si>
    <t>1341</t>
  </si>
  <si>
    <t>1951</t>
  </si>
  <si>
    <t xml:space="preserve">85018, 
вул. Гей М.Т., 5 </t>
  </si>
  <si>
    <t>134а,б</t>
  </si>
  <si>
    <t>Добропільський р-н, 
с. Ганнівка</t>
  </si>
  <si>
    <t>85022,
 вул. Лугова, 56</t>
  </si>
  <si>
    <t>Приміщення насосної станції</t>
  </si>
  <si>
    <t>155</t>
  </si>
  <si>
    <t>м. Добропілля, 
м. Білозерське</t>
  </si>
  <si>
    <t>85013,
 вул. Пушкіна, 13А</t>
  </si>
  <si>
    <t>236</t>
  </si>
  <si>
    <t>1952</t>
  </si>
  <si>
    <t>85000,
 вул. Київська</t>
  </si>
  <si>
    <t>258</t>
  </si>
  <si>
    <t>1950</t>
  </si>
  <si>
    <t>Добропільський р-н, 
с. Красноярське</t>
  </si>
  <si>
    <t>85040,
 вул. Миру, 1А</t>
  </si>
  <si>
    <t>Приміщення  хлораторної</t>
  </si>
  <si>
    <t>268</t>
  </si>
  <si>
    <t>1954</t>
  </si>
  <si>
    <t>Олександрівський р-н, 
смт Олександрівка</t>
  </si>
  <si>
    <t>84000,
 вул. Навчальна, 10А</t>
  </si>
  <si>
    <t>Водопровідна насосна станція</t>
  </si>
  <si>
    <t>304</t>
  </si>
  <si>
    <t>305</t>
  </si>
  <si>
    <t>м. Добропілля,
 м. Білозерське</t>
  </si>
  <si>
    <t>85013,
 вул. Східна, 17А</t>
  </si>
  <si>
    <t>Каналізаційна насосна станція № 4</t>
  </si>
  <si>
    <t>3106</t>
  </si>
  <si>
    <t>85018, 
вул. Гей М.Т., 24</t>
  </si>
  <si>
    <t>Приміщення  туалету</t>
  </si>
  <si>
    <t>3167</t>
  </si>
  <si>
    <t>85000,
 вул. Луганського, 2А</t>
  </si>
  <si>
    <t>Цілісний майновий комплекс (база)</t>
  </si>
  <si>
    <t>3170</t>
  </si>
  <si>
    <t>м. Добропілля, 
м. Білицьке</t>
  </si>
  <si>
    <t>85043,
 вул. Паркова, 5А</t>
  </si>
  <si>
    <t>Виробнича база</t>
  </si>
  <si>
    <t>3171</t>
  </si>
  <si>
    <t>Олександрівський р-н,
смт Олександрівка</t>
  </si>
  <si>
    <t>Приміщення вбиральні</t>
  </si>
  <si>
    <t>3172</t>
  </si>
  <si>
    <r>
      <rPr>
        <sz val="10"/>
        <color rgb="FF000000"/>
        <rFont val="Times New Roman"/>
        <family val="1"/>
        <charset val="204"/>
      </rPr>
      <t xml:space="preserve">85000,
</t>
    </r>
    <r>
      <rPr>
        <sz val="10"/>
        <rFont val="Times New Roman"/>
        <family val="1"/>
        <charset val="204"/>
      </rPr>
      <t xml:space="preserve"> просп. </t>
    </r>
    <r>
      <rPr>
        <sz val="10"/>
        <color rgb="FF000000"/>
        <rFont val="Times New Roman"/>
        <family val="1"/>
        <charset val="204"/>
      </rPr>
      <t>Перемоги, 62</t>
    </r>
  </si>
  <si>
    <t>Приміщення  гаражу</t>
  </si>
  <si>
    <t>32631</t>
  </si>
  <si>
    <t>3265</t>
  </si>
  <si>
    <t>Добропільський район, 
с. Копані</t>
  </si>
  <si>
    <t>85020,
 вул. Благодатна, 16</t>
  </si>
  <si>
    <t>Приміщення лабораторії</t>
  </si>
  <si>
    <t>3267</t>
  </si>
  <si>
    <t>85000, 
вул. Східна, 95</t>
  </si>
  <si>
    <t>Приміщення підкачувальної насосної станції</t>
  </si>
  <si>
    <t>3268</t>
  </si>
  <si>
    <t>3273</t>
  </si>
  <si>
    <t>85000,
 вул. Першотравнева, 36А</t>
  </si>
  <si>
    <t>3275</t>
  </si>
  <si>
    <t>3276</t>
  </si>
  <si>
    <t>ВНС (виробнича база)</t>
  </si>
  <si>
    <t>3278</t>
  </si>
  <si>
    <t>Приміщення для персоналу</t>
  </si>
  <si>
    <t>3280</t>
  </si>
  <si>
    <t>м. Добропілля, 
смт Новодонецьке</t>
  </si>
  <si>
    <t>85010,
вул. Залізнична, 1А</t>
  </si>
  <si>
    <t>Вбиральня</t>
  </si>
  <si>
    <t>3282</t>
  </si>
  <si>
    <t>Приміщення гаражів</t>
  </si>
  <si>
    <t>3283</t>
  </si>
  <si>
    <t>85010, 
вул. Залізнична, 1А</t>
  </si>
  <si>
    <t>Приміщення водомірного вузла</t>
  </si>
  <si>
    <t>3285</t>
  </si>
  <si>
    <t>Добропільський р-н,
с. Копані</t>
  </si>
  <si>
    <t>33491</t>
  </si>
  <si>
    <t>335/4</t>
  </si>
  <si>
    <t>85000,
вул. Луганського, 2</t>
  </si>
  <si>
    <t>33661</t>
  </si>
  <si>
    <t>Будівля майстерні слюсара</t>
  </si>
  <si>
    <t>337/7</t>
  </si>
  <si>
    <t>Вугільний склад</t>
  </si>
  <si>
    <t>33951</t>
  </si>
  <si>
    <t>Приміщення гаражу</t>
  </si>
  <si>
    <t>33961</t>
  </si>
  <si>
    <t>85013,
вул. Горького</t>
  </si>
  <si>
    <t>Каналізаційна насосна станція № 3</t>
  </si>
  <si>
    <t>34001</t>
  </si>
  <si>
    <t>85043,
вул. Швецова, 4Б</t>
  </si>
  <si>
    <t>Водопровідно-насосна станція</t>
  </si>
  <si>
    <t>34011</t>
  </si>
  <si>
    <t>м. Добропілля,
 м. Білицьке</t>
  </si>
  <si>
    <t>Вежа водонапірна</t>
  </si>
  <si>
    <t>34021</t>
  </si>
  <si>
    <t>401</t>
  </si>
  <si>
    <t>Прохідна з котельної</t>
  </si>
  <si>
    <t>419</t>
  </si>
  <si>
    <t>422</t>
  </si>
  <si>
    <t xml:space="preserve"> Хлораторна</t>
  </si>
  <si>
    <t>423</t>
  </si>
  <si>
    <t>Насосна станція мулової води</t>
  </si>
  <si>
    <t>445</t>
  </si>
  <si>
    <t>Будівля решіток (компресорна)</t>
  </si>
  <si>
    <t>446/12</t>
  </si>
  <si>
    <t>446/13</t>
  </si>
  <si>
    <t>446/17</t>
  </si>
  <si>
    <t>Насосна станція рециркуляції</t>
  </si>
  <si>
    <t>447</t>
  </si>
  <si>
    <t>Водонапірна насосна станція</t>
  </si>
  <si>
    <t>473/483</t>
  </si>
  <si>
    <t>85040,
вул. Миру, 1А</t>
  </si>
  <si>
    <t>Нові очисні споруди</t>
  </si>
  <si>
    <t>519</t>
  </si>
  <si>
    <t>85000,
вул. Ростовська, 82А</t>
  </si>
  <si>
    <t>Будівля насосної станції № 7</t>
  </si>
  <si>
    <t>559</t>
  </si>
  <si>
    <t xml:space="preserve"> Будинок на очисних спорудах</t>
  </si>
  <si>
    <t>562</t>
  </si>
  <si>
    <t>85000,
вул. Полтавська, 38</t>
  </si>
  <si>
    <t>Насосна станція фекальних вод № 5</t>
  </si>
  <si>
    <t>712</t>
  </si>
  <si>
    <t xml:space="preserve">85018, 
вул. Гей М.Т., 24 </t>
  </si>
  <si>
    <t>Приміщення підстанції</t>
  </si>
  <si>
    <t>733</t>
  </si>
  <si>
    <t xml:space="preserve">85018,
 вул. Гей М.Т., 24 </t>
  </si>
  <si>
    <t>734</t>
  </si>
  <si>
    <t>84000,
 вул. Навчальна, 25</t>
  </si>
  <si>
    <t>Очисні споруди каналізаційна установка 200</t>
  </si>
  <si>
    <t>736а</t>
  </si>
  <si>
    <t>84000,
 вул. Центральна, 114</t>
  </si>
  <si>
    <t>Станція знезалізнення питної води</t>
  </si>
  <si>
    <t>736</t>
  </si>
  <si>
    <t>Приміщення слюсарної майстерні</t>
  </si>
  <si>
    <t>756</t>
  </si>
  <si>
    <t>Приміщення фтораторної</t>
  </si>
  <si>
    <t>760</t>
  </si>
  <si>
    <t>761</t>
  </si>
  <si>
    <t>762</t>
  </si>
  <si>
    <t>Холодильний склад</t>
  </si>
  <si>
    <t>768</t>
  </si>
  <si>
    <t>85000,
вул. Першотравнева, 36А</t>
  </si>
  <si>
    <t>795</t>
  </si>
  <si>
    <t>797</t>
  </si>
  <si>
    <t>85000,
вул. Східна, 95</t>
  </si>
  <si>
    <t>8086</t>
  </si>
  <si>
    <t>Приміщення прохідної</t>
  </si>
  <si>
    <t>904</t>
  </si>
  <si>
    <t>84000,
вул. Центральна, 13А</t>
  </si>
  <si>
    <t>979</t>
  </si>
  <si>
    <t>84000,
вул. Навчальна, 10</t>
  </si>
  <si>
    <t>982</t>
  </si>
  <si>
    <t>983</t>
  </si>
  <si>
    <t>Виробнича база ділянки № 4</t>
  </si>
  <si>
    <t>85000,
просп. Перемоги, 62</t>
  </si>
  <si>
    <t xml:space="preserve">Резервуар 600 куб. м                  </t>
  </si>
  <si>
    <t xml:space="preserve">101     </t>
  </si>
  <si>
    <t>Благоустрій (огорожа з плит б/в)</t>
  </si>
  <si>
    <t xml:space="preserve">3264    </t>
  </si>
  <si>
    <t>85022,
вул. Лугова, 56</t>
  </si>
  <si>
    <t xml:space="preserve">Будівля із свердловинами </t>
  </si>
  <si>
    <t xml:space="preserve">156     </t>
  </si>
  <si>
    <t xml:space="preserve">      -</t>
  </si>
  <si>
    <t xml:space="preserve">Резервуар           </t>
  </si>
  <si>
    <t xml:space="preserve">191     </t>
  </si>
  <si>
    <t xml:space="preserve">Резервуар 6000 куб. м 3-й підйом                 </t>
  </si>
  <si>
    <t xml:space="preserve">794     </t>
  </si>
  <si>
    <t>85000,
вул. Київська</t>
  </si>
  <si>
    <t xml:space="preserve">Резервуар 2х250 куб. м </t>
  </si>
  <si>
    <t xml:space="preserve">191а    </t>
  </si>
  <si>
    <t xml:space="preserve">Огорожа насосної станції 3-го підйому                </t>
  </si>
  <si>
    <t xml:space="preserve">794а    </t>
  </si>
  <si>
    <t>Резервуар для води м. Добропілля</t>
  </si>
  <si>
    <t xml:space="preserve">1450    </t>
  </si>
  <si>
    <t xml:space="preserve">Резервуар 180 куб. м (б/в)               </t>
  </si>
  <si>
    <t xml:space="preserve">3269    </t>
  </si>
  <si>
    <t xml:space="preserve">Огорожа (благоустрій б/в)         </t>
  </si>
  <si>
    <t xml:space="preserve">3270    </t>
  </si>
  <si>
    <t xml:space="preserve">Благоустрій ВНС 3-го підйому     </t>
  </si>
  <si>
    <t xml:space="preserve">3274    </t>
  </si>
  <si>
    <t xml:space="preserve">Благоустрій Ждановська ВНС      </t>
  </si>
  <si>
    <t xml:space="preserve">3277    </t>
  </si>
  <si>
    <t>85000,
вул. Комунальна, 10</t>
  </si>
  <si>
    <r>
      <rPr>
        <sz val="10"/>
        <rFont val="Times New Roman"/>
        <family val="1"/>
        <charset val="204"/>
      </rPr>
      <t>Благоустроєні</t>
    </r>
    <r>
      <rPr>
        <sz val="10"/>
        <color rgb="FF000000"/>
        <rFont val="Times New Roman"/>
        <family val="1"/>
        <charset val="204"/>
      </rPr>
      <t xml:space="preserve"> майданчики           </t>
    </r>
  </si>
  <si>
    <t xml:space="preserve">92      </t>
  </si>
  <si>
    <t xml:space="preserve">Зовнішня мережа теплотраси          </t>
  </si>
  <si>
    <t xml:space="preserve">93      </t>
  </si>
  <si>
    <t xml:space="preserve">пог. м </t>
  </si>
  <si>
    <t xml:space="preserve">Зовнішня мережа водопроводу          </t>
  </si>
  <si>
    <t xml:space="preserve">94      </t>
  </si>
  <si>
    <t xml:space="preserve">Зовнішня мережа каналізації          </t>
  </si>
  <si>
    <t xml:space="preserve">95      </t>
  </si>
  <si>
    <t xml:space="preserve">Мережа телефонізації                </t>
  </si>
  <si>
    <t xml:space="preserve">96      </t>
  </si>
  <si>
    <t xml:space="preserve">Повітряна мережа зовнішнього електричного освітлення </t>
  </si>
  <si>
    <t xml:space="preserve">98      </t>
  </si>
  <si>
    <t>Кабельні ЛЕП-0,4 КВт на майданчику очисних споруд</t>
  </si>
  <si>
    <t xml:space="preserve">103     </t>
  </si>
  <si>
    <t xml:space="preserve">Кабельна ЛЕП 6 КВ от РП-4 до ТП-5 </t>
  </si>
  <si>
    <t xml:space="preserve">105     </t>
  </si>
  <si>
    <t xml:space="preserve">Кабельна ЛЕП 6КВ"РП-4-ТП-46-ТП-56 </t>
  </si>
  <si>
    <t xml:space="preserve">106     </t>
  </si>
  <si>
    <t xml:space="preserve">Кабельно-повітряна ЛЕП             </t>
  </si>
  <si>
    <t xml:space="preserve">107     </t>
  </si>
  <si>
    <t xml:space="preserve">Біологічні пруди                </t>
  </si>
  <si>
    <t xml:space="preserve">112     </t>
  </si>
  <si>
    <t xml:space="preserve">Контактні резервуари              </t>
  </si>
  <si>
    <t xml:space="preserve">113     </t>
  </si>
  <si>
    <t xml:space="preserve">Технологічні трубопроводи       </t>
  </si>
  <si>
    <t xml:space="preserve">114     </t>
  </si>
  <si>
    <t xml:space="preserve">Лотки "Вентури-Паршаля"            </t>
  </si>
  <si>
    <t xml:space="preserve">116     </t>
  </si>
  <si>
    <t xml:space="preserve">Блок резервуарів                   </t>
  </si>
  <si>
    <t xml:space="preserve">449     </t>
  </si>
  <si>
    <t xml:space="preserve">Вторинні відстійники               </t>
  </si>
  <si>
    <t xml:space="preserve">450     </t>
  </si>
  <si>
    <t>Контактно-стабілізаційні аеротенки</t>
  </si>
  <si>
    <t xml:space="preserve">451     </t>
  </si>
  <si>
    <t xml:space="preserve">Первинні відстійники               </t>
  </si>
  <si>
    <t xml:space="preserve">452     </t>
  </si>
  <si>
    <t xml:space="preserve">Горизонтальні пісколовки          </t>
  </si>
  <si>
    <t xml:space="preserve">453     </t>
  </si>
  <si>
    <t xml:space="preserve">Решітки-дробарки 1-ої, 2-ої, 3-ої черги     </t>
  </si>
  <si>
    <t xml:space="preserve">483     </t>
  </si>
  <si>
    <t xml:space="preserve">Приймальна камера                    </t>
  </si>
  <si>
    <t xml:space="preserve">484     </t>
  </si>
  <si>
    <t xml:space="preserve">Мулові майданчики 2 одиниці по 100 кв. м           </t>
  </si>
  <si>
    <t xml:space="preserve">336/1   </t>
  </si>
  <si>
    <t xml:space="preserve"> кв. м</t>
  </si>
  <si>
    <t xml:space="preserve">Трубопровід на очисні споруди </t>
  </si>
  <si>
    <t xml:space="preserve">336/2   </t>
  </si>
  <si>
    <t>1966</t>
  </si>
  <si>
    <t xml:space="preserve">336/3   </t>
  </si>
  <si>
    <t xml:space="preserve">Вторинні відстійники 288 куб. м    </t>
  </si>
  <si>
    <t xml:space="preserve">336/4   </t>
  </si>
  <si>
    <t xml:space="preserve">Біофільтри 2040 куб. м               </t>
  </si>
  <si>
    <t xml:space="preserve">336/5   </t>
  </si>
  <si>
    <t xml:space="preserve">Водовимірювальні лотки            </t>
  </si>
  <si>
    <t xml:space="preserve">336/6   </t>
  </si>
  <si>
    <t xml:space="preserve">Мулопровід                     </t>
  </si>
  <si>
    <t xml:space="preserve">336/7   </t>
  </si>
  <si>
    <t xml:space="preserve">Хлоропровід                        </t>
  </si>
  <si>
    <t xml:space="preserve">336/9   </t>
  </si>
  <si>
    <t xml:space="preserve">Трубопровід до очисних споруд           </t>
  </si>
  <si>
    <t xml:space="preserve">336/10  </t>
  </si>
  <si>
    <t>Пісколовки горизонтальні</t>
  </si>
  <si>
    <t xml:space="preserve">336/11  </t>
  </si>
  <si>
    <t xml:space="preserve">         Біофільтри                         </t>
  </si>
  <si>
    <t xml:space="preserve">337/1   </t>
  </si>
  <si>
    <t xml:space="preserve">         Мулопровід                          </t>
  </si>
  <si>
    <t xml:space="preserve">337/2   </t>
  </si>
  <si>
    <t xml:space="preserve">Первинний відстійник                </t>
  </si>
  <si>
    <t xml:space="preserve">337/6   </t>
  </si>
  <si>
    <t xml:space="preserve">Мулові майданчики 300 куб. м        </t>
  </si>
  <si>
    <t xml:space="preserve">337/9   </t>
  </si>
  <si>
    <t xml:space="preserve">Пісколовки старі                  </t>
  </si>
  <si>
    <t xml:space="preserve">337/11  </t>
  </si>
  <si>
    <t xml:space="preserve">Вторинні відстійники                 </t>
  </si>
  <si>
    <t xml:space="preserve">337/12  </t>
  </si>
  <si>
    <t>Трубопровід до очищувальних споруд</t>
  </si>
  <si>
    <t xml:space="preserve">337/13  </t>
  </si>
  <si>
    <t xml:space="preserve">Водогінні мережі на очищувальні споруди                      </t>
  </si>
  <si>
    <t xml:space="preserve">337/14  </t>
  </si>
  <si>
    <t xml:space="preserve">Напірний мулопровід старий          </t>
  </si>
  <si>
    <t xml:space="preserve">337/15  </t>
  </si>
  <si>
    <t xml:space="preserve">Трубопровід до ОС старий           </t>
  </si>
  <si>
    <t xml:space="preserve">337/17  </t>
  </si>
  <si>
    <t xml:space="preserve">Трубопровід стічних вод старий     </t>
  </si>
  <si>
    <t xml:space="preserve">337/18  </t>
  </si>
  <si>
    <t xml:space="preserve">Мулові та піскові площадки         </t>
  </si>
  <si>
    <t xml:space="preserve">444/7   </t>
  </si>
  <si>
    <t xml:space="preserve">85000,
вул. Першотравнева         </t>
  </si>
  <si>
    <t xml:space="preserve">Каналізаційні мережі до гуртожитку                   </t>
  </si>
  <si>
    <t xml:space="preserve">120     </t>
  </si>
  <si>
    <t xml:space="preserve">85000,
вул. Першотравнева, 9        </t>
  </si>
  <si>
    <t xml:space="preserve">Каналізаційні мережі вул. Першотравнева, 9              </t>
  </si>
  <si>
    <t xml:space="preserve">147     </t>
  </si>
  <si>
    <t>85000,
просп. Перемоги</t>
  </si>
  <si>
    <t xml:space="preserve">Каналізаційні мережі просп. Перемоги                     </t>
  </si>
  <si>
    <t xml:space="preserve">151     </t>
  </si>
  <si>
    <t xml:space="preserve">85000,
вул. Першотравнева, 42   </t>
  </si>
  <si>
    <t xml:space="preserve">Каналізаційні зовнішні мережі вул. Першотравнева, 42      </t>
  </si>
  <si>
    <t xml:space="preserve">157     </t>
  </si>
  <si>
    <t>85000, 
мкрн. Молодіжний, 31</t>
  </si>
  <si>
    <t xml:space="preserve">Каналізаційні мережі житловий будинок                         </t>
  </si>
  <si>
    <t xml:space="preserve">159     </t>
  </si>
  <si>
    <t>Каналізаційні мережі до гуртожитку по
 вул. Першотравнева</t>
  </si>
  <si>
    <t xml:space="preserve">177     </t>
  </si>
  <si>
    <t>85000, 
вул. Калинова, 61</t>
  </si>
  <si>
    <t xml:space="preserve">Каналізаційні мережі до СЕС                          </t>
  </si>
  <si>
    <t xml:space="preserve">178     </t>
  </si>
  <si>
    <t xml:space="preserve">85000,
вул. Першотравнева, 29   </t>
  </si>
  <si>
    <t xml:space="preserve">Каналізаційні мережі вул. Першотравнева, 29             </t>
  </si>
  <si>
    <t xml:space="preserve">205     </t>
  </si>
  <si>
    <t>85000, 
пров. Луганський, 29</t>
  </si>
  <si>
    <t xml:space="preserve">Каналізаційні мережі пров. Луганський, 29               </t>
  </si>
  <si>
    <t xml:space="preserve">207     </t>
  </si>
  <si>
    <t xml:space="preserve">85000,
вул. Незалежності       </t>
  </si>
  <si>
    <t xml:space="preserve">Каналізаційні мережі від палацу спорта до колектора     </t>
  </si>
  <si>
    <t xml:space="preserve">337     </t>
  </si>
  <si>
    <t xml:space="preserve">338     </t>
  </si>
  <si>
    <t xml:space="preserve">85000,
вул. Театральна     </t>
  </si>
  <si>
    <t xml:space="preserve">Каналізаційні мережі вул. Театральна                 </t>
  </si>
  <si>
    <t xml:space="preserve">339     </t>
  </si>
  <si>
    <t>85000,
вул. Банкова</t>
  </si>
  <si>
    <t xml:space="preserve">Каналізаційні мережі вул. Банкова 
(вул. Радянська)                  </t>
  </si>
  <si>
    <t xml:space="preserve">340     </t>
  </si>
  <si>
    <t xml:space="preserve">Каналізаційні мережі від треста до 
просп. Перемоги    </t>
  </si>
  <si>
    <t xml:space="preserve">341     </t>
  </si>
  <si>
    <t>85000,
вул. Котляревського Івана до
 вул. Івана Франка</t>
  </si>
  <si>
    <t xml:space="preserve">Каналізаційні мережі від вул. Котляревського до вул. І.Франка (вул. Свердлова до
 вул. Фрунзе)      </t>
  </si>
  <si>
    <t xml:space="preserve">342     </t>
  </si>
  <si>
    <t>85000, 
вул. Низова, 35</t>
  </si>
  <si>
    <t xml:space="preserve">Каналізаційна лінія шахтного колектору              </t>
  </si>
  <si>
    <t xml:space="preserve">343     </t>
  </si>
  <si>
    <t>85000,
вул. Івана Франка</t>
  </si>
  <si>
    <t xml:space="preserve">Каналізаційна лінія вул. І. Франка
 (вул. Фрунзе)                      </t>
  </si>
  <si>
    <t xml:space="preserve">344     </t>
  </si>
  <si>
    <t xml:space="preserve">85000,
вул. Першотравнева     </t>
  </si>
  <si>
    <t xml:space="preserve">Головний колектор новий            </t>
  </si>
  <si>
    <t xml:space="preserve">345     </t>
  </si>
  <si>
    <t xml:space="preserve">Головний колектор від Ремонтно-механічного заводу   </t>
  </si>
  <si>
    <t xml:space="preserve">346     </t>
  </si>
  <si>
    <t xml:space="preserve">Головний колектор старий           </t>
  </si>
  <si>
    <t xml:space="preserve">373     </t>
  </si>
  <si>
    <t>85000, 
вул. Східна</t>
  </si>
  <si>
    <t xml:space="preserve">Каналізаційна лінія с. Жданівське                      </t>
  </si>
  <si>
    <t xml:space="preserve">443     </t>
  </si>
  <si>
    <t>85000,
вул. Банкова, вул. Благодатна,
 пров. Лісний</t>
  </si>
  <si>
    <t xml:space="preserve">517     </t>
  </si>
  <si>
    <t xml:space="preserve">Каналізаційна лінія колектору вул. І. Франка (вул. Фрунзе)              </t>
  </si>
  <si>
    <t xml:space="preserve">562     </t>
  </si>
  <si>
    <t xml:space="preserve">85000,
вул. Нова  </t>
  </si>
  <si>
    <t xml:space="preserve">Каналізаційна лінія вул. Нова                       </t>
  </si>
  <si>
    <t xml:space="preserve">582     </t>
  </si>
  <si>
    <t xml:space="preserve">85000,
вул. Московська     </t>
  </si>
  <si>
    <t xml:space="preserve">Каналізаційна лінія вул. Московська                  </t>
  </si>
  <si>
    <t xml:space="preserve">584     </t>
  </si>
  <si>
    <t xml:space="preserve">Каналізаційна лінія до дитячого садка   </t>
  </si>
  <si>
    <t xml:space="preserve">585     </t>
  </si>
  <si>
    <t>Каналізаційна лінія від будинку 4 до відділу капітального будівництва</t>
  </si>
  <si>
    <t xml:space="preserve">592     </t>
  </si>
  <si>
    <t>Каналізаційна лінія від будинку 9 до відділу капітального будівництва</t>
  </si>
  <si>
    <t xml:space="preserve">625     </t>
  </si>
  <si>
    <t xml:space="preserve">85000,
вул. Котляревського Івана              </t>
  </si>
  <si>
    <t xml:space="preserve">Каналізаційна лінія вул. Котляревського Івана (вул. Свердлова)                   </t>
  </si>
  <si>
    <t xml:space="preserve">632     </t>
  </si>
  <si>
    <t xml:space="preserve">634     </t>
  </si>
  <si>
    <t>85000,
вул. Першотравнева, 32</t>
  </si>
  <si>
    <t xml:space="preserve">Каналізаційна лінія вул. Першотравнева, 
буд. 32                   </t>
  </si>
  <si>
    <t xml:space="preserve">662     </t>
  </si>
  <si>
    <t xml:space="preserve">Каналізаційна лінія від пров. Луганського до просп. Перемоги  </t>
  </si>
  <si>
    <t xml:space="preserve">709     </t>
  </si>
  <si>
    <t>85000,
вул. Першотравнева</t>
  </si>
  <si>
    <t xml:space="preserve">Каналізаційний колектор до КНС № 5               </t>
  </si>
  <si>
    <t xml:space="preserve">710     </t>
  </si>
  <si>
    <t xml:space="preserve">Каналізаційна лінія до кооперативного підприємства      </t>
  </si>
  <si>
    <t xml:space="preserve">711     </t>
  </si>
  <si>
    <t>Каналізаційна лінія до гуртожитку № 6</t>
  </si>
  <si>
    <t xml:space="preserve">713     </t>
  </si>
  <si>
    <t>85000,
просп. Шевченка</t>
  </si>
  <si>
    <t xml:space="preserve">Каналізаційна лінія просп. Шевченка, буд. 14               </t>
  </si>
  <si>
    <t xml:space="preserve">714     </t>
  </si>
  <si>
    <t>85000,
просп. Шевченка, 3</t>
  </si>
  <si>
    <t>Каналізаційна лінія просп.  Шевченка, буд. 3</t>
  </si>
  <si>
    <t xml:space="preserve">715     </t>
  </si>
  <si>
    <t>85000,
вул. Першотравнева, 10</t>
  </si>
  <si>
    <t xml:space="preserve">839     </t>
  </si>
  <si>
    <r>
      <rPr>
        <sz val="10"/>
        <color rgb="FF000000"/>
        <rFont val="Times New Roman"/>
        <family val="1"/>
        <charset val="204"/>
      </rPr>
      <t xml:space="preserve">85000,
</t>
    </r>
    <r>
      <rPr>
        <sz val="10"/>
        <rFont val="Times New Roman"/>
        <family val="1"/>
        <charset val="204"/>
      </rPr>
      <t>просп. Перемоги, 2</t>
    </r>
  </si>
  <si>
    <t xml:space="preserve">864     </t>
  </si>
  <si>
    <t>85000,
вул. Першотравнева, 36</t>
  </si>
  <si>
    <t xml:space="preserve">Каналізаційна лінія ЖБК "Дружба" 
вул. Першотравнева, буд. 36         </t>
  </si>
  <si>
    <t xml:space="preserve">871     </t>
  </si>
  <si>
    <t>85000,
вул. Першотравнева, 37</t>
  </si>
  <si>
    <t xml:space="preserve">887     </t>
  </si>
  <si>
    <t>85000,
вул. Першотравнева, 35</t>
  </si>
  <si>
    <t xml:space="preserve">889     </t>
  </si>
  <si>
    <t xml:space="preserve">Каналізаційна лінія вул. Першотравнева, до ВНС 3-го підойму    </t>
  </si>
  <si>
    <t xml:space="preserve">891     </t>
  </si>
  <si>
    <t>85000,
вул. Першотравнева, 38</t>
  </si>
  <si>
    <t xml:space="preserve">895     </t>
  </si>
  <si>
    <t xml:space="preserve">Каналізаційні лінії до пожежного депо               </t>
  </si>
  <si>
    <t xml:space="preserve">896     </t>
  </si>
  <si>
    <t>85000,
вул. Першотравнева, 34</t>
  </si>
  <si>
    <t xml:space="preserve">921     </t>
  </si>
  <si>
    <t xml:space="preserve">923     </t>
  </si>
  <si>
    <t xml:space="preserve">Каналізаційні лінії просп. Шевченка                    </t>
  </si>
  <si>
    <t xml:space="preserve">952     </t>
  </si>
  <si>
    <t xml:space="preserve">Каналізаційні лінії до дитячого садка по
 вул. Першотравнева               </t>
  </si>
  <si>
    <t xml:space="preserve">998     </t>
  </si>
  <si>
    <t xml:space="preserve">85000,
мкрн. Сонячний </t>
  </si>
  <si>
    <t xml:space="preserve">Каналізаційні лінії мкрн. Сонячний                </t>
  </si>
  <si>
    <t xml:space="preserve">1043    </t>
  </si>
  <si>
    <t xml:space="preserve">Каналізаційні лінії мкрн. Сонячний, буд. 7               </t>
  </si>
  <si>
    <t xml:space="preserve">1044    </t>
  </si>
  <si>
    <t>85000,
мкрн. Сонячний, 4</t>
  </si>
  <si>
    <t xml:space="preserve">Каналізаційні лінії мкрн. Сонячний, буд. 4               </t>
  </si>
  <si>
    <t xml:space="preserve">1045    </t>
  </si>
  <si>
    <t>85000,
мкрн. Сонячний, 2</t>
  </si>
  <si>
    <t xml:space="preserve">Каналізаційні лінії мкрн. Сонячний, буд. 2               </t>
  </si>
  <si>
    <t xml:space="preserve">1050    </t>
  </si>
  <si>
    <t>85000,
мкрн. Сонячний, 17</t>
  </si>
  <si>
    <t xml:space="preserve">Каналізаційні лінії мкрн. Сонячний, буд.17               </t>
  </si>
  <si>
    <t xml:space="preserve">1064    </t>
  </si>
  <si>
    <t xml:space="preserve">1067    </t>
  </si>
  <si>
    <t>85000,
мкрн. Молодіжний</t>
  </si>
  <si>
    <t xml:space="preserve">Каналізаційні лінії до ЗШ № 19                      </t>
  </si>
  <si>
    <t xml:space="preserve">1077    </t>
  </si>
  <si>
    <t>85000,
мкрн. Сонячний, 11</t>
  </si>
  <si>
    <t xml:space="preserve">Каналізаційні лінії мкрн. Сонячний, буд. 11              </t>
  </si>
  <si>
    <t xml:space="preserve">1084    </t>
  </si>
  <si>
    <t>85000,
мкрн. Сонячний, 16</t>
  </si>
  <si>
    <t xml:space="preserve">Каналізаційні лінії мкрн. Сонячний, буд. 16              </t>
  </si>
  <si>
    <t xml:space="preserve">1144    </t>
  </si>
  <si>
    <t>85000,
мкрн. Сонячний, 14</t>
  </si>
  <si>
    <t xml:space="preserve">Каналізаційні лінії мкрн. Сонячний, буд. 14              </t>
  </si>
  <si>
    <t xml:space="preserve">1147    </t>
  </si>
  <si>
    <t>85000,
мкрн. Сонячний, 15</t>
  </si>
  <si>
    <t xml:space="preserve">Каналізаційні лінії мкрн. Сонячний, буд. 15              </t>
  </si>
  <si>
    <t xml:space="preserve">1149    </t>
  </si>
  <si>
    <t xml:space="preserve">Каналізаційні лінії від КШБУ № 5 до житлових будинків              </t>
  </si>
  <si>
    <t xml:space="preserve">1356    </t>
  </si>
  <si>
    <t>85000,
мкрн. Сонячний, 35</t>
  </si>
  <si>
    <t xml:space="preserve">Каналізаційні лінії мкрн. Сонячний, буд. 35              </t>
  </si>
  <si>
    <t xml:space="preserve">1357    </t>
  </si>
  <si>
    <t>1900</t>
  </si>
  <si>
    <t>85000,
мкрн. Молодіжний, 6</t>
  </si>
  <si>
    <t xml:space="preserve">Каналізаційні лінії мкрн. Молодіжний, буд. 6, стоматологія      </t>
  </si>
  <si>
    <t xml:space="preserve">1590    </t>
  </si>
  <si>
    <t>85000,
мкрн. Сонячний, 13</t>
  </si>
  <si>
    <t xml:space="preserve">Каналізаційні лінії мкрн. Сонячний, буд. 13              </t>
  </si>
  <si>
    <t xml:space="preserve">1722    </t>
  </si>
  <si>
    <t>85000,
мкрн. Сонячний, 23</t>
  </si>
  <si>
    <t xml:space="preserve">Каналізаційні лінії мкрн. Сонячний, буд. 23              </t>
  </si>
  <si>
    <t xml:space="preserve">1741    </t>
  </si>
  <si>
    <t xml:space="preserve">85000,
пров. Луганського, 1 </t>
  </si>
  <si>
    <t xml:space="preserve">Каналізаційні лінії пров. Луганського, буд. 1               </t>
  </si>
  <si>
    <t>Каналізаційні лінії пров. Луганського, буд. 20</t>
  </si>
  <si>
    <t xml:space="preserve">1748    </t>
  </si>
  <si>
    <t>85000,
вул. Першотравнева, 3</t>
  </si>
  <si>
    <t xml:space="preserve">Каналізаційна лінія вул. Першотравнева               </t>
  </si>
  <si>
    <t xml:space="preserve">2068    </t>
  </si>
  <si>
    <t xml:space="preserve">Каналізаційні лінії вул. Першотравнева                         </t>
  </si>
  <si>
    <t xml:space="preserve">2069    </t>
  </si>
  <si>
    <t xml:space="preserve">Каналізаційні лінії мкрн. Молодіжний                </t>
  </si>
  <si>
    <t xml:space="preserve">2070    </t>
  </si>
  <si>
    <t>85000,
мкрн. Сонячний, 5</t>
  </si>
  <si>
    <t xml:space="preserve">Каналізаційні лінії мкрн. Сонячний, буд. 5          </t>
  </si>
  <si>
    <t xml:space="preserve">2071    </t>
  </si>
  <si>
    <t xml:space="preserve">Каналізаційні лінії до дитячого садка "Казка"                   </t>
  </si>
  <si>
    <t>85000,
просп. Перемоги, 1</t>
  </si>
  <si>
    <t xml:space="preserve">Каналізаційна лінія дитячого садка "Казка", буд. 1              </t>
  </si>
  <si>
    <t xml:space="preserve">2073    </t>
  </si>
  <si>
    <t xml:space="preserve">Каналізаційні лінії мкрн. Сонячний, буд. 16         </t>
  </si>
  <si>
    <t xml:space="preserve">2074    </t>
  </si>
  <si>
    <t xml:space="preserve">Каналізаційні лінії мкрн. Сонячний, буд. 17         </t>
  </si>
  <si>
    <t xml:space="preserve">2075    </t>
  </si>
  <si>
    <t>85000,
мкрн. Сонячний, 21</t>
  </si>
  <si>
    <t xml:space="preserve">Каналізаційні лінії мкрн. Сонячний, буд. 21         </t>
  </si>
  <si>
    <t xml:space="preserve">2076    </t>
  </si>
  <si>
    <t>85000,
мкрн. Сонячний, 22</t>
  </si>
  <si>
    <t xml:space="preserve">Каналізаційні лінії мкрн. Сонячний        </t>
  </si>
  <si>
    <t xml:space="preserve">Самопливний каналізаційний колектор ЦРЛ до КНС 7     </t>
  </si>
  <si>
    <t xml:space="preserve">2200    </t>
  </si>
  <si>
    <t>85000,
пров. Луганського</t>
  </si>
  <si>
    <t>Каналізаційний колектор пров. Луганського до гуртожитку</t>
  </si>
  <si>
    <t xml:space="preserve">2247    </t>
  </si>
  <si>
    <t>85000,
мкрн. Сонячний</t>
  </si>
  <si>
    <t xml:space="preserve">Самопливний колектор мкрн. Сонячний до ЦРЛ      </t>
  </si>
  <si>
    <t xml:space="preserve">2272    </t>
  </si>
  <si>
    <t>85000,
вул. Залізнична</t>
  </si>
  <si>
    <t xml:space="preserve">Каналізаційний колектор по вул. Залізнична     </t>
  </si>
  <si>
    <t>1903</t>
  </si>
  <si>
    <t xml:space="preserve">85000,
 вул. Саратовська </t>
  </si>
  <si>
    <t xml:space="preserve">Реконструкція каналізаційного колектору 
вул. Саратовська </t>
  </si>
  <si>
    <t xml:space="preserve">3115    </t>
  </si>
  <si>
    <t>85000,
вул. Першотравнева, 26</t>
  </si>
  <si>
    <t xml:space="preserve">Каналізаційні лінії вул. Першотравнева, буд. 26                    </t>
  </si>
  <si>
    <t xml:space="preserve">586/589 </t>
  </si>
  <si>
    <t xml:space="preserve">Скидний колектор                 </t>
  </si>
  <si>
    <t xml:space="preserve">273/2   </t>
  </si>
  <si>
    <t xml:space="preserve">Трубопровід стічних вод            </t>
  </si>
  <si>
    <t xml:space="preserve">273/4   </t>
  </si>
  <si>
    <t>85040,
вул. Садова, 1А</t>
  </si>
  <si>
    <t xml:space="preserve">Пісколовки горизонтальні          </t>
  </si>
  <si>
    <t xml:space="preserve">273/8   </t>
  </si>
  <si>
    <t xml:space="preserve">273/9   </t>
  </si>
  <si>
    <t xml:space="preserve">335/2   </t>
  </si>
  <si>
    <t xml:space="preserve">Біофільтри очищувальні 1200 куб. м       </t>
  </si>
  <si>
    <t xml:space="preserve">335/3   </t>
  </si>
  <si>
    <t xml:space="preserve">335/5   </t>
  </si>
  <si>
    <t xml:space="preserve">335/6   </t>
  </si>
  <si>
    <t xml:space="preserve">Лотки водозамірювальні </t>
  </si>
  <si>
    <t xml:space="preserve">335/8   </t>
  </si>
  <si>
    <t xml:space="preserve">Водовод до очисних споруд                     </t>
  </si>
  <si>
    <t xml:space="preserve">335/9   </t>
  </si>
  <si>
    <t xml:space="preserve">273/10  </t>
  </si>
  <si>
    <t xml:space="preserve">Скидний колектор </t>
  </si>
  <si>
    <t xml:space="preserve">335/10  </t>
  </si>
  <si>
    <t xml:space="preserve">Трубопровід хлорної води           </t>
  </si>
  <si>
    <t xml:space="preserve">335/11  </t>
  </si>
  <si>
    <t>м. Білозерське</t>
  </si>
  <si>
    <t>85020,
вул. Благодатна, 16</t>
  </si>
  <si>
    <t xml:space="preserve">446/1   </t>
  </si>
  <si>
    <t xml:space="preserve">- </t>
  </si>
  <si>
    <t xml:space="preserve">Водовід очисних споруд                        </t>
  </si>
  <si>
    <t xml:space="preserve">446/2   </t>
  </si>
  <si>
    <t xml:space="preserve">Трубопровід незбродженого мулу      </t>
  </si>
  <si>
    <t xml:space="preserve">446/3   </t>
  </si>
  <si>
    <t xml:space="preserve">Колодязі                           </t>
  </si>
  <si>
    <t xml:space="preserve">446/4   </t>
  </si>
  <si>
    <t xml:space="preserve">Трубопровід збродженого мулу        </t>
  </si>
  <si>
    <t xml:space="preserve">446/7   </t>
  </si>
  <si>
    <t xml:space="preserve">Напірний мулопровід                 </t>
  </si>
  <si>
    <t xml:space="preserve">446/8   </t>
  </si>
  <si>
    <t xml:space="preserve">Водопровід на майданчику       </t>
  </si>
  <si>
    <t xml:space="preserve">446/9   </t>
  </si>
  <si>
    <t xml:space="preserve">Пісколовки майданчикові            </t>
  </si>
  <si>
    <t xml:space="preserve">446/10  </t>
  </si>
  <si>
    <t xml:space="preserve">446/11  </t>
  </si>
  <si>
    <t xml:space="preserve">446/14  </t>
  </si>
  <si>
    <t xml:space="preserve">Двоярусні відстійники             </t>
  </si>
  <si>
    <t xml:space="preserve">446/15  </t>
  </si>
  <si>
    <t xml:space="preserve">446/16  </t>
  </si>
  <si>
    <t xml:space="preserve">Мулові майданчики                    </t>
  </si>
  <si>
    <t xml:space="preserve">446/18  </t>
  </si>
  <si>
    <t xml:space="preserve">Біофільтри                         </t>
  </si>
  <si>
    <t xml:space="preserve">446/19  </t>
  </si>
  <si>
    <t xml:space="preserve">446/20  </t>
  </si>
  <si>
    <t xml:space="preserve">Благоустрій (огорожа)     </t>
  </si>
  <si>
    <t xml:space="preserve">Резервуар 600 куб. м прямокутний     </t>
  </si>
  <si>
    <t xml:space="preserve">137     </t>
  </si>
  <si>
    <t xml:space="preserve"> м. Добропілля, 
смт Водянське</t>
  </si>
  <si>
    <t>лісосмуга</t>
  </si>
  <si>
    <t xml:space="preserve">Каналізаційні лінії до очисних споруд 
смт Водянське           </t>
  </si>
  <si>
    <t xml:space="preserve">274     </t>
  </si>
  <si>
    <t>85043,
вул. Добропільська</t>
  </si>
  <si>
    <t>Каналізаційні лінії по вул. Добропільська
 (вул. Червоноармійська)</t>
  </si>
  <si>
    <t xml:space="preserve">316     </t>
  </si>
  <si>
    <t>85043,
вул. Жовтнева</t>
  </si>
  <si>
    <t xml:space="preserve">Каналізаційні лінії по вул. Жовтнева             </t>
  </si>
  <si>
    <t xml:space="preserve">317     </t>
  </si>
  <si>
    <t xml:space="preserve">85043,
вул. Горького        </t>
  </si>
  <si>
    <t xml:space="preserve">Каналізаційні лінії по вул. Горького                 </t>
  </si>
  <si>
    <t xml:space="preserve">318     </t>
  </si>
  <si>
    <t>85043,
вул. Перемоги</t>
  </si>
  <si>
    <t xml:space="preserve">Каналізаційні лінії по вул. Перемоги
 (вул. 30 років Перемоги)          </t>
  </si>
  <si>
    <t xml:space="preserve">319     </t>
  </si>
  <si>
    <t>85043,
вул. Миру</t>
  </si>
  <si>
    <t xml:space="preserve">Каналізаційні лінії по вул. Миру (вул. Леніна)                   </t>
  </si>
  <si>
    <t xml:space="preserve">320     </t>
  </si>
  <si>
    <t xml:space="preserve">85043,
вул. Донецька      </t>
  </si>
  <si>
    <t xml:space="preserve">Каналізаційні лінії по вул. Донецька                </t>
  </si>
  <si>
    <t xml:space="preserve">321     </t>
  </si>
  <si>
    <t xml:space="preserve">85043,
вул. Паркова      </t>
  </si>
  <si>
    <t xml:space="preserve">Каналізаційні лінії по вул. Паркова
 (вул. Радянська)                </t>
  </si>
  <si>
    <t xml:space="preserve">322     </t>
  </si>
  <si>
    <t>85043,
вул. Праці</t>
  </si>
  <si>
    <t xml:space="preserve">323     </t>
  </si>
  <si>
    <t xml:space="preserve">85043,
вул. Вознесенського </t>
  </si>
  <si>
    <t xml:space="preserve">Каналізаційні лінії по вул. Вознесенського            </t>
  </si>
  <si>
    <t xml:space="preserve">324     </t>
  </si>
  <si>
    <t xml:space="preserve">85043,
вул. Харківська           </t>
  </si>
  <si>
    <t xml:space="preserve">Каналізаційні лінії по вул. Харківська              </t>
  </si>
  <si>
    <t xml:space="preserve">325     </t>
  </si>
  <si>
    <t xml:space="preserve">85043,
вул. Старобазарна     </t>
  </si>
  <si>
    <t xml:space="preserve">Каналізаційні лінії по вул. Старобазарна           </t>
  </si>
  <si>
    <t xml:space="preserve">85043,
вул. Новобазарна    </t>
  </si>
  <si>
    <t xml:space="preserve">Каналізаційні лінії по вул. Новобазарна            </t>
  </si>
  <si>
    <t xml:space="preserve">327     </t>
  </si>
  <si>
    <t xml:space="preserve">85043,
пров. Котляревського             </t>
  </si>
  <si>
    <t xml:space="preserve">Каналізаційні лінії по пров. Котляревського (пров. Котовського)               </t>
  </si>
  <si>
    <t xml:space="preserve">328     </t>
  </si>
  <si>
    <t>85043,
пров. Мирний</t>
  </si>
  <si>
    <t xml:space="preserve">Каналізаційні лінії пров. Мирний
 (пров. Пролетарський)            </t>
  </si>
  <si>
    <t>85043,
вул. Південна</t>
  </si>
  <si>
    <t>85043,
вул. Московська</t>
  </si>
  <si>
    <t xml:space="preserve">Каналізаційні лінії по вул. Московська               </t>
  </si>
  <si>
    <t xml:space="preserve">331     </t>
  </si>
  <si>
    <t xml:space="preserve">85043,
 вул. Шахтарська  </t>
  </si>
  <si>
    <t xml:space="preserve">Каналізаційні лінії по вул. Шахтарська               </t>
  </si>
  <si>
    <t xml:space="preserve">85043,
вул. Будівельна </t>
  </si>
  <si>
    <t xml:space="preserve">Каналізаційні лінії по вул. Будівельна             </t>
  </si>
  <si>
    <t xml:space="preserve">333     </t>
  </si>
  <si>
    <t xml:space="preserve">Каналізаційні лінії внутрішньоквартальні              </t>
  </si>
  <si>
    <t xml:space="preserve">334     </t>
  </si>
  <si>
    <t xml:space="preserve">Каналізаційні лінії м. Білицьке до головного колектору        </t>
  </si>
  <si>
    <t xml:space="preserve">442     </t>
  </si>
  <si>
    <t xml:space="preserve">1068    </t>
  </si>
  <si>
    <t xml:space="preserve">85043,
вул. Паркова               </t>
  </si>
  <si>
    <t xml:space="preserve">Каналізаційні лінії до буд. 4                         </t>
  </si>
  <si>
    <t xml:space="preserve">1432    </t>
  </si>
  <si>
    <t xml:space="preserve">Зовнішня каналізація      </t>
  </si>
  <si>
    <t xml:space="preserve">1584    </t>
  </si>
  <si>
    <t xml:space="preserve">Зовнішня каналізація житлового будинку 15      </t>
  </si>
  <si>
    <t xml:space="preserve">1586    </t>
  </si>
  <si>
    <t xml:space="preserve">Зовнішня каналізація вул. Паркова
 (вул. Радянська)   </t>
  </si>
  <si>
    <t xml:space="preserve">1588    </t>
  </si>
  <si>
    <t xml:space="preserve">Каналізаційні лінії, кільцева          </t>
  </si>
  <si>
    <t xml:space="preserve">1651    </t>
  </si>
  <si>
    <t xml:space="preserve">Каналізаційний колектор від ВКБ           </t>
  </si>
  <si>
    <t xml:space="preserve">1900    </t>
  </si>
  <si>
    <t xml:space="preserve">Каналізаційний колектор до буд. 29                 </t>
  </si>
  <si>
    <t xml:space="preserve">2042    </t>
  </si>
  <si>
    <t xml:space="preserve">85013,
вул. Горького     </t>
  </si>
  <si>
    <t xml:space="preserve">Резервуари для води 2х300 м3      </t>
  </si>
  <si>
    <t xml:space="preserve">238     </t>
  </si>
  <si>
    <t xml:space="preserve">402     </t>
  </si>
  <si>
    <t xml:space="preserve">85013,
вул. Островського  </t>
  </si>
  <si>
    <t xml:space="preserve">Каналізаційні лініїї по вул. Островського              </t>
  </si>
  <si>
    <t xml:space="preserve">403     </t>
  </si>
  <si>
    <t xml:space="preserve">85013,
вул. Пушкіна  </t>
  </si>
  <si>
    <t xml:space="preserve">Каналізаційні лінії по вул. Пушкіна                  </t>
  </si>
  <si>
    <t xml:space="preserve">404     </t>
  </si>
  <si>
    <t xml:space="preserve">85013,
вул. Шкільна          </t>
  </si>
  <si>
    <t xml:space="preserve">Каналізаційні лінії по вул. Шкільна                 </t>
  </si>
  <si>
    <t xml:space="preserve">405     </t>
  </si>
  <si>
    <t>85013,
вул. Вишнева</t>
  </si>
  <si>
    <t xml:space="preserve">Каналізаційні лінії по вул. Вишнева
(вул. Ватутіна)                </t>
  </si>
  <si>
    <t xml:space="preserve">85013,
вул. Гірнича          </t>
  </si>
  <si>
    <t xml:space="preserve">407     </t>
  </si>
  <si>
    <t xml:space="preserve">85013,
вул. Московська   </t>
  </si>
  <si>
    <t xml:space="preserve">85013,
 вул. Фестивальна  </t>
  </si>
  <si>
    <t xml:space="preserve">Каналізаційні лінії по вул. Фестивальна             </t>
  </si>
  <si>
    <t xml:space="preserve">409     </t>
  </si>
  <si>
    <t xml:space="preserve">410     </t>
  </si>
  <si>
    <t>85013,
вул. Шахтарської Слави</t>
  </si>
  <si>
    <t xml:space="preserve">Каналізаційні лінії по вул. Шахтарської Слави (вул. Комсомольська)            </t>
  </si>
  <si>
    <t xml:space="preserve">411     </t>
  </si>
  <si>
    <t xml:space="preserve">85013,
вул. Будівельна   </t>
  </si>
  <si>
    <t xml:space="preserve">412     </t>
  </si>
  <si>
    <t xml:space="preserve">85013, 
пров. Пушкіна     </t>
  </si>
  <si>
    <t xml:space="preserve">Каналізаційні лінії по пров. Пушкіна                 </t>
  </si>
  <si>
    <t xml:space="preserve">413     </t>
  </si>
  <si>
    <t xml:space="preserve">85013,
пров. Спартака        </t>
  </si>
  <si>
    <t xml:space="preserve">Каналізаційні лінії по пров. Спартака                </t>
  </si>
  <si>
    <t xml:space="preserve">414     </t>
  </si>
  <si>
    <t xml:space="preserve">85013,
пров. Кожедуба  </t>
  </si>
  <si>
    <t xml:space="preserve">Каналізаційні ліні по пров. Кожедуба                </t>
  </si>
  <si>
    <t xml:space="preserve">415     </t>
  </si>
  <si>
    <t xml:space="preserve">85013,
пров. Франка  </t>
  </si>
  <si>
    <t xml:space="preserve">Каналізаційні лінії по пров. Франка                  </t>
  </si>
  <si>
    <t xml:space="preserve">416     </t>
  </si>
  <si>
    <t xml:space="preserve">85013,
пров. Перемоги      </t>
  </si>
  <si>
    <t xml:space="preserve">Каналізаційні лінії по пров. Перемоги         </t>
  </si>
  <si>
    <t xml:space="preserve">417     </t>
  </si>
  <si>
    <t>85013,
пров. Малий</t>
  </si>
  <si>
    <t xml:space="preserve">Каналізаційні лінії по пров. Малий
 (пров. Фрунзе)                  </t>
  </si>
  <si>
    <t xml:space="preserve">85013,
вул. Маяковського     </t>
  </si>
  <si>
    <t xml:space="preserve">Головний каналізаційний  колектор по
 вул. Маяковського       </t>
  </si>
  <si>
    <t xml:space="preserve">454     </t>
  </si>
  <si>
    <t xml:space="preserve">85013,
вул. Південна, вул. Театральна      </t>
  </si>
  <si>
    <t xml:space="preserve">Каналізаційні лінії вул. Південна, 
вул. Театральна    </t>
  </si>
  <si>
    <t xml:space="preserve">455     </t>
  </si>
  <si>
    <t xml:space="preserve">85013,
вул. Південна  </t>
  </si>
  <si>
    <t xml:space="preserve">Зовнішня мережа каналізаційних ліній 
вул. Південна  </t>
  </si>
  <si>
    <t xml:space="preserve">Зовнішня мережа каналізаційних ліній  по 
вул. Південна     </t>
  </si>
  <si>
    <t xml:space="preserve">666     </t>
  </si>
  <si>
    <t xml:space="preserve">Зовнішні каналізаційні лінії по вул. Південна     </t>
  </si>
  <si>
    <t xml:space="preserve">683     </t>
  </si>
  <si>
    <t xml:space="preserve">Зовнішні каналізаційні лінії по вул. Південна      </t>
  </si>
  <si>
    <t xml:space="preserve">685     </t>
  </si>
  <si>
    <t>85013,
вул. Будівельна</t>
  </si>
  <si>
    <t>Внутрішньоквартальні каналізаційні лінії 
вул. Будівельна</t>
  </si>
  <si>
    <t xml:space="preserve">690     </t>
  </si>
  <si>
    <t>Внутрішньоквартальні каналізаційні лінії
 вул. Будівельна</t>
  </si>
  <si>
    <t xml:space="preserve">694     </t>
  </si>
  <si>
    <t>85013,
вул. Східна</t>
  </si>
  <si>
    <t xml:space="preserve">Колектор вул. Східна (50 років Жовтня)   </t>
  </si>
  <si>
    <t xml:space="preserve">716     </t>
  </si>
  <si>
    <t xml:space="preserve">Каналізаційні лінії по вул. Східна (вул. 50 років Жовтня)         </t>
  </si>
  <si>
    <t xml:space="preserve">717     </t>
  </si>
  <si>
    <t xml:space="preserve">85013,
вул. Ватутіна, 2  </t>
  </si>
  <si>
    <t xml:space="preserve">Внутрішньоквартальні каналізаційні лінії
 вул. Ватутіна буд. 2   </t>
  </si>
  <si>
    <t xml:space="preserve">718     </t>
  </si>
  <si>
    <t xml:space="preserve">719     </t>
  </si>
  <si>
    <t xml:space="preserve">85013,
вул. Будівельна, 1   </t>
  </si>
  <si>
    <t xml:space="preserve">Каналізаційні лінії по вул. Будівельна буд. 1         </t>
  </si>
  <si>
    <t xml:space="preserve">720     </t>
  </si>
  <si>
    <t xml:space="preserve">Каналізаційні лінії до школи № 18                     </t>
  </si>
  <si>
    <t xml:space="preserve">751     </t>
  </si>
  <si>
    <t>м. Добропілля,
 м. Білозерськ</t>
  </si>
  <si>
    <t xml:space="preserve">Каналізаційні лінії по вул. Південна               </t>
  </si>
  <si>
    <t xml:space="preserve">763     </t>
  </si>
  <si>
    <t xml:space="preserve">Зовнішні каналізаційні лінії до вул. Південна   </t>
  </si>
  <si>
    <t xml:space="preserve">854     </t>
  </si>
  <si>
    <t xml:space="preserve">Водогін по вул. Будівельна  </t>
  </si>
  <si>
    <t xml:space="preserve">955     </t>
  </si>
  <si>
    <t xml:space="preserve">Каналізаційні лінії по вул. Будівельна </t>
  </si>
  <si>
    <t xml:space="preserve">956     </t>
  </si>
  <si>
    <t xml:space="preserve">85013,
вул. Маяковського  </t>
  </si>
  <si>
    <t xml:space="preserve">Каналізаційний колектор по вул. Маяковського          </t>
  </si>
  <si>
    <t xml:space="preserve">1282    </t>
  </si>
  <si>
    <t xml:space="preserve">85013,
вул. Східна  </t>
  </si>
  <si>
    <t xml:space="preserve">Каналізаційний колектор по вул. Східна 
(вул. 50 років Жовтня)      </t>
  </si>
  <si>
    <t xml:space="preserve">1301    </t>
  </si>
  <si>
    <t xml:space="preserve">Каналізаційний колектор від колодязя 1717 до каналізаційних очисних споруд     </t>
  </si>
  <si>
    <t xml:space="preserve">1302    </t>
  </si>
  <si>
    <t xml:space="preserve">Каналізаційний колектор вул. Шахтарської Слави (вул. Комсомольська)           </t>
  </si>
  <si>
    <t xml:space="preserve">1303    </t>
  </si>
  <si>
    <t xml:space="preserve">85013,
вул. Гірнича </t>
  </si>
  <si>
    <t xml:space="preserve">Напірний каналізаційний колектор від каналізаційної насосної станції до вул. Гірнича (вул. Леніна) </t>
  </si>
  <si>
    <t xml:space="preserve">1304    </t>
  </si>
  <si>
    <t>Каналізаційні лінії по вул. Гірнича</t>
  </si>
  <si>
    <t xml:space="preserve">85013,
вул. Пушкіна                   </t>
  </si>
  <si>
    <t xml:space="preserve">2060    </t>
  </si>
  <si>
    <t xml:space="preserve">85013,
вул. Шкільна, вул. Островського      </t>
  </si>
  <si>
    <t xml:space="preserve">Каналізаційні лінії по вул. Шкільна, 
вул. Островського     </t>
  </si>
  <si>
    <t xml:space="preserve">2061    </t>
  </si>
  <si>
    <t xml:space="preserve">Каналізаційні лінії по вул. Гірнича
 (вул. Леніна)                   </t>
  </si>
  <si>
    <t xml:space="preserve">2062    </t>
  </si>
  <si>
    <t>85013,
вул. Фестивальна</t>
  </si>
  <si>
    <t xml:space="preserve">Каналізаційні лінії по вул. Фестивальна            </t>
  </si>
  <si>
    <t xml:space="preserve">2063    </t>
  </si>
  <si>
    <t xml:space="preserve">2064    </t>
  </si>
  <si>
    <t xml:space="preserve">2065    </t>
  </si>
  <si>
    <t xml:space="preserve">85013,
вул. Кожедуба                 </t>
  </si>
  <si>
    <t xml:space="preserve">Каналізаційні лінії по вул. Кожедуба                 </t>
  </si>
  <si>
    <t xml:space="preserve">2066    </t>
  </si>
  <si>
    <t xml:space="preserve">85013,
вул. Перемоги     </t>
  </si>
  <si>
    <t xml:space="preserve">Каналізаційні лінії по вул. Перемоги                  </t>
  </si>
  <si>
    <t xml:space="preserve">2067    </t>
  </si>
  <si>
    <t xml:space="preserve">Каналізаційні лінії по вул. Шахтарської Слави (вул. Комсомольска)            </t>
  </si>
  <si>
    <t xml:space="preserve">2099    </t>
  </si>
  <si>
    <t xml:space="preserve">85013, 
вул. Маяковського  </t>
  </si>
  <si>
    <t xml:space="preserve">1-ша і 2-га нитки відвідного колектора     </t>
  </si>
  <si>
    <t xml:space="preserve">3040    </t>
  </si>
  <si>
    <t xml:space="preserve">Каналізаційні лінії по вул. Маяковського              </t>
  </si>
  <si>
    <t xml:space="preserve">3097    </t>
  </si>
  <si>
    <t xml:space="preserve">Каналізаційний  колектор      </t>
  </si>
  <si>
    <t xml:space="preserve">3126    </t>
  </si>
  <si>
    <t xml:space="preserve">85013,
вул. Східна, 10    </t>
  </si>
  <si>
    <t xml:space="preserve">Зовнішні каналізаційні лінії вул. Східна 
(вул. 50 років Жовтня)      </t>
  </si>
  <si>
    <t xml:space="preserve">706     </t>
  </si>
  <si>
    <t xml:space="preserve">Каналізаційний колектор вул. Островського     </t>
  </si>
  <si>
    <t xml:space="preserve">3196    </t>
  </si>
  <si>
    <t>1906</t>
  </si>
  <si>
    <t>85013, 
вул. Пушкіна, 11А</t>
  </si>
  <si>
    <t>Благоустрій (шлакова огорожа)</t>
  </si>
  <si>
    <t xml:space="preserve">3279    </t>
  </si>
  <si>
    <t xml:space="preserve">Благоустрій з металевих стовпів та плит  </t>
  </si>
  <si>
    <t xml:space="preserve">3281    </t>
  </si>
  <si>
    <t>85010,
 вул. Залізнична, 1А</t>
  </si>
  <si>
    <t xml:space="preserve">Резервуар 2000 м3 залізо-бетонний             </t>
  </si>
  <si>
    <t xml:space="preserve">397     </t>
  </si>
  <si>
    <t xml:space="preserve">Внутрішній трубопровід стальний      </t>
  </si>
  <si>
    <t xml:space="preserve">399     </t>
  </si>
  <si>
    <t xml:space="preserve">Повітряна ЛЕП-6 кВт               </t>
  </si>
  <si>
    <t xml:space="preserve">400     </t>
  </si>
  <si>
    <t xml:space="preserve">Резервуар 1000 м3                  </t>
  </si>
  <si>
    <t xml:space="preserve">472     </t>
  </si>
  <si>
    <t>1961</t>
  </si>
  <si>
    <t xml:space="preserve">Благоустрій (плити, стовпи, асфальтове покриття)      </t>
  </si>
  <si>
    <t xml:space="preserve">3284    </t>
  </si>
  <si>
    <t>Добропільський р-н,
 с. Золотий Колодязь</t>
  </si>
  <si>
    <t xml:space="preserve">Резервуар 3000 м3                  </t>
  </si>
  <si>
    <t xml:space="preserve">135     </t>
  </si>
  <si>
    <t xml:space="preserve"> лісосмуга, балка</t>
  </si>
  <si>
    <t xml:space="preserve">Водопровідна лінія від свердловини 712 до водозабору  </t>
  </si>
  <si>
    <t xml:space="preserve">213     </t>
  </si>
  <si>
    <t xml:space="preserve">Водопровід до свердловини 914   </t>
  </si>
  <si>
    <t xml:space="preserve">736     </t>
  </si>
  <si>
    <t>85018, 
вул. Гей М.Т., 25</t>
  </si>
  <si>
    <t xml:space="preserve">Кабельна ЛЕП - 6 кВт              </t>
  </si>
  <si>
    <t xml:space="preserve">738     </t>
  </si>
  <si>
    <t xml:space="preserve">Кабельна ЛЕП - 04 кВт             </t>
  </si>
  <si>
    <t xml:space="preserve">740     </t>
  </si>
  <si>
    <t xml:space="preserve">Хлоропровід азбесто-цементний       </t>
  </si>
  <si>
    <t xml:space="preserve">741     </t>
  </si>
  <si>
    <t xml:space="preserve">743     </t>
  </si>
  <si>
    <t>Технологічний трубопровід
 (резервна камера переключення)</t>
  </si>
  <si>
    <t xml:space="preserve">758     </t>
  </si>
  <si>
    <t xml:space="preserve">Автодороги до свердловин № 902, 908, 92  </t>
  </si>
  <si>
    <t xml:space="preserve">764     </t>
  </si>
  <si>
    <t>Споруда до свердловин (колодязь)</t>
  </si>
  <si>
    <t xml:space="preserve">765     </t>
  </si>
  <si>
    <t xml:space="preserve">Резервуар 6000 м3                  </t>
  </si>
  <si>
    <t xml:space="preserve">770     </t>
  </si>
  <si>
    <t>85018,
 вул. Гей М.Т., 24</t>
  </si>
  <si>
    <t xml:space="preserve">Спрощені фільтропоглиначі    </t>
  </si>
  <si>
    <t xml:space="preserve">773     </t>
  </si>
  <si>
    <t xml:space="preserve">Повітряна ЛЕП-6 кВ до свердловин </t>
  </si>
  <si>
    <t xml:space="preserve">780     </t>
  </si>
  <si>
    <t xml:space="preserve">Залізобетонна огорожа                          </t>
  </si>
  <si>
    <t xml:space="preserve">905     </t>
  </si>
  <si>
    <t>Трубопровід для теплопостачання</t>
  </si>
  <si>
    <t xml:space="preserve">906     </t>
  </si>
  <si>
    <t>Повітряна ЛЕП до свердловин</t>
  </si>
  <si>
    <t xml:space="preserve">909     </t>
  </si>
  <si>
    <t xml:space="preserve">Мережа побутової  каналізації          </t>
  </si>
  <si>
    <t xml:space="preserve">910     </t>
  </si>
  <si>
    <t xml:space="preserve">Свердловина бурова № 706              </t>
  </si>
  <si>
    <t xml:space="preserve">966     </t>
  </si>
  <si>
    <t>Кабельна ЛЕП-6 кВт від РП до НС</t>
  </si>
  <si>
    <t xml:space="preserve">780а    </t>
  </si>
  <si>
    <t>Резервно-експлуатаційна свердловина 406</t>
  </si>
  <si>
    <t xml:space="preserve">647а    </t>
  </si>
  <si>
    <t xml:space="preserve">Сітчаста металева огорожа      </t>
  </si>
  <si>
    <t xml:space="preserve">903а    </t>
  </si>
  <si>
    <t>Кабельна лінія енергозбереження</t>
  </si>
  <si>
    <t xml:space="preserve">306     </t>
  </si>
  <si>
    <t>84000, 
вул. Донецька, 2</t>
  </si>
  <si>
    <t xml:space="preserve">855     </t>
  </si>
  <si>
    <t>85018,
 вул. Миру, 12</t>
  </si>
  <si>
    <t xml:space="preserve">Каналізаційні лінії житлового будинку 12, 60 кв.                 </t>
  </si>
  <si>
    <t xml:space="preserve">Упорядкований  майданчик № 1  </t>
  </si>
  <si>
    <t xml:space="preserve">977     </t>
  </si>
  <si>
    <t xml:space="preserve">Резервуар 2000 м3                  </t>
  </si>
  <si>
    <t xml:space="preserve">981     </t>
  </si>
  <si>
    <t>84000,
 вул. Донецька</t>
  </si>
  <si>
    <t xml:space="preserve">Каналізаційні лінії керамічні                  </t>
  </si>
  <si>
    <t xml:space="preserve">1105    </t>
  </si>
  <si>
    <t xml:space="preserve">Упорядкований  майданчик № 2       </t>
  </si>
  <si>
    <t xml:space="preserve">1976    </t>
  </si>
  <si>
    <t xml:space="preserve">Огорожа (57 плит, 58 стовбурів) </t>
  </si>
  <si>
    <t xml:space="preserve">3166    </t>
  </si>
  <si>
    <t xml:space="preserve">Водопровідні мережі       </t>
  </si>
  <si>
    <t xml:space="preserve">3223    </t>
  </si>
  <si>
    <t>85020,
 вул. Благодатна, 1Б</t>
  </si>
  <si>
    <t xml:space="preserve">Виноградник                        </t>
  </si>
  <si>
    <t xml:space="preserve">33461   </t>
  </si>
  <si>
    <t xml:space="preserve">Дерева плодові                   </t>
  </si>
  <si>
    <t xml:space="preserve">33471   </t>
  </si>
  <si>
    <t xml:space="preserve">Асфальтове покриття              </t>
  </si>
  <si>
    <t xml:space="preserve">33481   </t>
  </si>
  <si>
    <t xml:space="preserve">   -</t>
  </si>
  <si>
    <t xml:space="preserve">Дерева плодові                  </t>
  </si>
  <si>
    <t xml:space="preserve">33501   </t>
  </si>
  <si>
    <t xml:space="preserve">Ялини                                </t>
  </si>
  <si>
    <t xml:space="preserve">33511   </t>
  </si>
  <si>
    <t xml:space="preserve">Сосни                            </t>
  </si>
  <si>
    <t xml:space="preserve">33521   </t>
  </si>
  <si>
    <t xml:space="preserve">33531   </t>
  </si>
  <si>
    <t xml:space="preserve">85040,
вул. Миру, 1А </t>
  </si>
  <si>
    <t xml:space="preserve">Дерева плодові                 </t>
  </si>
  <si>
    <t xml:space="preserve">33541   </t>
  </si>
  <si>
    <t xml:space="preserve">33551   </t>
  </si>
  <si>
    <t xml:space="preserve">33561   </t>
  </si>
  <si>
    <t xml:space="preserve">Сосни                              </t>
  </si>
  <si>
    <t xml:space="preserve">1207    </t>
  </si>
  <si>
    <t xml:space="preserve">33581   </t>
  </si>
  <si>
    <t>85043,
 вул. Швецова, 4Б</t>
  </si>
  <si>
    <t xml:space="preserve">34031   </t>
  </si>
  <si>
    <t>Каналізаційний колектор вул. Луганського, 23, вул. Першотравнева</t>
  </si>
  <si>
    <t xml:space="preserve">3455    </t>
  </si>
  <si>
    <t>Каналізаційна лінія просп. Шевченка,14, 
вул. Першотравнева</t>
  </si>
  <si>
    <t xml:space="preserve">3456    </t>
  </si>
  <si>
    <t xml:space="preserve">85000,  
просп. Перемоги </t>
  </si>
  <si>
    <t xml:space="preserve">Самопливний колектор просп. Перемоги   </t>
  </si>
  <si>
    <t xml:space="preserve">3482    </t>
  </si>
  <si>
    <t xml:space="preserve">85000,
вул. Луганського, 17, 19, 21 </t>
  </si>
  <si>
    <t>Водопровідні мережі</t>
  </si>
  <si>
    <t xml:space="preserve">12      </t>
  </si>
  <si>
    <t>Водопровідні мережі до гуртожитку</t>
  </si>
  <si>
    <t xml:space="preserve">57      </t>
  </si>
  <si>
    <t>85000,
 вул. Московська</t>
  </si>
  <si>
    <t>Водопровідні мережі до СЕС</t>
  </si>
  <si>
    <t xml:space="preserve">58      </t>
  </si>
  <si>
    <t xml:space="preserve">85003, 
мкрн. Сонячний, 11 </t>
  </si>
  <si>
    <t xml:space="preserve">108     </t>
  </si>
  <si>
    <t>Водопровідні мережі до гуртожитку 32</t>
  </si>
  <si>
    <t xml:space="preserve">118     </t>
  </si>
  <si>
    <t>Водогін</t>
  </si>
  <si>
    <t xml:space="preserve">144     </t>
  </si>
  <si>
    <t>85000,
вул. Першотравнева, 29</t>
  </si>
  <si>
    <t xml:space="preserve">211     </t>
  </si>
  <si>
    <t>85000, 
вул. Київська, 1</t>
  </si>
  <si>
    <t>Водопровідні мережі від с. Ганнівка до резервуару шахти «Добропільська»</t>
  </si>
  <si>
    <t xml:space="preserve">214     </t>
  </si>
  <si>
    <t>85000,
вул. Праці</t>
  </si>
  <si>
    <t>Вуличні водопровідні мережі</t>
  </si>
  <si>
    <t xml:space="preserve">215     </t>
  </si>
  <si>
    <t xml:space="preserve">216     </t>
  </si>
  <si>
    <t>Водопровідні мережі до водопровідної вежі</t>
  </si>
  <si>
    <t xml:space="preserve">217     </t>
  </si>
  <si>
    <t>85000,
вул. Піонерська</t>
  </si>
  <si>
    <t xml:space="preserve">275     </t>
  </si>
  <si>
    <t>85000,
вул. Михайлівська</t>
  </si>
  <si>
    <t xml:space="preserve">276     </t>
  </si>
  <si>
    <t>85000,
вул. Севастопольська</t>
  </si>
  <si>
    <t xml:space="preserve">277     </t>
  </si>
  <si>
    <t xml:space="preserve">278     </t>
  </si>
  <si>
    <t>85000,
вул. Прокоф'єва</t>
  </si>
  <si>
    <t xml:space="preserve">279     </t>
  </si>
  <si>
    <t>85000,
вул. Святогорівська</t>
  </si>
  <si>
    <t xml:space="preserve">280     </t>
  </si>
  <si>
    <t>85000,
вул. Хмельницького</t>
  </si>
  <si>
    <t xml:space="preserve">281     </t>
  </si>
  <si>
    <t xml:space="preserve">347     </t>
  </si>
  <si>
    <t xml:space="preserve">348     </t>
  </si>
  <si>
    <t>85003,
вул. Благодатна</t>
  </si>
  <si>
    <t xml:space="preserve">349     </t>
  </si>
  <si>
    <t>85003, 
вул. Фестивальна</t>
  </si>
  <si>
    <t>Водопровідні мережі до ЖБК «Дружба»</t>
  </si>
  <si>
    <t xml:space="preserve">350     </t>
  </si>
  <si>
    <t>85002,
вул. Калинова</t>
  </si>
  <si>
    <t xml:space="preserve">351     </t>
  </si>
  <si>
    <t>85001,
вул. Ялтинська</t>
  </si>
  <si>
    <t xml:space="preserve">352     </t>
  </si>
  <si>
    <t>85003,
вул. Волзька</t>
  </si>
  <si>
    <t xml:space="preserve">353     </t>
  </si>
  <si>
    <t>85000,
вул. Саратовська</t>
  </si>
  <si>
    <t xml:space="preserve">354     </t>
  </si>
  <si>
    <t>85001, 
вул. Ялтинська</t>
  </si>
  <si>
    <t xml:space="preserve">355     </t>
  </si>
  <si>
    <t>85000,
вул. Театральна</t>
  </si>
  <si>
    <t xml:space="preserve">356     </t>
  </si>
  <si>
    <t>85000, 
просп. Шевченка, вул. Котляревського</t>
  </si>
  <si>
    <t>Водопровідні мережі просп. Шевченка-Котляревського (Свердлова)</t>
  </si>
  <si>
    <t xml:space="preserve">357     </t>
  </si>
  <si>
    <t>85004,
вул. Незалежності</t>
  </si>
  <si>
    <t>Водопровідні мережі до школи-інтернату</t>
  </si>
  <si>
    <t xml:space="preserve">358     </t>
  </si>
  <si>
    <t>85004,
вул. Банкова</t>
  </si>
  <si>
    <t xml:space="preserve">359     </t>
  </si>
  <si>
    <t>85000,
вул. Московська</t>
  </si>
  <si>
    <t xml:space="preserve">360     </t>
  </si>
  <si>
    <t>85000,
пров. Лісний</t>
  </si>
  <si>
    <t xml:space="preserve">361     </t>
  </si>
  <si>
    <t>85004,
вул. Попова</t>
  </si>
  <si>
    <t xml:space="preserve">362     </t>
  </si>
  <si>
    <t>85001,
пров. Гранітний</t>
  </si>
  <si>
    <t xml:space="preserve">363     </t>
  </si>
  <si>
    <t>85003,
вул. Пархоменко</t>
  </si>
  <si>
    <t xml:space="preserve">364     </t>
  </si>
  <si>
    <t>85003,
пров. Вокзальний</t>
  </si>
  <si>
    <t xml:space="preserve">365     </t>
  </si>
  <si>
    <t>85000,
пр. Шевченка</t>
  </si>
  <si>
    <t xml:space="preserve">366     </t>
  </si>
  <si>
    <t>85003,
вул. Фестивальна</t>
  </si>
  <si>
    <t xml:space="preserve">367     </t>
  </si>
  <si>
    <t>85004,
пров. Європейський</t>
  </si>
  <si>
    <t xml:space="preserve">368     </t>
  </si>
  <si>
    <t>85003,
пров. Гурова</t>
  </si>
  <si>
    <t xml:space="preserve">369     </t>
  </si>
  <si>
    <t>85003,
пров. Ткачука</t>
  </si>
  <si>
    <t xml:space="preserve">370     </t>
  </si>
  <si>
    <t>85003,
вул. Воронезька</t>
  </si>
  <si>
    <t xml:space="preserve">371     </t>
  </si>
  <si>
    <t>85001,
вул. Незалежності</t>
  </si>
  <si>
    <t xml:space="preserve">372     </t>
  </si>
  <si>
    <t>85004,
вул. Запорізька</t>
  </si>
  <si>
    <t xml:space="preserve">375     </t>
  </si>
  <si>
    <t>1949</t>
  </si>
  <si>
    <t>85004,
вул. Ростовська</t>
  </si>
  <si>
    <t xml:space="preserve">376     </t>
  </si>
  <si>
    <t>85001,
вул. Лесі Українки</t>
  </si>
  <si>
    <t xml:space="preserve">377     </t>
  </si>
  <si>
    <t>85003,
вул. Шевченка</t>
  </si>
  <si>
    <t xml:space="preserve">378     </t>
  </si>
  <si>
    <t>85003,
вул. Гімназистів</t>
  </si>
  <si>
    <t xml:space="preserve">379     </t>
  </si>
  <si>
    <t>85001,
вул. Гагаріна</t>
  </si>
  <si>
    <t xml:space="preserve">380     </t>
  </si>
  <si>
    <t>85004,
вул. Ново-Добропільська</t>
  </si>
  <si>
    <t xml:space="preserve">381     </t>
  </si>
  <si>
    <t>85004,
вул. Першотравнева</t>
  </si>
  <si>
    <t xml:space="preserve">382     </t>
  </si>
  <si>
    <t>85001,
пров. Санаторний</t>
  </si>
  <si>
    <t xml:space="preserve">383     </t>
  </si>
  <si>
    <t>85001,
пров. Громова</t>
  </si>
  <si>
    <t xml:space="preserve">384     </t>
  </si>
  <si>
    <t>85004,
пров. Світлий</t>
  </si>
  <si>
    <t xml:space="preserve">385     </t>
  </si>
  <si>
    <t>85001,
пров. Добролюбова</t>
  </si>
  <si>
    <t xml:space="preserve">386     </t>
  </si>
  <si>
    <t>85001,
вул. Кисловодська</t>
  </si>
  <si>
    <t xml:space="preserve">387     </t>
  </si>
  <si>
    <t>85001,
вул. Першотравнева</t>
  </si>
  <si>
    <t xml:space="preserve">389     </t>
  </si>
  <si>
    <t xml:space="preserve">390     </t>
  </si>
  <si>
    <t>85003,
вул. 8 Березня</t>
  </si>
  <si>
    <t xml:space="preserve">391     </t>
  </si>
  <si>
    <t xml:space="preserve">392     </t>
  </si>
  <si>
    <t>85001,
вул. Низова</t>
  </si>
  <si>
    <t xml:space="preserve">393     </t>
  </si>
  <si>
    <t xml:space="preserve">394     </t>
  </si>
  <si>
    <t>85001,
вул. Катерини Літвінової</t>
  </si>
  <si>
    <t>85001,
пров. Народний</t>
  </si>
  <si>
    <t xml:space="preserve">441     </t>
  </si>
  <si>
    <t>85004,
вул. Залізнична</t>
  </si>
  <si>
    <t xml:space="preserve">486     </t>
  </si>
  <si>
    <t>85004,
вул. Калинова</t>
  </si>
  <si>
    <t xml:space="preserve">487     </t>
  </si>
  <si>
    <t>85004,
пров. Затишний</t>
  </si>
  <si>
    <t xml:space="preserve">488     </t>
  </si>
  <si>
    <t>85000,
Проспект Перемоги</t>
  </si>
  <si>
    <t xml:space="preserve">489     </t>
  </si>
  <si>
    <t>85001,
пров. Вільний</t>
  </si>
  <si>
    <t xml:space="preserve">490     </t>
  </si>
  <si>
    <t xml:space="preserve">491     </t>
  </si>
  <si>
    <t>85000,
вул. Перемоги</t>
  </si>
  <si>
    <t xml:space="preserve">492     </t>
  </si>
  <si>
    <t>85004,
вул. Котляревського</t>
  </si>
  <si>
    <t xml:space="preserve">493     </t>
  </si>
  <si>
    <t xml:space="preserve">494     </t>
  </si>
  <si>
    <t xml:space="preserve">495     </t>
  </si>
  <si>
    <t xml:space="preserve">496     </t>
  </si>
  <si>
    <t>80003,
вул. Миру</t>
  </si>
  <si>
    <t xml:space="preserve">506     </t>
  </si>
  <si>
    <t>смт Святогорівка</t>
  </si>
  <si>
    <t>85004,
вул. Шкільна</t>
  </si>
  <si>
    <t>Водопровідні мережі до смт Святогорівка</t>
  </si>
  <si>
    <t xml:space="preserve">527     </t>
  </si>
  <si>
    <t>85002,
вул. Зелена</t>
  </si>
  <si>
    <t xml:space="preserve">528     </t>
  </si>
  <si>
    <t>85002,
пров. Поштовий</t>
  </si>
  <si>
    <t xml:space="preserve">529     </t>
  </si>
  <si>
    <t>85002,
вул. Шевченка</t>
  </si>
  <si>
    <t xml:space="preserve">530     </t>
  </si>
  <si>
    <t>Водопровідні мережі до ВКБ</t>
  </si>
  <si>
    <t xml:space="preserve">554     </t>
  </si>
  <si>
    <t xml:space="preserve">85004,
вул. Некрасова </t>
  </si>
  <si>
    <t xml:space="preserve">555     </t>
  </si>
  <si>
    <t>85001,
вул. Тургенєва</t>
  </si>
  <si>
    <t>Водопровідні мережі до пров. Кисловодський</t>
  </si>
  <si>
    <t xml:space="preserve">566     </t>
  </si>
  <si>
    <t xml:space="preserve">85003,
мкрн. Сонячний, 11 </t>
  </si>
  <si>
    <t>Водопровідні лінії до дитячого садку «Казка»</t>
  </si>
  <si>
    <t xml:space="preserve">580     </t>
  </si>
  <si>
    <t xml:space="preserve">85001,
вул. Спартака </t>
  </si>
  <si>
    <t>Водопровідні лінії до вул. Білинського</t>
  </si>
  <si>
    <t xml:space="preserve">589     </t>
  </si>
  <si>
    <t>85001,
вул. Правди</t>
  </si>
  <si>
    <t>Вуличні водопровідні мережі  вул.Правди, Проїзна, Кутузова</t>
  </si>
  <si>
    <t xml:space="preserve">624     </t>
  </si>
  <si>
    <t>85000,
вул. Короленко</t>
  </si>
  <si>
    <t xml:space="preserve"> Вуличні водопровідні мережі вул. Короленка, Можайського, Коцюбинського</t>
  </si>
  <si>
    <t xml:space="preserve">659     </t>
  </si>
  <si>
    <t xml:space="preserve">700     </t>
  </si>
  <si>
    <t>Водопровідні лінії до ЦРЛ</t>
  </si>
  <si>
    <t xml:space="preserve">701     </t>
  </si>
  <si>
    <t>85000,
вул. Луганська, 23-31</t>
  </si>
  <si>
    <t xml:space="preserve">702     </t>
  </si>
  <si>
    <t>85000,
вул. Луганського</t>
  </si>
  <si>
    <t>Водопровідні лінії до ВКБ</t>
  </si>
  <si>
    <t xml:space="preserve">703     </t>
  </si>
  <si>
    <t>85001,
вул. Полтавська</t>
  </si>
  <si>
    <t xml:space="preserve">704     </t>
  </si>
  <si>
    <t xml:space="preserve">85000,
вул. Першотравнева </t>
  </si>
  <si>
    <t xml:space="preserve">705     </t>
  </si>
  <si>
    <t>Водопровідні лініїї до ЖБК «Дружба»</t>
  </si>
  <si>
    <t xml:space="preserve">832     </t>
  </si>
  <si>
    <t>85000,
вул. Гастелло</t>
  </si>
  <si>
    <t xml:space="preserve">837     </t>
  </si>
  <si>
    <t>85000,
вул. Харківська</t>
  </si>
  <si>
    <t xml:space="preserve">867     </t>
  </si>
  <si>
    <t xml:space="preserve">886     </t>
  </si>
  <si>
    <t>85003,
мкрн. Сонячний</t>
  </si>
  <si>
    <t>Водопровідні лінії</t>
  </si>
  <si>
    <t xml:space="preserve">888     </t>
  </si>
  <si>
    <t xml:space="preserve">890     </t>
  </si>
  <si>
    <t>85004,
вул. І.Франка, 35</t>
  </si>
  <si>
    <t xml:space="preserve">893     </t>
  </si>
  <si>
    <t xml:space="preserve">894     </t>
  </si>
  <si>
    <t>Водопровідні мережі до депо</t>
  </si>
  <si>
    <t xml:space="preserve">897     </t>
  </si>
  <si>
    <t xml:space="preserve">898     </t>
  </si>
  <si>
    <t xml:space="preserve">997     </t>
  </si>
  <si>
    <t>85003,
вул. Нова</t>
  </si>
  <si>
    <t>Водопровідні лінії до дитячого садка «Журавушка»</t>
  </si>
  <si>
    <t xml:space="preserve">1003    </t>
  </si>
  <si>
    <t xml:space="preserve">85001,
вул. Ізотова </t>
  </si>
  <si>
    <t xml:space="preserve">1042    </t>
  </si>
  <si>
    <t>85003,
мкрн. Сонячний, 7</t>
  </si>
  <si>
    <t xml:space="preserve">1046    </t>
  </si>
  <si>
    <t xml:space="preserve">1047    </t>
  </si>
  <si>
    <t xml:space="preserve">1051    </t>
  </si>
  <si>
    <t xml:space="preserve">1065    </t>
  </si>
  <si>
    <t xml:space="preserve">1066    </t>
  </si>
  <si>
    <t>Водопровідні лінії до ЗШ № 19</t>
  </si>
  <si>
    <t xml:space="preserve">1076    </t>
  </si>
  <si>
    <t>85003,
мкрн. Сонячний, 16</t>
  </si>
  <si>
    <t xml:space="preserve">1143    </t>
  </si>
  <si>
    <t>85003,
мкрн. Сонячний, 12</t>
  </si>
  <si>
    <t xml:space="preserve">1148    </t>
  </si>
  <si>
    <t>85003,
мкрн. Сонячний, 14</t>
  </si>
  <si>
    <t xml:space="preserve">1150    </t>
  </si>
  <si>
    <t xml:space="preserve">1151    </t>
  </si>
  <si>
    <t xml:space="preserve">1152    </t>
  </si>
  <si>
    <t>85000,
 вул. Східна</t>
  </si>
  <si>
    <t>Водопровідні лінії до ЖБНТ</t>
  </si>
  <si>
    <t xml:space="preserve">1153    </t>
  </si>
  <si>
    <t xml:space="preserve">85003,
мкрн. Сонячний, 17 </t>
  </si>
  <si>
    <t xml:space="preserve">1154    </t>
  </si>
  <si>
    <t>85003,
мкрн. Сонячний, 10</t>
  </si>
  <si>
    <t xml:space="preserve">1155    </t>
  </si>
  <si>
    <t>85003,
мкрн. Сонячний, 22</t>
  </si>
  <si>
    <t xml:space="preserve">1156    </t>
  </si>
  <si>
    <t>85000, 
пров. Луганського, 1-16</t>
  </si>
  <si>
    <t xml:space="preserve">1157    </t>
  </si>
  <si>
    <t>85003,
мкрн. Сонячний, 18</t>
  </si>
  <si>
    <t xml:space="preserve">1158    </t>
  </si>
  <si>
    <t>Добропільський р-н,
смт Святогорівка</t>
  </si>
  <si>
    <t>85002,
вул. Садова</t>
  </si>
  <si>
    <t xml:space="preserve">1358    </t>
  </si>
  <si>
    <t xml:space="preserve">1670    </t>
  </si>
  <si>
    <t>85003,
вул. Промислова</t>
  </si>
  <si>
    <t>Вулична водопровідна мережа</t>
  </si>
  <si>
    <t xml:space="preserve">2001    </t>
  </si>
  <si>
    <t>85003,
вул. Лермонтова</t>
  </si>
  <si>
    <t xml:space="preserve">2002    </t>
  </si>
  <si>
    <t>85003, 
вул. Ново-Шахтарська</t>
  </si>
  <si>
    <t xml:space="preserve">2003    </t>
  </si>
  <si>
    <t>85003,
вул. Шахтарська</t>
  </si>
  <si>
    <t xml:space="preserve">2004    </t>
  </si>
  <si>
    <t>85003,
вул. Толстого</t>
  </si>
  <si>
    <t xml:space="preserve">2005    </t>
  </si>
  <si>
    <t>85003,
вул. Чкалова</t>
  </si>
  <si>
    <t xml:space="preserve">2006    </t>
  </si>
  <si>
    <t>85003,
вул. Пушкіна</t>
  </si>
  <si>
    <t xml:space="preserve">2007    </t>
  </si>
  <si>
    <t xml:space="preserve">85003,
вул. Київська </t>
  </si>
  <si>
    <t xml:space="preserve">2008    </t>
  </si>
  <si>
    <t>85003,
вул. Коцюбинського</t>
  </si>
  <si>
    <t xml:space="preserve">2009    </t>
  </si>
  <si>
    <t>85003,
вул. Харківська</t>
  </si>
  <si>
    <t xml:space="preserve">2010    </t>
  </si>
  <si>
    <t>85003,
вул. Кутузова</t>
  </si>
  <si>
    <t xml:space="preserve">2011    </t>
  </si>
  <si>
    <t>85003,
вул. Радищева</t>
  </si>
  <si>
    <t xml:space="preserve">2012    </t>
  </si>
  <si>
    <t>85003,
вул. Східна</t>
  </si>
  <si>
    <t xml:space="preserve">2013    </t>
  </si>
  <si>
    <t>85003,
вул. Чернявського Миколи</t>
  </si>
  <si>
    <t xml:space="preserve">2014    </t>
  </si>
  <si>
    <t xml:space="preserve">85003,
вул. Черняховського </t>
  </si>
  <si>
    <t xml:space="preserve">2015    </t>
  </si>
  <si>
    <t>85003,
вул. Матросова</t>
  </si>
  <si>
    <t xml:space="preserve">2016    </t>
  </si>
  <si>
    <t>85003,
пров. Широкий</t>
  </si>
  <si>
    <t xml:space="preserve">2017    </t>
  </si>
  <si>
    <t>85001,
вул. Мелітопольська</t>
  </si>
  <si>
    <t xml:space="preserve">2018    </t>
  </si>
  <si>
    <t xml:space="preserve">85001,
пров. Лазурний </t>
  </si>
  <si>
    <t xml:space="preserve">2019    </t>
  </si>
  <si>
    <t>85004,
вул. Луганського,8</t>
  </si>
  <si>
    <t xml:space="preserve">2020    </t>
  </si>
  <si>
    <t>85000,
пров. Луганський, 21</t>
  </si>
  <si>
    <t xml:space="preserve">2079    </t>
  </si>
  <si>
    <t>85004,
вул. Луганського, 21</t>
  </si>
  <si>
    <t xml:space="preserve">2248    </t>
  </si>
  <si>
    <t>85001,
вул. Рудникова</t>
  </si>
  <si>
    <t xml:space="preserve">798а    </t>
  </si>
  <si>
    <t>85000,
пров. Молодіжний</t>
  </si>
  <si>
    <t xml:space="preserve">3257    </t>
  </si>
  <si>
    <t>85001,
пров. Північний</t>
  </si>
  <si>
    <t xml:space="preserve">3258    </t>
  </si>
  <si>
    <t>Водогін від м. Білицьке до с. Водяне</t>
  </si>
  <si>
    <t>137</t>
  </si>
  <si>
    <t>85043, 
вул. Добропільська</t>
  </si>
  <si>
    <t>284</t>
  </si>
  <si>
    <t>85043,
 вул. Жовтнева</t>
  </si>
  <si>
    <t>285</t>
  </si>
  <si>
    <t>85043,
 вул. Горького</t>
  </si>
  <si>
    <t>286</t>
  </si>
  <si>
    <t>287</t>
  </si>
  <si>
    <t xml:space="preserve">288     </t>
  </si>
  <si>
    <t>85043,
 вул. Донецька</t>
  </si>
  <si>
    <t xml:space="preserve">289     </t>
  </si>
  <si>
    <t>85043,
вул. Паркова</t>
  </si>
  <si>
    <t xml:space="preserve">290     </t>
  </si>
  <si>
    <t xml:space="preserve">291     </t>
  </si>
  <si>
    <t>85043,
вул. Вознесенського</t>
  </si>
  <si>
    <t xml:space="preserve">292     </t>
  </si>
  <si>
    <t>85043,
вул. Харківська</t>
  </si>
  <si>
    <t xml:space="preserve">293     </t>
  </si>
  <si>
    <t>85043,
вул. Старо-Базарна</t>
  </si>
  <si>
    <t xml:space="preserve">294     </t>
  </si>
  <si>
    <t>85043, 
вул. Ново-Базарна</t>
  </si>
  <si>
    <t xml:space="preserve">295     </t>
  </si>
  <si>
    <t>85043,
вул. Котовського</t>
  </si>
  <si>
    <t xml:space="preserve">296     </t>
  </si>
  <si>
    <t xml:space="preserve">297     </t>
  </si>
  <si>
    <t>85043,
вул. Фрунзе</t>
  </si>
  <si>
    <t xml:space="preserve">298     </t>
  </si>
  <si>
    <t xml:space="preserve">299     </t>
  </si>
  <si>
    <t>85043,
пров. Шахтарський</t>
  </si>
  <si>
    <t xml:space="preserve">Водогін по пров. Шахтарський         </t>
  </si>
  <si>
    <t xml:space="preserve">300     </t>
  </si>
  <si>
    <t>85043, 
вул. Будівельна</t>
  </si>
  <si>
    <t xml:space="preserve">301     </t>
  </si>
  <si>
    <t>85043, 
вул. Паркова</t>
  </si>
  <si>
    <t>Водогін до очисних споруд</t>
  </si>
  <si>
    <t xml:space="preserve">302     </t>
  </si>
  <si>
    <t>85043, 
вул. Швецова</t>
  </si>
  <si>
    <t>Водогін до ВНС</t>
  </si>
  <si>
    <t xml:space="preserve">303     </t>
  </si>
  <si>
    <t>Водогін до водонапірної вежі шахти «Білицька»</t>
  </si>
  <si>
    <t xml:space="preserve">695     </t>
  </si>
  <si>
    <t>1069</t>
  </si>
  <si>
    <t>Водопровідні мережі до будинку-інтернату</t>
  </si>
  <si>
    <t xml:space="preserve">Зовнішні мережі до БДІ   </t>
  </si>
  <si>
    <t>85043,
вул. Квіткова</t>
  </si>
  <si>
    <t>1431</t>
  </si>
  <si>
    <t>85043,
вул. Шкільна</t>
  </si>
  <si>
    <t xml:space="preserve">Водопровідні мережі вул. Шкільна   </t>
  </si>
  <si>
    <t>1583</t>
  </si>
  <si>
    <t>180.00</t>
  </si>
  <si>
    <t>85043,
вул. Центральна</t>
  </si>
  <si>
    <t xml:space="preserve">1585    </t>
  </si>
  <si>
    <t xml:space="preserve">1587    </t>
  </si>
  <si>
    <t>85043, 
пров. Продольний</t>
  </si>
  <si>
    <t xml:space="preserve">1650    </t>
  </si>
  <si>
    <t>85043, 
вул. Чапаєва</t>
  </si>
  <si>
    <t xml:space="preserve">2021    </t>
  </si>
  <si>
    <t>85043, 
вул. Шевченка</t>
  </si>
  <si>
    <t xml:space="preserve">Водогін по вул. Шевченка             </t>
  </si>
  <si>
    <t xml:space="preserve">2022    </t>
  </si>
  <si>
    <t>85043,
вул. Молодіжна</t>
  </si>
  <si>
    <t xml:space="preserve">2023    </t>
  </si>
  <si>
    <t>85047,
вул. Гоголя</t>
  </si>
  <si>
    <t xml:space="preserve">2024    </t>
  </si>
  <si>
    <t xml:space="preserve">2025    </t>
  </si>
  <si>
    <t xml:space="preserve">2026    </t>
  </si>
  <si>
    <t>85043,
вул. Святкова</t>
  </si>
  <si>
    <t xml:space="preserve">2027    </t>
  </si>
  <si>
    <t>85043,
вул. Липова</t>
  </si>
  <si>
    <t xml:space="preserve">2028    </t>
  </si>
  <si>
    <t>1197</t>
  </si>
  <si>
    <t>85043,
вул. Коцюбинського</t>
  </si>
  <si>
    <t xml:space="preserve">2029    </t>
  </si>
  <si>
    <t>85043,
вул. Разіна</t>
  </si>
  <si>
    <t xml:space="preserve">2030    </t>
  </si>
  <si>
    <t>85043, 
вул. Пугачьова</t>
  </si>
  <si>
    <t xml:space="preserve">2031    </t>
  </si>
  <si>
    <t>85043,
вул. Польова</t>
  </si>
  <si>
    <t xml:space="preserve">2032    </t>
  </si>
  <si>
    <t>85043,
вул. Пушкіна</t>
  </si>
  <si>
    <t xml:space="preserve">2033    </t>
  </si>
  <si>
    <t>85043,
вул. Залізнична</t>
  </si>
  <si>
    <t xml:space="preserve">2034    </t>
  </si>
  <si>
    <t>85043,
вул. Затишна</t>
  </si>
  <si>
    <t xml:space="preserve">2035    </t>
  </si>
  <si>
    <t>80543,
вул. Матросова</t>
  </si>
  <si>
    <t xml:space="preserve">2036    </t>
  </si>
  <si>
    <t xml:space="preserve">Водогін по вул. Добропільська (Червоноармійська)      </t>
  </si>
  <si>
    <t xml:space="preserve">2037    </t>
  </si>
  <si>
    <t>85043,
вул. Білицька</t>
  </si>
  <si>
    <t xml:space="preserve">2038    </t>
  </si>
  <si>
    <t>85043,
вул. Хмельницького</t>
  </si>
  <si>
    <t xml:space="preserve">2039    </t>
  </si>
  <si>
    <t>85043,
вул. Східна</t>
  </si>
  <si>
    <t xml:space="preserve">2040    </t>
  </si>
  <si>
    <t>85043,
вул. Сковороди</t>
  </si>
  <si>
    <t xml:space="preserve">2041    </t>
  </si>
  <si>
    <t xml:space="preserve">188     </t>
  </si>
  <si>
    <t xml:space="preserve">189     </t>
  </si>
  <si>
    <t xml:space="preserve">Внутрішньоквартальні каналізаційні мережі       </t>
  </si>
  <si>
    <t xml:space="preserve">206     </t>
  </si>
  <si>
    <t>85013, 
вул. Білозерська, 1</t>
  </si>
  <si>
    <t>Водогін від міста до шахти</t>
  </si>
  <si>
    <t xml:space="preserve">218     </t>
  </si>
  <si>
    <t xml:space="preserve">219     </t>
  </si>
  <si>
    <t>85013,
пров. Шкільний</t>
  </si>
  <si>
    <t xml:space="preserve">220     </t>
  </si>
  <si>
    <t>85013,
вул. Паркова</t>
  </si>
  <si>
    <t xml:space="preserve">221     </t>
  </si>
  <si>
    <t>85013,
вул. Островського</t>
  </si>
  <si>
    <t xml:space="preserve">222     </t>
  </si>
  <si>
    <t>85013,
вул. Пушкіна</t>
  </si>
  <si>
    <t xml:space="preserve">223     </t>
  </si>
  <si>
    <t>85013,
вул. Шкільна</t>
  </si>
  <si>
    <t xml:space="preserve">224     </t>
  </si>
  <si>
    <t>85013,
вул. Ватутіна</t>
  </si>
  <si>
    <t xml:space="preserve">225     </t>
  </si>
  <si>
    <t>85013,
вул. Гірнича</t>
  </si>
  <si>
    <t>Водогін по вул. Гірнича</t>
  </si>
  <si>
    <t xml:space="preserve">226     </t>
  </si>
  <si>
    <t xml:space="preserve">85013,
вул. Єрмакова </t>
  </si>
  <si>
    <t xml:space="preserve">227     </t>
  </si>
  <si>
    <t xml:space="preserve">228     </t>
  </si>
  <si>
    <t>85013,
вул. Маяковського</t>
  </si>
  <si>
    <t xml:space="preserve">229     </t>
  </si>
  <si>
    <t xml:space="preserve">231     </t>
  </si>
  <si>
    <t>85013,
вул. Спартака</t>
  </si>
  <si>
    <t xml:space="preserve">232     </t>
  </si>
  <si>
    <t xml:space="preserve">233     </t>
  </si>
  <si>
    <t>85013,
пров. Кожедуба</t>
  </si>
  <si>
    <t xml:space="preserve">Водогін по пров. Кожедуба            </t>
  </si>
  <si>
    <t xml:space="preserve">234     </t>
  </si>
  <si>
    <t>85013,
вул. І.Франка</t>
  </si>
  <si>
    <t xml:space="preserve">235     </t>
  </si>
  <si>
    <t>85013, 
вул. Пушкіна, 10</t>
  </si>
  <si>
    <t>Водогін від резервуару до вежі</t>
  </si>
  <si>
    <t xml:space="preserve">239     </t>
  </si>
  <si>
    <t>85013,
вул. Олега Кошевого</t>
  </si>
  <si>
    <t xml:space="preserve">282     </t>
  </si>
  <si>
    <t>85013,
вул. З.Космодем'янської</t>
  </si>
  <si>
    <t xml:space="preserve">553     </t>
  </si>
  <si>
    <t>85013,
вул. Некрасова</t>
  </si>
  <si>
    <t xml:space="preserve">590     </t>
  </si>
  <si>
    <t>85013,
 вул. Білозерська, 5</t>
  </si>
  <si>
    <t>Водогін від шахти до міста</t>
  </si>
  <si>
    <t xml:space="preserve">593     </t>
  </si>
  <si>
    <t xml:space="preserve">602     </t>
  </si>
  <si>
    <t xml:space="preserve">603     </t>
  </si>
  <si>
    <t xml:space="preserve">604     </t>
  </si>
  <si>
    <t>85013,
вул. Південна</t>
  </si>
  <si>
    <t xml:space="preserve">630     </t>
  </si>
  <si>
    <t xml:space="preserve">684     </t>
  </si>
  <si>
    <t xml:space="preserve">691     </t>
  </si>
  <si>
    <t>707</t>
  </si>
  <si>
    <t>750</t>
  </si>
  <si>
    <t>Водогін до школи</t>
  </si>
  <si>
    <t xml:space="preserve">752     </t>
  </si>
  <si>
    <t xml:space="preserve">784     </t>
  </si>
  <si>
    <t xml:space="preserve">785     </t>
  </si>
  <si>
    <t xml:space="preserve">805     </t>
  </si>
  <si>
    <t xml:space="preserve">980     </t>
  </si>
  <si>
    <t>Внутрішньоквартальні водопровідні мережі</t>
  </si>
  <si>
    <t xml:space="preserve">1009    </t>
  </si>
  <si>
    <t>85013,
вул. Широка</t>
  </si>
  <si>
    <t>Водогін від  ХРУ до ВНС</t>
  </si>
  <si>
    <t xml:space="preserve">1199    </t>
  </si>
  <si>
    <t>85013,
 вул. Південна, 11</t>
  </si>
  <si>
    <t>Водогін від резервуару Покровського РВУ (Красноармійського РВУ)</t>
  </si>
  <si>
    <t>1305</t>
  </si>
  <si>
    <t>1604</t>
  </si>
  <si>
    <t>2043</t>
  </si>
  <si>
    <t>2044</t>
  </si>
  <si>
    <t xml:space="preserve">2045    </t>
  </si>
  <si>
    <t xml:space="preserve">2046    </t>
  </si>
  <si>
    <t xml:space="preserve">2047    </t>
  </si>
  <si>
    <t xml:space="preserve">2048    </t>
  </si>
  <si>
    <t xml:space="preserve">2049    </t>
  </si>
  <si>
    <t xml:space="preserve">2050    </t>
  </si>
  <si>
    <t>85013,
вул. Єрмакова</t>
  </si>
  <si>
    <t xml:space="preserve">2051    </t>
  </si>
  <si>
    <t xml:space="preserve">2052    </t>
  </si>
  <si>
    <t xml:space="preserve">2053    </t>
  </si>
  <si>
    <t xml:space="preserve">2055    </t>
  </si>
  <si>
    <t xml:space="preserve">2056    </t>
  </si>
  <si>
    <t xml:space="preserve">2057    </t>
  </si>
  <si>
    <t>85013,
вул. Дачна</t>
  </si>
  <si>
    <t xml:space="preserve">2058    </t>
  </si>
  <si>
    <t>85013,
вул. Північна</t>
  </si>
  <si>
    <t xml:space="preserve">707.1   </t>
  </si>
  <si>
    <t xml:space="preserve">3260    </t>
  </si>
  <si>
    <t xml:space="preserve">Внутрішньомайданчиковий водопровід       </t>
  </si>
  <si>
    <t xml:space="preserve">742     </t>
  </si>
  <si>
    <t xml:space="preserve">Водопровід Д=600                   </t>
  </si>
  <si>
    <t xml:space="preserve">745     </t>
  </si>
  <si>
    <t xml:space="preserve">Водопровід до с. Нововодяне          </t>
  </si>
  <si>
    <t xml:space="preserve">746     </t>
  </si>
  <si>
    <t>Водопровід від водозабору Золотий Колодязь до свердловини 710</t>
  </si>
  <si>
    <t xml:space="preserve">771     </t>
  </si>
  <si>
    <t>Водопровід до свердловин 711, 902</t>
  </si>
  <si>
    <t xml:space="preserve">772     </t>
  </si>
  <si>
    <t xml:space="preserve">84000,
вул. Донецька, 11 </t>
  </si>
  <si>
    <t>Введення до житлового будинку</t>
  </si>
  <si>
    <t xml:space="preserve">30      </t>
  </si>
  <si>
    <t>84000,
вул. Донецька, 12</t>
  </si>
  <si>
    <t xml:space="preserve">261     </t>
  </si>
  <si>
    <t>Водогін Новодонецьк-Олександрівка</t>
  </si>
  <si>
    <t xml:space="preserve">434     </t>
  </si>
  <si>
    <t>Вуличні мережі селища</t>
  </si>
  <si>
    <t xml:space="preserve">435     </t>
  </si>
  <si>
    <t xml:space="preserve">597     </t>
  </si>
  <si>
    <t>84000,
вул. Травнева</t>
  </si>
  <si>
    <t xml:space="preserve">723     </t>
  </si>
  <si>
    <t>84000,
вул. Новоселівська</t>
  </si>
  <si>
    <t xml:space="preserve">724     </t>
  </si>
  <si>
    <t>84000,
вул. Центральна</t>
  </si>
  <si>
    <t xml:space="preserve">725     </t>
  </si>
  <si>
    <t xml:space="preserve">84000,
вул. Донецька </t>
  </si>
  <si>
    <t>Магістральний водогін до вул. Шевченка</t>
  </si>
  <si>
    <t xml:space="preserve">726     </t>
  </si>
  <si>
    <t>84000, 
вул. Центральна</t>
  </si>
  <si>
    <t xml:space="preserve">Водопровідний комплекс             </t>
  </si>
  <si>
    <t xml:space="preserve">727     </t>
  </si>
  <si>
    <t>84000,
вул. Шкільна</t>
  </si>
  <si>
    <t xml:space="preserve">728     </t>
  </si>
  <si>
    <t>84000,
вул. Вишнева</t>
  </si>
  <si>
    <t xml:space="preserve">729     </t>
  </si>
  <si>
    <t>84000,
вул. Садова</t>
  </si>
  <si>
    <t xml:space="preserve">730     </t>
  </si>
  <si>
    <t xml:space="preserve">857     </t>
  </si>
  <si>
    <t>84000, 
вул. Навчальна</t>
  </si>
  <si>
    <t>Водогін від водозабору до ЦРЛ</t>
  </si>
  <si>
    <t xml:space="preserve">978     </t>
  </si>
  <si>
    <t>84000,
вул. Абрикосова</t>
  </si>
  <si>
    <t xml:space="preserve">1243    </t>
  </si>
  <si>
    <t>85003,
вул. Гірників</t>
  </si>
  <si>
    <t xml:space="preserve">Вулична водопровідна мережа вул. Плеханова          </t>
  </si>
  <si>
    <t xml:space="preserve">34071   </t>
  </si>
  <si>
    <t>85003,
ВНС с. Жданова</t>
  </si>
  <si>
    <t xml:space="preserve">34081   </t>
  </si>
  <si>
    <t>85004,
 вул. Миру</t>
  </si>
  <si>
    <t xml:space="preserve">34091   </t>
  </si>
  <si>
    <t>85003,
 вул. Лобачевського</t>
  </si>
  <si>
    <t xml:space="preserve">3436    </t>
  </si>
  <si>
    <t>85003,
вул. Чернишевського</t>
  </si>
  <si>
    <t xml:space="preserve">Водогін вул. Чернишевського           </t>
  </si>
  <si>
    <t xml:space="preserve">3437    </t>
  </si>
  <si>
    <t>85003,
вул. Ломоносова</t>
  </si>
  <si>
    <t xml:space="preserve">3443    </t>
  </si>
  <si>
    <t>85001,
вул. Космонавтів</t>
  </si>
  <si>
    <t xml:space="preserve">3444    </t>
  </si>
  <si>
    <t>85003,
пров. Свободний</t>
  </si>
  <si>
    <t xml:space="preserve">3445    </t>
  </si>
  <si>
    <t>85013,
вул. Київська</t>
  </si>
  <si>
    <t xml:space="preserve">3446    </t>
  </si>
  <si>
    <t>85000,
вул. Проїзна</t>
  </si>
  <si>
    <t xml:space="preserve">3447    </t>
  </si>
  <si>
    <t>85001,
вул. Жуковського</t>
  </si>
  <si>
    <t xml:space="preserve">3451    </t>
  </si>
  <si>
    <t>85003,
вул. Грушевського</t>
  </si>
  <si>
    <t>Вулична водопровідна мережа 
вул. Грушевського (колишня Воровського)</t>
  </si>
  <si>
    <t xml:space="preserve">3454    </t>
  </si>
  <si>
    <t>85043,
вул. Шахтобудівників</t>
  </si>
  <si>
    <t>3457</t>
  </si>
  <si>
    <t xml:space="preserve">85106, 
вул. Ангеліної, 15 </t>
  </si>
  <si>
    <t>Адміністративно-побутовий корпус і лабораторія</t>
  </si>
  <si>
    <t>_</t>
  </si>
  <si>
    <t>85100, 
вул. Томська</t>
  </si>
  <si>
    <t xml:space="preserve">Насосна підкачувальна станція </t>
  </si>
  <si>
    <t>85100,
 вул. Абрамова, 4А</t>
  </si>
  <si>
    <t>Хлораторна насосна станція "Чиста вода "</t>
  </si>
  <si>
    <t>Насосна станція "Чиста вода № 2 "</t>
  </si>
  <si>
    <t>1972-1986</t>
  </si>
  <si>
    <t>Резервуар залізобетонний прямокутний ВНС № 2</t>
  </si>
  <si>
    <t xml:space="preserve">Насосна станція </t>
  </si>
  <si>
    <t>Автодорога ВНС "Верхня зона"</t>
  </si>
  <si>
    <t>Огорожа резервуарів і ВНС "Верхня зона"</t>
  </si>
  <si>
    <t>Резервуар 4000 куб. м "Верхня зона"</t>
  </si>
  <si>
    <t>Резервуар 3000 куб. м "Верхня зона"</t>
  </si>
  <si>
    <t>85100, 
вул. Волгоградська, 124А</t>
  </si>
  <si>
    <t>Насосна станція "Верхня зона", водобаки</t>
  </si>
  <si>
    <t>85100, 
вул. Мірошниченко</t>
  </si>
  <si>
    <t xml:space="preserve">Насосна станція № 4 </t>
  </si>
  <si>
    <t xml:space="preserve">Благоустрій бази </t>
  </si>
  <si>
    <t>85100, 
вул. Абрамова, 4А</t>
  </si>
  <si>
    <t>Благоустрій площі насосної станції "Чиста вода"</t>
  </si>
  <si>
    <t>Резервуар 10000 куб. м</t>
  </si>
  <si>
    <t>Резервуар залізобетонний</t>
  </si>
  <si>
    <t>85105,
 вул. 13-ти розстріляних, 202А</t>
  </si>
  <si>
    <t xml:space="preserve">КНС № 5 </t>
  </si>
  <si>
    <t>85100, 
вул. Носулі, 1А</t>
  </si>
  <si>
    <t>КНС № 1 без обладнання</t>
  </si>
  <si>
    <t>85100, 
вул. Цинкова, 4А</t>
  </si>
  <si>
    <t>КНС № 2 з обладнанням</t>
  </si>
  <si>
    <t>85106, 
вул. О.Тихого - Л.Українки</t>
  </si>
  <si>
    <t xml:space="preserve">КНС № 1а </t>
  </si>
  <si>
    <t>Резервуар 6000 куб. м</t>
  </si>
  <si>
    <t xml:space="preserve">85106, 
вул. О.Тихого, 520 </t>
  </si>
  <si>
    <t>Зовнішні мережі водопроводу очисних споруд</t>
  </si>
  <si>
    <t>Зовнішні теплові мережі очисних споруд</t>
  </si>
  <si>
    <t>85106, 
вул. О.Тихого, 520</t>
  </si>
  <si>
    <t>Водовимірювальний лоток стічних вод</t>
  </si>
  <si>
    <t>Будинки решіток очисних споруд</t>
  </si>
  <si>
    <t>Пісковий майданчик очисних споруд</t>
  </si>
  <si>
    <t>Зовнішні комунікації</t>
  </si>
  <si>
    <t>Муловий ставок очисних споруд</t>
  </si>
  <si>
    <t>Лотки водовимірювальних стічних вод</t>
  </si>
  <si>
    <t xml:space="preserve">Мулонасосна станція очисних споруд на 2 агрегати </t>
  </si>
  <si>
    <t>Муловий ставок</t>
  </si>
  <si>
    <t>Технологічний трубопровід на площі очисних споруд</t>
  </si>
  <si>
    <t>Насосна повітродувна станція очисних споруд</t>
  </si>
  <si>
    <t>Біоставок</t>
  </si>
  <si>
    <t>Відстійник вторинний радіальний</t>
  </si>
  <si>
    <t>Резервуар контактний</t>
  </si>
  <si>
    <t>Резервуар активного мулу</t>
  </si>
  <si>
    <t>Резервуари аеротенків</t>
  </si>
  <si>
    <t>Благоустрій території очисних споруд</t>
  </si>
  <si>
    <t>Мулоущільнювач</t>
  </si>
  <si>
    <t>85100, 
вул. Леваневського, 170</t>
  </si>
  <si>
    <t xml:space="preserve">КНС № 6 з приймальним резервуаром </t>
  </si>
  <si>
    <t>85106, 
вул. О.Тихого 520</t>
  </si>
  <si>
    <t>Технологічний трубопровід на майданчику очисних споруд</t>
  </si>
  <si>
    <t>Позамайданчикові мережі каналізації очисних споруд</t>
  </si>
  <si>
    <t>Позамайданчикові мережі водопроводу</t>
  </si>
  <si>
    <t>Хлораторна очисних споруд</t>
  </si>
  <si>
    <t>Пісколовка горизонтальна</t>
  </si>
  <si>
    <t xml:space="preserve">Муловий ставок очисних споруд </t>
  </si>
  <si>
    <t>Резервуар залізобетонний прямокутний</t>
  </si>
  <si>
    <t>Будова</t>
  </si>
  <si>
    <t>85106, 
вул. Хабаровська-Калмикова</t>
  </si>
  <si>
    <t>КНС № 7</t>
  </si>
  <si>
    <t>85106, 
вул. Торецька</t>
  </si>
  <si>
    <t>Магістральний трубопровід</t>
  </si>
  <si>
    <t>85100, 
вул. Пушкінська</t>
  </si>
  <si>
    <t>Мережі водорозподільні вул. Пушкінська</t>
  </si>
  <si>
    <t>85100, 
вул. О.Островського</t>
  </si>
  <si>
    <t>Мережі водорозподільні, вул. О.Островського</t>
  </si>
  <si>
    <t>85100,
 вул. Трудова</t>
  </si>
  <si>
    <t>Мережі водорозподільні, вул. Трудова</t>
  </si>
  <si>
    <t>85100, 
вул. Спортивна</t>
  </si>
  <si>
    <t>Мережі водорозподільні, вул. Спортивна</t>
  </si>
  <si>
    <t>85100,
 вул. Інтернаціональна</t>
  </si>
  <si>
    <t>Мережі водорозподільні, вул. Інтернаціональна</t>
  </si>
  <si>
    <t>85100, 
вул. Новосадова</t>
  </si>
  <si>
    <t>Мережі водорозподільні, вул. Новосадова</t>
  </si>
  <si>
    <t>85100, 
вул. Мусорського, площа Перемоги, вул.Тагільська</t>
  </si>
  <si>
    <t>Мережі водорозподільні Мусорського, Перемоги</t>
  </si>
  <si>
    <t>85100, 
вул. Незалежності</t>
  </si>
  <si>
    <t>85100, 
вул. Залізнична</t>
  </si>
  <si>
    <t>Мережі водорозподільні, вул. Залізнична</t>
  </si>
  <si>
    <t>85100, 
вул. О.Тихого</t>
  </si>
  <si>
    <t>Мережі водорозподільні, вул. О.Тихого</t>
  </si>
  <si>
    <t xml:space="preserve">Мережі водорозподільні </t>
  </si>
  <si>
    <t xml:space="preserve">85100,
вул. Черняховського </t>
  </si>
  <si>
    <t xml:space="preserve">85100,
 вул. Сечкина  </t>
  </si>
  <si>
    <t>Мережі водорозподільні, вул. Сечкина</t>
  </si>
  <si>
    <t>85105, 
вул. 13-ти розстріляних</t>
  </si>
  <si>
    <t xml:space="preserve">Мережі водорозподільні, вул.13-ти розстріляних </t>
  </si>
  <si>
    <t xml:space="preserve">85100, 
вул. Мінська </t>
  </si>
  <si>
    <t>Мережі водорозподільні, вул. Мінська</t>
  </si>
  <si>
    <t>85100,
 вул. Новосадова</t>
  </si>
  <si>
    <t xml:space="preserve">Магістральний трубопровід </t>
  </si>
  <si>
    <t>85100
вул. Маріупольська</t>
  </si>
  <si>
    <t>Мережі водорозподільні</t>
  </si>
  <si>
    <t>85100, 
вул. Річкова</t>
  </si>
  <si>
    <t xml:space="preserve">Магістральний  трубопровід </t>
  </si>
  <si>
    <t>85100,
 вул. Паркова</t>
  </si>
  <si>
    <t>85100, 
вул. Володарського</t>
  </si>
  <si>
    <t>85100, 
вул. Ломоносова</t>
  </si>
  <si>
    <t>85100,
вул. Мінська</t>
  </si>
  <si>
    <t>85100, 
вул. Ситалова</t>
  </si>
  <si>
    <t>85100, 
вул. Матросова</t>
  </si>
  <si>
    <t>85100, 
вул. Мінська</t>
  </si>
  <si>
    <t>85100,
 вул. Радищева, вул. Тбіліська, 
вул. Л.Українки, вул. Українська</t>
  </si>
  <si>
    <t>85100,
 вул. Томська, вул. Гастелло,
 вул. Житомирська</t>
  </si>
  <si>
    <t>85100, 
вул. Вінницька</t>
  </si>
  <si>
    <t>85100,
 вул. Бахмутська, вул. Футбольна</t>
  </si>
  <si>
    <t>85100, 
вул. Мічуріна-Донецька</t>
  </si>
  <si>
    <t>85100,
 вул. Шмідта</t>
  </si>
  <si>
    <t>85100, 
вул. Праці, вул. Пушкінська,
 вул. Радищева, вул. Макіївська</t>
  </si>
  <si>
    <t>85100, 
вул. Магістральна</t>
  </si>
  <si>
    <t>85100,
 вул. Нахімова</t>
  </si>
  <si>
    <t xml:space="preserve"> 85100, 
вул. Черняховського</t>
  </si>
  <si>
    <t xml:space="preserve">85100, 
вул. Самарська, вул. Ломоносова </t>
  </si>
  <si>
    <t>85105, 
вул. Панфілова, вул. Матросова, 
вул. Іртишська, вул. Коломинська,
вул. Куплевацького</t>
  </si>
  <si>
    <t>85100, 
вул. Ростовська</t>
  </si>
  <si>
    <t>85100, 
вул. Вінницька, вул. Декоративна, 
вул. Бородіна, вул. Бурденко, 
вул. Хмельницького</t>
  </si>
  <si>
    <t>85100, 
вул. Армійська, вул. Злагоди, 
вул. Демещенка, вул. Запорізька</t>
  </si>
  <si>
    <t>85100, 
вул. Донецька, вул. Белинського, 
вул. Білогорська, вул. Вокзальна,
вул. Гомельська,  вул. Кримська</t>
  </si>
  <si>
    <t>85100, 
вул. Краматорська, вул. Лисичанська,
вул. Лозова, вул. Менделєєва</t>
  </si>
  <si>
    <t>85100, 
вул. Демещенка, вул. Гетьманська,
 вул. Театральна</t>
  </si>
  <si>
    <t>Водовід від резервуара Донбасводтрест до ВНС  № 2</t>
  </si>
  <si>
    <t>85100, 
вул. Шмідта</t>
  </si>
  <si>
    <t>Магістральний трубопровід заводу Скловиробів</t>
  </si>
  <si>
    <t>85100, 
вул. Промислова, вул. Театральна, 
вул. Футбольна, вул. Пугачова, 
вул. Пушкінська</t>
  </si>
  <si>
    <t>85100, 
вул. Лісова, пров. Полтавський</t>
  </si>
  <si>
    <t>85100,
 вул. 6-го Вересня</t>
  </si>
  <si>
    <t>85100, 
вул. Тбіліська, вул. Першотравнева, 
вул. Футбольна, вул. Запорізька,
вул. Європейська</t>
  </si>
  <si>
    <t>85100,
 вул. Запорізька, вул. Європейська</t>
  </si>
  <si>
    <t>85100, 
вул. Брестська, вул. Псковська,
вул. Єлецька, вул. Арзамаська</t>
  </si>
  <si>
    <t>85100, 
вул. Чернігівська, вул. Міргородська</t>
  </si>
  <si>
    <t>85100, 
вул. Леваневського, вул. І.Франка,
 вул. Чернігівська</t>
  </si>
  <si>
    <t>85100, 
вул. Волховська, вул. Київська, 
вул. Транспортна</t>
  </si>
  <si>
    <t>85100, 
вул. Трудова, вул. Незалежності,
вул. Театральна, вул. Поштова</t>
  </si>
  <si>
    <t>85100,
 Мікрорайон № 3</t>
  </si>
  <si>
    <t>85100, 
вул. Торецька, вул. Незалежності,
вул. Трудова, вул. Соборності</t>
  </si>
  <si>
    <t xml:space="preserve">85100,
 б-р Космонавтів, 4 </t>
  </si>
  <si>
    <t xml:space="preserve">85100, 
вул. Адлеровська, вул. Бухарська,
вул. Сечкина </t>
  </si>
  <si>
    <t>Водовід від Белогірського родовища до міста Костянтинівка</t>
  </si>
  <si>
    <t>85100, 
вул. Європейська, вул. Ціолковського,
 вул. Космонавтів,  вул. Громова</t>
  </si>
  <si>
    <t>Водовід від 2-го Донецького водоводу до резервуару Донбасводтрест</t>
  </si>
  <si>
    <t>Зовнішні водопровідні мережі</t>
  </si>
  <si>
    <t xml:space="preserve">85100, 
Мікрорайон № 2 </t>
  </si>
  <si>
    <t>Водовід від Белогірського родовища до резервуару Донбасводтрест</t>
  </si>
  <si>
    <t>85100, 
вул. Паркова, вул. Номікосових</t>
  </si>
  <si>
    <t>Напірний металевий трубопровід</t>
  </si>
  <si>
    <t xml:space="preserve">85100, 
вул. Абрамова, 4А </t>
  </si>
  <si>
    <t>Трубопровід від резервуару 4000 куб. м до ВНС "Верхня зона"</t>
  </si>
  <si>
    <t xml:space="preserve">Водовід 600 мм від Белогорівського родовища </t>
  </si>
  <si>
    <t>85105, 
вул. Матросова</t>
  </si>
  <si>
    <t>Водовід по вул. Матросова</t>
  </si>
  <si>
    <t>85100,
вул. Ціолковського</t>
  </si>
  <si>
    <t xml:space="preserve">Водовід житловий будинок № 22 мікрорайон 2, житловий будинок № 9,11 від СШ № 3 </t>
  </si>
  <si>
    <t xml:space="preserve">85100,
 вул. Космонавтів, </t>
  </si>
  <si>
    <t>Водовід мікрорайон № 2,  від вул. Космонавтів до школи № 3</t>
  </si>
  <si>
    <t>85100,
 вул. Громова, вул. Європейська</t>
  </si>
  <si>
    <t>Водовід, мікрорайон "Нульовий"</t>
  </si>
  <si>
    <t>85100, 
вул. Шкільна, вул. Леваневського</t>
  </si>
  <si>
    <t>Зовнішні мережі від житлових будинків № 2,5,8,11 по вул. Шкільна, до № 59-62 по
 вул. Леваневського</t>
  </si>
  <si>
    <t>85100, 
вул. Громова</t>
  </si>
  <si>
    <t>Водовід мікрорайону "Нульовий" від вул. Європейська по вул. Громова</t>
  </si>
  <si>
    <t xml:space="preserve">85100, 
вул. Островського </t>
  </si>
  <si>
    <t>Водовід від вул. О.Островського до резервуару по вул. Стадіонна</t>
  </si>
  <si>
    <t>85100, 
просп. Ломоносова</t>
  </si>
  <si>
    <t xml:space="preserve">Водопровідні мережі квартал "Е" </t>
  </si>
  <si>
    <t>Водопровідні мережі до пологового будинку по просп. Ломоносова з вул. Ємельянова</t>
  </si>
  <si>
    <t>Водопровідні мережі до гуртожитку на 360 міст від лікарні № 1</t>
  </si>
  <si>
    <t>Водопровідні мережі від  вул. Островського до резервуару Стадіонна</t>
  </si>
  <si>
    <t>Водопровід з чавунних труб від водогрязелікарні до ОКСА</t>
  </si>
  <si>
    <t>85100, 
вул. Ленінградська</t>
  </si>
  <si>
    <t>Водопровід Критий ринок від Відділу капітального будівництва</t>
  </si>
  <si>
    <t>85100, 
вул. Невського</t>
  </si>
  <si>
    <t xml:space="preserve"> 85100, 
вул. Пушкінська</t>
  </si>
  <si>
    <t>Водопровідні мережі від житлово-експлуатаційної контори по вул. Пушкінській</t>
  </si>
  <si>
    <t>85100, 
вул. Білоусова</t>
  </si>
  <si>
    <t>Зовнішні водопровідні мережі до житлових будинків № 7, 8, 9 по вул. Білоусова</t>
  </si>
  <si>
    <t>85100, 
вул. Інтернаціональна</t>
  </si>
  <si>
    <t>Зовнішні водопровідні мережі
 вул. Інтернаціональна</t>
  </si>
  <si>
    <t>Зовнішні водопровідні мережі  до житлового будинку № 6 вул. Громова</t>
  </si>
  <si>
    <t>Зовнішні водопровідні мережі  до житлового будинку № 7 вул. Громова</t>
  </si>
  <si>
    <t>85100, 
вул. Злагоди</t>
  </si>
  <si>
    <t>Зовнішні водопровідні мережі до житлового будинку № 1 вул. Злагоди</t>
  </si>
  <si>
    <t>85100, 
вул. Цинкова</t>
  </si>
  <si>
    <t>Зовнішні водопровідні мережі житловий будинок № 1 вул. Цинкова</t>
  </si>
  <si>
    <t>Зовнішні водопровідні мережі  житловий будинок № 2 вул. Цинкова</t>
  </si>
  <si>
    <t>Зовнішні водопровідні мережі житловий будинок № 4 вул. Цинкова</t>
  </si>
  <si>
    <t>Зовнішні водопровідні мережі, дитячий садок мікрорайон Нульовий</t>
  </si>
  <si>
    <t>85100,
 вул. Європейська</t>
  </si>
  <si>
    <t>Зовнішні водопровідні мережі, житловий будинок  № 12 вул. Європейська</t>
  </si>
  <si>
    <t xml:space="preserve">85100, 
вул. Європейська </t>
  </si>
  <si>
    <t>Зовнішні водопровідні мережі від котельні мікрорайон Нульовий</t>
  </si>
  <si>
    <t>85100, 
бульв. Космонавтів</t>
  </si>
  <si>
    <t>Зовнішні водопровідні мережі, житловий будинок № 22а вул. Космонавтів</t>
  </si>
  <si>
    <t>Зовнішні водопровідні мережі, житловий будинок № 1 мікрорайон Нульовий</t>
  </si>
  <si>
    <t>Зовнішні водопровідні мережі, житловий будинок  № 2 мікрорайон Нульовий</t>
  </si>
  <si>
    <t>Зовнішні водопровідні мережі, житловий будинок № 3 мікрорайон Нульовий</t>
  </si>
  <si>
    <t>Зовнішні водопровідні мережі, житловий будинок № 4 мікрорайон Нульовий</t>
  </si>
  <si>
    <t>Зовнішні водопровідні мережі, житловий будинок № 5 мікрорайон Нульовий</t>
  </si>
  <si>
    <t>Зовнішні водопровідні мережі, житловий будинок  № 6 мікрорайон Нульовий</t>
  </si>
  <si>
    <t>Зовнішні водопровідні мережі, мікрорайон Нульовий</t>
  </si>
  <si>
    <t>85100, 
вул. 6-го Вересня</t>
  </si>
  <si>
    <t>Зовнішні водопровідні мережі квартал 12
 вул. 6-го Вересня, житловий будинок № 1</t>
  </si>
  <si>
    <t>Зовнішні водопровідні мережі квартал 12
 вул. 6-го Вересня, житловий будинок № 3</t>
  </si>
  <si>
    <t>Дюкер через річку Кривий Торець</t>
  </si>
  <si>
    <t>85100,
 вул. Хабаровська, вул. Калмикова, 
вул. Громова</t>
  </si>
  <si>
    <t>Водовід 600 мм вул. Хабаровська, Калмикова, Громова</t>
  </si>
  <si>
    <t xml:space="preserve">Внутрішні водопровідні мережі, школа на 1176 міст від відділу капітального будівництва </t>
  </si>
  <si>
    <t>85100, 
Мікрорайон № 2</t>
  </si>
  <si>
    <t>85100,
 вул. Суворова</t>
  </si>
  <si>
    <t>Мережі водопровідні від гуртожитку до медичного училища</t>
  </si>
  <si>
    <t>85100, 
вул. Хабаровська, вул. Дорожна</t>
  </si>
  <si>
    <t>85100, 
вул. Калмикова</t>
  </si>
  <si>
    <t>Каналізаційні мережі, житловий будинок № 2 мікрорайон Північний</t>
  </si>
  <si>
    <t>Каналізаційні мережі, автоматична телефонна станція на 10000 номерів</t>
  </si>
  <si>
    <t>Каналізаційні мережі, житловий будинок № 4 мікрорайон Північний</t>
  </si>
  <si>
    <t>Водопровідні мережі, котельна мікрорайону 1 по вул. Громова</t>
  </si>
  <si>
    <t>85100, 
вул. Європейська</t>
  </si>
  <si>
    <t>Водопровідні мережі, житловий будинок № 4 мікрорайон 1, житловий будинок № 62
 вул. Європейська</t>
  </si>
  <si>
    <t>85100, 
вул. Безнощенко</t>
  </si>
  <si>
    <t>Водопровідні мережі, житловий будинок № 2 квартал "Е", вул. Безнощенко</t>
  </si>
  <si>
    <t>Водопровідні мережі, житловий будинок № 1 квартал "Е"</t>
  </si>
  <si>
    <t xml:space="preserve">85100,
 вул. Пушкінська 48, 50  </t>
  </si>
  <si>
    <t>Водопровідні мережі, вул. Пушкінська житлові будинки № 48, 50</t>
  </si>
  <si>
    <t xml:space="preserve"> 85100, 
вул. Хабаровська</t>
  </si>
  <si>
    <t>Зовнішні водопровідні мережі, житловий будинок № 2 вул. Хабаровська</t>
  </si>
  <si>
    <t>Зовнішні водопровідні мережі, житловий будинок № 2а вул. Хабаровська</t>
  </si>
  <si>
    <t>Зовнішні водопровідні мережі, житловий будинок № 3 вул. Хабаровська</t>
  </si>
  <si>
    <t>Зовнішні водопровідні мережі житлового будинку № 3а із прибудованою їдальнею</t>
  </si>
  <si>
    <t>85100, 
вул. Хабаровська, 9А, вул. Громова</t>
  </si>
  <si>
    <t>Зовнішні водопровідні мережі, житловий будинок № 11 вул. Хабаровська</t>
  </si>
  <si>
    <t>85100, 
вул. Хабаровська</t>
  </si>
  <si>
    <t>Зовнішні водопровідні мережі, житловий будинок № 13 вул. Хабаровська</t>
  </si>
  <si>
    <t>85100,
 вул. Хабаровська</t>
  </si>
  <si>
    <t>85100, 
вул. Бульварна</t>
  </si>
  <si>
    <t>Водопровідні мережі довжиною 150 м  діаметром 50 мм 4 колодязі</t>
  </si>
  <si>
    <t>85100, 
вул. Хабаровська, вул. Громова</t>
  </si>
  <si>
    <t xml:space="preserve">Водопровідні мережі, КЕТБ </t>
  </si>
  <si>
    <t>85100, 
вул. Слов'янська</t>
  </si>
  <si>
    <t>Водопровідні мережі - Автовокзал</t>
  </si>
  <si>
    <t>Водопровідні мережі, житловий будинок № 3 мікрорайон № 1</t>
  </si>
  <si>
    <t>85100, 
вул. Партизанська</t>
  </si>
  <si>
    <t>Зовнішні водопровідні мережі, дитячий садок по вул. Партизанська</t>
  </si>
  <si>
    <t>Зовнішні водопровідні мережі, дитячий садок по вул. Хабаровська</t>
  </si>
  <si>
    <t>Водопровідні мережі, житловий будинок № 3 мікрорайон "Північний"</t>
  </si>
  <si>
    <t>Зовнішні водопровідні мережі, житловий будинок № 21,27 вул. Хабаровська, житловий будинок № 1 вул. Громова</t>
  </si>
  <si>
    <t>Водопровідні мережі, житловий будинок № 1 мікрорайон "Північний"</t>
  </si>
  <si>
    <t>Водопровідні мережі, житловий будинок № 4 мікрорайон "Північний"</t>
  </si>
  <si>
    <t>Водопровідні мережі, автоматична телефонна станція на 10000 номерів, вул. Пушкінська</t>
  </si>
  <si>
    <t>85100, 
вул. Трудова</t>
  </si>
  <si>
    <t>Водопровідні мережі, житловий будинок № 4 мікрорайон "Північний", житловий будинок 
№ 369 вул. Трудова</t>
  </si>
  <si>
    <t>Зовнішні водопровідні мережі, житловий будинок № 23 вул. Хабаровська</t>
  </si>
  <si>
    <t>Зовнішні водопровідні мережі, житловий будинок № 27 вул. Хабаровська</t>
  </si>
  <si>
    <t>Зовнішні водопровідні мережі, житловий будинок № 5 вул. Новосадова  мікрорайон "Північний"</t>
  </si>
  <si>
    <t xml:space="preserve"> 85100, 
вул. Декоративна</t>
  </si>
  <si>
    <t xml:space="preserve">85100, 
вул. Незалежності </t>
  </si>
  <si>
    <t xml:space="preserve">85100, 
вул. Злагоди </t>
  </si>
  <si>
    <t>Водопровідні мережі, житловий будинок 
№ 15,17 вул. Злагоди</t>
  </si>
  <si>
    <t>Водопровідні мережі, житловий будинок № 8 мікрорайон "Північний", житловий будинок
 № 10-12 вул. Білоусова</t>
  </si>
  <si>
    <t>85100, 
вул. Калмикова, вул. Хабаровська</t>
  </si>
  <si>
    <t xml:space="preserve">85100, 
вул. О.Тихого </t>
  </si>
  <si>
    <t>Вуличний каналізаційний колектор,
вул. О.Тихого</t>
  </si>
  <si>
    <t>85100, 
пров. Театральний</t>
  </si>
  <si>
    <t>Вуличний каналізаційний колектор, 
провулок Театральний</t>
  </si>
  <si>
    <t>Вуличний каналізаційний колектор,
 вул. Ситалова від насосної станції 1а</t>
  </si>
  <si>
    <t>Головний каналізаційний колектор по 
вул. О.Тихого</t>
  </si>
  <si>
    <t>Самопливний каналізаційний колектор від вокзалу до КНС № 1</t>
  </si>
  <si>
    <t>85100
вул. Лермонтова</t>
  </si>
  <si>
    <t xml:space="preserve">85100, 
вул. Соборності </t>
  </si>
  <si>
    <t>Вуличний каналізаційний колектор, по 
вул. Соборності до головного колектора</t>
  </si>
  <si>
    <t>85100, 
вул. Київська</t>
  </si>
  <si>
    <t>Вуличні каналізаційні мережі, по вул. Київська</t>
  </si>
  <si>
    <t>85100, 
вул. Пугачова</t>
  </si>
  <si>
    <t>Вуличні каналізаційні мережі, по вул. Пугачова</t>
  </si>
  <si>
    <t>85100, 
пров. Булгакова</t>
  </si>
  <si>
    <t>Вуличні каналізаційні  мережі по провулку Булгакова</t>
  </si>
  <si>
    <t>Вуличний каналізаційний колектор, вуличні каналізаційні мережі Хімзаводу</t>
  </si>
  <si>
    <t>Напірний  колектор від КНС № 1 до очисних споруд</t>
  </si>
  <si>
    <t>Колектор каналізаційний № 1 вул. О.Тихого</t>
  </si>
  <si>
    <t>85100, 
вул. Маріупольська</t>
  </si>
  <si>
    <t>Каналізаційний колектор від міської лікарні до районного колектора по вул. Маріупольська</t>
  </si>
  <si>
    <t>Каналізаційний колектор від дитячих закладів до включення в колектор міської лікарні</t>
  </si>
  <si>
    <t>Каналізаційний колектор по вул. Шмідта</t>
  </si>
  <si>
    <t>85100,
 вул. Леваневського</t>
  </si>
  <si>
    <t>Фекальний канал по вул. Леваневського</t>
  </si>
  <si>
    <t>м. Костянтинівка,  
с. Сантуринівка</t>
  </si>
  <si>
    <t>Фекальний канал с. Сантуринівка до дитячого садка</t>
  </si>
  <si>
    <t>85100, 
вул. Трудова, вул. Театральна, 
вул. О.Тихого, вул. Поштова</t>
  </si>
  <si>
    <t>Каналізаційні  мережі  від Відділу капітального будівництва, Мікрорайон № 4</t>
  </si>
  <si>
    <t>Каналізаційні мережі від дитячого садка № 2 до мікрорайону № 3</t>
  </si>
  <si>
    <t>2-й розвантажувальний каналізаційний колектор,  ПК-57 до ПК-65</t>
  </si>
  <si>
    <t>2-й розвантажувальний каналізаційний колектор від вул. Європейська  до КНС № 5</t>
  </si>
  <si>
    <t>85100, 
вул. Цинкова, вул. Європейська</t>
  </si>
  <si>
    <t>Зовнішні мережі каналізації № 2 від виробничого побутового комбінату до мікрорайону № 2</t>
  </si>
  <si>
    <t>85100, 
вул. Циолковського</t>
  </si>
  <si>
    <t>Каналізаційний колектор  від будівельного управління № 3, 2-й розвантажувальний колектор</t>
  </si>
  <si>
    <t>Каналізаційні мережі від відділу капітального будівництва міськвиконкому, мікрорайон № 4</t>
  </si>
  <si>
    <t>85100, 
вул. Абрамова</t>
  </si>
  <si>
    <t>Трубопровід до КНС № 2</t>
  </si>
  <si>
    <t>Зовнішні мережі каналізації мікрорайон № 2</t>
  </si>
  <si>
    <t xml:space="preserve">85106,
 вул. О.Тихого  </t>
  </si>
  <si>
    <t>Зовнішній каналізаційний трубопровід від КНС № 5 до очисних споруд</t>
  </si>
  <si>
    <t>Каналізаційні мережі, вул. Соборності від перехрестя з вул. Незалежності до вул. Мінська</t>
  </si>
  <si>
    <t>85106, 
вул. О.Тихого</t>
  </si>
  <si>
    <t xml:space="preserve">Каналізаційні мережі від Костянтинівських резервуарів </t>
  </si>
  <si>
    <t>85106, 
вул. О.Тихого, вул. Пирогова</t>
  </si>
  <si>
    <t>Каналізаційні мережі від КНС № 1 до 
вул. Пирогова</t>
  </si>
  <si>
    <t>85100, 
вул. Леваневського</t>
  </si>
  <si>
    <t>Каналізаційні мережі школа № 3</t>
  </si>
  <si>
    <t>Каналізаційні мережі, мікрорайон Нульовий</t>
  </si>
  <si>
    <t>Каналізаційні мережі, квартал 12</t>
  </si>
  <si>
    <t>Каналізаційні мережі, житлові будинки по
 вул. Громова</t>
  </si>
  <si>
    <t>85100,
 просп. Ломоносова</t>
  </si>
  <si>
    <t>Каналізаційні мережі, проспект Ломоносова до дитячого садка на 140 місць</t>
  </si>
  <si>
    <t>Каналізаційні мережі до пологового будинку по просп. Ломоносова</t>
  </si>
  <si>
    <t>Каналізаційні мережі до гуртожитку на 360 місць</t>
  </si>
  <si>
    <t xml:space="preserve">м. Костянтинівка, 
м. Часів Яр </t>
  </si>
  <si>
    <t>85100, 
вул. Громова, вул. Перемоги</t>
  </si>
  <si>
    <t>85100, 
вул. Торецька, вул. Інженерна</t>
  </si>
  <si>
    <t>Каналізаційні мережі до водогрязелікарні</t>
  </si>
  <si>
    <t>85100, 
вул. Перемоги</t>
  </si>
  <si>
    <t>Каналізаційні мережі, житловий будинок № 23 мікрорайону № 2</t>
  </si>
  <si>
    <t>85100,
 вул. Театральна</t>
  </si>
  <si>
    <t>Каналізаційні мережі, критий ринок</t>
  </si>
  <si>
    <t>Каналізаційні мережі від житлово-експлуатаційної контори-3</t>
  </si>
  <si>
    <t>Зовнішні каналізаційні мережі, житловий будинок № 7, 8, 9 вул. Білоусова</t>
  </si>
  <si>
    <t xml:space="preserve">85100,
вул. Громова, 5 </t>
  </si>
  <si>
    <t>Зовнішні каналізаційні мережі, житловий будинок № 5 мікрорайон № 1</t>
  </si>
  <si>
    <t xml:space="preserve">85100,
вул. Громова, 6 </t>
  </si>
  <si>
    <t>Зовнішні каналізаційні мережі, житловий будинок № 6 мікрорайон № 1</t>
  </si>
  <si>
    <t xml:space="preserve">85100,
вул. Громова, 7 </t>
  </si>
  <si>
    <t>Зовнішні каналізаційні мережі, житловий будинок № 7 мікрорайон № 1</t>
  </si>
  <si>
    <t>85100,
 вул. Злагоди, ж.б. № 1</t>
  </si>
  <si>
    <t>Зовнішні каналізаційні мережі, житловий будинок № 1 вул. Злагоди</t>
  </si>
  <si>
    <t>85100, 
вул. Цинкова, ж.б. № 1</t>
  </si>
  <si>
    <t>Зовнішні каналізаційні мережі, житловий будинок № 1 вул. Цинкова</t>
  </si>
  <si>
    <t xml:space="preserve"> 85100,
 вул. Цинкова, ж.б. № 2</t>
  </si>
  <si>
    <t>Зовнішні каналізаційні мережі, житловий будинок № 2 вул. Цинкова</t>
  </si>
  <si>
    <t xml:space="preserve">85100, 
вул. Цинкова, ж.б. № 4 </t>
  </si>
  <si>
    <t>Зовнішні каналізаційні мережі, житловий будинок № 4 вул. Цинкова</t>
  </si>
  <si>
    <t>85100,
 вул. Громова</t>
  </si>
  <si>
    <t xml:space="preserve">Зовнішні каналізаційні мережі, дитячий садок </t>
  </si>
  <si>
    <t>85100, 
вул. Європейська, ж.б. № 12</t>
  </si>
  <si>
    <t>Зовнішні каналізаційні мережі, житловий будинок № 12 вул. Європейська</t>
  </si>
  <si>
    <t xml:space="preserve">85100, 
вул. Космонатів, ж.б. № 22А </t>
  </si>
  <si>
    <t>Зовнішні каналізаційні мережі, житловий будинок № 22а вул. Космонавтів</t>
  </si>
  <si>
    <t>Зовнішні каналізаційні мережі, котельня мікрорайону Нульовий</t>
  </si>
  <si>
    <t>Зовнішні каналізаційні мережі, житловий будинок № 1 мікрорайону Нульовий</t>
  </si>
  <si>
    <t>Зовнішні каналізаційні мережі, житловий будинок  № 2 мікрорайону Нульовий</t>
  </si>
  <si>
    <t>Зовнішні каналізаційні мережі, житловий будинок  № 3 мікрорайону Нульовий</t>
  </si>
  <si>
    <t>Зовнішні каналізаційні мережі, житловий будинок  № 4 мікрорайону Нульовий</t>
  </si>
  <si>
    <t>Зовнішні каналізаційні мережі, житловий будинок  № 5 мікрорайону Нульовий</t>
  </si>
  <si>
    <t>Зовнішні каналізаційні мережі, житловий будинок  № 6 мікрорайону Нульовий</t>
  </si>
  <si>
    <t xml:space="preserve"> 85100,
 вул. Калмикова</t>
  </si>
  <si>
    <t>Зовнішні каналізаційні мережі, від 
вул. Калмикова № 7 через дитячий садок</t>
  </si>
  <si>
    <t xml:space="preserve"> 85100, 
вул. 6-го Вересня, кв. 12 </t>
  </si>
  <si>
    <t>Зовнішні каналізаційні мережі, будинок № 1 квартал № 12 вул. 6-го Вересня</t>
  </si>
  <si>
    <t>Зовнішні каналізаційні мережі вул. 6-го Вересня</t>
  </si>
  <si>
    <t>85100,
вул. 6-го Вересня, 2, 4, 5, 6, 7, 8, 8А</t>
  </si>
  <si>
    <t>Зовнішні каналізаційні мережі, житлові будинки № 2, 4, 5, 6, 7, 8, 8а вул. 6-го Вересня</t>
  </si>
  <si>
    <t>Внутрішньомайданчикові каналізаційні мережі на ВНС "Чиста вода"</t>
  </si>
  <si>
    <t xml:space="preserve">85105,
вул. 13-ти розстріляних  </t>
  </si>
  <si>
    <t>Каналізаційний колектор на КНС № 5</t>
  </si>
  <si>
    <t xml:space="preserve">85100, 
вул. Громова </t>
  </si>
  <si>
    <t>Каналізаційний колектор по вул. Громова 
від КНС № 6</t>
  </si>
  <si>
    <t>Каналізаційний колектор  по вул. Громова
 від КНС № 6</t>
  </si>
  <si>
    <t xml:space="preserve"> 85100, 
вул. Леваневського</t>
  </si>
  <si>
    <t>Каналізаційний колектор до КНС № 6 по
 вул. Леваневського</t>
  </si>
  <si>
    <t xml:space="preserve"> 85100, 
вул. Вокзальна</t>
  </si>
  <si>
    <t xml:space="preserve">Каналізаційний колектор самопливний </t>
  </si>
  <si>
    <t>85100, 
вул. Будівельників</t>
  </si>
  <si>
    <t>Каналізаційний колектор, вул. Будівельників</t>
  </si>
  <si>
    <t>85100, 
вул. Попасна</t>
  </si>
  <si>
    <t>85100, 
вул. Стадіонна</t>
  </si>
  <si>
    <t>Каналізаційний колектор вул. Стадіонна</t>
  </si>
  <si>
    <t>85100, 
вул. Калмикова, 2</t>
  </si>
  <si>
    <t xml:space="preserve">Каналізаційні мережі, житловий будинок </t>
  </si>
  <si>
    <t xml:space="preserve">Каналізаційні мережі, дитячий садок </t>
  </si>
  <si>
    <t xml:space="preserve">Каналізаційні мережі, школа </t>
  </si>
  <si>
    <t>Каналізаційні мережі, житловий будинок № 5 вул. Злагоди</t>
  </si>
  <si>
    <t>Каналізаційні мережі житлових будинків № 3, 4 вул. Злагоди</t>
  </si>
  <si>
    <t>Каналізаційні мережі, житловий будинок № 2  вул. Злагоди</t>
  </si>
  <si>
    <t>Каналізаційні мережі, житловий будинок № 22 мікрорайону № 2</t>
  </si>
  <si>
    <t>Каналізаційні мережі, житловий будинок № 24 мікрорайону № 2</t>
  </si>
  <si>
    <t>Каналізаційні мережі, житловий будинок № 2 вул. Хабаровська</t>
  </si>
  <si>
    <t>Каналізаційні мережі, житловий будинок № 2а вул. Хабаровська</t>
  </si>
  <si>
    <t>Каналізаційні мережі, житловий будинок № 3 вул. Хабаровська</t>
  </si>
  <si>
    <t>Каналізаційні мережі, житловий будинок № 11 вул. Хабаровська</t>
  </si>
  <si>
    <t>Каналізаційні мережі, житловий будинок № 13а вул. Хабаровська</t>
  </si>
  <si>
    <t>Каналізаційні мережі, житловий будинок № 13 вул. Хабаровська</t>
  </si>
  <si>
    <t>Каналізаційні мережі, житловий будинок № 3а від прибудованої їдальні, вул. Хабаровська</t>
  </si>
  <si>
    <t>Каналізаційні мережі, житловий будинок № 1 вул. Хабаровська</t>
  </si>
  <si>
    <t>85100,
 вул. Калмикова</t>
  </si>
  <si>
    <t>Каналізаційні мережі, котельня ТВГ-8М</t>
  </si>
  <si>
    <t>Каналізаційні мережі, КЕТБ</t>
  </si>
  <si>
    <t>Каналізаційні мережі, котельня вул. Калмикова-Хабаровська</t>
  </si>
  <si>
    <t>Каналізаційні мережі, торгова будівля, аптека, мікрорайон № 2</t>
  </si>
  <si>
    <t>85100,
 вул. О.Тихого</t>
  </si>
  <si>
    <t>Каналізаційні мережі від з-ду Обважнювачі</t>
  </si>
  <si>
    <t xml:space="preserve"> 85100, 
вул. Хабаровська </t>
  </si>
  <si>
    <t>Каналізаційні мережі, житловий будинок № 17 вул. Хабаровська</t>
  </si>
  <si>
    <t>Каналізаційні мережі, житловий будинок № 20 вул. Хабаровська</t>
  </si>
  <si>
    <t>Каналізаційні мережі, житловий будинок № 18 вул. Хабаровська</t>
  </si>
  <si>
    <t>Каналізаційні мережі, житловий будинок № 19 вул. Хабаровська</t>
  </si>
  <si>
    <t>Каналізаційні мережі, Автовокзал</t>
  </si>
  <si>
    <t xml:space="preserve">  85100, 
вул. Хабаровська </t>
  </si>
  <si>
    <t>Каналізаційні мережі, житловий будинок № 14 вул. Хабаровська</t>
  </si>
  <si>
    <t>Каналізаційні мережі житлового будинку № 14а вул. Хабаровська</t>
  </si>
  <si>
    <t>Каналізаційні мережі, житловий будинок № 15 вул. Хабаровська</t>
  </si>
  <si>
    <t>Трансформаторна підстанція "Чиста вода"</t>
  </si>
  <si>
    <t xml:space="preserve"> 85100, 
Мікрорайон № 1, ж.б. № 3 </t>
  </si>
  <si>
    <t>Каналізаційні мережі, житловий будинок № 3 мікрорайон № 1</t>
  </si>
  <si>
    <t xml:space="preserve">85100, 
вул. Громова, ж.б. № 52 </t>
  </si>
  <si>
    <t>Каналізаційні мережі, житловий будинок № 52 вул. Громова</t>
  </si>
  <si>
    <t>85100, 
вул. Хабаровська, ж.б. № 22</t>
  </si>
  <si>
    <t>Каналізаційні мережі, житловий будинок № 22 вул. Хабаровська</t>
  </si>
  <si>
    <t>85106, 
вул. Партизанська</t>
  </si>
  <si>
    <t>Каналізаційні мережі, дитячий садок на 140 місць вул. Партизанська</t>
  </si>
  <si>
    <t>85100, 
б-р Космонавтів</t>
  </si>
  <si>
    <t>Зовнішні каналізаційні мережі, торгівельна прибудова магазину "1000 дрібниць"</t>
  </si>
  <si>
    <t>Каналізаційні мережі, дитячий садок на 280 місць вул. Хабаровська</t>
  </si>
  <si>
    <t>85100, 
вул. Калмикова, 3</t>
  </si>
  <si>
    <t>Каналізаційні мережі, житловий будинок № 3 мікрорайон Північний</t>
  </si>
  <si>
    <t xml:space="preserve">85100, 
вул. Хабаровська, 21 </t>
  </si>
  <si>
    <t>Каналізаційні мережі, житловий будинок № 21 з продмагазином вул. Хабаровська</t>
  </si>
  <si>
    <t xml:space="preserve"> 85100, 
Квартал, 68-69</t>
  </si>
  <si>
    <t>Каналізаційні  мережі, котельня, житлові будинки № 68-69</t>
  </si>
  <si>
    <t xml:space="preserve">85100, 
вул. Калмикова, № 3 </t>
  </si>
  <si>
    <t>Каналізаційні мережі, житловий будинок № 1 мікрорайон Північний</t>
  </si>
  <si>
    <t>85100, 
вул. Суворова</t>
  </si>
  <si>
    <t>Каналізаційний колектор по вул. Суворова</t>
  </si>
  <si>
    <t xml:space="preserve"> 85100, 
вул. Хабаровська, 23</t>
  </si>
  <si>
    <t>Зовнішні каналізаційні мережі, житловий будинок № 23 вул. Хабаровська</t>
  </si>
  <si>
    <t xml:space="preserve">85100, 
вул. Хабаровська, 27 </t>
  </si>
  <si>
    <t>Зовнішні каналізаційні мережі, житловий будинок № 27 вул. Хабаровська</t>
  </si>
  <si>
    <t>85100,
 вул. Хабаровська, 5</t>
  </si>
  <si>
    <t>Зовнішні каналізаційні мережі, житловий будинок № 5 мікрорайон Північний</t>
  </si>
  <si>
    <t>85100, 
вул. Декоративна, 1А</t>
  </si>
  <si>
    <t xml:space="preserve">85100, 
вул. Хабаровська, 5 </t>
  </si>
  <si>
    <t>85100,
 вул. Хабаровська, 7</t>
  </si>
  <si>
    <t>85100, 
вул. Незалежності, 325</t>
  </si>
  <si>
    <t>85100, 
вул. Злагоди, 15, 17</t>
  </si>
  <si>
    <t>Каналізаційні  мережі, житловий будинок
 № 15,17 вул. Злагоди</t>
  </si>
  <si>
    <t>Каналізаційні мережі, житлові будинки № 279, 285, 287, 289, 291, 293 вул. Пушкінська</t>
  </si>
  <si>
    <t>85100, 
вул. Хабаровська, 8</t>
  </si>
  <si>
    <t>Каналізаційні  мережі, житловий будинок № 8 мікрорайон Північний</t>
  </si>
  <si>
    <t>85100, 
вул. Калмикова-Хабаровська, ж.б № 27</t>
  </si>
  <si>
    <t xml:space="preserve"> 85100,
 вул. Хабаровська, 6</t>
  </si>
  <si>
    <t>Водовід, житловий будинок № 6 мікрорайон "Північний"</t>
  </si>
  <si>
    <t xml:space="preserve"> 85100,
 вул. Хабаровська, 7</t>
  </si>
  <si>
    <t>Каналізаційні  мережі, житловий будинок № 6 мікрорайон "Північний"</t>
  </si>
  <si>
    <t>85100, 
вул. Калмикова-Хабаровська, ж.б. № 26</t>
  </si>
  <si>
    <t>Водопровідні мережі, житловий будинок № 26 квартал вул. Калмикова-Хабаровська</t>
  </si>
  <si>
    <t>Водопровід кафе-кулінарія</t>
  </si>
  <si>
    <t>Водопровід, житловий будинок № 44 мікрорайон "Північний"</t>
  </si>
  <si>
    <t>Каналізаційні мережі, житловий будинок № 26 квартал вул. Калмикова-Хабаровська</t>
  </si>
  <si>
    <t>Каналізаційні  мережі, кафе-кулінарія</t>
  </si>
  <si>
    <t>85100,
 вул. Хабаровська, 44Б</t>
  </si>
  <si>
    <t xml:space="preserve">85100,
 вул. Калмикова-Хабаровська, 1Б </t>
  </si>
  <si>
    <t>Водопровідні мережі, житловий будинок № 16 квартал вул. Калмикова-Хабаровська</t>
  </si>
  <si>
    <t>85100 
вул. Калмикова-Хабаровська, 1Б</t>
  </si>
  <si>
    <t xml:space="preserve">85100, 
вул. Хабаровська, 10  </t>
  </si>
  <si>
    <t>85100, 
вул. Хабаровська, 11</t>
  </si>
  <si>
    <t xml:space="preserve">85100, 
вул. Хабаровська, 11 </t>
  </si>
  <si>
    <t>Водопровід, житловий будинок № 11 мікрорайон "Північний"</t>
  </si>
  <si>
    <t xml:space="preserve">85100, 
вул. Хабаровська, 10 </t>
  </si>
  <si>
    <t>Водопровід, житловий будинок № 10 мікрорайон "Північний"</t>
  </si>
  <si>
    <t>Каналізаційний колектор, вул. 6-го Вересня</t>
  </si>
  <si>
    <t>85100, 
вул. Запорізька</t>
  </si>
  <si>
    <t>Каналізаційний колектор, вул. Запорізька</t>
  </si>
  <si>
    <t>85100, 
вул. Шевченка</t>
  </si>
  <si>
    <t>Водопровідні мережі, вул. Шевченка</t>
  </si>
  <si>
    <t xml:space="preserve"> 85100, 
вул. Шевченка</t>
  </si>
  <si>
    <t>Каналізаційні мережі, вул. Шевченка</t>
  </si>
  <si>
    <t>Водопровідні мережі, вул. О.Тихого</t>
  </si>
  <si>
    <t>85100, 
вул. Ціолковського</t>
  </si>
  <si>
    <t>Водопровідні мережі, вул. Ціолковського</t>
  </si>
  <si>
    <t>Водопровідні мережі, школа № 1 мікрорайон "Південний"</t>
  </si>
  <si>
    <t>Каналізаційні  мережі, вул. Ціолковського</t>
  </si>
  <si>
    <t>Каналізаційні  мережі, мікрорайон "Південний"</t>
  </si>
  <si>
    <t>Водопровідні мережі, банно-пральний комбінат</t>
  </si>
  <si>
    <t>Каналізаційні  мережі, банно-пральний комбінат</t>
  </si>
  <si>
    <t>Водопровідні мережі, житловий будинок
 вул. Безнощенко, магазин "Оптика"</t>
  </si>
  <si>
    <t>85100,
 вул. Декоративна</t>
  </si>
  <si>
    <t>Каналізаційні  мережі, житловий будинок 
вул. Декоративна</t>
  </si>
  <si>
    <t>Водопровідні мережі, житловий будинок № 45 квартал 69</t>
  </si>
  <si>
    <t>Каналізаційні  мережі, житловий будинок  № 45 квартал 69</t>
  </si>
  <si>
    <t>85100,
 вул. Калмикова-Хабаровська, ж.б. 68</t>
  </si>
  <si>
    <t>Водопровідні мережі, житловий будинок № 68 вул. Калмикова-Хабаровська</t>
  </si>
  <si>
    <t>85100,
 вул. Калмикова-Хабаровська, ж.б. 6</t>
  </si>
  <si>
    <t>Каналізаційні мережі, житловий будинок № 6 квартал  вул. Калмикова-Хабаровська</t>
  </si>
  <si>
    <t>85100, 
вул. Безнощенко, 48</t>
  </si>
  <si>
    <t xml:space="preserve">85100, 
вул. Безнощенко, 47, 49 </t>
  </si>
  <si>
    <t>85100, 
вул. Безнощенко, 47, 50</t>
  </si>
  <si>
    <t>Каналізаційні мережі, житлові будинки  № 47, 49 квартал 69</t>
  </si>
  <si>
    <t xml:space="preserve">85100, 
вул. Безнощенко, 48 </t>
  </si>
  <si>
    <t>Каналізаційні мережі, житловий будинок  № 48 від комбінату побутового обслуговування, квартал 69</t>
  </si>
  <si>
    <t xml:space="preserve">85100, 
вул. Безнощенко, 46 </t>
  </si>
  <si>
    <t>Каналізаційні мережі, житловий будинок № 46,  квартал 69</t>
  </si>
  <si>
    <t>85100,
 вул. Калмикова, 8А</t>
  </si>
  <si>
    <t>85100, 
вул. Калмикова, 8А</t>
  </si>
  <si>
    <t>Водопровідні мережі житловий будинок № 8а, мікрорайон "Північний"</t>
  </si>
  <si>
    <t>85100, 
вул. Волгоградська</t>
  </si>
  <si>
    <t>Водовід діаметром 600 вул. Волгоградська</t>
  </si>
  <si>
    <t>85100, 
вул. Ємельянова, 3</t>
  </si>
  <si>
    <t>КНС № 3</t>
  </si>
  <si>
    <t xml:space="preserve"> 85100, 
вул. Громова</t>
  </si>
  <si>
    <t>Насосна станція, мікрорайон "Висотний"</t>
  </si>
  <si>
    <t>Кабельний трансформатор на КНС № 3</t>
  </si>
  <si>
    <t>85100, 
пл. Перемоги</t>
  </si>
  <si>
    <t>Водопровідні мережі, пл. Перемоги від заводу "Металург"</t>
  </si>
  <si>
    <t xml:space="preserve">Каналізаційні  мережі, пл. Перемоги  </t>
  </si>
  <si>
    <t>Водопровідні мережі, пл. Перемоги</t>
  </si>
  <si>
    <t>85100,
 вул. Громова, 19</t>
  </si>
  <si>
    <t>Водопровідні мережі, житловий будинок № 19 вул. Громова мікрорайон "Висотний"</t>
  </si>
  <si>
    <t>Каналізаційний колектор, вул. Європейська</t>
  </si>
  <si>
    <t xml:space="preserve"> 85106, 
вул. Ангеліної, 15</t>
  </si>
  <si>
    <t>Склад паливно-мастильних матеріалів</t>
  </si>
  <si>
    <t>Водопровідні мережі, вул. Європейська</t>
  </si>
  <si>
    <t>Водопровідні мережі, вул. Л.Українки, Інженерна, Калмикова</t>
  </si>
  <si>
    <t>Каналізаційні мережі, вул. Незалежності,  житлові будинки № 202-220</t>
  </si>
  <si>
    <t>85100, 
вул. Незалежності, 202-220</t>
  </si>
  <si>
    <t>Каналізаційні мережі, вул. Номікосова-Трудова 339, дитячий садок</t>
  </si>
  <si>
    <t xml:space="preserve">85100, 
вул. Демещенка, 48-106 </t>
  </si>
  <si>
    <t xml:space="preserve">Водопровідні мережі, вул. Демещенка житлові будинки 48-106   </t>
  </si>
  <si>
    <t>Водопровідні мережі, вул. Незалежності</t>
  </si>
  <si>
    <t>Водопровідні мережі, вул. Пушкінська</t>
  </si>
  <si>
    <t>Каналізаційні мережі, вул. Інтернаціональна</t>
  </si>
  <si>
    <t>85100, 
 вул. Інженерна</t>
  </si>
  <si>
    <t>Водопровідні мережі, вул. Інженерна</t>
  </si>
  <si>
    <t>85100, 
вул. Інженерна</t>
  </si>
  <si>
    <t>Водопровідні мережі, житловий будинок № 9 мікрорайон "Північний"</t>
  </si>
  <si>
    <t xml:space="preserve">Зовнішні каналізаційні мережі, до житлового будинку № 9 мікрорайон "Північний" </t>
  </si>
  <si>
    <t>85100, 
вул. Шевченка, вул. Лозовська</t>
  </si>
  <si>
    <t xml:space="preserve">85106, 
вул. О.Тихого </t>
  </si>
  <si>
    <t>Дюкер від КНС № 5 до очисних споруд</t>
  </si>
  <si>
    <t>Каналізаційний колектор від КНС № 5 до очисних споруд</t>
  </si>
  <si>
    <t xml:space="preserve">м. Костянтинівка, 
с-ще Бересток </t>
  </si>
  <si>
    <t>Резервуар питної води с-ща Бересток</t>
  </si>
  <si>
    <t>Водопровідні мережі, с-ща Бересток</t>
  </si>
  <si>
    <t xml:space="preserve"> 85100, 
вул. Дорожна</t>
  </si>
  <si>
    <t>Каналізаційні  мережі, вул. Дорожна</t>
  </si>
  <si>
    <t xml:space="preserve">м. Костянтинівка,  
с. Диліївка </t>
  </si>
  <si>
    <t>Водопровідні мережі, с. Диліївка</t>
  </si>
  <si>
    <t>м. Костянтинівка,
с. Олександро-Шультине</t>
  </si>
  <si>
    <t xml:space="preserve">м. Костянтинівка,
 с. Іванопілля  </t>
  </si>
  <si>
    <t>Водопровідні мережі, с. Іванопілля</t>
  </si>
  <si>
    <t>Водопровідні мережі, вул. Шкільна, Бородіна, Кутузова, Мусорського, Чайковського, Молодіжна</t>
  </si>
  <si>
    <t>85100,
 вул. Лісова, вул. Декоративна, 
вул. Європейська</t>
  </si>
  <si>
    <t>Водопровідні мережі, квартал Е: вул. Лісова, Декоративна, Європейська</t>
  </si>
  <si>
    <t xml:space="preserve">85100,
 вул. Інтернаціоналістів </t>
  </si>
  <si>
    <t>Водопровідні мережі, вул. Інтернаціоналістів</t>
  </si>
  <si>
    <t xml:space="preserve">Водопровідні мережі, від вул. Островського до резервуара по вул. Стадіонна </t>
  </si>
  <si>
    <t xml:space="preserve">Водопровідні мережі, від вул. Островського до резервуару по вул. Стадіонна </t>
  </si>
  <si>
    <t xml:space="preserve">Водогін діаметром 400, від вул. Островського до резервуару по вул. Стадіонна </t>
  </si>
  <si>
    <t>Водопровідні мережі, дитячий садок мікрорайону № 2</t>
  </si>
  <si>
    <t>Каналізаційні мережі від гуртожитку до медучилища</t>
  </si>
  <si>
    <t>85100, 
вул. Героїв Праці</t>
  </si>
  <si>
    <t>Каналізаційні мережі, житловий будинок № 4 мікрорайон № 1</t>
  </si>
  <si>
    <t>Каналізаційні мережі, житловий будинок № 2 квартал "Е"</t>
  </si>
  <si>
    <t>Каналізаційні мережі, житловий будинок № 1 квартал "Е"</t>
  </si>
  <si>
    <t>Водогін "Лисяча балка" вул. Мірошниченко</t>
  </si>
  <si>
    <t>Водогін від 2-го Донецького водогону до резервуару по вул. Волгоградська</t>
  </si>
  <si>
    <t>85100, 
вул. Торецька, 45</t>
  </si>
  <si>
    <t>Водопровідні мережі по вул. Торецька, 45</t>
  </si>
  <si>
    <t>Каналізаційні мережі по вул. Торецька, 45</t>
  </si>
  <si>
    <t>85100,
 вул. Котельна</t>
  </si>
  <si>
    <t>Каналізаційні мережі, вул. Котельна мікрорайон № 1</t>
  </si>
  <si>
    <t>Каналізаційні мережі, житловий будинок № 19 мікрорайон Висотний</t>
  </si>
  <si>
    <t>85106, 
вул. Ангеліної, 15</t>
  </si>
  <si>
    <t>Пост охорони</t>
  </si>
  <si>
    <t>85100, 
 вул. Калмикова</t>
  </si>
  <si>
    <t>Каналізаційні мережі, житловий будинок № 19а мікрорайон "Висотний"</t>
  </si>
  <si>
    <t>Костянтинівський р-н, 
с.  Іванопілля</t>
  </si>
  <si>
    <t>85142, 
вул. Дачна</t>
  </si>
  <si>
    <t>Насосна станція першого підйому</t>
  </si>
  <si>
    <t>Покровське РВУ КП «Компанія «Вода Донбасу» (раніше Красноармійське РВУ)</t>
  </si>
  <si>
    <t>85300, 
вул. Захисників України, 11</t>
  </si>
  <si>
    <t>Будівля лабораторно-адміністративного корпусу</t>
  </si>
  <si>
    <t>Гаражі для легкових автомобілів</t>
  </si>
  <si>
    <t>Будівля пилорами</t>
  </si>
  <si>
    <t>Будівля гаража на 10 автомобілів</t>
  </si>
  <si>
    <t>Будівля прохідної будки</t>
  </si>
  <si>
    <t>Будівля складу обладнання</t>
  </si>
  <si>
    <t>Будівля складу паливно-мастильних матеріалів</t>
  </si>
  <si>
    <t>Будівля майстерень гаража</t>
  </si>
  <si>
    <t xml:space="preserve">Туалет </t>
  </si>
  <si>
    <t>Склад для зберігання кисню</t>
  </si>
  <si>
    <t>Радіощогли</t>
  </si>
  <si>
    <t>Станція-стійка В-12-3</t>
  </si>
  <si>
    <t>Система автоматизована контролю САКУРЕ</t>
  </si>
  <si>
    <t>85304,
 вул. Ліхачова, 15</t>
  </si>
  <si>
    <t>Будівля контори, лабораторії</t>
  </si>
  <si>
    <t>Покровський р-н, 
с. Рівне</t>
  </si>
  <si>
    <t>85300, 
вул. Громової, 1А</t>
  </si>
  <si>
    <t>Будівля насосних станцій</t>
  </si>
  <si>
    <t>Будівля лабораторії ділянки</t>
  </si>
  <si>
    <t>Будівля трансформаторної насосної станції</t>
  </si>
  <si>
    <t>Резервуар № 1 4000 куб. м</t>
  </si>
  <si>
    <t>Резервуар № 2 10000 куб. м</t>
  </si>
  <si>
    <t>Резервуар № 3 4000 куб. м</t>
  </si>
  <si>
    <t>Автодорога до насосної станції</t>
  </si>
  <si>
    <t>Огорожа насосної станції</t>
  </si>
  <si>
    <t>Резервуар № 4 10000 куб. м</t>
  </si>
  <si>
    <t>Резервуар № 5 10000 куб. м</t>
  </si>
  <si>
    <t>Зварювальний пост</t>
  </si>
  <si>
    <t>Радіощогла</t>
  </si>
  <si>
    <t>Огорожа м/майстерні</t>
  </si>
  <si>
    <t>Староміський водогін d = 400 мм</t>
  </si>
  <si>
    <t>85300,
 вул. Громової, 1А</t>
  </si>
  <si>
    <t>Трубопровід на майданчику насосної станції</t>
  </si>
  <si>
    <t>Водогін d-800 Рівне -Добропілля-Білозерськ</t>
  </si>
  <si>
    <t>Покровський р-н, 
смт Новоекономічне</t>
  </si>
  <si>
    <t>85300,
 пров. Миру, 1</t>
  </si>
  <si>
    <t>Водогін та дюкер</t>
  </si>
  <si>
    <t>Кабельні мережі на техмайданчику</t>
  </si>
  <si>
    <t>Зовнішнє електрозабезпечення ВЛ 6кВ ПС Блок5</t>
  </si>
  <si>
    <t xml:space="preserve">Зовнішнє електрозабезпечення ВЛ10кв </t>
  </si>
  <si>
    <t>Виробничо-побутовий корпус</t>
  </si>
  <si>
    <t>Резервуари для води</t>
  </si>
  <si>
    <t>Фільтр-поглинач</t>
  </si>
  <si>
    <t>Очисні споруди</t>
  </si>
  <si>
    <t>Внутрішньомайдачниковий зв'язок 3</t>
  </si>
  <si>
    <t>Внутрішньомайданчиковий зв'язок 2</t>
  </si>
  <si>
    <t>85300, 
пров. Миру, 1</t>
  </si>
  <si>
    <t>Кабельна лінія зв'язку від Ізмайлово</t>
  </si>
  <si>
    <t>Лінія транспортного зв'язку від фільтрувальної станції</t>
  </si>
  <si>
    <t>Кабельний зв'язок від Рівненської фільтрувальної станції</t>
  </si>
  <si>
    <t>Лінія зв'язку Донецьк-Ізмайлово 5,2 км</t>
  </si>
  <si>
    <t xml:space="preserve">Зовнішні і внутрішні лінії зв'язку </t>
  </si>
  <si>
    <t>Вузол 3-го підйому Південно-Донбаського водогону</t>
  </si>
  <si>
    <t>85017, 
вул. Молодіжна, 1Б</t>
  </si>
  <si>
    <t>Будівля ремонтно-механічних майстерень</t>
  </si>
  <si>
    <t>Резервуар N 3</t>
  </si>
  <si>
    <t>Камера перемикання</t>
  </si>
  <si>
    <t>Каналізаційні комунікації на майданчику насосної станції</t>
  </si>
  <si>
    <t>Хлораторна Добропільського вузла</t>
  </si>
  <si>
    <t>Водогін d-500 Білозерське-Новодонецьк</t>
  </si>
  <si>
    <t>Південно-Донбаський водогін № 4 ПК78 +00-ПК211 +00</t>
  </si>
  <si>
    <t>Селидівський водогін D = 600 мм</t>
  </si>
  <si>
    <t>Дублюючий водогін Миколаївка d -1000</t>
  </si>
  <si>
    <t>Ясинуватський р-н,
 с. Нетайлове</t>
  </si>
  <si>
    <t>86051, 
вул. Миру, 2Б</t>
  </si>
  <si>
    <t>Будівля реагентного господарства</t>
  </si>
  <si>
    <t>Будівля 2-го підйому</t>
  </si>
  <si>
    <t>Будівля повторного хлорування</t>
  </si>
  <si>
    <t>Будівля складу хлору</t>
  </si>
  <si>
    <t>Будівля матеріалів</t>
  </si>
  <si>
    <t>Будівля гаражу на 5 автомобілів</t>
  </si>
  <si>
    <t>Будівля прохідної будки фільтрувальної станції</t>
  </si>
  <si>
    <t>Станція очищувально-водопровідних споруд</t>
  </si>
  <si>
    <t>Резервуар N1 Карлівської фільтрувальної станції</t>
  </si>
  <si>
    <t>Резервуар N2 Карлівської фільтрувальної станції</t>
  </si>
  <si>
    <t>Огорожа території Карлівської фільтрувальної станції</t>
  </si>
  <si>
    <t>Автодорога до фільтрувальної станції</t>
  </si>
  <si>
    <t>Інженерно-технічні споруди фільтрувальної станції</t>
  </si>
  <si>
    <t>Резервуар 2000 м3</t>
  </si>
  <si>
    <t>Будівля плотні</t>
  </si>
  <si>
    <t>Трубопроводи на майданчику фільтрувальної станції</t>
  </si>
  <si>
    <t>Вузол зв'язку фільтрувальної станції</t>
  </si>
  <si>
    <t>Господарсько-питний водогін на майданчику</t>
  </si>
  <si>
    <t>Теплотраса на майданчику фільтрувальної станції</t>
  </si>
  <si>
    <t>Шламопровід від фільтрувальної станції до майданчику накопичення</t>
  </si>
  <si>
    <t>Промканалізаціі на майданчику фільтрувальної станціі</t>
  </si>
  <si>
    <t>Будівля гаражу на 4 бокси</t>
  </si>
  <si>
    <t>Внутрішньомайданчикова автомобільна дорога Карлівської фільтрувальної станції</t>
  </si>
  <si>
    <t>Покровський р-н, 
м. Новогродівка</t>
  </si>
  <si>
    <t>Новогродівський водогін d-700 мм</t>
  </si>
  <si>
    <t>6-й Донецький водогін d-900 мм 16760 м</t>
  </si>
  <si>
    <t>Водогін Карлівка-Рівне d = 1000 мм № 2</t>
  </si>
  <si>
    <t>Карлівський водогін d-800 мм № 1 і № 2</t>
  </si>
  <si>
    <t>Миколаївський водогін d-800 мм-1000 мм</t>
  </si>
  <si>
    <t>Водогін Карлівка - Рівне d-1000 мм № 3</t>
  </si>
  <si>
    <t>Водогін Карлівка-Рівне d-1000 мм № 3</t>
  </si>
  <si>
    <t>Водогін Карлівка- Рівне d = 1000 мм № 1</t>
  </si>
  <si>
    <t>Південно - Донбаський водогін N1 ПК341 + 58-ПК485 + 52 Карлівка</t>
  </si>
  <si>
    <t>Південно-Донбаський водогін N2 ПК344 + 50-ПК494 + 62 Карлівка</t>
  </si>
  <si>
    <t>Південно-Донбаський водогін N3 ПК195 + 04-ПК328 + 04 Карлівка</t>
  </si>
  <si>
    <t>86052, 
вул. Лазурна, 75</t>
  </si>
  <si>
    <t>Каплиця</t>
  </si>
  <si>
    <t>Дзвіниця</t>
  </si>
  <si>
    <t>Альтанка металева</t>
  </si>
  <si>
    <t>86051,
 вул. Миру, 2Б</t>
  </si>
  <si>
    <t>Будівля насосної станції I підйому</t>
  </si>
  <si>
    <t>Опорний пункт</t>
  </si>
  <si>
    <t>Карлівське водосховище</t>
  </si>
  <si>
    <t>Шламозбірник ф/ст</t>
  </si>
  <si>
    <t>Волноваський р-н,
 смт Ольгинка</t>
  </si>
  <si>
    <t>85730, 
вул. Привокзальна, 1У</t>
  </si>
  <si>
    <t>Південно-Донбаський водогін № 3
 (між II і III підйомом) d1200</t>
  </si>
  <si>
    <t>Південно-Донбаський водогін № 4
 (між II і III підйомом)</t>
  </si>
  <si>
    <t>Будівля насосної станції 3-го підйому</t>
  </si>
  <si>
    <t>Будівля реагентного господарства Південно-Донбаський водогін</t>
  </si>
  <si>
    <t>Будівля майстерень і гаража</t>
  </si>
  <si>
    <t>Будівля котельні Південно-Донбаський водогін</t>
  </si>
  <si>
    <t>Будівля складу хлору і сірчаного газу</t>
  </si>
  <si>
    <t>Будівля прохідної будки Південно-Донбаський водогін</t>
  </si>
  <si>
    <t>Приміщення для обслуговуючого персоналу</t>
  </si>
  <si>
    <t>Резервуар питної води 10000 м3</t>
  </si>
  <si>
    <t>Під'їзний залізничний шлях до насосної станції</t>
  </si>
  <si>
    <t>Інженерно-технічна споруда</t>
  </si>
  <si>
    <t>Споруди другорядного використання</t>
  </si>
  <si>
    <t>Майданчик для складання залізобетонних труб</t>
  </si>
  <si>
    <t xml:space="preserve">Склад збірно-розбірний               </t>
  </si>
  <si>
    <t>Гараж для великовантажних машин</t>
  </si>
  <si>
    <t>Ліс будівельний</t>
  </si>
  <si>
    <t>Проммайданчик</t>
  </si>
  <si>
    <t>Насосна станція III підйому</t>
  </si>
  <si>
    <t>Підстанція III підйому</t>
  </si>
  <si>
    <t>Водопровідні мережі на проммайданчику насосної станції</t>
  </si>
  <si>
    <t>Скидний трубопровід з резервуару</t>
  </si>
  <si>
    <t>Скидний трубопровід з майданчика насосної станції</t>
  </si>
  <si>
    <t>Комунікаційні водопровідні споруди насосної станції № 3</t>
  </si>
  <si>
    <t>Теплові мережі на майданчику фільтрувальної станції</t>
  </si>
  <si>
    <t>Теплопровід</t>
  </si>
  <si>
    <t>Трубопровід питної води на майданчику</t>
  </si>
  <si>
    <t>Технологічний трубопровід на майданчику</t>
  </si>
  <si>
    <t>Технічний трубопровід на майданчику насосної станції</t>
  </si>
  <si>
    <t>Трубопровід скидних вод з майданчика насосної станції</t>
  </si>
  <si>
    <t>85730,
 вул. Привокзальна, 1У</t>
  </si>
  <si>
    <t>Шламозбірник</t>
  </si>
  <si>
    <t xml:space="preserve">Південно-Донбаський водогін № 1 ПК485+52 - ПК734+34         </t>
  </si>
  <si>
    <t>Вугледарський водогін Д=800</t>
  </si>
  <si>
    <t>Південно-Донбаський водогін № 2
 (між II і III підйомами)</t>
  </si>
  <si>
    <t>Південно-Донбаський водогін № 2 ПК494 + 62 - ПК744 + 30</t>
  </si>
  <si>
    <t>Південно-Донбаський водогін № 3 ПК328 + 04 - ПК581 + 04</t>
  </si>
  <si>
    <t>Зовнішнє електропостачання високовольтних ліній 35</t>
  </si>
  <si>
    <t>Розширення Південно-Донбаського водогону</t>
  </si>
  <si>
    <t>Першотравневий р-н, 
с. Нова Ялта</t>
  </si>
  <si>
    <t>87450, 
вул. Нахімова, 4</t>
  </si>
  <si>
    <t>Зовнішня мережа водогону</t>
  </si>
  <si>
    <t>Будиночок 8-ми кімнатний</t>
  </si>
  <si>
    <t>Побутовий блок</t>
  </si>
  <si>
    <t>Будиночок 4-х кімнатний</t>
  </si>
  <si>
    <t>Будівля човнової станції</t>
  </si>
  <si>
    <t>Електрична підстанція 400/10 (ТП-170)</t>
  </si>
  <si>
    <t>Огорожа бази відпочинку "Волна"</t>
  </si>
  <si>
    <t>Мар'їнський р-н,
 с. Новомихайлівка</t>
  </si>
  <si>
    <t>85654, 
вул. Тимирязева, 50</t>
  </si>
  <si>
    <t>Будівля насосної станції 2-го підйому</t>
  </si>
  <si>
    <t>Автодорога від с. Hовомихайлівка до насосної станції</t>
  </si>
  <si>
    <t>Заглиблений склад інвентаря і обладнання</t>
  </si>
  <si>
    <t>Автомобільна дорога Південно-Донбаського водогону 2-го підйому</t>
  </si>
  <si>
    <t>ЛЕП 04 кВт освітлення насосної станції</t>
  </si>
  <si>
    <t>Покровський р-н, 
 с. Рівне</t>
  </si>
  <si>
    <t>ЛЕП 6 кВт  від підстанції шахти «Hоватор»</t>
  </si>
  <si>
    <t>Ясинуватський р-н, 
 с. Нетайлове</t>
  </si>
  <si>
    <t>86051,  
вул. Миру, 2Б</t>
  </si>
  <si>
    <t>ЛЕП 6 кВт від насосної станції 2-го підйому до Рівненської насосної станції</t>
  </si>
  <si>
    <t>ЛЕП 6кВ від ЦРП-2 до насосної станції</t>
  </si>
  <si>
    <t>ЛЕП 6кВ від шахти «РККА» до насосної станції</t>
  </si>
  <si>
    <t>ЛЕП 6кВ від Карлівки до насосної станції 2-го підйому</t>
  </si>
  <si>
    <t>ЛЕП 6 кВт кабельна від насосної станції 2-го підйому</t>
  </si>
  <si>
    <t>ЛЕП 6кВт від підстанції 35/6 Карлівка до насосної станціі 2-го підйому</t>
  </si>
  <si>
    <t>Повітряна ЛЕП 35кВ від підстанціі Hовотроїцької</t>
  </si>
  <si>
    <t xml:space="preserve">30127а    </t>
  </si>
  <si>
    <t>Лиманське ВУВКГ КП «Компанія «Вода Донбасу» (раніше Краснолиманське ВУВКГ)</t>
  </si>
  <si>
    <t>84400, 
Лісосмуга</t>
  </si>
  <si>
    <t>Приміщення над свердловиною</t>
  </si>
  <si>
    <t>Приміщення над свердловиною, 2-га група свердловин</t>
  </si>
  <si>
    <t>Артезіанська свердловина № 167 р. 4-й водозабір</t>
  </si>
  <si>
    <t xml:space="preserve">Артезіанська свердловина № 159 4-й водозабір        </t>
  </si>
  <si>
    <t>84400,
 вул. Нова, 7Д</t>
  </si>
  <si>
    <t>Резервуар для води № 2 V-3000 м ВНС № 2</t>
  </si>
  <si>
    <t>Резервуар для води № 1;  2-га група водозабору</t>
  </si>
  <si>
    <t xml:space="preserve">Артезіанська свердловина № 177 4-й водозабір       </t>
  </si>
  <si>
    <t xml:space="preserve">Артезіанська свердловина № 1500 4-й водозабір        </t>
  </si>
  <si>
    <t>84400, 
пров. Робочий, 24</t>
  </si>
  <si>
    <t xml:space="preserve">Виробничий корпус очисних споруд              </t>
  </si>
  <si>
    <t xml:space="preserve">Зливна станція очисних споруд               </t>
  </si>
  <si>
    <t xml:space="preserve">Будівля ремонтних основ (решіток)   </t>
  </si>
  <si>
    <t xml:space="preserve">Котельня очисних споруд (будівля)              </t>
  </si>
  <si>
    <t xml:space="preserve">Адміністративно-побутова будівля очисних споруд      </t>
  </si>
  <si>
    <t xml:space="preserve">КНС № 1 очисних споруд                           </t>
  </si>
  <si>
    <t xml:space="preserve">КНС очисних споруд (мала)                     </t>
  </si>
  <si>
    <t>Блок фільтрів, очисні споруди</t>
  </si>
  <si>
    <t xml:space="preserve">Хлораторна очисних споруд                    </t>
  </si>
  <si>
    <t xml:space="preserve">Побутове приміщення на біофільтрах         </t>
  </si>
  <si>
    <t>84400, 
вул. Студентська, 12В</t>
  </si>
  <si>
    <t>Каналізаційна насосна станція "Крупська"</t>
  </si>
  <si>
    <t>84400, 
вул. Переїзна, 10В</t>
  </si>
  <si>
    <t xml:space="preserve">Каналізаційна насосна станція "ПМС-10"        </t>
  </si>
  <si>
    <t>84400, 
вул. Привокзальна, 40В</t>
  </si>
  <si>
    <t xml:space="preserve">Каналізаційна насосна станція "Пост ЕЦ-16"                     </t>
  </si>
  <si>
    <t>84400, 
пров. Привокзальний, 6В</t>
  </si>
  <si>
    <t xml:space="preserve">Каналізаційна насосна станція "ОШ № 4"               </t>
  </si>
  <si>
    <t>84400, 
вул. Слов‘янська, 3Д</t>
  </si>
  <si>
    <t xml:space="preserve">Каналізаційна насосна станція "Слов'янська"      </t>
  </si>
  <si>
    <t>84400, 
вул. Студентська, 30</t>
  </si>
  <si>
    <t xml:space="preserve">Каналізаційна насосна станція "Туберкульозна лікарня"              </t>
  </si>
  <si>
    <t>84400, 
вул. Гасієва, 16В</t>
  </si>
  <si>
    <t xml:space="preserve">Каналізаційна насосна станція "Чапаєва" (нова)                </t>
  </si>
  <si>
    <t>84400, 
пров. Робочий, 26</t>
  </si>
  <si>
    <t xml:space="preserve">Каналізаційна насосна станція "Технічна" (реконструкція)   </t>
  </si>
  <si>
    <t xml:space="preserve">Каналізаційна насосна станція "Чапаєва" (стара)               </t>
  </si>
  <si>
    <t>84400, 
вул. Зелений Гай, 16А</t>
  </si>
  <si>
    <t xml:space="preserve">Гараж на ВНС № 1                  </t>
  </si>
  <si>
    <t xml:space="preserve">Станція ВНС № 1                    </t>
  </si>
  <si>
    <t xml:space="preserve">Хлораторна  ВНС № 1               </t>
  </si>
  <si>
    <t xml:space="preserve">84400, 
лісосмуга </t>
  </si>
  <si>
    <t xml:space="preserve">Свердловина № 1502                    </t>
  </si>
  <si>
    <t xml:space="preserve">Резервуар V=2000 куб. м (ВНС № 1)         </t>
  </si>
  <si>
    <t xml:space="preserve">Відстійник (північ)                 </t>
  </si>
  <si>
    <t xml:space="preserve">Лиманський р-н, 
смт Дробишеве </t>
  </si>
  <si>
    <t>84450, 
вул. Перемоги, 2В</t>
  </si>
  <si>
    <t xml:space="preserve">Свердловина № 34 Е с. Дробишеве        </t>
  </si>
  <si>
    <t xml:space="preserve">Свердловина № 1506 с. Дробишеве            </t>
  </si>
  <si>
    <t xml:space="preserve">Будівля насосної станції ВНС № 3     </t>
  </si>
  <si>
    <t>Резервуар бетонний V= 500 куб. м 
с. Дробишеве</t>
  </si>
  <si>
    <t xml:space="preserve">м. Лиман </t>
  </si>
  <si>
    <t xml:space="preserve">Насосна станція хлорного господарства, фекальна   </t>
  </si>
  <si>
    <t xml:space="preserve">Котельня на ВНС № 1         </t>
  </si>
  <si>
    <t xml:space="preserve">Мережі на майданчику             </t>
  </si>
  <si>
    <t xml:space="preserve">84400, 
Лісосмуга </t>
  </si>
  <si>
    <t xml:space="preserve">Тягова підстанція                 </t>
  </si>
  <si>
    <t>Прохідна на ВНС № 1</t>
  </si>
  <si>
    <t>84400, 
пров. Грушевського, 22В</t>
  </si>
  <si>
    <t xml:space="preserve">Каналізаційна насосна станція № 6                            </t>
  </si>
  <si>
    <t>84400, 
вул. Комунальна, 13В</t>
  </si>
  <si>
    <t xml:space="preserve">Каналізаційна насосна станція № 7                            </t>
  </si>
  <si>
    <t xml:space="preserve">Будівля слюсарної майстерні с. Дробишеве   </t>
  </si>
  <si>
    <t>м. Лиман 
с-ще Ставки</t>
  </si>
  <si>
    <t>84452, 
Лісосмуга</t>
  </si>
  <si>
    <t xml:space="preserve">Свердловина № 130 Е с-ще Ставки           </t>
  </si>
  <si>
    <t xml:space="preserve">Свердловина № 152 Е с-ще Ставки          </t>
  </si>
  <si>
    <t xml:space="preserve">Башта Рожновського с-ще Ставки       </t>
  </si>
  <si>
    <t>Водопровідні мережі с-ще Ставки</t>
  </si>
  <si>
    <t>84400, 
вул. Комунальна, 19А</t>
  </si>
  <si>
    <t xml:space="preserve">Каналізаційна насосна станція № 8                            </t>
  </si>
  <si>
    <t>84400, 
вул. Підлісна, 43А</t>
  </si>
  <si>
    <t>Будівля перекачки (Підлісна) 
 Каналізаційна насосна станція № 3</t>
  </si>
  <si>
    <t>84400, 
вул. Оборони</t>
  </si>
  <si>
    <t xml:space="preserve">Будівля насосної 
Каналізаційна насосна станція № 5       </t>
  </si>
  <si>
    <t xml:space="preserve">Водопровідна башта на ВНС № 1      </t>
  </si>
  <si>
    <t>84400, 
вул. Пушкіна, 12В</t>
  </si>
  <si>
    <t xml:space="preserve">Каналізаційна насосна станція № 4 по
 вул. Пушкіна            </t>
  </si>
  <si>
    <t>84400, 
вул. Нова, 7Д</t>
  </si>
  <si>
    <t xml:space="preserve">Сарай-гараж на ВНС № 2             </t>
  </si>
  <si>
    <t xml:space="preserve">Сарай-гараж на ВНС № 2              </t>
  </si>
  <si>
    <t xml:space="preserve">Сарай на ВНС № 2                    </t>
  </si>
  <si>
    <t>84400, 
лісосмуга</t>
  </si>
  <si>
    <t xml:space="preserve">Артезіанська свердловина № 1499  4-й водозабір          </t>
  </si>
  <si>
    <t xml:space="preserve">Артезіанська свердловина № 1511 4-й водозабір           </t>
  </si>
  <si>
    <t xml:space="preserve">Артезіанська свердловина № 1503 4-й водозабір            </t>
  </si>
  <si>
    <t xml:space="preserve">Свердловина № 1505                     </t>
  </si>
  <si>
    <t xml:space="preserve">Свердловина № 1509                     </t>
  </si>
  <si>
    <t>Резервуар для води ВНС № 2;  
2-га група водозабору V=300 куб. м</t>
  </si>
  <si>
    <t xml:space="preserve">Резервуар води V=250 куб. м 
смт Дробишеве  </t>
  </si>
  <si>
    <t xml:space="preserve">Резервуар води V=250 куб. м  
смт Дробишеве   </t>
  </si>
  <si>
    <t xml:space="preserve">Відстійник                       </t>
  </si>
  <si>
    <t>Благоустрій на території ВНС № 1</t>
  </si>
  <si>
    <t xml:space="preserve">Насосна станція № 2                </t>
  </si>
  <si>
    <t xml:space="preserve">Свердловина № 42                      </t>
  </si>
  <si>
    <t xml:space="preserve">КНС «Чапаєва» Щит управління        </t>
  </si>
  <si>
    <t xml:space="preserve">Свердловина № 1502а                   </t>
  </si>
  <si>
    <t xml:space="preserve">м. Слов'янськ </t>
  </si>
  <si>
    <t>84100, 
вул. Героїв Праці, 43</t>
  </si>
  <si>
    <t xml:space="preserve">Спальні корпуси № 1               </t>
  </si>
  <si>
    <t xml:space="preserve">Спальні корпуси № 2               </t>
  </si>
  <si>
    <t xml:space="preserve">Спальні корпуси № 3               </t>
  </si>
  <si>
    <t xml:space="preserve">Спальні корпуси № 4               </t>
  </si>
  <si>
    <t xml:space="preserve">Спальні корпуси № 5               </t>
  </si>
  <si>
    <t xml:space="preserve">Спальні корпуси № 6               </t>
  </si>
  <si>
    <t xml:space="preserve">Будівля санчастини                    </t>
  </si>
  <si>
    <t xml:space="preserve">Навіс                              </t>
  </si>
  <si>
    <t xml:space="preserve">Літній кінотеатр                   </t>
  </si>
  <si>
    <t xml:space="preserve">Навіс металевий                 </t>
  </si>
  <si>
    <t xml:space="preserve">Навіс-ігрова кімната              </t>
  </si>
  <si>
    <t xml:space="preserve">Склад (будівля кладової, три виходи)    </t>
  </si>
  <si>
    <t xml:space="preserve">Літний будиночок                       </t>
  </si>
  <si>
    <t xml:space="preserve">Насосна                 </t>
  </si>
  <si>
    <t xml:space="preserve">Сарай для зберігання вугілля            </t>
  </si>
  <si>
    <t xml:space="preserve">Будівля складу                     </t>
  </si>
  <si>
    <t xml:space="preserve">Свердловина № 1510                    </t>
  </si>
  <si>
    <t xml:space="preserve">Свердловина № 11                      </t>
  </si>
  <si>
    <t>84400, 
вул. Свободи</t>
  </si>
  <si>
    <r>
      <rPr>
        <sz val="10"/>
        <rFont val="Times New Roman"/>
        <family val="1"/>
        <charset val="204"/>
      </rPr>
      <t>Каналізаційна насосна станція № 2 та Каналізаційний колектор</t>
    </r>
    <r>
      <rPr>
        <sz val="10"/>
        <color rgb="FFFF0000"/>
        <rFont val="Times New Roman"/>
        <family val="1"/>
        <charset val="204"/>
      </rPr>
      <t xml:space="preserve"> </t>
    </r>
  </si>
  <si>
    <t>кв.м/км</t>
  </si>
  <si>
    <t>23,6 и 3,18</t>
  </si>
  <si>
    <t xml:space="preserve">Стоянка для автомобілів            </t>
  </si>
  <si>
    <t xml:space="preserve">(Реконструкція)Будівля Каналізаційна насосна станції  № 5       </t>
  </si>
  <si>
    <t>Ділянка № 1 Водопровід водяний колодязь № 2 Красний Лиман-Зелений Клин 9 км Д=300</t>
  </si>
  <si>
    <t>84400, 
вул. Привокзальна</t>
  </si>
  <si>
    <t xml:space="preserve">Зовнішня каналізація 12-ти квартирного житлового будинку  ПЧ-3          </t>
  </si>
  <si>
    <t>84400, 
вул. Студентська</t>
  </si>
  <si>
    <t>Мережі Водопровідні 30-ти квартирного будинку по вул. Крупської</t>
  </si>
  <si>
    <t xml:space="preserve">Мережі до 30-ти квартирного будинку по 
вул. Кірова ПЧ-3  </t>
  </si>
  <si>
    <t>84400, 
вул. Телеграфна</t>
  </si>
  <si>
    <t xml:space="preserve">Водопровід для поливу газонів вул. Телеграфна  </t>
  </si>
  <si>
    <t>84400, 
просп. Щасливий</t>
  </si>
  <si>
    <t>Водопровід для поливу газонів пр-т Терешкової</t>
  </si>
  <si>
    <t xml:space="preserve">Мережі по вул. Кірова ПЧ-3            </t>
  </si>
  <si>
    <t>84400,
 вул. Свободи</t>
  </si>
  <si>
    <t>84400,
 пров. Лесі Українки</t>
  </si>
  <si>
    <t xml:space="preserve">Мережі водопровідні                 </t>
  </si>
  <si>
    <t>84400, 
вул. Гасієва, 37А</t>
  </si>
  <si>
    <t>84400, 
вул. Слов‘янська</t>
  </si>
  <si>
    <t xml:space="preserve">Мережі води вул. Слов'янська              </t>
  </si>
  <si>
    <t>Зовнішні мережі вул. Слов'янська, 1, 36-ти квартирний житловий будинок</t>
  </si>
  <si>
    <t xml:space="preserve">Мережі води по вул. Слов'янська (зовнішні)   </t>
  </si>
  <si>
    <t>84400, 
вул. Івана Лейко</t>
  </si>
  <si>
    <t>Зовнішній водопровід до двох 12-ти квартирних домів</t>
  </si>
  <si>
    <t>84400,
 пров. Гасієва</t>
  </si>
  <si>
    <t xml:space="preserve">Зовнішній водовід до дитячого садка на 160 місць         </t>
  </si>
  <si>
    <t>84400,
 вул. Івана Лейко</t>
  </si>
  <si>
    <t xml:space="preserve">Зовнішні мережі водопровідні            </t>
  </si>
  <si>
    <t>84400,
 пров. Привокзальний</t>
  </si>
  <si>
    <t>Зовнішні мережі водопровідні до 30-ти квартирного житлового будинку</t>
  </si>
  <si>
    <t xml:space="preserve">Зовнішній водопровід 30-ти квартирного житлового будинку, Дистанція путі      </t>
  </si>
  <si>
    <t>84400, 
вул. Гасієва</t>
  </si>
  <si>
    <t>Зовнішній водопровід вул. Чапаєва  20-ти квартирного житлового будинку в 50-ти квартирний житловий будинок</t>
  </si>
  <si>
    <t>84400, 
вул. Матросова</t>
  </si>
  <si>
    <t xml:space="preserve">Зовнішній водопровід 30-ти квартирного житлового будинку вул. Матросова  </t>
  </si>
  <si>
    <t>84400, 
вул. Студентська, 14, 15</t>
  </si>
  <si>
    <t xml:space="preserve">Зовнішній водопровід вул. Крупської                  </t>
  </si>
  <si>
    <t>84400, 
вул. Студентська, 14, 16</t>
  </si>
  <si>
    <t xml:space="preserve">Зовнішні мережі води вул. Крупської, буд. 11, 
50-ти квартирний житловий будинок    </t>
  </si>
  <si>
    <t xml:space="preserve">Зовнішній водопровід Локомотивне депо,
 60-ти квартирний житловий будинок Локомотивного депо        </t>
  </si>
  <si>
    <t xml:space="preserve">Зовнішній водопровід 90-то квартирний житловий будинок    </t>
  </si>
  <si>
    <t xml:space="preserve">Зовнішні мережі водопроводу до 30-ти квартирного житлового будинку             </t>
  </si>
  <si>
    <t>84400, 
пров. Бригадний, 7А</t>
  </si>
  <si>
    <t>Зовнішні мережі водопроводу, очисні споруди</t>
  </si>
  <si>
    <t>84400, 
пров. Робочий, 25</t>
  </si>
  <si>
    <t xml:space="preserve">Зовнішні мережі каналізації і фекальна система очисних споруд  </t>
  </si>
  <si>
    <t>Технологічні трубопроводи очисних споруд</t>
  </si>
  <si>
    <t xml:space="preserve">Станція знезалізнення ВНС № 1    </t>
  </si>
  <si>
    <t xml:space="preserve">Зовнішня каналізація від столової професійно-технічного училища міста         </t>
  </si>
  <si>
    <t xml:space="preserve">Зовнішня каналізація столової від професійно-технічного училища          </t>
  </si>
  <si>
    <t xml:space="preserve">Зовнішня каналізація 100-квартирного житлового будинку         </t>
  </si>
  <si>
    <t>84400, 
вул. Гасієва, 32</t>
  </si>
  <si>
    <t>Зовнішні водопровідні мережі до 35-ти квартирного житлового будинку
 (навпроти дитячої поліклініки)</t>
  </si>
  <si>
    <t>84400, 
пров. Робочий</t>
  </si>
  <si>
    <t>Зовнішні водопровідні мережі до 20-ти квартирного житлового будинку станції Красний Лиман, майстерня водопостачання</t>
  </si>
  <si>
    <t>84400, 
пров. Грушевського</t>
  </si>
  <si>
    <t xml:space="preserve">Зовнішні водопровідні мережі до 55-ти квартирного житлового будинку                  </t>
  </si>
  <si>
    <t>84400,
 пров. Грушевського</t>
  </si>
  <si>
    <t xml:space="preserve">Зовнішні каналізаційні мережі до посту електропостачання             </t>
  </si>
  <si>
    <t>84400,
пров. Привокзальний, 1</t>
  </si>
  <si>
    <t xml:space="preserve">Водогін пров. Кірова до будинку № 1    </t>
  </si>
  <si>
    <t>84400, 
вул. Деповська, 10</t>
  </si>
  <si>
    <t xml:space="preserve">Водопровід вул. Вєдя, 10            </t>
  </si>
  <si>
    <t xml:space="preserve">Водопровід вул. Кірова до будівлі НОДХ    </t>
  </si>
  <si>
    <t>84400, 
вул. Нова</t>
  </si>
  <si>
    <t>84400,
 вул. Пушкіна</t>
  </si>
  <si>
    <t xml:space="preserve">Зовнішні мережі водопостачання       </t>
  </si>
  <si>
    <t>84400,
 вул. Привокзальна</t>
  </si>
  <si>
    <t xml:space="preserve">Зовнішні мережі води 12-ти квартирного житлового будинку, Рейкозварювальний проїзд, 6     </t>
  </si>
  <si>
    <t>Зовнішні мережі води по вул. Привокзальна, Чапаєва</t>
  </si>
  <si>
    <t xml:space="preserve">Зовнішні мережі води до 12-ти квартирного  житлового будинку Дистанції путі             </t>
  </si>
  <si>
    <t>84400, 
вул. Залізнична</t>
  </si>
  <si>
    <t>Напірна-розводяща мережа до будівлі Дистанції путі по вул. Залізнична</t>
  </si>
  <si>
    <t>84400, 
вул. Переїзна</t>
  </si>
  <si>
    <t xml:space="preserve">Зовнішні мережі води до 40-ка квартирного житлового будинку по вул. Переїзна  </t>
  </si>
  <si>
    <t xml:space="preserve">Зовнішні мережі каналізації                        </t>
  </si>
  <si>
    <t xml:space="preserve">Водогін від залізничної поліклініки    </t>
  </si>
  <si>
    <t xml:space="preserve">Зовнішні мережі води до 90-то квартирного житлового будинку </t>
  </si>
  <si>
    <t>84400, 
пров. Привокзальний, 2</t>
  </si>
  <si>
    <t xml:space="preserve">Зовнішні мережі води будинку колійної машинної станції-10 </t>
  </si>
  <si>
    <t>84400, 
вул. Гасієва, 5</t>
  </si>
  <si>
    <t xml:space="preserve">Зовнішні мережі води </t>
  </si>
  <si>
    <t xml:space="preserve">Зовнішні мережі води 50-ти квартирного житлового будинку </t>
  </si>
  <si>
    <t>84400,
 вул. Комунальна</t>
  </si>
  <si>
    <t xml:space="preserve">Зовнішній водопровід                    </t>
  </si>
  <si>
    <t xml:space="preserve">Зовнішні мережі води 100-квартирного житлового будинку по вул. Крупської, 2      </t>
  </si>
  <si>
    <t xml:space="preserve">Зовнішні мережі води до 40-ка квартирного житлового будинку по вул. Переїзна   </t>
  </si>
  <si>
    <t xml:space="preserve">Нафтобрудоуловлювач промислових стоків каналізації   </t>
  </si>
  <si>
    <t>84400,
 пров. Робочий, 24</t>
  </si>
  <si>
    <t>Контрольні резервуари, мулові майданчики, каналізаційні відстійники</t>
  </si>
  <si>
    <t xml:space="preserve">Самопливний каналізаційний колектор від Будинку культури ім. Артема до бригадного будинка    </t>
  </si>
  <si>
    <t>84400,
 вул. Гасієва</t>
  </si>
  <si>
    <t xml:space="preserve">Самопливний каналізаційний колектор від бані                  </t>
  </si>
  <si>
    <t xml:space="preserve">Самопливний каналізаційний колектор від пральні                 </t>
  </si>
  <si>
    <t xml:space="preserve">Самопливний каналізаційний колектор
 від гуртожитку                 </t>
  </si>
  <si>
    <t>84400, 
вул. Телеграфна, 3</t>
  </si>
  <si>
    <t xml:space="preserve">Самопливний каналізаційний колектор по
 вул. Телеграфній          </t>
  </si>
  <si>
    <t>84400, 
вул. Телеграфна, 4</t>
  </si>
  <si>
    <t xml:space="preserve">Самопливний каналізаційний колектор провулок Телеграфний № 3             </t>
  </si>
  <si>
    <t>84400, 
пров. Телеграфний, 5; 7</t>
  </si>
  <si>
    <t>Самопливний каналізаційний колектор провулок Телеграфний № 5 і 7</t>
  </si>
  <si>
    <t xml:space="preserve">Самопливний каналізаційний колектор
 від залізничної лікарні            </t>
  </si>
  <si>
    <t>84400, 
вул. Гасієва, 12; 14; 16</t>
  </si>
  <si>
    <t>Самопливний каналізаційний колектор по
 вул. Чапаєва від будинків  № 12, 14, 16</t>
  </si>
  <si>
    <t>84400, 
вул. Привокзальна, 22</t>
  </si>
  <si>
    <t xml:space="preserve">Самопливний каналізаційний колектор
 від будинка № 22 вул. Кірова    </t>
  </si>
  <si>
    <t xml:space="preserve">84400, 
пров. Привокзальний </t>
  </si>
  <si>
    <t xml:space="preserve">Самопливний каналізаційний колектор від
 буд. 4, 5, 6 по порв. Кірова   </t>
  </si>
  <si>
    <t xml:space="preserve">Самопливний каналізаційний колектор від
 буд. 3, 39, 49 пров. Кірова  </t>
  </si>
  <si>
    <t xml:space="preserve">Самопливний каналізаційний колектор від котельної по вул. Кірова   </t>
  </si>
  <si>
    <t>84400, 
вул. Привокзальна, 21</t>
  </si>
  <si>
    <t xml:space="preserve">Самопливний каналізаційний колектор від будинку № 21 до будівлі відділення Донецької залізниці вул. Кірова </t>
  </si>
  <si>
    <t>84400, 
вул. Привокзальна, 23, 24</t>
  </si>
  <si>
    <t xml:space="preserve">Самопливний каналізаційний колектор від будинків №№ 23, 24 по вул. Кірова   </t>
  </si>
  <si>
    <t>84400, 
вул. Привокзальна, 19</t>
  </si>
  <si>
    <t xml:space="preserve">Самопливний каналізаційний колектор від будинку № 19 вул. Кірова         </t>
  </si>
  <si>
    <t>84400, 
вул. Привокзальна, 18</t>
  </si>
  <si>
    <t xml:space="preserve">Самопливний каналізаційний колектор будинку № 18 по вул. Кірова       </t>
  </si>
  <si>
    <t>84400,
просп. Щасливий, 7/11</t>
  </si>
  <si>
    <t xml:space="preserve">Самопливний каналізаційний колектор від будинків № 7, 11 по проспекту Терешкової   </t>
  </si>
  <si>
    <t>84400,
просп. Щасливий, 1</t>
  </si>
  <si>
    <t xml:space="preserve">Самопливний каналізаційний колектор від будинку № 1 по проспекту Терешкової     </t>
  </si>
  <si>
    <t>84400,
просп. Щасливий, 3, 5</t>
  </si>
  <si>
    <t xml:space="preserve">Самопливний каналізаційний колектор від будинків № 3, 5 по проспекту Терешкової   </t>
  </si>
  <si>
    <t>84400,
просп. Щасливий, 4</t>
  </si>
  <si>
    <t xml:space="preserve">Самопливний каналізаційний колектор від будинку № 4 по вул. Терешкової     </t>
  </si>
  <si>
    <t>84400,
просп. Щасливий, 8, 10, 12</t>
  </si>
  <si>
    <t xml:space="preserve">Самопливний каналізаційний колектор від будинків № 8, 10, 12 по проспекту Терешкової   </t>
  </si>
  <si>
    <t>84400, 
вул. Лейко Івана, 6</t>
  </si>
  <si>
    <t xml:space="preserve">Самопливний каналізаційний колектор від будинку № 6 по вул. Івана Лейко      </t>
  </si>
  <si>
    <t>84400, 
вул. Лейко Івана, 2А</t>
  </si>
  <si>
    <t xml:space="preserve">Самопливний каналізаційний колектор від будинку № 2А по вул. Івана Лейко     </t>
  </si>
  <si>
    <t>84400, 
вул. Лейко Івана, 2, 4</t>
  </si>
  <si>
    <t xml:space="preserve">Самопливний каналізаційний колектор від 
буд. № 2, 4 по вул. Івана Лейко    </t>
  </si>
  <si>
    <t>84400, 
вул. Лейко Івана, 1А</t>
  </si>
  <si>
    <t xml:space="preserve">Самопливний каналізаційний колектор від
 буд. № 1А по вул. Івана Лейко     </t>
  </si>
  <si>
    <t>84400, 
вул. Лейко Івана, 18А, 20</t>
  </si>
  <si>
    <t xml:space="preserve">Самопливний каналізаційний колектор від
 буд. № 18а і 20 по вул. Івана Лейко   </t>
  </si>
  <si>
    <t>84400, 
вул. Лейко Івана, 10</t>
  </si>
  <si>
    <t xml:space="preserve">Самопливний каналізаційний колектор від 
буд. № 10 по вул. Івана Лейко     </t>
  </si>
  <si>
    <t xml:space="preserve">84400, 
вул. Гасієва, 2 </t>
  </si>
  <si>
    <t xml:space="preserve">Самопливний каналізаційний колектор від
 буд. № 2 по вул. Чапаєва       </t>
  </si>
  <si>
    <t>84400, 
вул. Гасієва, 3</t>
  </si>
  <si>
    <t xml:space="preserve">Самопливний каналізаційний колектор від
 буд. № 3 вул. Чапаєва    </t>
  </si>
  <si>
    <t>84400, 
вул. Гасієва, 4</t>
  </si>
  <si>
    <t xml:space="preserve">Самопливний каналізаційний колектор від 
буд. № 4 по вул. Чапаєва       </t>
  </si>
  <si>
    <t>84400, 
вул. Гасієва, 7</t>
  </si>
  <si>
    <t xml:space="preserve">Самопливний каналізаційний колектор від 
буд. № 7 по вул. Чапаєва       </t>
  </si>
  <si>
    <t>84400, 
вул. Гасієва, 15А</t>
  </si>
  <si>
    <t xml:space="preserve">Самопливний каналізаційний колектор від
 буд. № 15А по вул. Чапаєва     </t>
  </si>
  <si>
    <t>84400, 
вул. Гасієва, 18</t>
  </si>
  <si>
    <t xml:space="preserve">Самопливний каналізаційний колектор від 
буд. № 18 по вул. Чапаєва       </t>
  </si>
  <si>
    <t>84400, 
вул. Гасієва, 20</t>
  </si>
  <si>
    <t xml:space="preserve">Самопливний каналізаційний колектор від 
буд. № 20 по вул. Чапаєва      </t>
  </si>
  <si>
    <t>84400, 
вул. Гасієва, 29</t>
  </si>
  <si>
    <t xml:space="preserve">Самопливний каналізаційний колектор від 
буд. № 29 по вул. Чапаєва      </t>
  </si>
  <si>
    <t xml:space="preserve">Самопливний каналізаційний колектор від гуртожитку та котельні дортехшколи  </t>
  </si>
  <si>
    <t>Самопливний каналізаційний колектор від дитячого туберкульозного санаторію по 
вул. Чапаєва</t>
  </si>
  <si>
    <t xml:space="preserve">Самопливний каналізаційний колектор від дитячого садка по вул. Чапаєва      </t>
  </si>
  <si>
    <t>84400, 
вул. Гасієва, 13</t>
  </si>
  <si>
    <t xml:space="preserve">Самопливний каналізаційний колектор від будинку № 13 по вул. Чапаєва    </t>
  </si>
  <si>
    <t xml:space="preserve">Самопливний каналізаційний колектор від медвитверезнику до будівлі Санепідстанції   </t>
  </si>
  <si>
    <t>84400, 
пров. Матросова, 1</t>
  </si>
  <si>
    <t xml:space="preserve">Самопливний каналізаційний колектор від будинку № 1 по пров. Матросова     </t>
  </si>
  <si>
    <t>84400, 
пров. Матросова, 5</t>
  </si>
  <si>
    <t xml:space="preserve">Самопливний каналізаційний колектор від будинку № 5 по пров. Матросова   </t>
  </si>
  <si>
    <t>84400, 
вул. Студентська, 14-15</t>
  </si>
  <si>
    <t xml:space="preserve">Самопливний каналізаційний колектор від будинку № 14, 15 по вул. Крупської   </t>
  </si>
  <si>
    <t>84400,
вул. Гагаріна, 1</t>
  </si>
  <si>
    <t xml:space="preserve">Самопливний каналізаційний колектор від будинку № 1 по проспекту Гагаріна         </t>
  </si>
  <si>
    <t>84400, 
просп. Гагаріна, 10</t>
  </si>
  <si>
    <t xml:space="preserve">Самопливний каналізаційний колектор від будинку № 10 по проспекту Гагаріна      </t>
  </si>
  <si>
    <t>84400, 
просп. Гагаріна</t>
  </si>
  <si>
    <t>84400, 
просп. Гагаріна, 4-4А</t>
  </si>
  <si>
    <t xml:space="preserve">Самопливний каналізаційний колектор від будинків № 4, 4А по проспекту Гагаріна   </t>
  </si>
  <si>
    <t xml:space="preserve">Самопливний каналізаційний колектор від будівлі зв'язку по проспекту Гагаріна     </t>
  </si>
  <si>
    <t>84400, 
просп. Гагаріна, 5-5А</t>
  </si>
  <si>
    <t xml:space="preserve">Самопливний каналізаційний колектор від будинків № 5, 5А по просп. Гагаріна      </t>
  </si>
  <si>
    <t xml:space="preserve">Самопливний каналізаційний колектор від спорткомплексу "Локомотив"   </t>
  </si>
  <si>
    <t>84400, 
вул. Деповська</t>
  </si>
  <si>
    <t xml:space="preserve">Самопливний каналізаційний колектор від столової № 5   </t>
  </si>
  <si>
    <t>84400, 
вул. Деповська, 1, 3, 4</t>
  </si>
  <si>
    <t xml:space="preserve">Самопливний каналізаційний колектор від будинків № 4, 1, 3 по вул. Вєдя   </t>
  </si>
  <si>
    <t xml:space="preserve">Самопливний каналізаційний колектор від Резервуару зовнішньої каналізації             </t>
  </si>
  <si>
    <t xml:space="preserve">Самопливний каналізаційний колектор від школи-інтернат </t>
  </si>
  <si>
    <t>Самопливний каналізаційний колектор від енергодільниці до колектору бані</t>
  </si>
  <si>
    <t xml:space="preserve">Самопливний каналізаційний колектор від гаражу енергодільниці     </t>
  </si>
  <si>
    <t xml:space="preserve">Самопливний каналізаційний колектор від будівлі УКП                  </t>
  </si>
  <si>
    <t>Самопливний каналізаційний колектор від дортехшколи</t>
  </si>
  <si>
    <t xml:space="preserve">Самопливний колектор               </t>
  </si>
  <si>
    <t xml:space="preserve">Самопливний каналізаційний колектор від вокзалу вул. Кірова          </t>
  </si>
  <si>
    <t>84400, 
вул. Лейко Івана, 8</t>
  </si>
  <si>
    <t xml:space="preserve">Самопливний каналізаційний колектор від будинку № 8 по вул. Івана Лейко      </t>
  </si>
  <si>
    <t xml:space="preserve">Самопливний каналізаційний колектор          </t>
  </si>
  <si>
    <t>Самопливний каналізаційний колектор 11 між вул. Кірова та вул. Чапаєва</t>
  </si>
  <si>
    <t xml:space="preserve">Самопливний каналізаційний колектор від будинку № 7 вул. Чапаєва          </t>
  </si>
  <si>
    <t xml:space="preserve">Самопливний каналізаційний колектор по
 вул. Чапаєва      </t>
  </si>
  <si>
    <t xml:space="preserve">Самопливний каналізаційний колектор від будинку № 6 по вул. Чапаєва       </t>
  </si>
  <si>
    <t>84400, 
вул. Гасієва, 9-11</t>
  </si>
  <si>
    <t xml:space="preserve">Самопливний каналізаційний колектор від 
буд. № 9-11 по вул. Чапаєва     </t>
  </si>
  <si>
    <t>84400, 
вул. Гасієва, 15</t>
  </si>
  <si>
    <t xml:space="preserve">Самопливний каналізаційний колектор від будинку № 15 по вул. Чапаєва          </t>
  </si>
  <si>
    <t>84400, 
вул. Гасієва, 24-24А</t>
  </si>
  <si>
    <t xml:space="preserve">Самопливний каналізаційний колектор від будинку № 24, 24А по вул. Чапаєва  </t>
  </si>
  <si>
    <t>84400, 
пров. Матросова, 2, 3</t>
  </si>
  <si>
    <t xml:space="preserve">Самопливний каналізаційний колектор від будинку № 2, 3 по пров. Матросова   </t>
  </si>
  <si>
    <t>Напірний колектор фекальної каналізації від насосної станції перекачки на каналізаційні очисні споруди</t>
  </si>
  <si>
    <t xml:space="preserve">Напірний каналізаційний колектор від перекачки до очисних споруд   </t>
  </si>
  <si>
    <t xml:space="preserve">Зовнішня каналізація від поліклініки          </t>
  </si>
  <si>
    <t xml:space="preserve">Зовнішні мережі каналізації будинку зв'язку             </t>
  </si>
  <si>
    <t xml:space="preserve">Самопливний каналізаційний колектор             </t>
  </si>
  <si>
    <t xml:space="preserve">Зовнішні мережі каналізаційний колектор 30-ти квартирного житлового будинку для РЗП-6  </t>
  </si>
  <si>
    <t xml:space="preserve">Зовнішній водогін до житлового будинку № 4             </t>
  </si>
  <si>
    <t>84400, 
вул. Деповська, 16-19</t>
  </si>
  <si>
    <t xml:space="preserve">Зовнішня каналізація від нової контори ОРС НОД-1 </t>
  </si>
  <si>
    <t xml:space="preserve">Зовнішня каналізація від штабу ВОХР              </t>
  </si>
  <si>
    <t>84400, 
вул. Лейко Івана, 15</t>
  </si>
  <si>
    <t xml:space="preserve">Зовнішня каналізація по вул. І. Лейко, 15         </t>
  </si>
  <si>
    <t xml:space="preserve">Зовнішня каналізація  від контактного басейну очисних споруд </t>
  </si>
  <si>
    <t>Напірний колектор від технічної перекачки до очисних споруд</t>
  </si>
  <si>
    <t xml:space="preserve">Зовнішня каналізація по вул. Чапаєва             </t>
  </si>
  <si>
    <t xml:space="preserve">Зовнішня каналізація по вул. Крупської від міського ПТУ   </t>
  </si>
  <si>
    <t xml:space="preserve">Зовнішня каналізація по вул. Чапаєва              </t>
  </si>
  <si>
    <t>84400, 
 вул. Гасієва</t>
  </si>
  <si>
    <t xml:space="preserve">Зовнішня каналізація 12-ти квартирного житлового будинку            </t>
  </si>
  <si>
    <t>84400,
  вул. Гасієва</t>
  </si>
  <si>
    <t xml:space="preserve">Зовнішня каналізація до гуртожитку на 50 місць      </t>
  </si>
  <si>
    <t>Зовнішня каналізація 50-ти квартирного житлового будинку по вул. Чапаєва</t>
  </si>
  <si>
    <t xml:space="preserve">Зовнішня каналізація житлового дому по
 пров. Кірова 2   </t>
  </si>
  <si>
    <t xml:space="preserve">Зовнішня каналізація 30-ти квартирного житлового будинку ПЧ-3            </t>
  </si>
  <si>
    <t xml:space="preserve">Зовнішні мережі до 30-ти квартирного будинку ПМС-10          </t>
  </si>
  <si>
    <t>Винос каналізації по 35-ти квартирному будинку до 106-ти квартирного житлового будинку по вул. Крупської</t>
  </si>
  <si>
    <t>Мережі каналізації 35-ти квартирного в 106-ти квартирний житловий будинок вул. Крупської</t>
  </si>
  <si>
    <t xml:space="preserve">Мережі каналізації 30-ти квартирного житлового будинку по вул. Кірова   </t>
  </si>
  <si>
    <t xml:space="preserve">Мережі каналізації з 35-ти квартирного житлового будинку, напроти бригадного будинку   </t>
  </si>
  <si>
    <t xml:space="preserve">Зовнішні мережі каналізації 50-ти квартирного житлового будинку            </t>
  </si>
  <si>
    <t>84400, 
пров. Бригадний, 2</t>
  </si>
  <si>
    <t>Самопливний каналізаційний колектор від
буд. № 2 пров. Бригадний</t>
  </si>
  <si>
    <t>Зовнішня каналізація 30-ти квартирного житлового будинку ПМС-10 вул. Матросова</t>
  </si>
  <si>
    <t>Зовнішні мережі каналізації 50-ти квартирного житлового будинку по вул. Крупської</t>
  </si>
  <si>
    <t>Самопливний каналізаційний колектор від побутового корпусу ПЧ3 до насосної станції перекачки</t>
  </si>
  <si>
    <t>Зовнішня каналізація 90-то квартирного  житлового будинку по вул. Чапаєва</t>
  </si>
  <si>
    <t xml:space="preserve">Зовнішні каналізаційні мережі до двох житлових будинків ПЧ3 і РСП      </t>
  </si>
  <si>
    <t xml:space="preserve">Зовнішня каналізація вул. Чапаєва                 </t>
  </si>
  <si>
    <t xml:space="preserve">Зовнішні мережі каналізації пункту промивки    </t>
  </si>
  <si>
    <t xml:space="preserve">Зовнішні мережі каналізації 55-ти квартирного житлового будинку       </t>
  </si>
  <si>
    <t xml:space="preserve">Зовнішні мережі каналізації 90-то квартирного житлового будинку     </t>
  </si>
  <si>
    <t>84400, 
 вул. Студентська</t>
  </si>
  <si>
    <t xml:space="preserve">Зовнішні мережі каналізації 120-ти квартирного житлового будинку      </t>
  </si>
  <si>
    <t xml:space="preserve">Напірна каналізація 30-ти квартирного житлового будинку       </t>
  </si>
  <si>
    <t xml:space="preserve">Зовнішні мережі каналізації 40-ка квартирного житлового будинку       </t>
  </si>
  <si>
    <t>Зовнішні мережі каналізації 20-ти квартирного житлового будинку по станції Красний Лиман</t>
  </si>
  <si>
    <t xml:space="preserve">Мережі каналізації 108-ми квартирного житлового будинку по вул. Чапаєва </t>
  </si>
  <si>
    <t>84400, 
вул. Слов'янська</t>
  </si>
  <si>
    <t>Зовнішні мережі води 36-ти квартирного будинку по вул. Слов'янська</t>
  </si>
  <si>
    <t xml:space="preserve">Зовнішні мережі каналізації басейну               </t>
  </si>
  <si>
    <t>Зовнішня каналізація</t>
  </si>
  <si>
    <t xml:space="preserve">Зовнішні мережі каналізації 20-ти квартирного житлового будинку           </t>
  </si>
  <si>
    <t xml:space="preserve">Зовнішні мережі каналізації до ДНЦУ            </t>
  </si>
  <si>
    <t>Зовнішні мережі каналізації до 40-ка квартирного житлового будинку вул. Переїзна</t>
  </si>
  <si>
    <t xml:space="preserve">Зовнішні мережі каналізації 60-ти квартирного житлового будинку      </t>
  </si>
  <si>
    <t xml:space="preserve">Зовнішні мережі каналізації 30-ти квартирного житлового будинку вул. Чапаєва   </t>
  </si>
  <si>
    <t>84402, 
вул. Оборонна</t>
  </si>
  <si>
    <t xml:space="preserve">Напірна каналізація 30-ти квартирного житлового будинку                     </t>
  </si>
  <si>
    <t xml:space="preserve">Паркан (плити) КНС "Технічна"  </t>
  </si>
  <si>
    <t xml:space="preserve">Мережі водопроводів Д=250, 600 (північ)  </t>
  </si>
  <si>
    <t>Напірний водопровід</t>
  </si>
  <si>
    <t>84402,
 вул. Оборонна</t>
  </si>
  <si>
    <t xml:space="preserve">Водопровід до житлових будинків довжиною 13,1 км </t>
  </si>
  <si>
    <t>84402, 
вул. Театральна</t>
  </si>
  <si>
    <t>84402, 
вул. Пушкіна</t>
  </si>
  <si>
    <t xml:space="preserve">Мережі каналізації керамічні (північ)        </t>
  </si>
  <si>
    <t xml:space="preserve">Каналізаційний колектор Консервного 
заводу 3,2 км </t>
  </si>
  <si>
    <t xml:space="preserve">
лісосмуга</t>
  </si>
  <si>
    <t xml:space="preserve">Колодязі круглі                   </t>
  </si>
  <si>
    <t xml:space="preserve">Зовнішні мережі каналізації консервного заводу             </t>
  </si>
  <si>
    <t>84400, 
вул. Оборонна</t>
  </si>
  <si>
    <t xml:space="preserve">Каналізаційний колектор довжина 12,2 км    </t>
  </si>
  <si>
    <t xml:space="preserve">Зовнішні мережі водопостачання        </t>
  </si>
  <si>
    <t>84402,
 вул. Театральна</t>
  </si>
  <si>
    <t>84400,
 вул. Оборонна</t>
  </si>
  <si>
    <t xml:space="preserve">Зовнішній водопровід гуртожитку на 50 місць    </t>
  </si>
  <si>
    <t>84400, 
вул. Лесі Українки</t>
  </si>
  <si>
    <t xml:space="preserve">Зовнішні мережі води  закритого плавального басейну   </t>
  </si>
  <si>
    <t xml:space="preserve">Будівля контролю рідини, приміщення хлораторників        </t>
  </si>
  <si>
    <t>Самопливний каналізаційний колектор технічної каналізації від нафтобрудоуловлювача південного крила</t>
  </si>
  <si>
    <t xml:space="preserve">Самопливний каналізаційний колектор господарсько-побутової каналізації  від побутового корпусу № 1 </t>
  </si>
  <si>
    <t>Самопливний каналізаційний колектор господарсько-побутової каналізації від душової Локомотивного депо</t>
  </si>
  <si>
    <t xml:space="preserve">Самопливний каналізаційний колектор технічної каналізації від екіпіровки "Північ"     </t>
  </si>
  <si>
    <t xml:space="preserve">Напірний каналізаційний колектор від насосної станції перекачки   </t>
  </si>
  <si>
    <t xml:space="preserve">Самопливний каналізаційний колектор від піскосушилки             </t>
  </si>
  <si>
    <t>Самопливний колектор технічної каналізації від нафтобрудоуловлювача</t>
  </si>
  <si>
    <t xml:space="preserve">Господарсько-фекальна каналізація до РСП-6               </t>
  </si>
  <si>
    <t>Зовнішні та внутрішньопливні мережі виробничо-каналізаційного пункту</t>
  </si>
  <si>
    <t xml:space="preserve">Зовнішня каналізація до допоміжного господарства ПЧ     </t>
  </si>
  <si>
    <t xml:space="preserve">Зовнішня каналізація до  дорожньої бази масло насосного апарату </t>
  </si>
  <si>
    <t>Каналізаційна мережа до  чергового пункту контактної мережі</t>
  </si>
  <si>
    <t>84400,
вул. Привокзальна, 40</t>
  </si>
  <si>
    <t>Напірна лінія виробництва стічних вод від КНС "ПОСТ-ЕЦ"</t>
  </si>
  <si>
    <t xml:space="preserve">Огорожа (плити) КНС "Технічна"      </t>
  </si>
  <si>
    <t>84400, 
пров. Телеграфний</t>
  </si>
  <si>
    <t xml:space="preserve">Зовнішні мережі води по ШЧ
 (майстерні Красний Лиман)    </t>
  </si>
  <si>
    <t xml:space="preserve">Огорожа (плити) КНС "Чапаєва"          </t>
  </si>
  <si>
    <t>Огорожа (плити) КНС "Чапаєва"</t>
  </si>
  <si>
    <t xml:space="preserve">Огорожа (плити) КНС "Чапаєва"         </t>
  </si>
  <si>
    <t>м. Лиман
с-ще Ставки</t>
  </si>
  <si>
    <t xml:space="preserve">Водозабір с. Ставки                 </t>
  </si>
  <si>
    <t>84400, 
вул. Слобожанська</t>
  </si>
  <si>
    <t xml:space="preserve">Модернізація ВНС № 1
 (Насосна станція 3SV) </t>
  </si>
  <si>
    <t xml:space="preserve">Огорожа залізобетонна на ВНС № 2   </t>
  </si>
  <si>
    <t xml:space="preserve">Огорожа залізобетонна на ВНС № 2      </t>
  </si>
  <si>
    <t>Огорожа залізобетонна на ВНС № 2</t>
  </si>
  <si>
    <t>84400,
 вул. Слобожанська</t>
  </si>
  <si>
    <t xml:space="preserve">Напірний водопровід                </t>
  </si>
  <si>
    <t xml:space="preserve">Дозаторна гіпохлориту натрію      </t>
  </si>
  <si>
    <t>84402, 
вул. Зелений Гай, 16А</t>
  </si>
  <si>
    <t xml:space="preserve">Дозаторна гіпохлориту натрію на ВНС № 1     </t>
  </si>
  <si>
    <t xml:space="preserve">Огорожа з воротами            </t>
  </si>
  <si>
    <t xml:space="preserve">Внутрішньомайданчикові мережі             </t>
  </si>
  <si>
    <t xml:space="preserve">Газопровід                         </t>
  </si>
  <si>
    <t xml:space="preserve">Благоустрій              </t>
  </si>
  <si>
    <t xml:space="preserve">Столова з верандами (адміністративна споруда)                </t>
  </si>
  <si>
    <t>84100, 
вул. Героїв Праці, 72</t>
  </si>
  <si>
    <t>Каналізаційний колектор КНС "Зелений Клин"</t>
  </si>
  <si>
    <t>Маріупольське РВУ КП «Компанія «Вода Донбасу»</t>
  </si>
  <si>
    <t>м. Маріуполь,
Кальміуський р-н</t>
  </si>
  <si>
    <t>87509, 
вул. Челюскінців, 150</t>
  </si>
  <si>
    <t xml:space="preserve">Будівля складу хлору           </t>
  </si>
  <si>
    <t xml:space="preserve">Шламова НС                        </t>
  </si>
  <si>
    <t>Будівля прохідної НС 2-го підйому</t>
  </si>
  <si>
    <t xml:space="preserve">Будівля котельні                   </t>
  </si>
  <si>
    <t xml:space="preserve">Будівля реагентного господарства       </t>
  </si>
  <si>
    <t xml:space="preserve">Будівля складу для матеріалів                </t>
  </si>
  <si>
    <t>м. Маріуполь</t>
  </si>
  <si>
    <t xml:space="preserve">87527, 
вул. Першотравнева, 86 </t>
  </si>
  <si>
    <t xml:space="preserve">Гараж на 5 автомашин                </t>
  </si>
  <si>
    <t xml:space="preserve">Будівля механічної майстерні </t>
  </si>
  <si>
    <t xml:space="preserve">87509, 
вул. Челюскінців, 150 </t>
  </si>
  <si>
    <t xml:space="preserve">НС 2-го підйому                       </t>
  </si>
  <si>
    <t xml:space="preserve">Будівля НС 3-го підйому                </t>
  </si>
  <si>
    <t xml:space="preserve">Будівля прохідної НС 3-го підйому          </t>
  </si>
  <si>
    <t>Будівля розподільчого пристрою насосної станції 3-го підйому</t>
  </si>
  <si>
    <r>
      <rPr>
        <sz val="10"/>
        <rFont val="Times New Roman"/>
        <family val="1"/>
        <charset val="204"/>
      </rPr>
      <t>Розподільчий пристрій 6 кв. НС 3</t>
    </r>
    <r>
      <rPr>
        <sz val="10"/>
        <color rgb="FFFF0000"/>
        <rFont val="Times New Roman"/>
        <family val="1"/>
        <charset val="204"/>
      </rPr>
      <t xml:space="preserve"> </t>
    </r>
  </si>
  <si>
    <t xml:space="preserve">Гараж на 15 автомашин                 </t>
  </si>
  <si>
    <t xml:space="preserve">Будівля вузла зв'язку                  </t>
  </si>
  <si>
    <t xml:space="preserve">Будівля допоміжного призначення </t>
  </si>
  <si>
    <t>Ремонтно-механічна майстерня</t>
  </si>
  <si>
    <t xml:space="preserve">Будівля НС 1-го і 2-го підйому               </t>
  </si>
  <si>
    <t xml:space="preserve">Будівля КВПА Старо-Кримської ділянки             </t>
  </si>
  <si>
    <t>87527, 
вул. Першотравнева, 86</t>
  </si>
  <si>
    <t xml:space="preserve">Будівля розподільчого пристрою НС 2-го підйому      </t>
  </si>
  <si>
    <t xml:space="preserve">Ремонтна мехмайстерня           </t>
  </si>
  <si>
    <r>
      <rPr>
        <sz val="10"/>
        <rFont val="Times New Roman"/>
        <family val="1"/>
        <charset val="204"/>
      </rPr>
      <t>Будівля ГО Старо-Кримської ділянки</t>
    </r>
    <r>
      <rPr>
        <sz val="10"/>
        <color rgb="FFFF0000"/>
        <rFont val="Times New Roman"/>
        <family val="1"/>
        <charset val="204"/>
      </rPr>
      <t xml:space="preserve">  </t>
    </r>
  </si>
  <si>
    <t xml:space="preserve">Будівля складу матеріалів           </t>
  </si>
  <si>
    <t xml:space="preserve">Будівля гаражу на 3 авто               </t>
  </si>
  <si>
    <t xml:space="preserve">  </t>
  </si>
  <si>
    <t>сел. Мирний</t>
  </si>
  <si>
    <t xml:space="preserve">Будівля складу (Мирний)              </t>
  </si>
  <si>
    <t xml:space="preserve">Будівля прохідної                   </t>
  </si>
  <si>
    <t xml:space="preserve">Будівля дворової вбиральні               </t>
  </si>
  <si>
    <t xml:space="preserve">Будівля НС 3-го підйому                      </t>
  </si>
  <si>
    <t>м. Маріуполь,
Центральний р-н</t>
  </si>
  <si>
    <t>87556, 
вул. Вільямса, 11</t>
  </si>
  <si>
    <t xml:space="preserve">Будівля караульного приміщення       </t>
  </si>
  <si>
    <t>87527,
 вул. Першотравнева, 86</t>
  </si>
  <si>
    <t xml:space="preserve">Будівля складу Старо-Кримської ділянки          </t>
  </si>
  <si>
    <t xml:space="preserve">Будівля складу                      </t>
  </si>
  <si>
    <t xml:space="preserve">Будівля шламової НС                        </t>
  </si>
  <si>
    <t xml:space="preserve">Насосна станція                   </t>
  </si>
  <si>
    <t xml:space="preserve">Будівля хлораторної                 </t>
  </si>
  <si>
    <t xml:space="preserve">Будівля контрольно-пропускного пункту                   </t>
  </si>
  <si>
    <t xml:space="preserve">87547, 
вул. Митрополитська, 177А </t>
  </si>
  <si>
    <t xml:space="preserve">Будівля контори-лабораторії         </t>
  </si>
  <si>
    <t xml:space="preserve">Будівля складу хлору з випарником    </t>
  </si>
  <si>
    <t xml:space="preserve">Механічний склад реагентів            </t>
  </si>
  <si>
    <t xml:space="preserve">Вагон ВД 2                         </t>
  </si>
  <si>
    <t>87556,
 вул. Вільямса, 11</t>
  </si>
  <si>
    <t xml:space="preserve">Гараж залізо-бетонний                         </t>
  </si>
  <si>
    <t>Хлораторна вторинного хлорування</t>
  </si>
  <si>
    <t>Огородження приміщення охорони</t>
  </si>
  <si>
    <t>Будівля НС 1-го підйому</t>
  </si>
  <si>
    <t xml:space="preserve">Прохідна на НС 1-го підйому                </t>
  </si>
  <si>
    <t xml:space="preserve">Склад ПММ                   </t>
  </si>
  <si>
    <t xml:space="preserve">Будівля складу хлору                </t>
  </si>
  <si>
    <t xml:space="preserve">Резервуар № 1 на майданчику НС 2-го підйому            </t>
  </si>
  <si>
    <t xml:space="preserve">Резервуар № 2 на майданчику НС 2-го підйому                </t>
  </si>
  <si>
    <t xml:space="preserve">Водозливна гребля                </t>
  </si>
  <si>
    <t>Насосна станція 1-го підйому заглиблена</t>
  </si>
  <si>
    <t xml:space="preserve">Асфальтний майданчик НС 1-го підйому </t>
  </si>
  <si>
    <t xml:space="preserve">Відстійник-виморожувач                   </t>
  </si>
  <si>
    <t xml:space="preserve">Резервуар шламових вод на майданчику
 насосної станції № 2   </t>
  </si>
  <si>
    <t xml:space="preserve">Шламова НС 1-го підйому </t>
  </si>
  <si>
    <t xml:space="preserve">Огорожа майданчика 2-го підйому               </t>
  </si>
  <si>
    <t>Асфальтне покриття площі НС 2-го підйому</t>
  </si>
  <si>
    <t xml:space="preserve">Внутрішня площа автодороги      </t>
  </si>
  <si>
    <t xml:space="preserve">Камери реакції станції освітлення  </t>
  </si>
  <si>
    <t xml:space="preserve">Відстійник камери освітлення       </t>
  </si>
  <si>
    <t xml:space="preserve">Блок відстійників реагентного господарства    </t>
  </si>
  <si>
    <t xml:space="preserve">Резервуар технічної води НС 3-го підйому   </t>
  </si>
  <si>
    <t xml:space="preserve">Огорожа НС 3-го підйому             </t>
  </si>
  <si>
    <t>Резервуар на 3-му майданчику насосної станції 2-го підйому</t>
  </si>
  <si>
    <t>Проміжна шламова ємність НС 2-го підйому</t>
  </si>
  <si>
    <t>Відстійник № 2 (блок відстійників)</t>
  </si>
  <si>
    <t xml:space="preserve">Будинки вузла зв'язку                  </t>
  </si>
  <si>
    <t xml:space="preserve">м. Маріуполь,
с. Каменськ </t>
  </si>
  <si>
    <t xml:space="preserve">Резервуар чистої води                   </t>
  </si>
  <si>
    <t xml:space="preserve">м. Маріуполь,
сел. Каменськ </t>
  </si>
  <si>
    <t xml:space="preserve">Резервуар промивних вод                   </t>
  </si>
  <si>
    <t xml:space="preserve">Резервуар чистої води              </t>
  </si>
  <si>
    <t xml:space="preserve">Резервуар чистої води Мирний       </t>
  </si>
  <si>
    <t xml:space="preserve">Резервуар чистої води № 1 Новосел.  </t>
  </si>
  <si>
    <t xml:space="preserve">Резервуар чистої води № 2 Новосел.  </t>
  </si>
  <si>
    <t xml:space="preserve">Резервуар чистої води № 3 Новосел.  </t>
  </si>
  <si>
    <t>м. Маріуполь,
Кальміуський р-н, сел.Мирний</t>
  </si>
  <si>
    <t xml:space="preserve">Резервуар чистої води № 1 Мирний    </t>
  </si>
  <si>
    <t>Водопровідна ОС  80 тис. куб. м</t>
  </si>
  <si>
    <t xml:space="preserve">Залізо-бетонна огорожа Старо-Кримського водогону </t>
  </si>
  <si>
    <t>Фільтрувальна станція Старо-Кримського водосховища</t>
  </si>
  <si>
    <t xml:space="preserve">Огорожа території ОС              </t>
  </si>
  <si>
    <t xml:space="preserve">Гребля р. Кальчік                  </t>
  </si>
  <si>
    <t xml:space="preserve">Шламонакопичувач шламових вод       </t>
  </si>
  <si>
    <t xml:space="preserve">Резервуар промивних вод                  </t>
  </si>
  <si>
    <r>
      <rPr>
        <sz val="10"/>
        <rFont val="Times New Roman"/>
        <family val="1"/>
        <charset val="204"/>
      </rPr>
      <t>Забор огородження санзони</t>
    </r>
    <r>
      <rPr>
        <sz val="10"/>
        <color rgb="FFFF0000"/>
        <rFont val="Times New Roman"/>
        <family val="1"/>
        <charset val="204"/>
      </rPr>
      <t xml:space="preserve"> </t>
    </r>
  </si>
  <si>
    <t>Водозабірна споруда Старо-Кримського водогону</t>
  </si>
  <si>
    <t xml:space="preserve">Напірний колектор 1-го підйому         </t>
  </si>
  <si>
    <t xml:space="preserve">Всмоктуючий колектор 1-го підйому     </t>
  </si>
  <si>
    <t xml:space="preserve">Мережі на майданчику очисних споруд    </t>
  </si>
  <si>
    <t xml:space="preserve">НС господарсько-побутових стоків                   </t>
  </si>
  <si>
    <t xml:space="preserve">Майданчик складу обладнання       </t>
  </si>
  <si>
    <t xml:space="preserve">Під'їзні шляхи залізної дороги              </t>
  </si>
  <si>
    <t xml:space="preserve">Естакада до складу хлору            </t>
  </si>
  <si>
    <t xml:space="preserve">Дороги (Старо-Кримські)           </t>
  </si>
  <si>
    <t xml:space="preserve">Під'їзні дороги до споруд    </t>
  </si>
  <si>
    <t xml:space="preserve">Внутрішня автодорога НС Мирний   </t>
  </si>
  <si>
    <t xml:space="preserve">Під'їзна дорога Мирний           </t>
  </si>
  <si>
    <t>87556,
вул. Вільямса, 11</t>
  </si>
  <si>
    <t xml:space="preserve">В'їзд і тротуар Новоселівка       </t>
  </si>
  <si>
    <t>87527,
вул. Першотравнева, 86</t>
  </si>
  <si>
    <t xml:space="preserve">Нагорні канави                    </t>
  </si>
  <si>
    <t xml:space="preserve">Автодороги майданчику ОС             </t>
  </si>
  <si>
    <t xml:space="preserve">Автодорога № 1 фільтрувальної станціі        </t>
  </si>
  <si>
    <t xml:space="preserve">Залізно-дорожня колія до складу реагентів рельси Р-65      </t>
  </si>
  <si>
    <t>Вертикальне планування майданчику складу</t>
  </si>
  <si>
    <t xml:space="preserve">Огорожа санітарної зони Мирний  </t>
  </si>
  <si>
    <t xml:space="preserve">Ворота металеві                </t>
  </si>
  <si>
    <t>Дюкер НС 3-го підйому заводу "Азовсталь"
(ліва нитка)</t>
  </si>
  <si>
    <t>Дюкер Д600 НС 3-го підйому «Азовсталь (права нитка)</t>
  </si>
  <si>
    <t xml:space="preserve">Горизонтальні відстійники          </t>
  </si>
  <si>
    <t>Огорожа майданчика ФС</t>
  </si>
  <si>
    <t xml:space="preserve">87532
вул. Челюскінців, 150 </t>
  </si>
  <si>
    <t xml:space="preserve">Гребля земляна з чашею           </t>
  </si>
  <si>
    <t xml:space="preserve">Водоскид береговий з огорожею  </t>
  </si>
  <si>
    <t>87532
вул. Челюскінців, 150</t>
  </si>
  <si>
    <t>Вежа і штольня водовипуску</t>
  </si>
  <si>
    <t xml:space="preserve">Електрообладнання </t>
  </si>
  <si>
    <t xml:space="preserve">Міст перехідний через беріг              </t>
  </si>
  <si>
    <t xml:space="preserve">Автодороги по греблі                 </t>
  </si>
  <si>
    <t xml:space="preserve">Берегове укріплення               </t>
  </si>
  <si>
    <t xml:space="preserve">Берегове укріплення НС 1          </t>
  </si>
  <si>
    <t xml:space="preserve">Всмоктуючий колектор              </t>
  </si>
  <si>
    <t xml:space="preserve">Колектор напірний НС Дальній Павлопіль           </t>
  </si>
  <si>
    <t xml:space="preserve">Пристрій рибозагороджувальний   </t>
  </si>
  <si>
    <t xml:space="preserve">Автодорога до НС 2-го підйому </t>
  </si>
  <si>
    <t xml:space="preserve">Огорожа НС 1-го підйому              </t>
  </si>
  <si>
    <t xml:space="preserve">Нагірна канава майданчик 1               </t>
  </si>
  <si>
    <t>Трубопровід підвідний Дальній Павлопіль 
НС 1-го підйому</t>
  </si>
  <si>
    <t xml:space="preserve">ВЛЕП 6кВ анкерної опори (Мирний)   </t>
  </si>
  <si>
    <t xml:space="preserve">ВЛЕП 6кВ НС Азовська (Новоселівка)  </t>
  </si>
  <si>
    <t>м. Маріуполь,
сел. Каменськ</t>
  </si>
  <si>
    <t xml:space="preserve">ВЛЕП НС Азовської                    </t>
  </si>
  <si>
    <t xml:space="preserve">ВЛЕП 6кВ від НС «Азовська»         </t>
  </si>
  <si>
    <t>Майданчикові ЛЕП Старо-Кримської ділянки</t>
  </si>
  <si>
    <t>Тепломережа складу реагентів</t>
  </si>
  <si>
    <t xml:space="preserve">Шламопровід сталевий Д=400        </t>
  </si>
  <si>
    <t xml:space="preserve">Розвідні мережі НС 3-го підйому Новоселівка  </t>
  </si>
  <si>
    <t xml:space="preserve">Розвідні мережі залізо-бетонні                    </t>
  </si>
  <si>
    <t xml:space="preserve">    пог. м</t>
  </si>
  <si>
    <t xml:space="preserve">Розвідні мережі сталеві Мирний    </t>
  </si>
  <si>
    <t xml:space="preserve">Відвід від промивного резервуару ФС-1    </t>
  </si>
  <si>
    <t xml:space="preserve">Водогін водозабору НС 1-го підйому Д=800       </t>
  </si>
  <si>
    <t>900м</t>
  </si>
  <si>
    <t>Тепломережі т/д Старо-Крим. Водогону</t>
  </si>
  <si>
    <t xml:space="preserve">Мережі до складу хлору                </t>
  </si>
  <si>
    <t xml:space="preserve">Мережі до реагентного господарства       </t>
  </si>
  <si>
    <t xml:space="preserve">Переносний водогін В-1             </t>
  </si>
  <si>
    <t>Відвід В-1 до резервуару чистої води</t>
  </si>
  <si>
    <t xml:space="preserve">Відвід фільтрованої води В2 ЖД Каменськ  </t>
  </si>
  <si>
    <t xml:space="preserve">Самопливний колектор шламу від ЗП до ФС   </t>
  </si>
  <si>
    <t xml:space="preserve">Напірний водогін В3 ЖД Каменськ     </t>
  </si>
  <si>
    <t xml:space="preserve">Відведення до майданчику складу реагентів     </t>
  </si>
  <si>
    <t xml:space="preserve">Каналізація на майданчику складу реагентів </t>
  </si>
  <si>
    <t xml:space="preserve">Кабельні лінії НПП-2 до Волновахи </t>
  </si>
  <si>
    <t xml:space="preserve">Кабельна ЛЕП 6 кВ НС </t>
  </si>
  <si>
    <t xml:space="preserve">м. Маріуполь,
Кальміуський р-н, 
сел. Волонтерівка </t>
  </si>
  <si>
    <t>Освітлення зовнішнє Павлопільської греблі</t>
  </si>
  <si>
    <t xml:space="preserve">Зовнішнє освітлення площі НС 1-го підйому   </t>
  </si>
  <si>
    <t xml:space="preserve">Самопливні лінії та оголовки        </t>
  </si>
  <si>
    <t xml:space="preserve">Шламова для подачі води           </t>
  </si>
  <si>
    <t xml:space="preserve">Тепломережі на майданчику 2-го підйому заводу «Ілліча»        </t>
  </si>
  <si>
    <t xml:space="preserve">Трубопровід зливних вод           </t>
  </si>
  <si>
    <t xml:space="preserve">Зливний трубопровід на майданчику 2-го підйому      </t>
  </si>
  <si>
    <t xml:space="preserve">Господарсько-побутова каналізація 2-го підйому          </t>
  </si>
  <si>
    <t>Трубопровід освітленої води 2-го підйому Ілліча</t>
  </si>
  <si>
    <t>Самопливний трубопровід шламових вод</t>
  </si>
  <si>
    <t xml:space="preserve">Напірний трубопровід шламових вод  </t>
  </si>
  <si>
    <t xml:space="preserve">Кабельні мережі на майданчику 2-го підйому          </t>
  </si>
  <si>
    <t xml:space="preserve">Зовнішнє освітлення на майданчику 2-го підйому      </t>
  </si>
  <si>
    <t>Трубопровід питної води майданчику 2-го підйому</t>
  </si>
  <si>
    <t xml:space="preserve">Трубопровід переливних вод 2-го підйому     </t>
  </si>
  <si>
    <t xml:space="preserve">Відведення річної води                </t>
  </si>
  <si>
    <t xml:space="preserve">Кабельна ЛЕП підстанції 6/04 НС-2-го підйому   </t>
  </si>
  <si>
    <t xml:space="preserve">ЛЕП 6 кВ НС Г3-РУ                   </t>
  </si>
  <si>
    <t xml:space="preserve">Трубопровід промислової каналізаціі    </t>
  </si>
  <si>
    <t xml:space="preserve">Трубопровід госпфекальних стоків    </t>
  </si>
  <si>
    <t xml:space="preserve">Госппобутова каналізація 2-го підйому         </t>
  </si>
  <si>
    <t xml:space="preserve">Кабельна ЛЕП 6 кВ        </t>
  </si>
  <si>
    <t>Скидний трубопровід із запасного резервуару</t>
  </si>
  <si>
    <t xml:space="preserve">Мережі на майданчику 3-го підйому заводу «Ілліча»             </t>
  </si>
  <si>
    <t>Госпфекальна каналізація до гаражу чавун</t>
  </si>
  <si>
    <t xml:space="preserve">Госпфекальна каналізація до гаражу </t>
  </si>
  <si>
    <t xml:space="preserve">Водогін річних вод залізо-бетонний                </t>
  </si>
  <si>
    <t xml:space="preserve">Водогін Д=1400 НС 1-го підйому до 2-го підйому Павлопільського водогону     </t>
  </si>
  <si>
    <t xml:space="preserve">Водогін НС 2-го підйому до НС Кальміус           </t>
  </si>
  <si>
    <t xml:space="preserve">Відгалуження від основної траси до 5 воріт комбінату Ільіча    </t>
  </si>
  <si>
    <t>Водогін НС 3-го підйому заводу «Азовсталь»  Д=600 (права нитка)</t>
  </si>
  <si>
    <t xml:space="preserve">Відведення питної води 1220х10      </t>
  </si>
  <si>
    <t xml:space="preserve">Відведення НС 2-го підйому резервуар запасу вод  </t>
  </si>
  <si>
    <t>Південно-Донбаський водогін залізо-бетонний НС 3-го підйому Красноармійського РП до ОС</t>
  </si>
  <si>
    <t>Водогін НС 2-го підйому резервуар НС 3-го підйому сел. Новосілка</t>
  </si>
  <si>
    <t xml:space="preserve">Водогін ВК-10 - НС Сартана         </t>
  </si>
  <si>
    <t xml:space="preserve">Водогін НС 2-го підйому НС 3-го підйому Мирний    </t>
  </si>
  <si>
    <t xml:space="preserve">Водогін НС 2-го підйому НС 3-го
 підйому 2 нитки   </t>
  </si>
  <si>
    <t>Водогін НС 3-го підйому завод «Ілліча»
 (права нитка сталева)</t>
  </si>
  <si>
    <t>Водогін НС 2-го підйому резеруар НС 3-го підйому сел. Новосілка</t>
  </si>
  <si>
    <t xml:space="preserve">Водогін НС 3-го підйому завод «Ілліча» 
(ліва нитка чавун)   </t>
  </si>
  <si>
    <t xml:space="preserve">Водогін НС 3-го підйому завод «Ілліча»
 (ліва нитка сталева)   </t>
  </si>
  <si>
    <t>Водогін НС 3-го підйому заводу «Азовсталь» Д=600 (ліва нитка)</t>
  </si>
  <si>
    <t xml:space="preserve">Водогін НС 2-го підйому Павлопіль ліва нитка Д=800   </t>
  </si>
  <si>
    <t xml:space="preserve">Водогін НС 2-го та 3-го підйому Павлопіль права нитка Д=800  </t>
  </si>
  <si>
    <t xml:space="preserve">Водогін НС 2-го підйому резервуар НС 3-го підйому Д=1200 </t>
  </si>
  <si>
    <t>ПДВ 2 нитки від НС 3-го підйому Красноармійської РП до ОС</t>
  </si>
  <si>
    <t xml:space="preserve">Напірний водогін НСТП-2-го підйому лівий Д=1400 </t>
  </si>
  <si>
    <t xml:space="preserve">Водогін Д=1000 водопровідного вузла Сартана 3000-Мирний  </t>
  </si>
  <si>
    <t xml:space="preserve">Трубопровід переливних вод 2-го підйому  </t>
  </si>
  <si>
    <t xml:space="preserve">Скидний трубопровід залізобетонний          </t>
  </si>
  <si>
    <t xml:space="preserve">ПДВ НС 3-го підйому до ОС 1 нитка сталевий </t>
  </si>
  <si>
    <t xml:space="preserve">Скидний трубопровід сталевий        </t>
  </si>
  <si>
    <t xml:space="preserve">ПДВ 2 нитки залізо-бетонний Красноармійський РУ        </t>
  </si>
  <si>
    <t>Водогін від НС 2-го підйому до резервуару
 НС 3-го підйому</t>
  </si>
  <si>
    <t xml:space="preserve">Водогін НС 2-го підйому НС 3-го підйому 
сел. Мирний        </t>
  </si>
  <si>
    <t xml:space="preserve">Водогін 3-го підйому ФС сталевий друга нитка    </t>
  </si>
  <si>
    <t xml:space="preserve">Каналізаційні лінії НС 1-го підйому НС 2-го підйому          </t>
  </si>
  <si>
    <t xml:space="preserve">Технічний зв'язок відгалуження ДХМЗ-Каменськ   </t>
  </si>
  <si>
    <t xml:space="preserve">Вузол зв'язку-станція запасу АТС-2 "Ілліча"   </t>
  </si>
  <si>
    <t>Каналізаційні лінії вузла зв'язку Каменськ-НС
 3-го підйому сел. Новосілка</t>
  </si>
  <si>
    <t xml:space="preserve">Каналізаційні лінії НС 3-го підйому шафа 1Д               </t>
  </si>
  <si>
    <t xml:space="preserve">Внутрішньомайданчикові мережі </t>
  </si>
  <si>
    <t xml:space="preserve">Телефонний кабель НС 2-го підйому </t>
  </si>
  <si>
    <t xml:space="preserve">Телефонний кабель РШ 1 - АТС "Азовсталь"     </t>
  </si>
  <si>
    <t xml:space="preserve">Телефонний кабель РШ 1 - НС 3-го підйому          </t>
  </si>
  <si>
    <t xml:space="preserve">Диспетчерський зв'язок на майданчику 2-го підйому </t>
  </si>
  <si>
    <t>־־</t>
  </si>
  <si>
    <t xml:space="preserve">Каналізаційні лінії НС підстанції Павлопіль       </t>
  </si>
  <si>
    <t xml:space="preserve">Мережі зв`язку до НС 8,9 від вузла зв`язку 
сел. Каменськ  </t>
  </si>
  <si>
    <t xml:space="preserve">Кабельні лінії зв'язку від Маріупольської РЦ           </t>
  </si>
  <si>
    <t xml:space="preserve">Кабельні лінії зв'язку від школи 5а до 3-го підйому Новосілка     </t>
  </si>
  <si>
    <t xml:space="preserve">Кабельна лінія зв'язку НС с-ще. Мирний </t>
  </si>
  <si>
    <t xml:space="preserve">Газопровід до котельні             </t>
  </si>
  <si>
    <t xml:space="preserve">Руслова гребля р. Кальміус        </t>
  </si>
  <si>
    <t xml:space="preserve">Сифон санпропуск                   </t>
  </si>
  <si>
    <t xml:space="preserve">Будівля НС 2-го підйому                       </t>
  </si>
  <si>
    <t xml:space="preserve">Трубопровід в штольні              </t>
  </si>
  <si>
    <t xml:space="preserve">Будівля АЗС                         </t>
  </si>
  <si>
    <t>87642, 
вул. Набережна, 64</t>
  </si>
  <si>
    <t xml:space="preserve">Огорожа господарського двору    </t>
  </si>
  <si>
    <t xml:space="preserve">Будівля під гараж                   </t>
  </si>
  <si>
    <t xml:space="preserve">Прохідна з цегли               </t>
  </si>
  <si>
    <t xml:space="preserve">Огорожа насосної          </t>
  </si>
  <si>
    <t xml:space="preserve">Батискаф                           </t>
  </si>
  <si>
    <t xml:space="preserve">Приміщення боксу                    </t>
  </si>
  <si>
    <t xml:space="preserve">Козирьок (металева конструкція) до будівлі </t>
  </si>
  <si>
    <t>87500, 
б-р Шевченка, 311</t>
  </si>
  <si>
    <t xml:space="preserve">Квартира 4-х. кімнатна б-р Шевченка      </t>
  </si>
  <si>
    <t xml:space="preserve">Гараж для човна                     </t>
  </si>
  <si>
    <t xml:space="preserve">Відведення Д=1400  № 1 ЮДВ              </t>
  </si>
  <si>
    <t xml:space="preserve">Відведення Д=1200-1400 № 2             </t>
  </si>
  <si>
    <t xml:space="preserve">Відведення Д=1400 № 2 Красноармійське РУ     </t>
  </si>
  <si>
    <t>Кабельна лінія зв'язку НС 3-го підйому підключення 20 км</t>
  </si>
  <si>
    <t xml:space="preserve">Дороги ДОЦ "Зірочка"             </t>
  </si>
  <si>
    <t xml:space="preserve">Огорожа Старо-Кримської ділянки 
(металева решітчаста) </t>
  </si>
  <si>
    <r>
      <rPr>
        <sz val="10"/>
        <rFont val="Times New Roman"/>
        <family val="1"/>
        <charset val="204"/>
      </rPr>
      <t>Гараж залізо-бетонний 6,5</t>
    </r>
    <r>
      <rPr>
        <sz val="10"/>
        <rFont val="Calibri"/>
        <family val="2"/>
        <charset val="204"/>
      </rPr>
      <t>×</t>
    </r>
    <r>
      <rPr>
        <sz val="10"/>
        <rFont val="Times New Roman"/>
        <family val="1"/>
        <charset val="204"/>
      </rPr>
      <t xml:space="preserve">3,5 (Новосілка)     </t>
    </r>
  </si>
  <si>
    <t>Гараж шлакоблочний 7,0×4,5 (Новосілка)</t>
  </si>
  <si>
    <t xml:space="preserve">Огорожа контори-лабораторії     </t>
  </si>
  <si>
    <t>Хлородозуюча станція № 2 первинного хлорування</t>
  </si>
  <si>
    <t>87642,
вул. Набережна, 64</t>
  </si>
  <si>
    <t xml:space="preserve">Туалет                 </t>
  </si>
  <si>
    <t>Будівля трансформаторного кіоску (Бабешко)</t>
  </si>
  <si>
    <t xml:space="preserve">Вулична освітлювальна мережа сел. Каменськ </t>
  </si>
  <si>
    <t xml:space="preserve">Вулична освітлювальна мережа НС 3-го підйому </t>
  </si>
  <si>
    <t xml:space="preserve">Каналізаційна мережа житлового сел. Каменськ               </t>
  </si>
  <si>
    <t xml:space="preserve">РП (розподільчий пристрій)-6 кВ НС
 с-ще Мирний (будівля)        </t>
  </si>
  <si>
    <t xml:space="preserve"> Водогін питний у сел. Каменськ  </t>
  </si>
  <si>
    <t>87645, 
вул. Набережна, 64</t>
  </si>
  <si>
    <t xml:space="preserve">Будівля медізолятора                </t>
  </si>
  <si>
    <t xml:space="preserve">Будинок сторожа                        </t>
  </si>
  <si>
    <t xml:space="preserve">Будівля їдальні                    </t>
  </si>
  <si>
    <t xml:space="preserve">Будівля гуртожитку                   </t>
  </si>
  <si>
    <t xml:space="preserve">Будівля адміністративного корпусу   </t>
  </si>
  <si>
    <t xml:space="preserve">Естрада-клуб                       </t>
  </si>
  <si>
    <t xml:space="preserve">Будівля душової                    </t>
  </si>
  <si>
    <t xml:space="preserve">Будівля спального корпусу № 6        </t>
  </si>
  <si>
    <t xml:space="preserve">Будівля спального корпусу № 4        </t>
  </si>
  <si>
    <t xml:space="preserve">Будівля спального корпусу № 2        </t>
  </si>
  <si>
    <t xml:space="preserve">Будівля спального корпусу № 1        </t>
  </si>
  <si>
    <t xml:space="preserve">Будівля спального корпусу № 3        </t>
  </si>
  <si>
    <t xml:space="preserve">Будівля овочесховища              </t>
  </si>
  <si>
    <t xml:space="preserve">Будівля умивальника                 </t>
  </si>
  <si>
    <t xml:space="preserve">Будівля спального корпусу № 5        </t>
  </si>
  <si>
    <t xml:space="preserve">Будівля спального корпусу № 7        </t>
  </si>
  <si>
    <t xml:space="preserve">Матеріальний склад                 </t>
  </si>
  <si>
    <t xml:space="preserve">Вбиральня                </t>
  </si>
  <si>
    <t xml:space="preserve">Вбиральня               </t>
  </si>
  <si>
    <t xml:space="preserve">Паркан залізобетонний                         </t>
  </si>
  <si>
    <t xml:space="preserve">Будівля НС                          </t>
  </si>
  <si>
    <t xml:space="preserve">Бетонна каналізаційно-вигрібна яма           </t>
  </si>
  <si>
    <t xml:space="preserve">Водонапірна вежа                 </t>
  </si>
  <si>
    <t xml:space="preserve">Спортивне містечко                 </t>
  </si>
  <si>
    <t xml:space="preserve">Вбиральня             </t>
  </si>
  <si>
    <t xml:space="preserve">Гойдалки «Гусениця»                   </t>
  </si>
  <si>
    <t xml:space="preserve">Зовнішня мережа каналізації              </t>
  </si>
  <si>
    <t xml:space="preserve">Зовнішня електрична мережа               </t>
  </si>
  <si>
    <t xml:space="preserve">Зовнішня водопровідна мережа            </t>
  </si>
  <si>
    <t>87456,
вул. Маяковського, 59</t>
  </si>
  <si>
    <t xml:space="preserve">Будинок шлакоблочний                   </t>
  </si>
  <si>
    <t xml:space="preserve">Альтанка                            </t>
  </si>
  <si>
    <t xml:space="preserve">Будинок стандартний дерев'яний на 4-х осіб         </t>
  </si>
  <si>
    <t xml:space="preserve">Корпус будівлі піонерської           </t>
  </si>
  <si>
    <t xml:space="preserve">Будівля кухні шлакоблочна          </t>
  </si>
  <si>
    <t xml:space="preserve">Газосховище                      </t>
  </si>
  <si>
    <t xml:space="preserve">Доріжки асфальтові           </t>
  </si>
  <si>
    <t xml:space="preserve">Секції огорожі                    </t>
  </si>
  <si>
    <t>87644, 
вул. Набережна, 64</t>
  </si>
  <si>
    <t xml:space="preserve">Ракета металева               </t>
  </si>
  <si>
    <t>Будівля для зберігання сипучих продуктів</t>
  </si>
  <si>
    <t xml:space="preserve">Сантехнічний блок для хлопчиків  </t>
  </si>
  <si>
    <t xml:space="preserve">Артезіанська свердловина              </t>
  </si>
  <si>
    <t xml:space="preserve">Трансформаторна підстанція закрита  </t>
  </si>
  <si>
    <t xml:space="preserve">Сантехнічний блок для дівчат         </t>
  </si>
  <si>
    <t xml:space="preserve">Насосна станція зовнішньої каналізації </t>
  </si>
  <si>
    <t>87450, 
вул. Маяковського, 59</t>
  </si>
  <si>
    <t xml:space="preserve">Будинок дерев'яний                     </t>
  </si>
  <si>
    <t xml:space="preserve">Будинок стандартний дерев'яний на 4-х осіб          </t>
  </si>
  <si>
    <t xml:space="preserve">Туалети         </t>
  </si>
  <si>
    <t xml:space="preserve">Гірка для дітей                    </t>
  </si>
  <si>
    <t xml:space="preserve">Гірка "Краб"                       </t>
  </si>
  <si>
    <t xml:space="preserve">Навіс для телевізора               </t>
  </si>
  <si>
    <t xml:space="preserve">Навіс для тенісного столу          </t>
  </si>
  <si>
    <t xml:space="preserve">Водопровід із сталевих труб        </t>
  </si>
  <si>
    <t xml:space="preserve">Будівля складу шлакоблочна         </t>
  </si>
  <si>
    <t xml:space="preserve">Будівля посту № 28                   </t>
  </si>
  <si>
    <t xml:space="preserve">Мийка автотехніки 1-й пост Старо-Кримський </t>
  </si>
  <si>
    <t xml:space="preserve">Ємність для зберігання цементу       </t>
  </si>
  <si>
    <t xml:space="preserve">Будівля гаража                      </t>
  </si>
  <si>
    <t xml:space="preserve">Будівля матеріального складу        </t>
  </si>
  <si>
    <t xml:space="preserve">Будівля складу сел. Каменськ          </t>
  </si>
  <si>
    <t xml:space="preserve">Металевий склад                </t>
  </si>
  <si>
    <t xml:space="preserve">Приміщення зварювальної ділянки       </t>
  </si>
  <si>
    <t xml:space="preserve">87548, 
вул. Митрополитська, 177А </t>
  </si>
  <si>
    <t>Благоустрій території будівлі контрольної лабораторії</t>
  </si>
  <si>
    <r>
      <rPr>
        <sz val="10"/>
        <rFont val="Times New Roman"/>
        <family val="1"/>
        <charset val="204"/>
      </rPr>
      <t>Асфальтова площа НС 3-го підйому</t>
    </r>
    <r>
      <rPr>
        <sz val="10"/>
        <color rgb="FFFF6600"/>
        <rFont val="Times New Roman"/>
        <family val="1"/>
        <charset val="204"/>
      </rPr>
      <t xml:space="preserve"> </t>
    </r>
  </si>
  <si>
    <t xml:space="preserve">Високовольтний кабель ЛЕП-6кВ НС                   </t>
  </si>
  <si>
    <t xml:space="preserve">Телефонний кабель НС 2-го підйому до НС 3-го підйому Мирного     </t>
  </si>
  <si>
    <t xml:space="preserve">РУЕК КП "Компанія "Вода Донбасу" </t>
  </si>
  <si>
    <t xml:space="preserve"> Харківська обл.,
 Ізюмський р-н, с. Оскіл</t>
  </si>
  <si>
    <t>64340,
 вул. Заоскільська</t>
  </si>
  <si>
    <t>Газорозподільний пункт</t>
  </si>
  <si>
    <t>64340, 
вул. Заоскільська</t>
  </si>
  <si>
    <t>Адміністративна будівля Червонооскільської дільниці</t>
  </si>
  <si>
    <t>1955</t>
  </si>
  <si>
    <t>Ремонтно-механічна майстеpня в с. Осколі 
(с. Червоний Оскіл)</t>
  </si>
  <si>
    <t>Пpохідний пункт</t>
  </si>
  <si>
    <t>64340,
вул. Заоскільська</t>
  </si>
  <si>
    <t>Будівля контори та водної лабораторії</t>
  </si>
  <si>
    <t>Будівля складу спільно з гаражем</t>
  </si>
  <si>
    <t>Будівля Гідроелектростанції (ГЕС) греблі стаціонарних механізмів</t>
  </si>
  <si>
    <t>Будівля ремонтних бригад</t>
  </si>
  <si>
    <t>Постовий будиночок</t>
  </si>
  <si>
    <t>Слов'янський р-н, 
смт Райгородок</t>
  </si>
  <si>
    <t>84150,
вул. Східна, 1А</t>
  </si>
  <si>
    <t>Будівля авторемонтних бpигад Райгородського гідровузла</t>
  </si>
  <si>
    <t>Гараж з прибудовою на Райгородському гідровузлі</t>
  </si>
  <si>
    <t>Райгородський гідротехнічний вузол</t>
  </si>
  <si>
    <t>Будівля посту міліції Райгордської греблі</t>
  </si>
  <si>
    <t>84115,
вул. Сучасна, 45</t>
  </si>
  <si>
    <t>Будівля матеріального складу</t>
  </si>
  <si>
    <t>Автогараж Семенівська дільниця</t>
  </si>
  <si>
    <t>Прохідний пункт матеріального складу</t>
  </si>
  <si>
    <t>Склад ПММ на території механічної майстерні</t>
  </si>
  <si>
    <t>Будівля механічної майстерні</t>
  </si>
  <si>
    <t>Сховище цивільної оборони с. Семенівка</t>
  </si>
  <si>
    <t>Будівля метрології території механічної майстерні</t>
  </si>
  <si>
    <t>Будівля складу на території механічної майстерні</t>
  </si>
  <si>
    <t>Будівля-кисень на території механічної майстерні</t>
  </si>
  <si>
    <t>Будівля кузні на території мехмайстерні</t>
  </si>
  <si>
    <t>Канал СДД від ПК0+00 до ПК191+00</t>
  </si>
  <si>
    <t xml:space="preserve">км </t>
  </si>
  <si>
    <t>Дюкер через р. Казенний Торець в 2 нитки</t>
  </si>
  <si>
    <t>Акведук на ПК-56+00</t>
  </si>
  <si>
    <t>Аварійно-перегороджуюча споруда</t>
  </si>
  <si>
    <t>Будівля дюкер через балку Сорище № 1</t>
  </si>
  <si>
    <t>Дюкер через балку Сорище в 2 нитки</t>
  </si>
  <si>
    <t>Будівля дюкер через балку Сорище № 2</t>
  </si>
  <si>
    <t>Будівля гаражу із складом Управління Донбасводоремонт</t>
  </si>
  <si>
    <t>Будівля НС 1А 1-го підйому каналу
 с. Високо-Іванівка</t>
  </si>
  <si>
    <t>Напірний трубопровід 1А Підйому, перемичка від 1А в тр-д № 1</t>
  </si>
  <si>
    <t>0.124</t>
  </si>
  <si>
    <t>Будівля караульного приміщення 1-го підйому каналу</t>
  </si>
  <si>
    <t>Сміттєутримуюча споруда 1-го підйому каналу</t>
  </si>
  <si>
    <t>Будівля водовипуску с. Високо-Іванівка</t>
  </si>
  <si>
    <t>Прохідний пункт 1-го підйому каналу</t>
  </si>
  <si>
    <t>Будівля НС 1-го підйому каналу СДД</t>
  </si>
  <si>
    <t>Напірні трубопроводи 1-го підйому каналу,
 2 нитки</t>
  </si>
  <si>
    <t>Будівля реакторної території НС 1А</t>
  </si>
  <si>
    <t>Будівля ПРС 1-го підйому СДД</t>
  </si>
  <si>
    <t>Слов'янський р-н,
с. Оріхуватка</t>
  </si>
  <si>
    <t>Будівля НС 2А підйому каналу с. Оріхуватка</t>
  </si>
  <si>
    <t>Напірний трубопровід НС 2А підйому каналу, перемичка від 2А в трубопровід № 1</t>
  </si>
  <si>
    <t>Будівля караульного приміщення 2-го підйому</t>
  </si>
  <si>
    <t>Будівля реакторної території НС 2А</t>
  </si>
  <si>
    <t>Прохідний пункт 2-го підйому</t>
  </si>
  <si>
    <t>Будівля побутівки</t>
  </si>
  <si>
    <t>Будівля НС № 2 підйому каналу СДД</t>
  </si>
  <si>
    <t>Напірні трубопроводи 2-го підйому канала 
в 2 нитки</t>
  </si>
  <si>
    <t>Водовипуск на м. Слов'янськ</t>
  </si>
  <si>
    <t>Слов'янський р-н</t>
  </si>
  <si>
    <t>Інспекторська автодорога</t>
  </si>
  <si>
    <t>Автодорога к дюкеру через р.Торець</t>
  </si>
  <si>
    <t xml:space="preserve">Автопід'їзні дороги до забудов та споруд </t>
  </si>
  <si>
    <t>Автомобільний міст через р. Сіверський Донець ПК0+00</t>
  </si>
  <si>
    <t>Міст автодорожний на ПК196</t>
  </si>
  <si>
    <t>Міст автодорожний на ПК238</t>
  </si>
  <si>
    <t>Зливопровід на ПК-141+00</t>
  </si>
  <si>
    <t>Зливопровід на ПК219</t>
  </si>
  <si>
    <t>Канал СДД від ПК191+00 до ПК238+20,</t>
  </si>
  <si>
    <t>Бахмутський р-н</t>
  </si>
  <si>
    <t>Канал СДД від ПК238+20 до ПК696+00</t>
  </si>
  <si>
    <t>Автомобільна дорога вздовж каналу</t>
  </si>
  <si>
    <t>Слов'янський р-н,
с. Малинівка</t>
  </si>
  <si>
    <t>10234</t>
  </si>
  <si>
    <t>Бахмутський р-н,
с. Міньківка</t>
  </si>
  <si>
    <t>10235</t>
  </si>
  <si>
    <t>Бахмутський р-н,
с. Калинівка</t>
  </si>
  <si>
    <t>10237</t>
  </si>
  <si>
    <t xml:space="preserve">Торецький р-н,
с. Курдюмівка </t>
  </si>
  <si>
    <t>10236</t>
  </si>
  <si>
    <t>Бахмутський р-н,
м. Часів Яр</t>
  </si>
  <si>
    <t>Склад обладнання на базі</t>
  </si>
  <si>
    <t>Бахмутський р-н,
с. Малинівка</t>
  </si>
  <si>
    <t>Міст через канал на ПК 434+76,5</t>
  </si>
  <si>
    <t xml:space="preserve">м </t>
  </si>
  <si>
    <t>10018</t>
  </si>
  <si>
    <t>Дюкер через балку "Середні ступки" в 4 нитки</t>
  </si>
  <si>
    <t>1958, 1971</t>
  </si>
  <si>
    <t>Міст через канал на ПК486+13,5</t>
  </si>
  <si>
    <t>10019</t>
  </si>
  <si>
    <t>Дюкер через балку "Довга" в 2 нитки</t>
  </si>
  <si>
    <t>10335</t>
  </si>
  <si>
    <t>Міст через канал на ПК531+93,5</t>
  </si>
  <si>
    <t>Зливопровід під каналом на ПК536+31</t>
  </si>
  <si>
    <t>Зливопровід під каналом на ПК547+07</t>
  </si>
  <si>
    <t>10020</t>
  </si>
  <si>
    <t>Дюкер через балку "Кринички" в 4 нитки</t>
  </si>
  <si>
    <t>Міст через канал на ПК647+72</t>
  </si>
  <si>
    <t xml:space="preserve">Торецький р-н ,
с. Курдюмівка </t>
  </si>
  <si>
    <t>Зливопровід під каналом на ПК589+85</t>
  </si>
  <si>
    <t>Зливопровід під каналом на ПК658+08</t>
  </si>
  <si>
    <t>Торецький р-н ,
с. Курдюмівка</t>
  </si>
  <si>
    <t>Службова будівля верхнього оголовку
 д. Курдюмівка № 1</t>
  </si>
  <si>
    <t>10021</t>
  </si>
  <si>
    <t>Дюкер через балку "Курдюмівка" в 4 нитки</t>
  </si>
  <si>
    <t>Костянтинівський р-н, 
с. Іванопілля</t>
  </si>
  <si>
    <t>Дюкер через балку "Первомайська" в 4 нитки</t>
  </si>
  <si>
    <t>Зливопровід під каналом на ПК245+00</t>
  </si>
  <si>
    <t>Зливопровід під каналом на ПК251+20</t>
  </si>
  <si>
    <t>Міст через канал на ПК322+50</t>
  </si>
  <si>
    <t>Перегороджуюча споруда №1</t>
  </si>
  <si>
    <t>Зливопровід під каналом на ПК276+78</t>
  </si>
  <si>
    <t>Зливопровід під каналом на ПК298+75</t>
  </si>
  <si>
    <t>Зливопровід під каналом на ПК311+00</t>
  </si>
  <si>
    <t>Зливопровід під каналом на ПК326+85</t>
  </si>
  <si>
    <t>Зливопровід під каналом на ПК345+73</t>
  </si>
  <si>
    <t>Перегороджуюча споруда № 2</t>
  </si>
  <si>
    <t>Зливопровід під каналом на ПК367+61</t>
  </si>
  <si>
    <t>Канал СДД від ПК696+00 до ПК820+60 у т.ч.: напірні трубопроводи 3-го підйому каналу 2 нитки</t>
  </si>
  <si>
    <t>Інспекторська автодорога вздовж каналу</t>
  </si>
  <si>
    <t>Будівля НС 3-го підйому каналу СДД</t>
  </si>
  <si>
    <t>Будівля насосної станції Майорська</t>
  </si>
  <si>
    <t>Напірні трубопроводи НС "Майорська" Ø1400 мм</t>
  </si>
  <si>
    <t>Будівля насосної станції № 3А</t>
  </si>
  <si>
    <t>Напірний трубопровід НС 3А</t>
  </si>
  <si>
    <t>0.20182</t>
  </si>
  <si>
    <t>6,18/</t>
  </si>
  <si>
    <t>Напірний трубопровід НС 3А Ø1400 мм</t>
  </si>
  <si>
    <t>Будівля мехмайстерні НС 3-го підйому</t>
  </si>
  <si>
    <t>Приміщення для аварійних бригад ПК-762</t>
  </si>
  <si>
    <t>Сміттєутримуюча споруда каналу</t>
  </si>
  <si>
    <t>Відсічна споруда № 1 на напірному трубопроводі</t>
  </si>
  <si>
    <t>Приймальний басейн закритої ділянки</t>
  </si>
  <si>
    <t>Відсічна споруда № 2 на напірному трубопроводі</t>
  </si>
  <si>
    <t>Будівля гаражних боксів</t>
  </si>
  <si>
    <t>10082</t>
  </si>
  <si>
    <t>Будівля охорони</t>
  </si>
  <si>
    <t xml:space="preserve"> Харківська обл., 
Ізюмський р-н, с. Оскіл</t>
  </si>
  <si>
    <t>ГЕС Червоний Оскіл</t>
  </si>
  <si>
    <t>Повітряна ЛЕП-35 кВ</t>
  </si>
  <si>
    <t>Повітряна ЛЕП-6 кВ</t>
  </si>
  <si>
    <t>Гідpозахист с. Лозова Дрена N1</t>
  </si>
  <si>
    <t>Гідрозахист с. Лозова  Дрена N3</t>
  </si>
  <si>
    <t>Гідрозахист с. Лозова  Дрена N4</t>
  </si>
  <si>
    <t>Гідрозахист с. Лозова  Дрена N7</t>
  </si>
  <si>
    <t>Кабельна лінія зв'язку від НС 2-го підйому до Червонооскільського гідровузла</t>
  </si>
  <si>
    <t>Освітлювальна мережа Червоного Осколу 380/220В</t>
  </si>
  <si>
    <r>
      <rPr>
        <sz val="10"/>
        <color rgb="FF000000"/>
        <rFont val="Times New Roman"/>
        <family val="1"/>
        <charset val="204"/>
      </rPr>
      <t>Пішохідні мостики</t>
    </r>
    <r>
      <rPr>
        <sz val="10"/>
        <color rgb="FFFF0000"/>
        <rFont val="Times New Roman"/>
        <family val="1"/>
        <charset val="204"/>
      </rPr>
      <t xml:space="preserve"> </t>
    </r>
  </si>
  <si>
    <t>Пункт для заправника</t>
  </si>
  <si>
    <t>Аванкамера НС 1-го підйому каналу</t>
  </si>
  <si>
    <t>Безоплатний капремонт будівлі 1-го підйому каналу СДД (до інв. № 10095)</t>
  </si>
  <si>
    <t xml:space="preserve">996573   </t>
  </si>
  <si>
    <t>Безкоштовний капремонт будівлі НС 1А 1-го підйому каналу СДД (до інв. № 1350)</t>
  </si>
  <si>
    <t xml:space="preserve">996591   </t>
  </si>
  <si>
    <t>Благоустрій будівель та споруд 1-го підйому</t>
  </si>
  <si>
    <t>Підвідний канал НС 1А</t>
  </si>
  <si>
    <t>Резервуари для зберігання масла НС 1А</t>
  </si>
  <si>
    <t>Благоустрій території НС 1-го підйому каналу</t>
  </si>
  <si>
    <t>Підвідний канал НС 2А каналу</t>
  </si>
  <si>
    <t>Приймальний басейн НС 2-го підйому</t>
  </si>
  <si>
    <t>Резервуар для зберігання масла 2А підйому</t>
  </si>
  <si>
    <t>ЛЕП-10 кВ вздовж каналу N 2</t>
  </si>
  <si>
    <t>Відпайка ЛЕП-110 кВ</t>
  </si>
  <si>
    <t>Відпайка від ЛЕП-35кВ на ПК-761</t>
  </si>
  <si>
    <t>Благойстрій теpиторії Райгоpодського гідpовузла</t>
  </si>
  <si>
    <t>Освітлювальна мережа Райгородського гідровузла</t>
  </si>
  <si>
    <t>Стаціонарний підйомний механізм N 1 Райгородського гідровузла</t>
  </si>
  <si>
    <t>Стаціонарний підйомний механізм N 2 Райгородського гідровузла</t>
  </si>
  <si>
    <t>Стаціонарний підйомний механізм N 3 Райгородського гідровузла</t>
  </si>
  <si>
    <t>Стаціонарний підйомний механізм N 4 Райгородського гідровузла</t>
  </si>
  <si>
    <t>Стаціонарний під'ємний механізм N 5 Райгородського гідровузла</t>
  </si>
  <si>
    <t>Стаціонарний під'ємний механізм N 6 Райгородського гідровузла</t>
  </si>
  <si>
    <t>Благоустрій території матеріального складу</t>
  </si>
  <si>
    <t>ЛЕП 10 кВ НС 2А</t>
  </si>
  <si>
    <t>0.169</t>
  </si>
  <si>
    <t>ЛЕП 10кВ для дюкера через балку Сорище</t>
  </si>
  <si>
    <t>ЛЕП 10 кВ НС 2А кордон міст на трасі Харків-Ростов</t>
  </si>
  <si>
    <t>ЛЕП 110 кВ Слов'янська ГРЕС-1А підйому</t>
  </si>
  <si>
    <t>0.127</t>
  </si>
  <si>
    <t>ЛЕП 110 кВ Слов'янська ГРЕС-2А підйому каналу</t>
  </si>
  <si>
    <t>Металоконструкція електродної системи</t>
  </si>
  <si>
    <t xml:space="preserve">Відвідний канал дюкера </t>
  </si>
  <si>
    <t xml:space="preserve">Відвідний канал дюкера через балку Сорище </t>
  </si>
  <si>
    <t>Відвідний канал НС 1А каналу СДД</t>
  </si>
  <si>
    <t xml:space="preserve">Відвідний канал НС 2А підйому </t>
  </si>
  <si>
    <t xml:space="preserve">Підвідний канал дюкера </t>
  </si>
  <si>
    <t xml:space="preserve">Підвідний канал дюкера через балку Сорище </t>
  </si>
  <si>
    <t>Приймальний басейн НС 1-го підйому</t>
  </si>
  <si>
    <t>Эстакада</t>
  </si>
  <si>
    <t>Бахмутський р-н, 
м. Часів Яр</t>
  </si>
  <si>
    <t>Облаштування водовідвідних канав від ПК457 до ПК469</t>
  </si>
  <si>
    <t>ЛЕП 10 кВ вздовж каналу СДД</t>
  </si>
  <si>
    <t>ЛЕП 10 кВ вздовж каналу СДД2</t>
  </si>
  <si>
    <t>Магістральна телефонна лінія вздовж каналу</t>
  </si>
  <si>
    <t>Магістральний канал СДД модернізація
 до інв. № 20311 по 424</t>
  </si>
  <si>
    <t xml:space="preserve">7006567  </t>
  </si>
  <si>
    <t xml:space="preserve">7006568  </t>
  </si>
  <si>
    <t>Магістральний канал СДД модернізація
 до інв. № 20311 по 69</t>
  </si>
  <si>
    <t xml:space="preserve">7006569  </t>
  </si>
  <si>
    <t xml:space="preserve">Пересувний вагон </t>
  </si>
  <si>
    <t>Вузол обліку води дюкер Курдюмівка</t>
  </si>
  <si>
    <t>Вузол обліку технічної води дюкер Кринички</t>
  </si>
  <si>
    <t>Вузол обліку технічної води до Вуглегірської</t>
  </si>
  <si>
    <t>Слов'янський р-н,
с. Юрківка</t>
  </si>
  <si>
    <t>Житловий будинок</t>
  </si>
  <si>
    <t>Житловий будинок ПС № 1</t>
  </si>
  <si>
    <t>Костянтинівський р-н, 
с. Новомарково</t>
  </si>
  <si>
    <t>Житловий будинок ПС № 2</t>
  </si>
  <si>
    <t>Торецький р-н,
с. Курдюмівка</t>
  </si>
  <si>
    <t>Житловий будинок ПС Курдюмівка</t>
  </si>
  <si>
    <t>Бахмутський р-н, 
с. Калинівка</t>
  </si>
  <si>
    <t>Житловий будинок ПС Середні Ступки</t>
  </si>
  <si>
    <t>10129</t>
  </si>
  <si>
    <t>Костянтинівський р-н, 
с. Предтечине</t>
  </si>
  <si>
    <t>Житловий будинок ПС Кринички</t>
  </si>
  <si>
    <t xml:space="preserve">Слов'янський р-н,
с. Оріхуватка </t>
  </si>
  <si>
    <t>Житловий будинок 1 б. Сорище</t>
  </si>
  <si>
    <t>Бахмутський р-н,
смт Майорськ</t>
  </si>
  <si>
    <t>84692,
вул. Сонячна, 15</t>
  </si>
  <si>
    <t>Житловий будинок Сонячна, 15</t>
  </si>
  <si>
    <t>Пристрій швидкотоку</t>
  </si>
  <si>
    <t>Укриття газозварювальних робіт</t>
  </si>
  <si>
    <t>Планування н/ст. 3-го підйому</t>
  </si>
  <si>
    <t>Пост зберігання пропану</t>
  </si>
  <si>
    <t>Селидівське ВУВКГ КП «Компанія «Вода Донбасу»</t>
  </si>
  <si>
    <t>Покровський р-н,
с. Михайлівка</t>
  </si>
  <si>
    <t>85380, 
вул. Шкільна</t>
  </si>
  <si>
    <t xml:space="preserve">Водопровідна мережа    </t>
  </si>
  <si>
    <t>від ВНС до котельної Західної</t>
  </si>
  <si>
    <t xml:space="preserve">Водопровідна мережа       </t>
  </si>
  <si>
    <t>85400, 
вул. Маяковського</t>
  </si>
  <si>
    <t>Регулятор тиску. Водопровідна мережа</t>
  </si>
  <si>
    <t xml:space="preserve">85400, 
вул. Гоголя- парк "Ювілейний" </t>
  </si>
  <si>
    <t>85400, 
від В 1 до ТП № 8</t>
  </si>
  <si>
    <t xml:space="preserve">Водопровідна мережа </t>
  </si>
  <si>
    <t>85400, 
від КК1 до ТП № 8</t>
  </si>
  <si>
    <t>Каналізаційна мережа. Зовнішня каналізація</t>
  </si>
  <si>
    <t>85400,
вул.Кутузова, вул. Маяковського</t>
  </si>
  <si>
    <t xml:space="preserve">Водопровідна мережа. Кутузовський водогін </t>
  </si>
  <si>
    <t>85400, 
мкрн. "Сонячний"</t>
  </si>
  <si>
    <t>Водопровідна мережа. Внутрішньоквартальна мережа</t>
  </si>
  <si>
    <t>85400, 
мкрн. "Південний"</t>
  </si>
  <si>
    <t xml:space="preserve">Водопровідна мережа. Внутрішньоквартальна мережа  </t>
  </si>
  <si>
    <t>85400, 
вул. Чайковського, 4А</t>
  </si>
  <si>
    <t>85400, 
вул. Черняховського, 69</t>
  </si>
  <si>
    <t>м. Селидове,
м. Гірник</t>
  </si>
  <si>
    <t xml:space="preserve">85487,
Котельня № 23  </t>
  </si>
  <si>
    <t>Водопровідна мережа</t>
  </si>
  <si>
    <t>85400, 
вул. Нагорна, 17А</t>
  </si>
  <si>
    <t>85400,
 вул. Нагорна, 17А</t>
  </si>
  <si>
    <t xml:space="preserve">Каналізаційна мережа. Зовнішня каналізація </t>
  </si>
  <si>
    <t>85400,
 вул. Перемоги, 77А</t>
  </si>
  <si>
    <t>85400, 
вул. Перемоги, 77А</t>
  </si>
  <si>
    <t>85400,
вул. Гоголя, 33- вул. Пушкіна</t>
  </si>
  <si>
    <t xml:space="preserve">85487
вул. Володимирська, 2 </t>
  </si>
  <si>
    <t>м. Селидове,
м. Українськ</t>
  </si>
  <si>
    <t>85485,
вул. Хмельницького, 21</t>
  </si>
  <si>
    <t xml:space="preserve">Пожежний гідрант 1,25 вул. Октябрська, 21            </t>
  </si>
  <si>
    <t>85485,
вул. Купрієнка, 27</t>
  </si>
  <si>
    <t xml:space="preserve">Пожежний гідрант 1,25 вул. Чапаєва, 27                </t>
  </si>
  <si>
    <t>85485,
 вул. Рєпіна, 5</t>
  </si>
  <si>
    <t xml:space="preserve">Пожежний гідрант 1,25 вул. Рєпіна, 5                  </t>
  </si>
  <si>
    <t>85487,
вул. Електровозна, 1</t>
  </si>
  <si>
    <t>85400,
 вул. Сонячна, 5- вул. Нагорна, 7</t>
  </si>
  <si>
    <t>85400,
вул. Центральна, 214 - вул. Смірнова</t>
  </si>
  <si>
    <t>85400,
вул. Шевченка, 190 - вул. Смірнова</t>
  </si>
  <si>
    <t>85485,
 вул. З.Космодем'янської, 11</t>
  </si>
  <si>
    <t>85485, 
вул. Б.Хмельницького, 25</t>
  </si>
  <si>
    <t>Пожежний гідрант 1,25 вул. Октябрська, 25</t>
  </si>
  <si>
    <t>85487,
пров. Абрикосовий, 2</t>
  </si>
  <si>
    <t>85400, 
вул. Новосельська</t>
  </si>
  <si>
    <t>85400,
вул. З.Космодем'янської</t>
  </si>
  <si>
    <t>85400,
вул. Дубініна</t>
  </si>
  <si>
    <t>85400,
вул. Матросова</t>
  </si>
  <si>
    <t xml:space="preserve">85487,
від ВНС до шахти "Курахівська </t>
  </si>
  <si>
    <t xml:space="preserve">Горняцький водогін № 3. Мережа водопровідна </t>
  </si>
  <si>
    <t>85487,
вул. Володимирська</t>
  </si>
  <si>
    <t>Мережа водопровідна</t>
  </si>
  <si>
    <t>85485,
вул. Гоголя</t>
  </si>
  <si>
    <t>85485,
вул. Чайкіної</t>
  </si>
  <si>
    <t>85485,
пров. Шкільний</t>
  </si>
  <si>
    <t>м. Селидове, 
смт Курахівка</t>
  </si>
  <si>
    <t>85490, 
вул. Островського</t>
  </si>
  <si>
    <t>85490,
вул. Калініна, вул. Зелена</t>
  </si>
  <si>
    <t>85400, 
вул. Дубініна, траса Київ-Луганськ-Ізварино</t>
  </si>
  <si>
    <t>Каналізаційна мережа. Напірний колектор</t>
  </si>
  <si>
    <t>85485, 
вул. Октябрська, 2А</t>
  </si>
  <si>
    <t>Каналізаційна мережа. Напірний колектор № 1</t>
  </si>
  <si>
    <t>85485,
вул. Горького, 50, вул. Чкалова, 1А</t>
  </si>
  <si>
    <t xml:space="preserve">Каналізаційна мережа. Напірний колектор № 4 </t>
  </si>
  <si>
    <t>85485,
вул.Чкалова, 1А</t>
  </si>
  <si>
    <t xml:space="preserve">Каналізаційна мережа. Напірний колектор № 2 </t>
  </si>
  <si>
    <t>85487,
вул. Островського, 40</t>
  </si>
  <si>
    <t>85487,
вул. Горького, 1</t>
  </si>
  <si>
    <t>85485, 
вул. Енгельса</t>
  </si>
  <si>
    <t>85485,
вул. Чкалова</t>
  </si>
  <si>
    <t>85487,
вул. Мічуріна, 25</t>
  </si>
  <si>
    <t>85485,
вул. Першотравнева</t>
  </si>
  <si>
    <t>85487,
вул. Молодіжна, 4</t>
  </si>
  <si>
    <t>85400,
вул. Гоголя, 22</t>
  </si>
  <si>
    <t>85487,
вул. Папаніна (бюро похоронних послуг)</t>
  </si>
  <si>
    <t>85487,
провулок Широкий, 6</t>
  </si>
  <si>
    <t>85487,
вул. Свободи, 23</t>
  </si>
  <si>
    <t>85487,
пров. Стадіонний, 25</t>
  </si>
  <si>
    <t>85487, 
вул. Центральна, 101</t>
  </si>
  <si>
    <t>85487,
пров. Прокоф`єва, 32</t>
  </si>
  <si>
    <t>85400,
вул. 8-го Вересня, 34</t>
  </si>
  <si>
    <t>85400,  
вул. Перемоги, 70</t>
  </si>
  <si>
    <t xml:space="preserve">85400, 
вул. Гоголя, 34 </t>
  </si>
  <si>
    <t>85400, 
вул. Залізнодорожна, 9</t>
  </si>
  <si>
    <t>85487, 
вул. Свободи, 31</t>
  </si>
  <si>
    <t>85380, 
с.  Михайлівка</t>
  </si>
  <si>
    <t xml:space="preserve">85487,
пров. Прокоф`єва, 36 </t>
  </si>
  <si>
    <t>85490,
 пров. Базарний</t>
  </si>
  <si>
    <t>85490, 
вул. Лазаревих</t>
  </si>
  <si>
    <t>85490,
 вул. Осипенка</t>
  </si>
  <si>
    <t>м. Селидове,
смт Гостре</t>
  </si>
  <si>
    <t>85493, 
вул. Степна</t>
  </si>
  <si>
    <t>85493,
 вул. Чернишевського</t>
  </si>
  <si>
    <t>85493,
вул. Панфілова</t>
  </si>
  <si>
    <t>85493,
вул. Прокоф`єва</t>
  </si>
  <si>
    <t>85493,
вул. Правди</t>
  </si>
  <si>
    <t>85490,
вул. Тимірязєва</t>
  </si>
  <si>
    <t xml:space="preserve">85490, 
вул. Миру  </t>
  </si>
  <si>
    <t>від Центрального водогону до шахти № 10</t>
  </si>
  <si>
    <t>85487, 
 вул. Прокоф'єва, 32</t>
  </si>
  <si>
    <t>Водогін № 2. Мережа водопровідна</t>
  </si>
  <si>
    <t>85487, 
пров. Світлий</t>
  </si>
  <si>
    <t xml:space="preserve">85487,
вул. Садова </t>
  </si>
  <si>
    <t>85490,
вул. Правди</t>
  </si>
  <si>
    <t>м. Селидове,
смт Курахівка</t>
  </si>
  <si>
    <t>85490,
вул. Молодіжна, 43</t>
  </si>
  <si>
    <t>85490, 
вул. Молодіжна, 37</t>
  </si>
  <si>
    <t>м. Селидове,
 с. Гостре</t>
  </si>
  <si>
    <t>8549,
вул. Панфілова, 7</t>
  </si>
  <si>
    <t>85487,
пров. Клубний</t>
  </si>
  <si>
    <t>85487,
вул. Вишнева</t>
  </si>
  <si>
    <t>85487,
 вул. Тимірязєва</t>
  </si>
  <si>
    <t xml:space="preserve">85487,
вул. Глінки </t>
  </si>
  <si>
    <t xml:space="preserve">85487, 
вул. Нова </t>
  </si>
  <si>
    <t>85487,
вул. І.Франка</t>
  </si>
  <si>
    <t>85487, 
пров. Калиновий</t>
  </si>
  <si>
    <t>85487,
вул. Тургенєва</t>
  </si>
  <si>
    <t>85487,
вул. Комарова</t>
  </si>
  <si>
    <t xml:space="preserve">85487,
вул. Квіткова </t>
  </si>
  <si>
    <t>85487,
вул. Папаніна</t>
  </si>
  <si>
    <t>85487,
пров. Московський</t>
  </si>
  <si>
    <t>85487,
вул. Рєпіна</t>
  </si>
  <si>
    <t>85487,
пров. Покровський</t>
  </si>
  <si>
    <t>85487,
вул. Мічуріна</t>
  </si>
  <si>
    <t>85487,
вул. З.Космодем`янської</t>
  </si>
  <si>
    <t>85487,
вул. Тиха</t>
  </si>
  <si>
    <t>85487,
вул. Маяковського</t>
  </si>
  <si>
    <t xml:space="preserve">85487,
вул. Потьомкіна </t>
  </si>
  <si>
    <t>85487, 
вул. Териконна</t>
  </si>
  <si>
    <t>85487,
вул. О.Кошового</t>
  </si>
  <si>
    <t>85487,
вул. Лазурна</t>
  </si>
  <si>
    <t>85487, 
вул. Середня</t>
  </si>
  <si>
    <t>85487,
пров. Стадіонний</t>
  </si>
  <si>
    <t>м. Гірник</t>
  </si>
  <si>
    <t>м. Селидове,  
смт Цукурине</t>
  </si>
  <si>
    <t>85486,
вул. Челюскіна</t>
  </si>
  <si>
    <t>м. Українськ,  
смт Цукурине</t>
  </si>
  <si>
    <t>85486,
вул. Пархоменка</t>
  </si>
  <si>
    <t>м. Українськ,  
 смт Цукурине</t>
  </si>
  <si>
    <t>85486,
вул. Зелена</t>
  </si>
  <si>
    <t>м. Українськ,
 смт Цукурине</t>
  </si>
  <si>
    <t>85486,
вул. Шкільна</t>
  </si>
  <si>
    <t>м. Українськ, 
смт Цукурине</t>
  </si>
  <si>
    <t>85486,
вул. Садова</t>
  </si>
  <si>
    <t>85487,
пров. Мостовий</t>
  </si>
  <si>
    <t xml:space="preserve">Мережа водопровідна </t>
  </si>
  <si>
    <t>85487,
вул. Свободи, 70</t>
  </si>
  <si>
    <t>85487,ю
вул. Лермонтова, 17</t>
  </si>
  <si>
    <t>85485, 
вул. Б.Хмельницького, 15</t>
  </si>
  <si>
    <t xml:space="preserve">Пожежний гідрант </t>
  </si>
  <si>
    <t>85485,
вул. Б.Хмельницького, 27</t>
  </si>
  <si>
    <t>85485,
вул. Б.Хмельницького, 39</t>
  </si>
  <si>
    <t>85485,
вул. Б.Хмельницького, 47</t>
  </si>
  <si>
    <t>85485,
вул. Б.Хмельницького, 5</t>
  </si>
  <si>
    <t>85400, 
вул. Сонячна, 13</t>
  </si>
  <si>
    <t xml:space="preserve">85400,
вул. Гоголя, 34 </t>
  </si>
  <si>
    <t>85400,
вул. Центральна, 225- вул. Некрасова</t>
  </si>
  <si>
    <t>85400,
вул. Вокзальна</t>
  </si>
  <si>
    <t>85485,
вул. Першотравнева, 62</t>
  </si>
  <si>
    <t xml:space="preserve">Гідрант вул. Первомайська, 62 </t>
  </si>
  <si>
    <t>85485,
вул. Енгельса, 58</t>
  </si>
  <si>
    <t>Гідрант вул. Енгельса, 58</t>
  </si>
  <si>
    <t>85487,
вул. Шевченка, 84</t>
  </si>
  <si>
    <t>85487,
пров. Широкий, 22</t>
  </si>
  <si>
    <t>85487,
вул. Енгельса, д/с "Космос"</t>
  </si>
  <si>
    <t xml:space="preserve">Гідрант вул. Енгельса, дитячий садок "Космос"       </t>
  </si>
  <si>
    <t>85487,
вул. Свободи, 27</t>
  </si>
  <si>
    <t>85400,
вул. Берегова, 121</t>
  </si>
  <si>
    <t>85400,
вул. Гоголя, 23</t>
  </si>
  <si>
    <t>85485,
вул. К.Маркса, 26</t>
  </si>
  <si>
    <t>Гідрант вул. К.Маркса, 26</t>
  </si>
  <si>
    <t>85485,
м. Українськ</t>
  </si>
  <si>
    <t xml:space="preserve">Пожежний гідрант  </t>
  </si>
  <si>
    <t>85485,
вул. Чкалова, 29</t>
  </si>
  <si>
    <t xml:space="preserve">Гідрант вул. Чкалова, 29 </t>
  </si>
  <si>
    <t>85485,
вул. К.Маркса, 14</t>
  </si>
  <si>
    <t xml:space="preserve">Гідрант вул. К.Маркса, 14 </t>
  </si>
  <si>
    <t>85485,
вул. Горького</t>
  </si>
  <si>
    <t>Гідрант вул. Горького, 39</t>
  </si>
  <si>
    <t>85487,
вул. Пушкіна, 32</t>
  </si>
  <si>
    <t>85487,
вул. Горького, 15</t>
  </si>
  <si>
    <t>85400,
вул. Вокзальна- АБЗ</t>
  </si>
  <si>
    <t>85380,
вул. Шкільна</t>
  </si>
  <si>
    <t>85380,
вул. Степова</t>
  </si>
  <si>
    <t>85485,
вул. Енгельса, 1</t>
  </si>
  <si>
    <t>85485,
вул. Купрієнка, 17</t>
  </si>
  <si>
    <t>85485,
вул. Миру, 33</t>
  </si>
  <si>
    <t>85400,
вул. Берегова- вул. Толбухіна</t>
  </si>
  <si>
    <t>85485,
вул. Пирогова, 27</t>
  </si>
  <si>
    <t>Гідрант вул. Пирогова, 27</t>
  </si>
  <si>
    <t>м. Селидове,   
смт Курахівка</t>
  </si>
  <si>
    <t>85490,
вул. Лазо, 34</t>
  </si>
  <si>
    <t>85400,
вул. Нагорна, 17</t>
  </si>
  <si>
    <t>85487,
вул. Пушкіна, 8</t>
  </si>
  <si>
    <t>85485,
вул. Бігми, 11</t>
  </si>
  <si>
    <t>Гідрант вул. Комсомольська, 11</t>
  </si>
  <si>
    <t>85485,
вул. З.Космодем'янської, 17</t>
  </si>
  <si>
    <t xml:space="preserve">Гідрант вул. З.Космодем'янської, 17 </t>
  </si>
  <si>
    <t>85487,
вул. Островського, 46</t>
  </si>
  <si>
    <t>85487, 
вул. Шевченка, 78</t>
  </si>
  <si>
    <t>85485,
вул. Ватутіна, 7</t>
  </si>
  <si>
    <t>85485,
вул. Бігми, 17</t>
  </si>
  <si>
    <t>85485,
вул. Ватутіна, 21</t>
  </si>
  <si>
    <t>85487,
пров. Абрикосовий, 46</t>
  </si>
  <si>
    <t>85485,
вул. Тимірязєва, 3</t>
  </si>
  <si>
    <t>85485,
вул. Ватутіна, 9</t>
  </si>
  <si>
    <t>85485,
вул. Тимірязєва, 7</t>
  </si>
  <si>
    <t>85487,
вул. Свободи, 52</t>
  </si>
  <si>
    <t>85485,
вул. Т. Шевченка, 17</t>
  </si>
  <si>
    <t>85485,
вул. Т. Шевченка, 33</t>
  </si>
  <si>
    <t>85487,
вул. Т. Шевченка, 46</t>
  </si>
  <si>
    <t>Покровський р-н,
с. Лисівка</t>
  </si>
  <si>
    <t>85620,
вул. Лісова</t>
  </si>
  <si>
    <t>85485,
пров. Базарний</t>
  </si>
  <si>
    <t>85485,
пров. Шахтний</t>
  </si>
  <si>
    <t>85485,
вул. Чекаліна</t>
  </si>
  <si>
    <t>85485,
вул. Пирогова</t>
  </si>
  <si>
    <t>85485,
вул. Попова</t>
  </si>
  <si>
    <t>85485,
вул. Матросова</t>
  </si>
  <si>
    <t>85485,
вул. Пушкіна</t>
  </si>
  <si>
    <t>м. Українськ,  
с. Лисівка</t>
  </si>
  <si>
    <t>85620,
пров. Лісний</t>
  </si>
  <si>
    <t>85485,
вул. Лівнева</t>
  </si>
  <si>
    <t>85485,
вул. Залізнична</t>
  </si>
  <si>
    <t>85400,
вул. Мічуріна</t>
  </si>
  <si>
    <t>85400,
вул. Некрасова</t>
  </si>
  <si>
    <t>85400,
вул. Шкільна</t>
  </si>
  <si>
    <t xml:space="preserve">85400,
вул. Молодіжна  </t>
  </si>
  <si>
    <t>85400,
вул. Польова</t>
  </si>
  <si>
    <t>85400,
вул. Первомайська</t>
  </si>
  <si>
    <t>85400,
вул. Садова</t>
  </si>
  <si>
    <t>85400,
вул. Громової</t>
  </si>
  <si>
    <t xml:space="preserve">85400,
б-р Шахтарської Слави </t>
  </si>
  <si>
    <t>85400,
вул. Шевцової</t>
  </si>
  <si>
    <t>85400,
вул. Кузнєцова</t>
  </si>
  <si>
    <t>85400,
вул. Тіниста</t>
  </si>
  <si>
    <t>85400,
вул. Свободи</t>
  </si>
  <si>
    <t>85400,
вул. Лугова</t>
  </si>
  <si>
    <t>85400,
вул. Заводська</t>
  </si>
  <si>
    <t>85400,
вул. Кар'єрна</t>
  </si>
  <si>
    <t>85400,
вул. Желанна</t>
  </si>
  <si>
    <t>85400, 
вул. Тітова</t>
  </si>
  <si>
    <t>85400,
вул. Тургенєва</t>
  </si>
  <si>
    <t>85400,
 вул. Солона, 55</t>
  </si>
  <si>
    <t>85400,
вул. Західна</t>
  </si>
  <si>
    <t>85400,
вул. Квіткова</t>
  </si>
  <si>
    <t>85400,
вул. Толбухіна</t>
  </si>
  <si>
    <t>85400,
вул. Дачна</t>
  </si>
  <si>
    <t>85400,
вул. Миру</t>
  </si>
  <si>
    <t>85400,
вул. Дубініна, 12</t>
  </si>
  <si>
    <t>м. Селидове, 
смт Вишневе</t>
  </si>
  <si>
    <t>85400, 
вул. Південна</t>
  </si>
  <si>
    <t>85400,
вул. Світла</t>
  </si>
  <si>
    <t>85400,
вул. Калинова</t>
  </si>
  <si>
    <t>85400,
вул. Вишнева</t>
  </si>
  <si>
    <t>85400,
вул. Зелена, 85400</t>
  </si>
  <si>
    <t>85400,
вул. Ломоносова</t>
  </si>
  <si>
    <t>85400,
вул. Залізнична</t>
  </si>
  <si>
    <t>85485,
вул. Бігми, 15</t>
  </si>
  <si>
    <t>м. Селидове, 
м. Українськ</t>
  </si>
  <si>
    <t>85485,
вул. Енгельса, 15</t>
  </si>
  <si>
    <t>85400,
вул. Щорса, 9</t>
  </si>
  <si>
    <t>85485,
вул. Чкалова, 1</t>
  </si>
  <si>
    <t>85400,
вул. Нагорна, 20</t>
  </si>
  <si>
    <t>м. Селидове, 
м. Гірник</t>
  </si>
  <si>
    <t>85487,
вул. Залізнична, 43, газон</t>
  </si>
  <si>
    <t>85400,
вул. Мостова, 27 (склад)</t>
  </si>
  <si>
    <t>85490,
вул. Мічуріна, 52</t>
  </si>
  <si>
    <t>85400,
вул. Щорса</t>
  </si>
  <si>
    <t xml:space="preserve">Каналізаційна мережа </t>
  </si>
  <si>
    <t>85400,
вул. Нагорна</t>
  </si>
  <si>
    <t>85400,
вул. Кутузова</t>
  </si>
  <si>
    <t>85400,
вул. Московська</t>
  </si>
  <si>
    <t>85400,
вул. Чайковського</t>
  </si>
  <si>
    <t>85400,
вул. Чернишевського</t>
  </si>
  <si>
    <t>85400,
вул. Мостова</t>
  </si>
  <si>
    <t>85400,
вул. Перемоги</t>
  </si>
  <si>
    <t>85400,
вул. К.Маркса</t>
  </si>
  <si>
    <t>85400,
вул. Гоголя</t>
  </si>
  <si>
    <t>85400,
вул. Черняховського</t>
  </si>
  <si>
    <t>85400,
вул. Козацька</t>
  </si>
  <si>
    <t>85400,
мкрн. "Південний"</t>
  </si>
  <si>
    <t>85400,
Квартал 11</t>
  </si>
  <si>
    <t>85400,
вул. Черняховського, вул. Казацька</t>
  </si>
  <si>
    <t>85487,
вул. Ватутіна</t>
  </si>
  <si>
    <t>Мережа каналізаційна</t>
  </si>
  <si>
    <t>85487,
вул. Шахтарської Слави</t>
  </si>
  <si>
    <t xml:space="preserve">Мережа каналізаційна </t>
  </si>
  <si>
    <t>85487,
вул. Свободи</t>
  </si>
  <si>
    <t>85487,
вул. Шевченка</t>
  </si>
  <si>
    <t>85487,
вул. Пушкіна</t>
  </si>
  <si>
    <t xml:space="preserve">85487,
квартал "Східний" </t>
  </si>
  <si>
    <t>85487,
мкрн. "Центральний"</t>
  </si>
  <si>
    <t>85487,
квартал № 70</t>
  </si>
  <si>
    <t>85485,
вул. Шевченка</t>
  </si>
  <si>
    <t>85485,
вул. Миру</t>
  </si>
  <si>
    <t>85485,
вул. З.Космодем'янської</t>
  </si>
  <si>
    <t>85485,
вул. Б.Хмельницького</t>
  </si>
  <si>
    <t>85485, 
вул. Горького</t>
  </si>
  <si>
    <t>85400,
вул. Карбишева, 59</t>
  </si>
  <si>
    <t>85485,
вул. Бігми</t>
  </si>
  <si>
    <t>85485,
вул. Енгельса</t>
  </si>
  <si>
    <t xml:space="preserve">85400,
від вул. Толбухіна до вул. Центральна </t>
  </si>
  <si>
    <t>85400,
вул. К.Маркса, 5</t>
  </si>
  <si>
    <t>85400,
вул. Берегова, 140 ("Троянда")</t>
  </si>
  <si>
    <t>85400,
вул. Берегова, 205- вул. Фрунзе</t>
  </si>
  <si>
    <t>85400,
вул. Чернишевського, 1</t>
  </si>
  <si>
    <t>85400,
вул. Чернишевського, 22</t>
  </si>
  <si>
    <t>85400,
вул. Чернишевського, 10</t>
  </si>
  <si>
    <t>85400,
вул. Пушкіна, 7</t>
  </si>
  <si>
    <t>85400,
вул. Пушкіна, 6 (музична школа)</t>
  </si>
  <si>
    <t>85400,
вул. Глінки, 1</t>
  </si>
  <si>
    <t>85400,
вул. Черняховського, 69</t>
  </si>
  <si>
    <t>85400,
вул. Гоголя, 26</t>
  </si>
  <si>
    <t>85400,
вул. Гоголя, 24</t>
  </si>
  <si>
    <t>Пожежний гідрант 
(ПТУ, вул. Чернишевського, 9)</t>
  </si>
  <si>
    <t>85400,
вул. Гоголя, 2</t>
  </si>
  <si>
    <t>85400,
вул. Маяковського, 37</t>
  </si>
  <si>
    <t>85400,
вул. Маяковського, 27А</t>
  </si>
  <si>
    <t>85400,
вул. Маяковського, 17</t>
  </si>
  <si>
    <t>85400,
вул. К.Маркса, 9</t>
  </si>
  <si>
    <t>85400,
вул. К.Маркса, 11-15</t>
  </si>
  <si>
    <t>85400, 
вул. К.Маркса, 25</t>
  </si>
  <si>
    <t>85400,
вул. Перемоги, 40</t>
  </si>
  <si>
    <t xml:space="preserve">85400,
вул. Перемоги, 69 </t>
  </si>
  <si>
    <t>85400,
вул. Сонячна, 2</t>
  </si>
  <si>
    <t>85400,
вул. Сонячна, д/с "Роднічок"</t>
  </si>
  <si>
    <t>85400,
вул. Фрунзе, 49 - вул. Ткаченка</t>
  </si>
  <si>
    <t>85400,
 вул. Черняховського, 68</t>
  </si>
  <si>
    <t>траса Київ-Луганськ-Ізварине</t>
  </si>
  <si>
    <t>Об`єднані очисні споруди водопровідні мережі</t>
  </si>
  <si>
    <t>85400,
вул. Московська, 2</t>
  </si>
  <si>
    <t>85485,
вул.Миру, 11</t>
  </si>
  <si>
    <t>Пожежний гідрант 1,25</t>
  </si>
  <si>
    <t>85400,
вул. Маяковського, 41</t>
  </si>
  <si>
    <t xml:space="preserve">85400,
вул. Маяковського, 39Б </t>
  </si>
  <si>
    <t>85400, 
вул. Солона, 112 - КНС 2</t>
  </si>
  <si>
    <t>85487, 
пров. Жуковського, 32</t>
  </si>
  <si>
    <t>85400, 
вул. Гоголя, 2А</t>
  </si>
  <si>
    <t>85400,
вул. Солона</t>
  </si>
  <si>
    <t>85400,
вул. Солона, 66</t>
  </si>
  <si>
    <t>85400,
вул. Солона, 10</t>
  </si>
  <si>
    <t>85400,
вул. Східна, 31</t>
  </si>
  <si>
    <t>85400,
вул. Східна, 23</t>
  </si>
  <si>
    <t>85400,
вул. Маяковського, 21 (гімназія)</t>
  </si>
  <si>
    <t>85400,
вул. Лисичанська, 33</t>
  </si>
  <si>
    <r>
      <rPr>
        <sz val="10"/>
        <rFont val="Times New Roman"/>
        <family val="1"/>
        <charset val="204"/>
      </rPr>
      <t>Пожежний гідрант</t>
    </r>
    <r>
      <rPr>
        <sz val="10"/>
        <color rgb="FFFF0000"/>
        <rFont val="Times New Roman"/>
        <family val="1"/>
        <charset val="204"/>
      </rPr>
      <t xml:space="preserve"> </t>
    </r>
  </si>
  <si>
    <t>85400,
вул. Карбишева, 43</t>
  </si>
  <si>
    <t xml:space="preserve">85400,
вул. Московська, 8А - вул. Центральна </t>
  </si>
  <si>
    <t xml:space="preserve">85400,
вул. Московська, 8А - вул. Шевченка </t>
  </si>
  <si>
    <t>85400,
вул. Центральна, 245,  вул. Шкільна</t>
  </si>
  <si>
    <t>85400,
вул. Шевченка, 26</t>
  </si>
  <si>
    <t>85400,
вул. Шевченка, 34</t>
  </si>
  <si>
    <t>85400,
вул. Вокзальна, 6</t>
  </si>
  <si>
    <t>85400,
вул. Вокзальна, 12</t>
  </si>
  <si>
    <t>85487,
пров. Широкий, 31А</t>
  </si>
  <si>
    <t>85487,
пров. Широкий, 33</t>
  </si>
  <si>
    <t>85487,
вул. Донецька, 81</t>
  </si>
  <si>
    <t>85487,
вул. Пушкіна, 14</t>
  </si>
  <si>
    <t>85487,
вул. Чехова, 9</t>
  </si>
  <si>
    <t xml:space="preserve">85487,
вул. Василькова  </t>
  </si>
  <si>
    <t>85487,
вул. Електровозна, 2А</t>
  </si>
  <si>
    <t>Напірний колектор. Мережа каналізаційна</t>
  </si>
  <si>
    <t>85487,
пров. Визволителів Донбасу</t>
  </si>
  <si>
    <t>85400,
вул. Чайкіної</t>
  </si>
  <si>
    <t>85485,
вул. Первомайська, вул. Бірми,
 вул. Чапаєва, вул. Хмельницького, 
вул. Шевченка, вул. Купренко</t>
  </si>
  <si>
    <t>Покровський р-н,
 с. Михайлівка</t>
  </si>
  <si>
    <t>85380, 
вул. Котляревського</t>
  </si>
  <si>
    <t xml:space="preserve">Водопровідна мережа. Котляревський водогін </t>
  </si>
  <si>
    <t>85487,
вул. Гоголя</t>
  </si>
  <si>
    <t xml:space="preserve">85400,
вул. Джерельна </t>
  </si>
  <si>
    <t>85400, 
вул. Гоголя, 2А; Траса Київ-Луганськ-Ізварине</t>
  </si>
  <si>
    <t xml:space="preserve">Водопровідна мережа. Гоголевський водогін </t>
  </si>
  <si>
    <t>85400,
вул. Маяковського</t>
  </si>
  <si>
    <t>85487,
пров. Прокоф`єва</t>
  </si>
  <si>
    <t>85487,
вул. Лермонтова</t>
  </si>
  <si>
    <t>85487,
вул. Некрасова</t>
  </si>
  <si>
    <t>85400,
мкрн. "К.Маркса"</t>
  </si>
  <si>
    <t xml:space="preserve">Водопровідна мережа. Внутрішньоквартальна мережа </t>
  </si>
  <si>
    <t>85487,
квартал "Східний"</t>
  </si>
  <si>
    <t>85487,
вул. Челюскіна</t>
  </si>
  <si>
    <t>85487,
вул. Зелена</t>
  </si>
  <si>
    <t>85487, 
вул. Пушкіна</t>
  </si>
  <si>
    <t>85487,
вул. Вузька</t>
  </si>
  <si>
    <t xml:space="preserve">Водопровідна мережа. Миколаївський водогін </t>
  </si>
  <si>
    <t xml:space="preserve">85487, 
вул. Шкільна </t>
  </si>
  <si>
    <t xml:space="preserve"> 85485,
 вул. Енгельса, 27А
(від ПК 112 до ВНС Укр)</t>
  </si>
  <si>
    <t>Водопровідна мережа. 
Український водогін 1</t>
  </si>
  <si>
    <t>85400,
вул. Кучуринська</t>
  </si>
  <si>
    <t>85400,
Квартал № 11</t>
  </si>
  <si>
    <t>85400,
вул. Шевченка</t>
  </si>
  <si>
    <t>85487,
вул. Чайковського</t>
  </si>
  <si>
    <t>85487,
вул. Енгельса</t>
  </si>
  <si>
    <t>85487,
вул. 1 Травня</t>
  </si>
  <si>
    <t>85487,
вул. Матросова</t>
  </si>
  <si>
    <t>85487,
вул. Залізнична</t>
  </si>
  <si>
    <t>85487,
пров. Аварійний</t>
  </si>
  <si>
    <t>85487,
вул. Електровозна</t>
  </si>
  <si>
    <t xml:space="preserve">85487,
вул. Шахтарської Слави </t>
  </si>
  <si>
    <t>85487,
пров. Степовий</t>
  </si>
  <si>
    <t>85487,
пров. Козацький</t>
  </si>
  <si>
    <t>85487,
вул. Горна</t>
  </si>
  <si>
    <t xml:space="preserve"> 85487,
 вул. Чехова</t>
  </si>
  <si>
    <t xml:space="preserve">85487,
пров. Дружби </t>
  </si>
  <si>
    <t>м. Гірник;
 с. Михайлівка</t>
  </si>
  <si>
    <t>вул. Центральна (с. Михайлівка) до 
вул. Прокоф'єва, 32 (м. Гірник)</t>
  </si>
  <si>
    <t>м. Селидове, 
 смт Курахівка</t>
  </si>
  <si>
    <t>85490,
вул. Набережна</t>
  </si>
  <si>
    <t>85490,
вул. Мічуріна</t>
  </si>
  <si>
    <t>84900,
вул. Чкалова</t>
  </si>
  <si>
    <t>85490,
вул. Вокзальна</t>
  </si>
  <si>
    <t xml:space="preserve">85490,
вул. Вишнева </t>
  </si>
  <si>
    <t>85490,
вул. Виноградна</t>
  </si>
  <si>
    <t>85490,
вул. Східна</t>
  </si>
  <si>
    <t>85490,
вул. Рятувальна</t>
  </si>
  <si>
    <t>85490,
вул. Лазо</t>
  </si>
  <si>
    <t>85490,
вул. Папаніна</t>
  </si>
  <si>
    <t xml:space="preserve">8549,
вул. Молодіжна </t>
  </si>
  <si>
    <t>85490,
вул. Надії</t>
  </si>
  <si>
    <t>85490,
вул. Центральна</t>
  </si>
  <si>
    <t>85490,
вул. Квіткова</t>
  </si>
  <si>
    <t>85490,
вул. Осипенко</t>
  </si>
  <si>
    <t>85490,
вул. Горіхова</t>
  </si>
  <si>
    <t>Мережі водопровідні вул. Чкалова</t>
  </si>
  <si>
    <t>Мар'їнський р-н,
с. Лисівка</t>
  </si>
  <si>
    <t>85620,
вул. Пушкіна</t>
  </si>
  <si>
    <t xml:space="preserve">Мережі водопровідні с. Лісівка вул. Пушкіна </t>
  </si>
  <si>
    <t>м. Селидове,
 м. Українськ</t>
  </si>
  <si>
    <t>85485,
вул. З.Космодем`янської</t>
  </si>
  <si>
    <t xml:space="preserve">Мережі водопровідні вул. З.Космодем'янської </t>
  </si>
  <si>
    <t>85485,
вул. Ватутіна</t>
  </si>
  <si>
    <t>Мережі водопровідні вул. Ватутіна</t>
  </si>
  <si>
    <t>85485,
вул. Рєпіна</t>
  </si>
  <si>
    <t>Мережі водопровідні вул. Рєпіна</t>
  </si>
  <si>
    <t>85485,
вул. Айвазовського</t>
  </si>
  <si>
    <t>Мережі водопровідні вул. Айвазовського</t>
  </si>
  <si>
    <t>Мережі водопровідні вул. Горького</t>
  </si>
  <si>
    <t>85400, 
вул. Селидівська, 2</t>
  </si>
  <si>
    <t xml:space="preserve">Каналізаційна мережа. Напірний колектор № 3 </t>
  </si>
  <si>
    <t>85400,
 вул.Селидівська, 2</t>
  </si>
  <si>
    <t>85487,
 вул. Лермонтова, 3А до 
вул. Електровозна, 2А</t>
  </si>
  <si>
    <t xml:space="preserve">Напірний колектор. Мережа каналізаційна </t>
  </si>
  <si>
    <t>м. Українськ,
 смт. Цукурине</t>
  </si>
  <si>
    <t>85485, 
вул. Кірова, 11 (м. Українськ) до 
вул. Гагаріна (смт Цукурине)</t>
  </si>
  <si>
    <t xml:space="preserve">Водопровідна мережа. Український водогін 2 </t>
  </si>
  <si>
    <t xml:space="preserve">85380, 
вул. Центральна </t>
  </si>
  <si>
    <t>85380,
 вул. Центральна</t>
  </si>
  <si>
    <t>85380,
вул. Біжика</t>
  </si>
  <si>
    <t>85380,
вул. Южна</t>
  </si>
  <si>
    <t xml:space="preserve">Покровський р-н
 с. Григорівка, </t>
  </si>
  <si>
    <t>85364,
 вул. Центральна</t>
  </si>
  <si>
    <t>Покровський р-н,
 смт Петрівка</t>
  </si>
  <si>
    <t>вул. Центральна (с. Григорівка) до 
вул. Центральна (с. Петрівка)</t>
  </si>
  <si>
    <t xml:space="preserve">Покровський р-н,
  с. Миколаївка </t>
  </si>
  <si>
    <t>85347,
вул. Центральна</t>
  </si>
  <si>
    <t>85347,
вул. Молодіжна</t>
  </si>
  <si>
    <t>85347,
вул. Гагаріна</t>
  </si>
  <si>
    <t xml:space="preserve">Покровський р-н,  
с.  Маринівка, </t>
  </si>
  <si>
    <t>85347,
вул. Сонячна</t>
  </si>
  <si>
    <t>85400,
  вул. Л.Українки, вул. Миру</t>
  </si>
  <si>
    <t>85400,
 вул. Гоголя</t>
  </si>
  <si>
    <t>85400, 
вул. Чайковського- вул. Кутузова</t>
  </si>
  <si>
    <t>85400,
вул. Центральна</t>
  </si>
  <si>
    <t>85400, 
вул. Павлова</t>
  </si>
  <si>
    <t>85400,
парк "Ювілейний"</t>
  </si>
  <si>
    <t>85400,
вул. Челюскіна</t>
  </si>
  <si>
    <r>
      <rPr>
        <sz val="10"/>
        <rFont val="Times New Roman"/>
        <family val="1"/>
        <charset val="204"/>
      </rPr>
      <t>Каналізаційна мережа (7500</t>
    </r>
    <r>
      <rPr>
        <sz val="10"/>
        <rFont val="Calibri"/>
        <family val="2"/>
        <charset val="204"/>
      </rPr>
      <t>×</t>
    </r>
    <r>
      <rPr>
        <sz val="10"/>
        <rFont val="Times New Roman"/>
        <family val="1"/>
        <charset val="204"/>
      </rPr>
      <t xml:space="preserve">2)          </t>
    </r>
  </si>
  <si>
    <t>85487,
вул. Горького</t>
  </si>
  <si>
    <t>85487,
вул. Миру</t>
  </si>
  <si>
    <t>85487,
вул. Ломоносова</t>
  </si>
  <si>
    <t>85487,
вул. Чкалова</t>
  </si>
  <si>
    <t xml:space="preserve"> Мар'їнський р-н,
с. Ізмайлівка</t>
  </si>
  <si>
    <t>85487,
вул. Надії</t>
  </si>
  <si>
    <t>85487,
пров. Шахтарський</t>
  </si>
  <si>
    <t>85487,
вул. Молодіжна</t>
  </si>
  <si>
    <t>85487,
вул. Жуковського</t>
  </si>
  <si>
    <t>85487,
вул. Донецька</t>
  </si>
  <si>
    <t xml:space="preserve">85487,
пров. Абрикосовий </t>
  </si>
  <si>
    <t>м.Гірник</t>
  </si>
  <si>
    <t>85487,
 вул. Прокоф'єва, 32 до вул. Крупська</t>
  </si>
  <si>
    <t xml:space="preserve">Водогін Горняцький № 5.
 Мережа водопровідна </t>
  </si>
  <si>
    <t>85487,
до шахти 40 с. Ізмайлівка</t>
  </si>
  <si>
    <t xml:space="preserve">85487,
вул. Володимирська </t>
  </si>
  <si>
    <t>85487,
вул. Сонячна</t>
  </si>
  <si>
    <t>85487,
вул. Островського</t>
  </si>
  <si>
    <t>85487,
вул. Ізмайлівська</t>
  </si>
  <si>
    <t>85487,
вул. Центральна</t>
  </si>
  <si>
    <t xml:space="preserve">Мережа водопровідна. 
Водогін Горняцький № 4 </t>
  </si>
  <si>
    <t>85487,
вул. Гурова</t>
  </si>
  <si>
    <t>85490,
вул. Шевченка</t>
  </si>
  <si>
    <t>м. Селидове,
 смт Курахівка</t>
  </si>
  <si>
    <t>85490,
вул. 8-го Березня</t>
  </si>
  <si>
    <t>85490,
вул. Тиха</t>
  </si>
  <si>
    <t>85490, 
вул. Зелена</t>
  </si>
  <si>
    <t>85490,
вул. Горького</t>
  </si>
  <si>
    <t>85490,
вул. Толбухіна</t>
  </si>
  <si>
    <t>85490,
вул. Некрасова</t>
  </si>
  <si>
    <t>85490,
пров. Шахтарський</t>
  </si>
  <si>
    <t>85490,
вул. Кутузова</t>
  </si>
  <si>
    <t>85490,
вул. К.Маркса</t>
  </si>
  <si>
    <t>85490,
вул. Володарського</t>
  </si>
  <si>
    <t>85490,
вул. Чайкіної</t>
  </si>
  <si>
    <t>Мар'їнський р-н,
с. Олександропіль</t>
  </si>
  <si>
    <t>85621,
вул. Степова</t>
  </si>
  <si>
    <t>85493,
вул. Шевченка</t>
  </si>
  <si>
    <t>85490,
вул. Першотравнева</t>
  </si>
  <si>
    <t>85490,
вул. Свободи</t>
  </si>
  <si>
    <t>85490,
вул. Покровська</t>
  </si>
  <si>
    <t>85490,
вул. Жданова</t>
  </si>
  <si>
    <t>85490,
вул. Маяковського</t>
  </si>
  <si>
    <t>85490,
вул. Сєрова</t>
  </si>
  <si>
    <t>85490,
вул. Садова</t>
  </si>
  <si>
    <t>85490,
вул. О. Кошевого</t>
  </si>
  <si>
    <t>85490,
вул. Гагаріна</t>
  </si>
  <si>
    <t>85490,
вул. Калинова</t>
  </si>
  <si>
    <t>85490,
вул. Шкільна</t>
  </si>
  <si>
    <t>85490,
вул. Перемоги</t>
  </si>
  <si>
    <t>85490,
вул. Прокоф`єва</t>
  </si>
  <si>
    <t>85490,
вул. Дружби</t>
  </si>
  <si>
    <t>85490,
вул. Миру</t>
  </si>
  <si>
    <t>85493,
вул. Молодіжна</t>
  </si>
  <si>
    <t>85493,
вул. Мересьєва</t>
  </si>
  <si>
    <t>85493,
вул. Інтернаціональна</t>
  </si>
  <si>
    <t>85490,
уздовж залізної дороги</t>
  </si>
  <si>
    <t>85490,
вул. Енгельса,</t>
  </si>
  <si>
    <t>85493,
вул. Шахтарська</t>
  </si>
  <si>
    <t>85493,
вул.  Залізнична</t>
  </si>
  <si>
    <t>85493,
вул. Енгельса</t>
  </si>
  <si>
    <t>85490,
від ДКМЗ до ЦЗФ</t>
  </si>
  <si>
    <t xml:space="preserve">Мережа водопровідна.
 Водогін № 1 Курахівський </t>
  </si>
  <si>
    <t>85493,
вул. Спортивна</t>
  </si>
  <si>
    <t>85493,
вул. Севастопільська</t>
  </si>
  <si>
    <t>85493,
від ВНС м. Гірник через 
смт Курахівка до смт Гостре</t>
  </si>
  <si>
    <t xml:space="preserve">Водогін Островського № 1 
Мережа водопровідна </t>
  </si>
  <si>
    <t>85621,
вул. Матросова</t>
  </si>
  <si>
    <t>85621,
вул. Першотравнева</t>
  </si>
  <si>
    <t>85485,
Внутрішньоквартальна мережа</t>
  </si>
  <si>
    <t>Водопровідна мережа.
 Внутрішньоквартальна мережа</t>
  </si>
  <si>
    <t>85485,
вул. Віталія Купрієнка</t>
  </si>
  <si>
    <t>85485,
вул. Праці</t>
  </si>
  <si>
    <t>85485,
вул. Ломоносова</t>
  </si>
  <si>
    <t>85485,
вул. Карла Маркса</t>
  </si>
  <si>
    <t>85485,
вул. Б. Хмельницького</t>
  </si>
  <si>
    <t>85485,
вул. Театральна</t>
  </si>
  <si>
    <t>85485,
вул. Ольминського</t>
  </si>
  <si>
    <r>
      <rPr>
        <sz val="10"/>
        <rFont val="Times New Roman"/>
        <family val="1"/>
        <charset val="204"/>
      </rPr>
      <t>Водопровідна мережа</t>
    </r>
    <r>
      <rPr>
        <sz val="10"/>
        <color rgb="FFFF0000"/>
        <rFont val="Times New Roman"/>
        <family val="1"/>
        <charset val="204"/>
      </rPr>
      <t xml:space="preserve">  </t>
    </r>
    <r>
      <rPr>
        <sz val="10"/>
        <rFont val="Times New Roman"/>
        <family val="1"/>
        <charset val="204"/>
      </rPr>
      <t xml:space="preserve">          </t>
    </r>
  </si>
  <si>
    <t>85485,
вул. Тимірязєва</t>
  </si>
  <si>
    <r>
      <rPr>
        <sz val="10"/>
        <rFont val="Times New Roman"/>
        <family val="1"/>
        <charset val="204"/>
      </rPr>
      <t>Водопровідна мережа</t>
    </r>
    <r>
      <rPr>
        <sz val="10"/>
        <color rgb="FFFF0000"/>
        <rFont val="Times New Roman"/>
        <family val="1"/>
        <charset val="204"/>
      </rPr>
      <t xml:space="preserve"> </t>
    </r>
    <r>
      <rPr>
        <sz val="10"/>
        <rFont val="Times New Roman"/>
        <family val="1"/>
        <charset val="204"/>
      </rPr>
      <t xml:space="preserve">      </t>
    </r>
  </si>
  <si>
    <t>85485,
вул. Петра Бігми</t>
  </si>
  <si>
    <t>85485,
пров. Степовий</t>
  </si>
  <si>
    <t>м. Селидове,
 смт Цукурине</t>
  </si>
  <si>
    <t>85486,
вул. Докучаєва</t>
  </si>
  <si>
    <t>85486,
вул. Сонячна</t>
  </si>
  <si>
    <t>85486,
вул. Молодіжна</t>
  </si>
  <si>
    <r>
      <rPr>
        <sz val="10"/>
        <rFont val="Times New Roman"/>
        <family val="1"/>
        <charset val="204"/>
      </rPr>
      <t>Водопровідна мережа</t>
    </r>
    <r>
      <rPr>
        <sz val="10"/>
        <color rgb="FFFF0000"/>
        <rFont val="Times New Roman"/>
        <family val="1"/>
        <charset val="204"/>
      </rPr>
      <t xml:space="preserve"> </t>
    </r>
    <r>
      <rPr>
        <sz val="10"/>
        <rFont val="Times New Roman"/>
        <family val="1"/>
        <charset val="204"/>
      </rPr>
      <t xml:space="preserve">        </t>
    </r>
  </si>
  <si>
    <t>85486,
вул. Ветеранів Праці</t>
  </si>
  <si>
    <t>85486,
вул. Миру</t>
  </si>
  <si>
    <t>85486,
вул. Мічурина</t>
  </si>
  <si>
    <t>85486,
вул. Ювілейна</t>
  </si>
  <si>
    <t>Покровський р-н,
смт Петрівка</t>
  </si>
  <si>
    <t>85364,
вул. Центральна</t>
  </si>
  <si>
    <t>85364,
вул. Молодіжна</t>
  </si>
  <si>
    <t>85364,
вул. Залізнична</t>
  </si>
  <si>
    <t>85364,
від  вул. Радянська до вул. Отрадна</t>
  </si>
  <si>
    <t>85364,
від вул. Радянська до вул. Отрадна</t>
  </si>
  <si>
    <t>85364,
вул. Отрадна</t>
  </si>
  <si>
    <t>м. Селидове, 
смт Цукурине</t>
  </si>
  <si>
    <t>85486,
вул. Маяковського</t>
  </si>
  <si>
    <t>85486,
вул. Квіткова</t>
  </si>
  <si>
    <t>85486,
вул. Вишнева</t>
  </si>
  <si>
    <t>85486,
вул. Нова</t>
  </si>
  <si>
    <t>85486,
вул. Янтарна</t>
  </si>
  <si>
    <t>85486,
вул. Шахтарська</t>
  </si>
  <si>
    <t>85486,
вул. Ватутіна</t>
  </si>
  <si>
    <t>85486,
вул. Середня</t>
  </si>
  <si>
    <t>85486,
вул. Хмельницького</t>
  </si>
  <si>
    <t>85400,
вул. Ткаченка</t>
  </si>
  <si>
    <t>85400,
вул. Зоряна</t>
  </si>
  <si>
    <t>85400,
вул. Щербакова</t>
  </si>
  <si>
    <t>85400,
вул. Карбишева</t>
  </si>
  <si>
    <t>85400,
вул. Лесі Українки</t>
  </si>
  <si>
    <t>85401,
вул. Чернишевського</t>
  </si>
  <si>
    <t>85400,
вул. Чкалова</t>
  </si>
  <si>
    <t>85400,
вул. Зарічна</t>
  </si>
  <si>
    <t>85400,
 вул.Кучурунська</t>
  </si>
  <si>
    <t>85400,
вул. Островського</t>
  </si>
  <si>
    <t>85400,
вул. Степова</t>
  </si>
  <si>
    <t>85400, 
вул. Нахімова, 2-4</t>
  </si>
  <si>
    <t>85401, 
вул. Глинки</t>
  </si>
  <si>
    <t>85401,
вул. Довженко</t>
  </si>
  <si>
    <t>85400,
вул. Кринична</t>
  </si>
  <si>
    <t>85401,
вул. Надії</t>
  </si>
  <si>
    <t>85400,
вул. Зелена</t>
  </si>
  <si>
    <t>85400,
вул. 8-го Вересня</t>
  </si>
  <si>
    <t>85400,
вул. Сонячна</t>
  </si>
  <si>
    <t>85400,
вул. Франка</t>
  </si>
  <si>
    <t>85401,
вул. Воїнів Інтернаціоналістів</t>
  </si>
  <si>
    <t>85400,
вул. Героїв Праці</t>
  </si>
  <si>
    <t>85400,
вул. Шахтна</t>
  </si>
  <si>
    <t>85401 ,
вул. Перемоги</t>
  </si>
  <si>
    <t>85401,
пров. Донецький</t>
  </si>
  <si>
    <t>85400,
вул. Михайлівська</t>
  </si>
  <si>
    <t>85400,
вул. Верхня</t>
  </si>
  <si>
    <t>85400,
вул. Урожайна</t>
  </si>
  <si>
    <t>85400,
вул. Східна</t>
  </si>
  <si>
    <t>85400,
вул. Лозуватська</t>
  </si>
  <si>
    <t>85400,
вул. Чехова</t>
  </si>
  <si>
    <t>85400,
вул. Ясна</t>
  </si>
  <si>
    <t>85401,
вул. Тиха</t>
  </si>
  <si>
    <t>85401,
вул. Кутузова</t>
  </si>
  <si>
    <t xml:space="preserve">Водопровідна мережа. Хлібозаводський водогін </t>
  </si>
  <si>
    <t>85400,
вул. Молодогвардійців</t>
  </si>
  <si>
    <t>85400,
вул. Берегова</t>
  </si>
  <si>
    <t>85401,
вул. Лермонтова</t>
  </si>
  <si>
    <t>85401,
вул. Пушкіна</t>
  </si>
  <si>
    <t>85401,
пров. Парковий</t>
  </si>
  <si>
    <t>85400,
пров. Поштовий</t>
  </si>
  <si>
    <t>85401,
вул. Горького</t>
  </si>
  <si>
    <t>85400,
вул. Смірнова</t>
  </si>
  <si>
    <t xml:space="preserve">85486,
вул. Мічурина </t>
  </si>
  <si>
    <t>85486,
вул. Лісова</t>
  </si>
  <si>
    <t>85486,
вул. Гагаріна</t>
  </si>
  <si>
    <t>85486,
вул. Зіркова</t>
  </si>
  <si>
    <t>85486,
вул. Ломоносова</t>
  </si>
  <si>
    <t xml:space="preserve">85486,
вул. Вокзальна </t>
  </si>
  <si>
    <t xml:space="preserve">Водопровідна мережа        </t>
  </si>
  <si>
    <t>85486,
вул. Центральна</t>
  </si>
  <si>
    <t>85486,
вул. Шахтна</t>
  </si>
  <si>
    <t>м. Новогродівка</t>
  </si>
  <si>
    <t>85483,
вул. Центральна, 37</t>
  </si>
  <si>
    <t>85483,
Квартал 54-56, ж.б. 1</t>
  </si>
  <si>
    <t>85483,
вул. Гагаріна, 1</t>
  </si>
  <si>
    <t>85483,
вул. Центральна, 39</t>
  </si>
  <si>
    <t xml:space="preserve">Каналізаційна мережа (90м та 20м)    </t>
  </si>
  <si>
    <t>85483,
вул. Мічурина, 18</t>
  </si>
  <si>
    <t>85483,
Квартал 54-56, ж.б. 8</t>
  </si>
  <si>
    <t>85483,
Квартал 54-56, ж.б. 7</t>
  </si>
  <si>
    <t>85483,
вул. Гагаріна</t>
  </si>
  <si>
    <t>85483,
 вул. Водоп'янов, вул. Центральна</t>
  </si>
  <si>
    <t>85483,
 Каналізація ж.б. 22</t>
  </si>
  <si>
    <t>Каналізаційна мережа 2</t>
  </si>
  <si>
    <t>від об`єднаних очисних споруд 
м. Селидове до сухої балки</t>
  </si>
  <si>
    <t>85483,
вул. Молодіжна</t>
  </si>
  <si>
    <t>85484,
вул. Перемоги</t>
  </si>
  <si>
    <t>85483,
 на об`єднані очисні споруди 
м. Селидове</t>
  </si>
  <si>
    <t>Каналізаційна мережа. 
Напірний колектор</t>
  </si>
  <si>
    <t>85483,
Квартал 60 до ж. б.  № 1</t>
  </si>
  <si>
    <t>85483,
вул. Донецька</t>
  </si>
  <si>
    <t>85483,
вул. Тургенєва</t>
  </si>
  <si>
    <t>85483,
 вул. Центральна, 19</t>
  </si>
  <si>
    <t>85483, 
вул. Тюленіна, 20</t>
  </si>
  <si>
    <t>85483,
 вул. Паркова, 30</t>
  </si>
  <si>
    <t>85483,
 вул. Завгородня, 29 (м. Селидове) до траси Київ-Луганськ-Ізварине</t>
  </si>
  <si>
    <t>85483,
вул. Шевченка, вул. Центральна</t>
  </si>
  <si>
    <t>85483, 
вул. Крупська, вул. Театральна,
 вул. Паркова</t>
  </si>
  <si>
    <t>85483,
вул. Шевченка</t>
  </si>
  <si>
    <t>85483,
вул. Центральна</t>
  </si>
  <si>
    <t>85483,
вул. Олега Кошевого</t>
  </si>
  <si>
    <t>85483,
вул. Правди</t>
  </si>
  <si>
    <t>85483,
вул. Мічуріна</t>
  </si>
  <si>
    <t>85483,
вул. Водоп`янова</t>
  </si>
  <si>
    <t>85483,
вул. Паркова</t>
  </si>
  <si>
    <t>85483, 
вул. Паркова, вул. Молодіжна</t>
  </si>
  <si>
    <t xml:space="preserve">м. Новогродівка </t>
  </si>
  <si>
    <t>85483,
вул. Водоп'янова</t>
  </si>
  <si>
    <t>85483, 
вул. Незалежності, 28</t>
  </si>
  <si>
    <t>85483, 
вул. Молодіжна</t>
  </si>
  <si>
    <t>85483,
 вул. Паркова</t>
  </si>
  <si>
    <t>85483, 
вул. Мічуріна</t>
  </si>
  <si>
    <t>85483, 
вул. Мічуріна, 8</t>
  </si>
  <si>
    <t>85483,
вул. Тиха</t>
  </si>
  <si>
    <t>85484,
вул. Восьмого вересня</t>
  </si>
  <si>
    <t>85484,
вул. Ватутіна</t>
  </si>
  <si>
    <r>
      <rPr>
        <sz val="10"/>
        <rFont val="Times New Roman"/>
        <family val="1"/>
        <charset val="204"/>
      </rPr>
      <t xml:space="preserve"> Мережа водопровідна</t>
    </r>
    <r>
      <rPr>
        <sz val="10"/>
        <color rgb="FFFF0000"/>
        <rFont val="Times New Roman"/>
        <family val="1"/>
        <charset val="204"/>
      </rPr>
      <t xml:space="preserve"> </t>
    </r>
  </si>
  <si>
    <t>85483,
вул. Мічуріна, 37</t>
  </si>
  <si>
    <t>85483,
вул. Надії</t>
  </si>
  <si>
    <t>85484,
вул. Польова</t>
  </si>
  <si>
    <t>85483, 
вул. Гагаріна</t>
  </si>
  <si>
    <t>85483,
 вул. Паркова, вул. Мічурина,
 вул. Молодіжна, вул. Центральна</t>
  </si>
  <si>
    <t>85483, 
вул. Гагаріна, 2</t>
  </si>
  <si>
    <t>85483, 
вул. Гагаріна, 4</t>
  </si>
  <si>
    <t xml:space="preserve">Мережа водопровідна та один пожежний гідрант       </t>
  </si>
  <si>
    <t>85483,
вул. Маяковського</t>
  </si>
  <si>
    <t>Водопровідні мережі по вул. Маяковського</t>
  </si>
  <si>
    <t>85483,
вул. Черняховського</t>
  </si>
  <si>
    <t>85484,
вул. Чкалова</t>
  </si>
  <si>
    <t>85483,
вул. Праці</t>
  </si>
  <si>
    <t>85483,
вул. Воронова</t>
  </si>
  <si>
    <t>85483, 
вул. Сонячна</t>
  </si>
  <si>
    <r>
      <rPr>
        <sz val="10"/>
        <rFont val="Times New Roman"/>
        <family val="1"/>
        <charset val="204"/>
      </rPr>
      <t xml:space="preserve">Мережа водопровідна </t>
    </r>
    <r>
      <rPr>
        <sz val="10"/>
        <color rgb="FFFF0000"/>
        <rFont val="Times New Roman"/>
        <family val="1"/>
        <charset val="204"/>
      </rPr>
      <t xml:space="preserve">        </t>
    </r>
  </si>
  <si>
    <t>85483,
вул. Пушкіна</t>
  </si>
  <si>
    <r>
      <rPr>
        <sz val="10"/>
        <rFont val="Times New Roman"/>
        <family val="1"/>
        <charset val="204"/>
      </rPr>
      <t xml:space="preserve">Мережа водопровідна </t>
    </r>
    <r>
      <rPr>
        <sz val="10"/>
        <color rgb="FFFF0000"/>
        <rFont val="Times New Roman"/>
        <family val="1"/>
        <charset val="204"/>
      </rPr>
      <t xml:space="preserve">           </t>
    </r>
  </si>
  <si>
    <t xml:space="preserve">85483,
 вул. Паркова, вул. Мічуріна, 
вул. Молодіжна, вул. Центральна, 8 </t>
  </si>
  <si>
    <t xml:space="preserve">85483,
 вул. Паркова, вул. Мічуріна, 
вул. Молодіжна, вул. Центральна, 7 </t>
  </si>
  <si>
    <t xml:space="preserve">85483,
 вул. Паркова, вул. Мічуріна,
 вул. Молодіжна, вул. Центральна, 6 </t>
  </si>
  <si>
    <t>85483,
вул. Патріотична</t>
  </si>
  <si>
    <t>85483, 
алея Сідорова, вул. Молодіжна,
 вул. Тургенєва</t>
  </si>
  <si>
    <t>85483,
 вул. Квіткова до вул. Аварійна, 1</t>
  </si>
  <si>
    <t>85483,
вул. Горького</t>
  </si>
  <si>
    <t>85483,
вул. Райдужна</t>
  </si>
  <si>
    <t>85483, 
пров. Західний</t>
  </si>
  <si>
    <t>Водопровідна мережа та пожежні гідранти 6 одиниць</t>
  </si>
  <si>
    <t>85483, 
вул. Матросова</t>
  </si>
  <si>
    <t>85483,
вул. Шкільна</t>
  </si>
  <si>
    <t xml:space="preserve">Мережа водопровідна та один пожежний гідрант          </t>
  </si>
  <si>
    <t>85483, 
пров. Затишний</t>
  </si>
  <si>
    <t>85483, 
вул. Риночна, 8</t>
  </si>
  <si>
    <t>85483, 
вул. Гагаріна, вул. Паркова,
 вул. Квіткова, вул. Риночна</t>
  </si>
  <si>
    <t>Мережа водопровідна внутрішньоквартальна розводка</t>
  </si>
  <si>
    <t>85483,
вул. Покровська</t>
  </si>
  <si>
    <t>85483,
вул. Кутузова</t>
  </si>
  <si>
    <t>85483,
вул. Лісова</t>
  </si>
  <si>
    <t>85483,
вул. Квіткова</t>
  </si>
  <si>
    <t xml:space="preserve">Мережа водопровідна та пожежні гідранти - 3 одиниці           </t>
  </si>
  <si>
    <t xml:space="preserve">Мережа водопровідна та пожежні гідранти -6 одиниць   </t>
  </si>
  <si>
    <t xml:space="preserve">85483,
вул. Донецька </t>
  </si>
  <si>
    <t xml:space="preserve">Мережа водопровідна та один пожежний гідрант     </t>
  </si>
  <si>
    <t>85483,
вул. Театральна</t>
  </si>
  <si>
    <t xml:space="preserve">Мережа водопровідна та пожежні гідранти - 4 одиниці      </t>
  </si>
  <si>
    <t xml:space="preserve">Мережа водопровідна та один пожежний гідрант </t>
  </si>
  <si>
    <t xml:space="preserve">Мережа водопровідна та один пожежний гідрант   </t>
  </si>
  <si>
    <t xml:space="preserve">Мережа водопровідна та пожежні гідранти - 2 одиниці       </t>
  </si>
  <si>
    <t>85843,
вул. Кобзаря</t>
  </si>
  <si>
    <t>Мережа водопровідна та один пожежний гідрант</t>
  </si>
  <si>
    <t>85483, 
вул. Шкільна</t>
  </si>
  <si>
    <t>85484,
вул. Кільцева</t>
  </si>
  <si>
    <t>85483,
вул. 8-го Вересня</t>
  </si>
  <si>
    <t>85484,
вул. Виноградова</t>
  </si>
  <si>
    <t>85483, 
вул. Карбишева</t>
  </si>
  <si>
    <t>85484,
вул. Франка</t>
  </si>
  <si>
    <t>85484, 
вул. Рози Люксембург</t>
  </si>
  <si>
    <t>85484,
вул. Карбишева</t>
  </si>
  <si>
    <t>85483,
вул. Степова</t>
  </si>
  <si>
    <t>Мережа водопровідна (по огородам)</t>
  </si>
  <si>
    <t>85484,
вул. Космонавтів</t>
  </si>
  <si>
    <t>85484,
вул. Дубініна</t>
  </si>
  <si>
    <t>85484,
вул. Толбухіна</t>
  </si>
  <si>
    <t>85483,
вул. Суворова</t>
  </si>
  <si>
    <t>85483,
вул. Весняна - вул. Молодіжна</t>
  </si>
  <si>
    <t>85483, 
вул. Молодіжна, вул. Квіткова</t>
  </si>
  <si>
    <r>
      <rPr>
        <sz val="10"/>
        <rFont val="Times New Roman"/>
        <family val="1"/>
        <charset val="204"/>
      </rPr>
      <t>Мережа водопровідна</t>
    </r>
    <r>
      <rPr>
        <sz val="10"/>
        <color rgb="FFFF0000"/>
        <rFont val="Times New Roman"/>
        <family val="1"/>
        <charset val="204"/>
      </rPr>
      <t xml:space="preserve">   </t>
    </r>
    <r>
      <rPr>
        <sz val="10"/>
        <rFont val="Times New Roman"/>
        <family val="1"/>
        <charset val="204"/>
      </rPr>
      <t xml:space="preserve"> </t>
    </r>
  </si>
  <si>
    <t>85483,
вул. Юності</t>
  </si>
  <si>
    <t>85484, 
вул. Некрасова</t>
  </si>
  <si>
    <t>85483,
 вул. Молодіжна, вул. Квіткова</t>
  </si>
  <si>
    <t>Мережа водопровідна (вводи до будинків)</t>
  </si>
  <si>
    <t>85483, 
вул. Гагаріна, вул. Мічуріна</t>
  </si>
  <si>
    <t>85483, 
вул. Надії до вул. Паркова</t>
  </si>
  <si>
    <t>85484,
вул. Дачна</t>
  </si>
  <si>
    <t>85483,
вул. Гродівська</t>
  </si>
  <si>
    <t>85483,
вул. Миру</t>
  </si>
  <si>
    <t>85483,
вул. Гастелло</t>
  </si>
  <si>
    <t>85483,
вул. Зелена</t>
  </si>
  <si>
    <t>85483,
вул. Хмельницького</t>
  </si>
  <si>
    <t>85483,
вул. Садова</t>
  </si>
  <si>
    <t>85483, 
вул. Чайковського</t>
  </si>
  <si>
    <t>85483,
вул. Залізнична</t>
  </si>
  <si>
    <t>85483,
вул. Толстого</t>
  </si>
  <si>
    <t>85483,
вул. Ковпака</t>
  </si>
  <si>
    <t>85483,
вул. Весела</t>
  </si>
  <si>
    <t>85483,
вул. Східна</t>
  </si>
  <si>
    <t>85483, 
пров. Шахтарський</t>
  </si>
  <si>
    <t>85483,
вул. Сеченова</t>
  </si>
  <si>
    <t>85483, 
вул. Островського</t>
  </si>
  <si>
    <t>85483, 
вул. Лікарняна</t>
  </si>
  <si>
    <t>85483, 
вул. Риночна</t>
  </si>
  <si>
    <t>85483,
вул. Сергія Тюленіна</t>
  </si>
  <si>
    <t>85483, 
вул. Аварійна</t>
  </si>
  <si>
    <t>85483,
вул. Ломоносова</t>
  </si>
  <si>
    <t>85483,
вул. Зої Космодем'янської</t>
  </si>
  <si>
    <t>85483,
вул. Фестивальна</t>
  </si>
  <si>
    <t>85483,
вул. Дружби</t>
  </si>
  <si>
    <t>85483,
вул. Гоголя</t>
  </si>
  <si>
    <t>85483,
вул. Весняна</t>
  </si>
  <si>
    <t>85483,
вул. Гагаріна, 5</t>
  </si>
  <si>
    <t>85483,
вул. Центральна, 33</t>
  </si>
  <si>
    <t>85483,
вул. Центральна, 29</t>
  </si>
  <si>
    <t>85483,
вул. Центральна, 21</t>
  </si>
  <si>
    <t>85483,
вул. Центральна, 19</t>
  </si>
  <si>
    <t>85483,
вул. Паркова, 32</t>
  </si>
  <si>
    <t>85483,
вул. Паркова, 34</t>
  </si>
  <si>
    <t>85483,
вул. Паркова, 38</t>
  </si>
  <si>
    <t>85483,
вул. Паркова, 50</t>
  </si>
  <si>
    <t>85483,
вул. Паркова, 54</t>
  </si>
  <si>
    <t>85483,
вул. Паркова, 56</t>
  </si>
  <si>
    <t>85483,
вул. Донецька, 11</t>
  </si>
  <si>
    <t>85483,
вул. Паркова, 25</t>
  </si>
  <si>
    <t>85483,
вул. Молодіжна, 4</t>
  </si>
  <si>
    <t>85483,
вул. Водоп`янова, 18</t>
  </si>
  <si>
    <t>85483,
вул. Водоп`янова, 29</t>
  </si>
  <si>
    <t>85483,
вул. Водоп`янова, 12</t>
  </si>
  <si>
    <t>85483,
вул. Тургенєва, 13</t>
  </si>
  <si>
    <t>85484,
вул. Чкалова, 23</t>
  </si>
  <si>
    <t>85483,
вул. Юності, 10</t>
  </si>
  <si>
    <t>85483,
вул. Лермонтова, 13</t>
  </si>
  <si>
    <t>85484,
вул. Лермонтова, 6</t>
  </si>
  <si>
    <t>85484,
вул. Сергія Тюленіна</t>
  </si>
  <si>
    <t>85483,
вул. Олега Кошевого, 40</t>
  </si>
  <si>
    <t>85483, 
вул. Риночна, 41</t>
  </si>
  <si>
    <t>85483,
вул. Мічуріна, 36</t>
  </si>
  <si>
    <t>85483,
вул. Мічуріна, 34</t>
  </si>
  <si>
    <t>85483,
вул. Мічуріна, 28</t>
  </si>
  <si>
    <t>85483,
вул. Мічуріна, 22</t>
  </si>
  <si>
    <t>85483,
вул. Мічуріна, 16</t>
  </si>
  <si>
    <t>85483,
вул. Мічуріна, 8</t>
  </si>
  <si>
    <t>85483, 
вул. Риночна, 110</t>
  </si>
  <si>
    <t>85483,
вул. Залізнична, 21</t>
  </si>
  <si>
    <t>85400,
вул. Гоголя, 29</t>
  </si>
  <si>
    <t xml:space="preserve">Адмінбудівля    </t>
  </si>
  <si>
    <t>Будівля гаража (на 4 одиниці)</t>
  </si>
  <si>
    <t>Будівля приміщень підсобних (склад)</t>
  </si>
  <si>
    <t xml:space="preserve">траса Київ-Луганськ-Ізварине, 700 км </t>
  </si>
  <si>
    <t>Будівля водопровідної насосної станції № 1</t>
  </si>
  <si>
    <t>Резервуари чистої води РЧВ V=4000 куб.м - 2 одиниці</t>
  </si>
  <si>
    <t>Будівля приймальної камери</t>
  </si>
  <si>
    <t>Колодязь для засувок з прибудовою</t>
  </si>
  <si>
    <t>Будівля убиральні</t>
  </si>
  <si>
    <t>85400,
вул. Гоголя, 2А</t>
  </si>
  <si>
    <t>Будівля водопровідної насосної станції № 2</t>
  </si>
  <si>
    <t>Будівля ТП (теплопункту)</t>
  </si>
  <si>
    <t>Будівля боксу гаража на 2 одиниці техніки</t>
  </si>
  <si>
    <t>85400,
вул. Солона, 55</t>
  </si>
  <si>
    <t>Будівля каналізаційної насосної станції № 2</t>
  </si>
  <si>
    <t>Будівля каналізаційної насосної станції № 3</t>
  </si>
  <si>
    <t>Будівля підсобного приміщення</t>
  </si>
  <si>
    <t>85400,
вул. Мостова, 27</t>
  </si>
  <si>
    <t>Будівля боксів гаражу (3 відсіка з майстернями)</t>
  </si>
  <si>
    <t>Будівля боксів гаражу (4 відсіку)</t>
  </si>
  <si>
    <t>Будівля боксів гаражу (5 відсіків)</t>
  </si>
  <si>
    <t>Будівля столярного цеху з підвальним приміщенням</t>
  </si>
  <si>
    <t>Будівля боксу гаража, прибудована до котельні</t>
  </si>
  <si>
    <t>Будівля центрального складу (4 відсіку)</t>
  </si>
  <si>
    <t>Будівля контрольно-пропускного пункту (КПП)</t>
  </si>
  <si>
    <t>Будівля бензоколонки</t>
  </si>
  <si>
    <t>Будівля складу ПММ (підвал)</t>
  </si>
  <si>
    <t>85485,
вул. Миру, 11</t>
  </si>
  <si>
    <t>Будівля АПК</t>
  </si>
  <si>
    <t>Будівля боксів гаража (3 відсіку)</t>
  </si>
  <si>
    <t>85485,
вул. Енгельса, 27А</t>
  </si>
  <si>
    <t>Резервуари чистої води РЧВ V=600 куб. м -
 2 одиниці</t>
  </si>
  <si>
    <t>85485,
вул. Б. Хмельницького, 2А</t>
  </si>
  <si>
    <t>Будівля каналізаційної насосної станції № 1</t>
  </si>
  <si>
    <t>85485,
вул. Горького, 50</t>
  </si>
  <si>
    <t>85485,
вул. Чкалова, 1А</t>
  </si>
  <si>
    <t xml:space="preserve">Будівля ТП (теплопункту) </t>
  </si>
  <si>
    <t>Будівля каналізаційної насосної станції № 4</t>
  </si>
  <si>
    <t>85487,
вул. Жуковського, 32</t>
  </si>
  <si>
    <t>Будівля АПК (у т.ч. 5 відсіків гаражу)</t>
  </si>
  <si>
    <t>Будівля нарядної</t>
  </si>
  <si>
    <t xml:space="preserve">85487,
пров. Прокоф'єва, 32 </t>
  </si>
  <si>
    <t>85487,
пров. Прокоф'єва, 32</t>
  </si>
  <si>
    <t>85487,
вул. Лермонтова, 3А</t>
  </si>
  <si>
    <t>Мар'їнський р-н, 
с. Ізмайлівка</t>
  </si>
  <si>
    <t>85610,
вул. Рєпіна, 107</t>
  </si>
  <si>
    <t>Будівля АПК очисних споруд м. Гірник</t>
  </si>
  <si>
    <t>Будівля слюсарні ОС м. Гірник</t>
  </si>
  <si>
    <t>Будівля хлораторної ОС м. Гірник</t>
  </si>
  <si>
    <t>Будівля повітродувної насосної станції ОС
 м. Гірник (нове)</t>
  </si>
  <si>
    <t>Будівля повітродувної насосної станції ОС
 м. Гірник (старе)</t>
  </si>
  <si>
    <t>Будівля насосної станції активного мулу ОС 
м. Гірник</t>
  </si>
  <si>
    <t>Будівля складу очисних споруд м. Гірник</t>
  </si>
  <si>
    <t>Будівля сараю ОС м. Гірник</t>
  </si>
  <si>
    <t>Приймальний колодязь ОС м. Гірник</t>
  </si>
  <si>
    <t>Мулові і піскові майданчики ОС м. Гірник</t>
  </si>
  <si>
    <t>Контактний резервуар ОС м. Гірник</t>
  </si>
  <si>
    <t>Контактно-стабілізаційний аеротенк ОС
 м. Гірник</t>
  </si>
  <si>
    <t>Горизонтальна пісколовка ОС м. Гірник</t>
  </si>
  <si>
    <t>Первинний двох'ярусний відстійник № 1 ОС
 м. Гірник</t>
  </si>
  <si>
    <t>Первинний двох'ярусний відстійник № 2 ОС 
м. Гірник</t>
  </si>
  <si>
    <t>Первинний двох'ярусний відстійник № 3 ОС 
м. Гірник</t>
  </si>
  <si>
    <t>Первинний двох'ярусний відстійник № 4 ОС
 м. Гірник</t>
  </si>
  <si>
    <t>Вторинний вертикальний відстійник № 1 ОС 
м. Гірник</t>
  </si>
  <si>
    <t>Вторинний вертикальний відстійник № 2 ОС 
м. Гірник</t>
  </si>
  <si>
    <t>Вторинний вертикальний відстійник № 3 ОС
 м. Гірник</t>
  </si>
  <si>
    <t>Вторинний вертикальний відстійник № 4 ОС 
м. Гірник</t>
  </si>
  <si>
    <t>Будівля АПК об'єднаних очисних споруд 
м. Селидове</t>
  </si>
  <si>
    <t>Будівля блоку № 1 (4 секції) ООС</t>
  </si>
  <si>
    <t>Будівля лабораторії стічних вод ООС</t>
  </si>
  <si>
    <t>Будівля ТП ООС</t>
  </si>
  <si>
    <t>Будівля котельні ООС</t>
  </si>
  <si>
    <t>Будівля складу хлору ООС</t>
  </si>
  <si>
    <t>Будівля складу хлору ООС (нова будівля)</t>
  </si>
  <si>
    <t>Будівля управління гратами-дробарками ООС</t>
  </si>
  <si>
    <t>Аеротенк № 1 ООС</t>
  </si>
  <si>
    <t>Аеротенк № 2 ООС</t>
  </si>
  <si>
    <t>Аеротенк № 3 ООС</t>
  </si>
  <si>
    <t>Первинний відстійник № 1 ООС</t>
  </si>
  <si>
    <t>Первинний відстійник № 2 ООС</t>
  </si>
  <si>
    <t>Первинний відстійник № 3 ООС</t>
  </si>
  <si>
    <t>Первинний відстійник № 4 ООС</t>
  </si>
  <si>
    <t>Первинний відстійник № 5 ООС</t>
  </si>
  <si>
    <t>Первинний відстійник № 6 ООС</t>
  </si>
  <si>
    <t>Первинний відстійник № 7 ООС</t>
  </si>
  <si>
    <t>Первинний відстійник № 8 ООС</t>
  </si>
  <si>
    <t>Первинний відстійник № 9 ООС</t>
  </si>
  <si>
    <t>Біокоагулятор № 1 ООС</t>
  </si>
  <si>
    <t>Біокоагулятор № 2 ООС</t>
  </si>
  <si>
    <t>Вторинний радіальний відстійник № 1 ООС</t>
  </si>
  <si>
    <t>Вторинний радіальний відстійник № 2 ООС</t>
  </si>
  <si>
    <t>Вторинний радіальний відстійник № 3 ООС</t>
  </si>
  <si>
    <t>Вторинний радіальний відстійник № 4 ООС</t>
  </si>
  <si>
    <t>Горизонтальна пісколовка № 1 ООС</t>
  </si>
  <si>
    <t>Горизонтальна пісколовка № 2 ООС</t>
  </si>
  <si>
    <t>Пісковий майданчик № 1 ООС</t>
  </si>
  <si>
    <t>Пісковий майданчик № 2 ООС</t>
  </si>
  <si>
    <t>Контактні резервуари ООС</t>
  </si>
  <si>
    <t>Розподільна камера первинних
 відстійників ООС</t>
  </si>
  <si>
    <t>Водовимірювальний  лоток ООС</t>
  </si>
  <si>
    <t>Мулоущільнювач № 1 ООС</t>
  </si>
  <si>
    <t>Мулоущільнювач № 2 ООС</t>
  </si>
  <si>
    <t>Метантенк ООС</t>
  </si>
  <si>
    <t>Протипожежний резервуар ООС</t>
  </si>
  <si>
    <t>Будівля мулової насосної станції мулових майданчиків ООС</t>
  </si>
  <si>
    <t>Мулові майданчики (карти № 1-6) ООС</t>
  </si>
  <si>
    <t>85490,
вул. Прокоф’єва, 23</t>
  </si>
  <si>
    <t>Будівля дільниці смт Курахівка</t>
  </si>
  <si>
    <t>85483,
вул. Квіткова, 19</t>
  </si>
  <si>
    <t>Бідівля водопровідної насосної станції</t>
  </si>
  <si>
    <t>Резервуари РЧВ V=2×600 куб. м</t>
  </si>
  <si>
    <t xml:space="preserve">м. Селидове </t>
  </si>
  <si>
    <t>85400,
вул. Загородня, 29</t>
  </si>
  <si>
    <t>Будівля каналізаційної насосної станції
 м. Новогродівки</t>
  </si>
  <si>
    <t>85483,
вул. Лісова, 14</t>
  </si>
  <si>
    <t>Будівля адміністративна (колишня)</t>
  </si>
  <si>
    <t>Покровський р-н,
с. Гродівка</t>
  </si>
  <si>
    <t>85345,
 Балка Холодна</t>
  </si>
  <si>
    <t>Будівля артезіанської свердловини № 1600</t>
  </si>
  <si>
    <t xml:space="preserve">85345,
Балка Масляна  </t>
  </si>
  <si>
    <t>Будівля артезіанської свердловини № 1171</t>
  </si>
  <si>
    <t>85345,
Балка Холодна</t>
  </si>
  <si>
    <t>Будівля артезіанської свердловини № 1489</t>
  </si>
  <si>
    <t xml:space="preserve">85345,
Балка Холодна  </t>
  </si>
  <si>
    <t>Будівля артезіанської свердловини № 942</t>
  </si>
  <si>
    <t>Киснева будка</t>
  </si>
  <si>
    <t>85485,
вул. Енгельса, 27А, вул. Чкалова, 1А</t>
  </si>
  <si>
    <t>ЛЕП (дільниця, КНС № 3 Українськ) від ЦРП 2</t>
  </si>
  <si>
    <t>Траса Київ-Луганськ-Ізварине, 700 км</t>
  </si>
  <si>
    <t>ЛЕП ВНС № 1 м. Селидове 6кВ</t>
  </si>
  <si>
    <t>ЛЕП 6кв від ТП РЕМ до КНС № 2 м. Селидове</t>
  </si>
  <si>
    <t>85400,
вул. Черняховського - вул. Солона, 55</t>
  </si>
  <si>
    <t>ЛЕП 0,4 кВ від міського ТП до КНС № 2
 м. Селидове</t>
  </si>
  <si>
    <t>ЛЕМ майданчика ООС</t>
  </si>
  <si>
    <t>ЛЕП мулових майданчиків ООС</t>
  </si>
  <si>
    <t>85483,
вул. Паркова, 15</t>
  </si>
  <si>
    <t>Телефонний зв'язок</t>
  </si>
  <si>
    <t>Об'єкт благоустрою виробничої бази</t>
  </si>
  <si>
    <t>Автодорога внутрішньомайданчикова виробничої бази</t>
  </si>
  <si>
    <t>Теплотраса виробничої бази</t>
  </si>
  <si>
    <t xml:space="preserve">Траса Київ-Луганськ-Ізварине, 700 км </t>
  </si>
  <si>
    <t>Теплотраса ООС</t>
  </si>
  <si>
    <t>Об'єкт благоустрою ВНС № 1 м. Селидове</t>
  </si>
  <si>
    <t>Об'єкт благоустрою ООС</t>
  </si>
  <si>
    <t>Під'їзна автомобільна дорога до ООС</t>
  </si>
  <si>
    <t>Благоустрій ВНС № 2 м. Селидове</t>
  </si>
  <si>
    <t>Внутрішньомайданчикові комунікації ООС</t>
  </si>
  <si>
    <t>Внутрішньомайданчикові комунікації мулових майданчиків ООС</t>
  </si>
  <si>
    <t>Автодорога внутрішньомайданчикова управління</t>
  </si>
  <si>
    <t xml:space="preserve">Внутрішньомайданчикові комунікації </t>
  </si>
  <si>
    <t>Благоустрій території управління</t>
  </si>
  <si>
    <t>Благоустрій дільниці м. Українськ</t>
  </si>
  <si>
    <t>85400,
вул. Селидівська, 2</t>
  </si>
  <si>
    <t>Благоустрій території КНС № 4 м. Українськ</t>
  </si>
  <si>
    <t>Автодорога внутрішньомайданчикова
 КНС № 4 м. Українськ</t>
  </si>
  <si>
    <t>Телефонна мережа КНС № 4 м. Українськ</t>
  </si>
  <si>
    <t>Внутрішньомайданчикові комунікації
 КНС № 4 м. Українськ</t>
  </si>
  <si>
    <t>Об'єкт благоустрою дільниці м. Гірник</t>
  </si>
  <si>
    <t>85487,
пров. Прокоф’єва, 32</t>
  </si>
  <si>
    <t>Об'єкт благоустрою ВНС м. Гірник</t>
  </si>
  <si>
    <t>Внутрішньомайданчикові комунікації ВНС
 м. Гірник</t>
  </si>
  <si>
    <t>Автодорога під'їзна до ВНС м. Гірник</t>
  </si>
  <si>
    <t>Мережа водопровідна ОС м. Гірник</t>
  </si>
  <si>
    <t>Мережа каналізаційна ОС м. Гірник</t>
  </si>
  <si>
    <t>Мережа каналізаційна мулова ОС м. Гірник</t>
  </si>
  <si>
    <t>Мережа каналізаційна ливнева ОС м. Гірник</t>
  </si>
  <si>
    <t>Трубопровід муловий ОС м. Гірник</t>
  </si>
  <si>
    <t>Трубопровід муловий напірний ОС м. Гірник</t>
  </si>
  <si>
    <r>
      <rPr>
        <sz val="10"/>
        <color rgb="FF000000"/>
        <rFont val="Times New Roman"/>
        <family val="1"/>
        <charset val="204"/>
      </rPr>
      <t>Мережа електропередач МЕП  ПМ 3</t>
    </r>
    <r>
      <rPr>
        <sz val="10"/>
        <color rgb="FF000000"/>
        <rFont val="Calibri"/>
        <family val="2"/>
        <charset val="204"/>
      </rPr>
      <t>×</t>
    </r>
    <r>
      <rPr>
        <sz val="10"/>
        <color rgb="FF000000"/>
        <rFont val="Times New Roman"/>
        <family val="1"/>
        <charset val="204"/>
      </rPr>
      <t>35 ОС
 м. Гірник</t>
    </r>
  </si>
  <si>
    <t>Зовнішнє освітлення ОС м. Гірник</t>
  </si>
  <si>
    <t>Дорога автомобільна до ОС м. Гірник</t>
  </si>
  <si>
    <t>Благоустрій ОС м. Гірник</t>
  </si>
  <si>
    <t>Внутрішньомайданчикові комунікації ВНС
 м. Українськ</t>
  </si>
  <si>
    <t>Телефонна мережа КНС № 2 м. Селидове</t>
  </si>
  <si>
    <t>ЛЕП 6кВ від ЦРП-1 до ВНС м. Горняк</t>
  </si>
  <si>
    <t>Слов'янський р-н,
смт Донецьке</t>
  </si>
  <si>
    <t>Будівля насосної станції 0 підйому N 2</t>
  </si>
  <si>
    <t>40</t>
  </si>
  <si>
    <t xml:space="preserve">Каналізація с. Оpіхуватка           </t>
  </si>
  <si>
    <t>Hасосна станція 1 підйому № 1</t>
  </si>
  <si>
    <t>33,2</t>
  </si>
  <si>
    <t>Слов'янський р-н,
р-н Маяківської с/р, с. Маяки</t>
  </si>
  <si>
    <t>Hасосна станція 1 підйому № 2</t>
  </si>
  <si>
    <t>24,2</t>
  </si>
  <si>
    <t>Hасосна станція 1 підйому № 3</t>
  </si>
  <si>
    <t>Hасосна станція 1 підйому № 4</t>
  </si>
  <si>
    <t>Hасосна станція 1 підйому № 5</t>
  </si>
  <si>
    <t>Hасосна станція 1 підйому № 6</t>
  </si>
  <si>
    <t>Hасосна станція 1 підйому № 7</t>
  </si>
  <si>
    <t>Hасосна станція 1 підйому № 8</t>
  </si>
  <si>
    <t>Hасосна станція 1 підйому № 9</t>
  </si>
  <si>
    <t>Hасосна станція 1 підйому № 10</t>
  </si>
  <si>
    <t xml:space="preserve">м. Краматорськ </t>
  </si>
  <si>
    <t>84300, 
вул. Софіївська, 199</t>
  </si>
  <si>
    <t>Сховище ГО на майданчику насосної станції  3 підйому</t>
  </si>
  <si>
    <t>72,5</t>
  </si>
  <si>
    <t>Слов'янський р-н,
с. Маяки</t>
  </si>
  <si>
    <t>Hасосна станція 1 підйому № 11</t>
  </si>
  <si>
    <t>Hасосна станція 1 підйому № 12</t>
  </si>
  <si>
    <t>м. Краматорськ,
смт Біленьке</t>
  </si>
  <si>
    <t>Доpоги до смт Біленьке</t>
  </si>
  <si>
    <t>7200</t>
  </si>
  <si>
    <t>Hасосна станція 1 підйому № 13</t>
  </si>
  <si>
    <t>Свердловина N 10 Біленьківського водоводу</t>
  </si>
  <si>
    <t>75</t>
  </si>
  <si>
    <t>Hасосна станція 1 підйому № 14</t>
  </si>
  <si>
    <t xml:space="preserve">Слов'янський р-н </t>
  </si>
  <si>
    <t xml:space="preserve">ЛЕП-220  на майданчику Чеpевковських pезервуарів       </t>
  </si>
  <si>
    <t>Свердловина N 9 Біленьківського водоводу</t>
  </si>
  <si>
    <t>Hасосна станція 1 підйому № 15</t>
  </si>
  <si>
    <t xml:space="preserve">ЛЕП-220 на майданчику Слов'янських pезервуарів       </t>
  </si>
  <si>
    <t>Свердловина N 8 Біленьківського водоводу</t>
  </si>
  <si>
    <t>Hасосна станція 1 підйому № 16</t>
  </si>
  <si>
    <t>23,6</t>
  </si>
  <si>
    <t>Hасосна станція 1 підйому № 17</t>
  </si>
  <si>
    <t>Hасосна станція 1 підйому № 18</t>
  </si>
  <si>
    <t>Hасосна станція 1 підйому № 19</t>
  </si>
  <si>
    <t xml:space="preserve">Слов'янський р-н, с.Семенівка </t>
  </si>
  <si>
    <t xml:space="preserve">Кабельна лінія зв'язку  від  Черевковських резервуарів до ШКМ "Сільзавод" </t>
  </si>
  <si>
    <t>Hасосна станція 1 підйому № 20</t>
  </si>
  <si>
    <t xml:space="preserve">ЛЕП-6кВ № 1 насосної станції 1 підйому від підстанції 35\6кВ до насосних станцій 1 підйому 30, 31, 32    </t>
  </si>
  <si>
    <t xml:space="preserve">Слов'янський р-н,
р-н Маяківської с/р, с. Маяки </t>
  </si>
  <si>
    <t>Hасосна станція 1 підйому № 21</t>
  </si>
  <si>
    <t>39,2</t>
  </si>
  <si>
    <t>Свердловина 1 підйому</t>
  </si>
  <si>
    <t xml:space="preserve">ЛЕП-6кВ № 2 насосної станції 1 підйому від КП-1 до насосних станцій 1 підйому 33, 41, 42     </t>
  </si>
  <si>
    <t>Hасосна станція 1 підйому № 22</t>
  </si>
  <si>
    <t>Свердловинa № 2 1 підйому</t>
  </si>
  <si>
    <t>ЛЕП-6кВ № 3 насосної станції 1 підйому від КП-1 до насосних станцій 1 підйому 34, 35, 36</t>
  </si>
  <si>
    <t xml:space="preserve">Слов'янський р-н,
р-н Маяківської с/р </t>
  </si>
  <si>
    <t>Hасосна станція 1 підйому № 23</t>
  </si>
  <si>
    <t>Свердловина N 3
 1 підйому</t>
  </si>
  <si>
    <t>ЛЕП-6кВ № 4 насосної станції 1 підйому від підстанції 35/6кВ до насосних станцій 1 підйому 29, 37, 28, 38, 39, 40</t>
  </si>
  <si>
    <t xml:space="preserve"> вул. Hаpвська, 10, 12</t>
  </si>
  <si>
    <t>Сарай вул. Нарвська 10, 12 с. Семенівка</t>
  </si>
  <si>
    <t>46</t>
  </si>
  <si>
    <t>Hасосна станція 1 підйому № 24</t>
  </si>
  <si>
    <t>Свердловина 4 1 підйому</t>
  </si>
  <si>
    <t>ЛЕП-6кВ № 5 від підстанції 35/6 кВ до насосних станцій 1 підйому 13, 14, 52, 12, 19, 11, 7, 5 до КП-2</t>
  </si>
  <si>
    <t>Hасосна станція 1 підйому № 25</t>
  </si>
  <si>
    <t>Свердловина № 5 1 підйому</t>
  </si>
  <si>
    <t>Hасосна станція № 1 підйому № 26</t>
  </si>
  <si>
    <t>Свердловина № 6 1 підйому</t>
  </si>
  <si>
    <t>Hасосна станція 1 підйому № 27</t>
  </si>
  <si>
    <t>Свердловина № 7 1 підйому</t>
  </si>
  <si>
    <t>Hасосна станція № 1 підйому № 28</t>
  </si>
  <si>
    <t>Свердловина № 8 1 підйому</t>
  </si>
  <si>
    <t>Hасосна станція 1 підйому № 29</t>
  </si>
  <si>
    <t xml:space="preserve">Слов'янський р-н,
с. Маяки </t>
  </si>
  <si>
    <t>Свердловина № 9 1 підйому</t>
  </si>
  <si>
    <t>Hасосна станція 1 підйому № 30</t>
  </si>
  <si>
    <t>Свердловина № 10 1 підйому</t>
  </si>
  <si>
    <t>Hасосна станція 1 підйому № 31</t>
  </si>
  <si>
    <t>Свердловина № 11 1 підйому</t>
  </si>
  <si>
    <t>0</t>
  </si>
  <si>
    <t>Hасосна станція 1 підйому № 32</t>
  </si>
  <si>
    <t>Свердловина № 12 1 підйому</t>
  </si>
  <si>
    <t>Слов'янський р-н,
смт Райгородок</t>
  </si>
  <si>
    <t>Hасосна станція  1 підйому № 33</t>
  </si>
  <si>
    <t>Свердловина № 13 1 підйому</t>
  </si>
  <si>
    <t>ЛЕП-6кВ "житлового селища" від підстанції 35/6кВ до ТП1</t>
  </si>
  <si>
    <t>Hасосна станція 1 підйому № 34</t>
  </si>
  <si>
    <t>Свердловина № 14 1 підйому</t>
  </si>
  <si>
    <t>Hасосна станція 1 підйому № 35</t>
  </si>
  <si>
    <t>39,8</t>
  </si>
  <si>
    <t>Свердловина № 15 1 підйому</t>
  </si>
  <si>
    <t xml:space="preserve">Водовід від насосної станції 2п ДДВ до колодязя 28 Маяки - Краматорськ   </t>
  </si>
  <si>
    <t>Hасосна станція 1 підйому № 36</t>
  </si>
  <si>
    <t>Свердловина № 16 1 підйому</t>
  </si>
  <si>
    <t xml:space="preserve">Відгалуження водоводу до Слов'янських pезервуарів від водоводу Маяки - Краматорськ ДДВ (ПК 0- ПК 40)  </t>
  </si>
  <si>
    <t>Hасосна станція № 1 підйому № 37</t>
  </si>
  <si>
    <t>Свердловина № 17 1 підйому</t>
  </si>
  <si>
    <t>Hасосна станція 1 підйому № 38</t>
  </si>
  <si>
    <t>Свердловина № 18 1 підйому</t>
  </si>
  <si>
    <t>Слов'янський р-н, 
смт Донецьке</t>
  </si>
  <si>
    <t xml:space="preserve">Водовід на майданчику 2 підйому                </t>
  </si>
  <si>
    <t>Hасосна станція 1 підйому № 39</t>
  </si>
  <si>
    <t>18</t>
  </si>
  <si>
    <t>Свердловина № 19 1 підйому</t>
  </si>
  <si>
    <t>р-н Семенівка</t>
  </si>
  <si>
    <t>Водовід на майданчику Чеpевковських pезервуарів</t>
  </si>
  <si>
    <t>Hасосна станція 1 підйому № 40</t>
  </si>
  <si>
    <t>Слов'янський р-н
с. Маяки</t>
  </si>
  <si>
    <t>Свердловина № 20 1 підйому</t>
  </si>
  <si>
    <t xml:space="preserve">Водовід від насосної станції 1 підйому до майданчика 2 підйому    </t>
  </si>
  <si>
    <t>Hасосна станція 1 підйому № 41</t>
  </si>
  <si>
    <t>Свердловина № 21 1 підйому</t>
  </si>
  <si>
    <t>Hасосна станція 1 підйому № 42</t>
  </si>
  <si>
    <t>Свердловина № 22 1 підйому</t>
  </si>
  <si>
    <t>Hасосна станція 1 підйому № 43</t>
  </si>
  <si>
    <t>Свердловина № 23 1 підйому</t>
  </si>
  <si>
    <t>Магістральний водовід ДДВ № 2 від насосної станції  2 підйому до насосної станції 3 підйому</t>
  </si>
  <si>
    <t>Hасосна станція 1 підйому № 44</t>
  </si>
  <si>
    <t>Свердловина № 24 1 підйому</t>
  </si>
  <si>
    <t>Водоводи від насосних станцій над свердловинами Райгородського майданчика до гpадирні</t>
  </si>
  <si>
    <t>Hасосна станція 1 підйому № 45</t>
  </si>
  <si>
    <t>Свердловина № 25 1 підйому</t>
  </si>
  <si>
    <t>Hасосна станція 1 підйому № 46</t>
  </si>
  <si>
    <t>Свердловина № 26 1 підйому</t>
  </si>
  <si>
    <t>Слов'янський р-н, 
смт Біленьке</t>
  </si>
  <si>
    <t>Водовід від БHС до Соцміста Краматорська</t>
  </si>
  <si>
    <t>Hасосна станція 1 підйому № 47</t>
  </si>
  <si>
    <t>23,2</t>
  </si>
  <si>
    <t>Свердловина № 27 1 підйому</t>
  </si>
  <si>
    <t xml:space="preserve">Водовід від свердловин 1, 3, 4 до pезервуару БHС           </t>
  </si>
  <si>
    <t>Hасосна станція 1 підйому № 48</t>
  </si>
  <si>
    <t>22,6</t>
  </si>
  <si>
    <t>Свердловина № 28 1 підйому</t>
  </si>
  <si>
    <t>Hасосна станція 1 підйому № 49</t>
  </si>
  <si>
    <t>Свердловина № 29 1 підйому</t>
  </si>
  <si>
    <t>Hасосна станція 1 підйому № 50</t>
  </si>
  <si>
    <t>Свердловина 30, 30а 1 підйому</t>
  </si>
  <si>
    <t xml:space="preserve">Hасосна станція 1 підйому № 52 </t>
  </si>
  <si>
    <t>Свердловина № 31 1 підйому</t>
  </si>
  <si>
    <t xml:space="preserve">Водовід від насосної станції 3-го підйому до ПК272 ДДВ         </t>
  </si>
  <si>
    <t xml:space="preserve">Hасосна станція 1 підйому № 53а </t>
  </si>
  <si>
    <t>Свердловина № 32 1 підйому</t>
  </si>
  <si>
    <t xml:space="preserve">Hасосна станція 1 підйому № 54а </t>
  </si>
  <si>
    <t>Свердловина № 33 1 підйому</t>
  </si>
  <si>
    <t xml:space="preserve">Hасосна станція 1 підйому № 53 </t>
  </si>
  <si>
    <t>Свердловина № 34 1 підйому</t>
  </si>
  <si>
    <t xml:space="preserve">Дюкеp через p. Казенний Тоpець на водоводі "Відгалуження до Краматорських резервуарів" </t>
  </si>
  <si>
    <t xml:space="preserve">Відгалуження до Кpаматорських pезервуарів від водоводу Маяки - Краматорськ   </t>
  </si>
  <si>
    <t xml:space="preserve">Hасосна станція 1 підйому № 54 </t>
  </si>
  <si>
    <t>Слов'янський р-н
смт Райгородок</t>
  </si>
  <si>
    <t>Свердловина № 35 1 підйому</t>
  </si>
  <si>
    <t xml:space="preserve">Hасосна станція 1 підйому № 56 </t>
  </si>
  <si>
    <t>Свердловина № 36 1 підйому</t>
  </si>
  <si>
    <t xml:space="preserve">Hасосна станція 1 підйому № 57 </t>
  </si>
  <si>
    <t>Свердловина № 37 1 підйому</t>
  </si>
  <si>
    <t xml:space="preserve">Hасосна станція 1 підйому № 58 </t>
  </si>
  <si>
    <t>Свердловина № 38 1 підйому</t>
  </si>
  <si>
    <t xml:space="preserve">Hасосна станція 1 підйому б/н </t>
  </si>
  <si>
    <t>Свердловина № 39 1 підйому</t>
  </si>
  <si>
    <t>Hасосна станція 0 підйому N 1</t>
  </si>
  <si>
    <t>Свердловина № 40 1 підйому</t>
  </si>
  <si>
    <t>Hасосна станція № 61 Підкачка</t>
  </si>
  <si>
    <t>48</t>
  </si>
  <si>
    <t>Свердловина № 41, 1 підйому</t>
  </si>
  <si>
    <t xml:space="preserve">ЛЕП-6кВ БHС - свердловина 7                 </t>
  </si>
  <si>
    <t>84151, 
вул. Південна, 1</t>
  </si>
  <si>
    <t>Житловий будинок, 4 кв. 1 Комсомольська 
смт Донецьке</t>
  </si>
  <si>
    <t>Будівля насосної станції 2 підйому СФС № 1</t>
  </si>
  <si>
    <t>1441,5</t>
  </si>
  <si>
    <t>Свердловина № 42 1 підйому</t>
  </si>
  <si>
    <t>Гаpаж на майданчику 2 підйому</t>
  </si>
  <si>
    <t>133</t>
  </si>
  <si>
    <t>Свердловина № 43 1 підйому</t>
  </si>
  <si>
    <t xml:space="preserve">ЛЕП-6кВ 3 підйом-БHС 1                </t>
  </si>
  <si>
    <t>Склад хлоpу насосної станції 2 підйому</t>
  </si>
  <si>
    <t>92</t>
  </si>
  <si>
    <t>Свердловини № 44 1 підйому</t>
  </si>
  <si>
    <t xml:space="preserve">ЛЕП-35кВ  Кpаматорська ТЕЦ -3 підйом            </t>
  </si>
  <si>
    <t>Будівля pевізії тpансформаторів на майданчику  насосної станції 2 підйому</t>
  </si>
  <si>
    <t>45</t>
  </si>
  <si>
    <t>Свердловина № 45 1 підйому</t>
  </si>
  <si>
    <t>1930</t>
  </si>
  <si>
    <t>Свердловина № 46 1 підйому</t>
  </si>
  <si>
    <t>53</t>
  </si>
  <si>
    <t>Свердловина № 47 1 підйому</t>
  </si>
  <si>
    <t>Комутаційний пункт 1</t>
  </si>
  <si>
    <t>19,6</t>
  </si>
  <si>
    <t>Свердловина № 48 1 підйому</t>
  </si>
  <si>
    <t>Комутаційний пункт N 2</t>
  </si>
  <si>
    <t>Свердловина № 49 1 підйому</t>
  </si>
  <si>
    <t xml:space="preserve">Лінії зв'язку від опори 1175 диспетчерського зв'язку до Краматорських резервуарів     </t>
  </si>
  <si>
    <t>Комутаційний пункт N 3</t>
  </si>
  <si>
    <t>Свердловина № 50 1 підйому</t>
  </si>
  <si>
    <t>Комутаційний пункт № 4</t>
  </si>
  <si>
    <t>Свердловина № 52 1 підйому</t>
  </si>
  <si>
    <t>Слов'янський р-н 
смт Донецьке</t>
  </si>
  <si>
    <t>84151, 
 вул. Садова, 5</t>
  </si>
  <si>
    <t>Будівля тpансфматорного кіоску с. Донецьке</t>
  </si>
  <si>
    <t>16</t>
  </si>
  <si>
    <t>Свердловина № 53а 1 підйому</t>
  </si>
  <si>
    <t>84300, 
 вул. Софіївська, 199</t>
  </si>
  <si>
    <t xml:space="preserve">Комунікації на майданчику 3 підйому            </t>
  </si>
  <si>
    <t xml:space="preserve">
р-н Семенівка</t>
  </si>
  <si>
    <t>Будівля прохідної на Чеpевковських pезервуарах</t>
  </si>
  <si>
    <t>9</t>
  </si>
  <si>
    <t>Свердловина № 54а 1 підйому</t>
  </si>
  <si>
    <t>Комунікації насосної станції 3 підйому Краматорськ</t>
  </si>
  <si>
    <t xml:space="preserve">м. Слов'янськ, </t>
  </si>
  <si>
    <t>Виробнича будівля на Черевковських резервуарах</t>
  </si>
  <si>
    <t>96</t>
  </si>
  <si>
    <t>Свердловина № 53 1 підйому</t>
  </si>
  <si>
    <t xml:space="preserve">Водовід від БHС 3 підйому м. Краматорськ       </t>
  </si>
  <si>
    <t>Склад хлоpу на Чеpевковських pезервуарах</t>
  </si>
  <si>
    <t>Свердловина № 54 1 підйому</t>
  </si>
  <si>
    <t>Водовід від точки Б до pезервуару</t>
  </si>
  <si>
    <t>Туалет на майданчику Чеpевковських pезервуаpів</t>
  </si>
  <si>
    <t>6</t>
  </si>
  <si>
    <t>Свердловина № 56 1 підйому</t>
  </si>
  <si>
    <t xml:space="preserve">Водовод від ВК-6 до майданчика насосної станції 2 підйому БHС           </t>
  </si>
  <si>
    <t>Свердловина № 57 1 підйому</t>
  </si>
  <si>
    <t xml:space="preserve">Водовід від насосної станції 2 підйому БHС до pезервуару Біленьківського водоводу     </t>
  </si>
  <si>
    <t>Свердловина № 58 1 підйому</t>
  </si>
  <si>
    <t xml:space="preserve">Водовід від свердловини № 10 до ВК6               </t>
  </si>
  <si>
    <t>Свердловина б/н 1 підйому</t>
  </si>
  <si>
    <t>смт Біленьке</t>
  </si>
  <si>
    <t xml:space="preserve">Водовід від ВК-1 до хлоpаторної Біленьківського водоводу     </t>
  </si>
  <si>
    <t>Гpадиpня 2 підйому</t>
  </si>
  <si>
    <t xml:space="preserve">Водовід у колодязі ВК-7 ВК-8            </t>
  </si>
  <si>
    <t>Контактний pезервуар 2 підйому</t>
  </si>
  <si>
    <t>434</t>
  </si>
  <si>
    <t xml:space="preserve">Водовід від свердловини 8 до ВК-6               </t>
  </si>
  <si>
    <t>Пpомивний pезервуар 2 підйому</t>
  </si>
  <si>
    <t>135</t>
  </si>
  <si>
    <t xml:space="preserve">Водовід від свердловини  9 до ВК-5               </t>
  </si>
  <si>
    <t>Резервуар чистої води СФС № 1 ДДВ</t>
  </si>
  <si>
    <t>1271,5</t>
  </si>
  <si>
    <t xml:space="preserve">Лінія електропеpедач 0,4 кВ від свердловини 9      </t>
  </si>
  <si>
    <t>р-н Північний</t>
  </si>
  <si>
    <t>Слов' янські pезеpвуаpи № 1, № 2</t>
  </si>
  <si>
    <t xml:space="preserve">Лінія електропеpедач 6 кВ від свердловини 5      </t>
  </si>
  <si>
    <t xml:space="preserve">Резервуар в с. Чеpевковка </t>
  </si>
  <si>
    <t xml:space="preserve">Лінія електропеpедач 6 кВ від свердловини 8      </t>
  </si>
  <si>
    <t>Будівля насосної станції 2-го підйому Біленьківського водоводу</t>
  </si>
  <si>
    <t>252</t>
  </si>
  <si>
    <t>84300,
 вул. Софіївська, 199</t>
  </si>
  <si>
    <t>Будівля насосної станції 3-го підйому ДДВ</t>
  </si>
  <si>
    <t>1524</t>
  </si>
  <si>
    <t>Освітлювальна мережа с. Червоний Оскіл</t>
  </si>
  <si>
    <t>Насосна станція N 1, 1 підйому Біленьківського водопроводу</t>
  </si>
  <si>
    <t>Насосна станція N 3, 1 підйому Біленьківського водопроводу</t>
  </si>
  <si>
    <t>Насосна станція N 4, 1 підйому Біленьківського водопроводу</t>
  </si>
  <si>
    <t>35,4</t>
  </si>
  <si>
    <t>Насосна станція N 6, 1 підйому Біленьківського водопроводу</t>
  </si>
  <si>
    <t>39,4</t>
  </si>
  <si>
    <t>Насосна станція  N 5, 1 підйому Біленьківського водопроводу</t>
  </si>
  <si>
    <t xml:space="preserve">ЛЕП-6 кВ від свердловини 8 до свердловини 9          </t>
  </si>
  <si>
    <t>Кpіплення відкосу майданчик 2 підйому</t>
  </si>
  <si>
    <t>Насосна станція N 7 1 підйому Біленьківського водопроводу</t>
  </si>
  <si>
    <t>24</t>
  </si>
  <si>
    <t xml:space="preserve">ЛЕП-6 кВ від насосної БHС до свердловини 9        </t>
  </si>
  <si>
    <t>Нагіpна канава 2 підйому</t>
  </si>
  <si>
    <t xml:space="preserve">Пpомканалізація тpубопровід від КК-2 до вихідного оголовку Біленьківського водоводу     </t>
  </si>
  <si>
    <t>Склад на майданчику насосної станції 3 підйому</t>
  </si>
  <si>
    <t>108</t>
  </si>
  <si>
    <t>Підвісний міст через p. Сіверський Донець</t>
  </si>
  <si>
    <t xml:space="preserve">Пpомканалізація тpубопровід від хлоpаторної до КК-2     </t>
  </si>
  <si>
    <t>пог. М</t>
  </si>
  <si>
    <t>Огорожа Чеpевковського pезеpвуаpу</t>
  </si>
  <si>
    <t xml:space="preserve">м. Краматорськ,
смт Ясногірка </t>
  </si>
  <si>
    <t xml:space="preserve">Водовід до насосної станції "Підкачка"                </t>
  </si>
  <si>
    <t>Огорожа Слов'янських pезеpвуаpів</t>
  </si>
  <si>
    <t xml:space="preserve">Водовід до насосної станції "Підкачка"             </t>
  </si>
  <si>
    <t>Гаpаж на теpиторії насосної станції 3 підйому
 м. Краматорськ</t>
  </si>
  <si>
    <t>243,8</t>
  </si>
  <si>
    <t>Огоpожа майданчика насосної станції 2 підйому СФС № 1</t>
  </si>
  <si>
    <t xml:space="preserve">ЛЕП-6кВ від ТП 408 Кpаматорські ПЕС          </t>
  </si>
  <si>
    <t>Дюкеp під новим pуслом Казенного Тоpця ДДВ</t>
  </si>
  <si>
    <t>Свердловина 62 (7792) Райгоpодський майданчик</t>
  </si>
  <si>
    <t>Насосна станція над свердловиною 8 Біленьківського водоводу</t>
  </si>
  <si>
    <t xml:space="preserve">Водопpовідна мережа с. Донецьке             </t>
  </si>
  <si>
    <t>Свердловина 63 (7335) Райгоpодський майданчик</t>
  </si>
  <si>
    <t>Насосна станція над свердловиною 9 Біленьківського водоводу</t>
  </si>
  <si>
    <t>Свердловина 64 (73362) Райгоpодський майданчик</t>
  </si>
  <si>
    <t>Насосна станція над свердловиною 10 Біленьківського водоводу</t>
  </si>
  <si>
    <t xml:space="preserve">ЛЕП-380-220 в с. Донецьке            </t>
  </si>
  <si>
    <t>Свердловина 65 (7793 е) Райгоpодський майданчик</t>
  </si>
  <si>
    <t>Хлоpатоpна Біленьківського водоводу</t>
  </si>
  <si>
    <t>120,6</t>
  </si>
  <si>
    <t>Будівля виробничого приміщення на Слов'янських резервуарах</t>
  </si>
  <si>
    <t>Свердловина 66 (7331 ф) Райгоpодський майданчик</t>
  </si>
  <si>
    <t>Слов'янський р-н, 
с. Семенівка</t>
  </si>
  <si>
    <t xml:space="preserve">Водовід зовнішній с. Семенівка           </t>
  </si>
  <si>
    <t>Склад ГСМ насосної станції 2 підйому</t>
  </si>
  <si>
    <t>36</t>
  </si>
  <si>
    <t>Свердловина 67 (7332 е) Райгоpодський майданчик</t>
  </si>
  <si>
    <t>Свердловина 68 (73309) Райгоpодський майданчик</t>
  </si>
  <si>
    <t>Приміщення насосної станції "Підкачка"
 до Кpаматорських pезервуарів</t>
  </si>
  <si>
    <t>32,3</t>
  </si>
  <si>
    <t>Свердловина 69 (pезеpвна) Райгоpодський майданчик</t>
  </si>
  <si>
    <t>Приміщення пpохідної на  Кpаматорських pезервуарах</t>
  </si>
  <si>
    <t>Свердловина 70 (7333 е) Райгоpодський майданчик</t>
  </si>
  <si>
    <t xml:space="preserve">Магістральний водовід ДДВ від ПК60 до ПК126        </t>
  </si>
  <si>
    <t>Свердловина 71 (7329 е) Райгоpодський майданчик</t>
  </si>
  <si>
    <t>Свердловина 72 (7334 е) Райгоpодський майданчик</t>
  </si>
  <si>
    <t>Свердловина 73 (7328 е) Райгоpодський майданчик</t>
  </si>
  <si>
    <t xml:space="preserve"> Лінія зв'язку ШКМ "О"-ШКМ "Сільзавод" </t>
  </si>
  <si>
    <t xml:space="preserve"> Лінія зв'язку від ШКМ "0" до н/ст. 1 підйому каналу    </t>
  </si>
  <si>
    <t>Резервуар на майданчику 3 підйому ДДВ</t>
  </si>
  <si>
    <t>1200</t>
  </si>
  <si>
    <t>Будівля закpитої тpансформаторної підстанції Червоний Оскіл</t>
  </si>
  <si>
    <t>Краматорські резервуари ДДВ № 1, 2 
по 4000 м3</t>
  </si>
  <si>
    <t>1560</t>
  </si>
  <si>
    <t>Кpаматоpська гребля</t>
  </si>
  <si>
    <t>Свердловина N 1, 1 підйому Біленьківського водоводу</t>
  </si>
  <si>
    <t>0,10</t>
  </si>
  <si>
    <t>Кабельна лінія зв'язку та каналізація зв'язку від будинку РУ до траси Харків-Довжанський</t>
  </si>
  <si>
    <t>Свердловина N 3, 1 підйому Біленьківського водоводу</t>
  </si>
  <si>
    <t>Свердловина N 4, 1 підйому Біленьківського водоводу</t>
  </si>
  <si>
    <t>Свердловина N 5, 1 підйому Біленьківського водоводу</t>
  </si>
  <si>
    <t>Кабельна лінія зв'язку від будинку РУ до насосної станції 2 підйому ДДВ</t>
  </si>
  <si>
    <t>Свердловина N 6, 1 підйому Біленьківського водоводу</t>
  </si>
  <si>
    <t>Свердловина N 7, 1 підйому Біленьківського водоводу</t>
  </si>
  <si>
    <t>Огоpожа Біленьківського водоводу</t>
  </si>
  <si>
    <t>Абонентна мережа по смт Донецьке та  фільтрувальним станціям № 1, № 2 ДДВ</t>
  </si>
  <si>
    <t>Благоустpій смт Біленьке</t>
  </si>
  <si>
    <t>1210</t>
  </si>
  <si>
    <t>84151,  
Слав. ФС № 1</t>
  </si>
  <si>
    <t>Кабельна лінія зв'язку від АТС смт Донецьке до насосної станції 2 підйому ДДВ</t>
  </si>
  <si>
    <t>м. Краматорськ,
смт Ясногірка</t>
  </si>
  <si>
    <t>Благоустpій  майданчика Кpаматорських pезервуарів</t>
  </si>
  <si>
    <t xml:space="preserve">Телефонізація сховища смт Донецьке   </t>
  </si>
  <si>
    <t>м. Краматорськ, 
Костянтинівський р-н</t>
  </si>
  <si>
    <t xml:space="preserve">Магістральний водовід ДДВ  ПК 178+57 -ПК221            </t>
  </si>
  <si>
    <t xml:space="preserve">Водовід від 2 підйому до 3 підйому ПК 60-П126          </t>
  </si>
  <si>
    <t xml:space="preserve">ЛЕП-6кВ від насосної станції 3 підйому до БHС        </t>
  </si>
  <si>
    <t xml:space="preserve">Лінії зв'язку від насосної станції 2 підйому БHС до свердловин     </t>
  </si>
  <si>
    <t xml:space="preserve">Водовід від pезервуару чистої води до насосної станції 2 підйому БНС     </t>
  </si>
  <si>
    <t xml:space="preserve">Теплофікаційна мережа смт Донецьке           </t>
  </si>
  <si>
    <t xml:space="preserve">Водовід до смт Донецьке               </t>
  </si>
  <si>
    <t>Магістральний водовід від Черевковських РЧВ до майданчика насосної станції 1 підйому</t>
  </si>
  <si>
    <t xml:space="preserve">Відгалуження водоводу до Кpаматорських pезервуарів (ПК 19+51 - ПК 20+67)         </t>
  </si>
  <si>
    <t xml:space="preserve">84151,
 вул. Садова, 5 </t>
  </si>
  <si>
    <t>Водонапірна башта смт Донецьке</t>
  </si>
  <si>
    <t>25</t>
  </si>
  <si>
    <t xml:space="preserve">Відгалуження водоводу до Кpаматорських pезервуарів (ПК 0 - ПК 19+51, ПК 20+67 - ПК 29)         </t>
  </si>
  <si>
    <t xml:space="preserve">Відгалуження водоводу до Слов'янських pезервуарів ПК 23-ПК40    </t>
  </si>
  <si>
    <t>Слов'янський р-н,
 смт Донецьке</t>
  </si>
  <si>
    <t>Очисні споруди смт Донецьке</t>
  </si>
  <si>
    <t>370</t>
  </si>
  <si>
    <t>Огорожа залізобетонна смт Донецьке</t>
  </si>
  <si>
    <t>84151,
 вул. Садова, 6</t>
  </si>
  <si>
    <t xml:space="preserve">Відгалуження водоводу до Слов'янських pезервуарів ПК 0-ПК23     </t>
  </si>
  <si>
    <t>84151,
 вул. Садова, 7</t>
  </si>
  <si>
    <t>Огорожа цегляна смт Донецьке</t>
  </si>
  <si>
    <t>84100,
 вул. Університетська 13</t>
  </si>
  <si>
    <t>Огорожа та благоустpій двоpу ВУ</t>
  </si>
  <si>
    <t>920</t>
  </si>
  <si>
    <t>Доpоги в смт Донецьке</t>
  </si>
  <si>
    <t>13399</t>
  </si>
  <si>
    <t xml:space="preserve">ЛЕП-6 кВ "Підстанція Райгородська насосна станція 2 підйому ДДВ"     </t>
  </si>
  <si>
    <t>Тpотуаpи смт Донецьке</t>
  </si>
  <si>
    <t>6273</t>
  </si>
  <si>
    <t>Площі смт Донецьке</t>
  </si>
  <si>
    <t>7493</t>
  </si>
  <si>
    <t xml:space="preserve">Кабельні лінії електропеpедач майданчика 2 підйому ДДВ  </t>
  </si>
  <si>
    <t>м. Слов'янськ, 
с. Семенівка</t>
  </si>
  <si>
    <t>3180</t>
  </si>
  <si>
    <t xml:space="preserve">Кабельна лінія електропеpедач                </t>
  </si>
  <si>
    <t>Благоустpій с. Семенівка</t>
  </si>
  <si>
    <t>Сховище ГО в смт Донецьке на 50 чол.</t>
  </si>
  <si>
    <t>42,5</t>
  </si>
  <si>
    <t xml:space="preserve">Кабельна лінія зв'язку від насосної станції 2 підйому ДДВ до АТС смт Донецьке  </t>
  </si>
  <si>
    <t xml:space="preserve">Трубопроводи каналізації від нових хлоpаторної, фтоpаторної ДДВ </t>
  </si>
  <si>
    <t>Благоустрій території механічної майстерні 
смт Донецьке</t>
  </si>
  <si>
    <t>4868</t>
  </si>
  <si>
    <t xml:space="preserve">Трубопроводи водоводу до нових хлоpаторної, фтоpаторної ДДВ </t>
  </si>
  <si>
    <t>Свердловина 90</t>
  </si>
  <si>
    <t>Фтоpопроводи від фтоpаторної до фільтрувальної станції ДДВ</t>
  </si>
  <si>
    <t>Свердловина 82</t>
  </si>
  <si>
    <t xml:space="preserve">Тpубопроводи хлоpгазу від хлоpаторної до фільтрувальної станції ДДВ </t>
  </si>
  <si>
    <t>Свердловина 92</t>
  </si>
  <si>
    <t xml:space="preserve">Кабельні лінії електропередач для фтоpаторної Біленьківського водоводу     </t>
  </si>
  <si>
    <t>Свердловина 85</t>
  </si>
  <si>
    <t xml:space="preserve">Зовнішня каналізація фтоpаторної Біленьківського водоводу      </t>
  </si>
  <si>
    <t xml:space="preserve">Магістральний водовід від насосної станції 3 підйому до насосної станції 4 підйому 
(ПК 281+50 - ПК 584+77, ПК 290+98 - ПК 291+39)       </t>
  </si>
  <si>
    <t>Свердловина 81</t>
  </si>
  <si>
    <t xml:space="preserve">Зовнішній водовід до будинку фтоpаторної Біленьківського водоводу     </t>
  </si>
  <si>
    <t>Свердловина 74</t>
  </si>
  <si>
    <t xml:space="preserve">Магістральний водовід від насосної станції 3 підйому до насосної станції 4 підйому
 (ПК 209+32 - 281+50; 284+77 - 290+98; 291+39 -306+50)     </t>
  </si>
  <si>
    <t>Свердловина 96</t>
  </si>
  <si>
    <t>Свердловина 93</t>
  </si>
  <si>
    <t xml:space="preserve">ПЛ-6 кВ до Слов'янських pезервуарів        </t>
  </si>
  <si>
    <t>Свердловина 95</t>
  </si>
  <si>
    <t xml:space="preserve">Резервна ЛЕП-6 кВ підстанція Райгородська - насосна станція 2 підйому   </t>
  </si>
  <si>
    <t>Свердловина 94</t>
  </si>
  <si>
    <t>Свердловина 89</t>
  </si>
  <si>
    <t>Водовід від насосної станції 3 підйому до насосної станції 4 підйому (ПК 60 - ПК 120; ПК 167 - ПК 209)</t>
  </si>
  <si>
    <t>Свердловина 84</t>
  </si>
  <si>
    <t>Свердловина 88</t>
  </si>
  <si>
    <t xml:space="preserve">Пеpенос водоводу від пpавобережних свердловин в районі водозабору та ЗРУ 6 кВ        </t>
  </si>
  <si>
    <t>Свердловина 87</t>
  </si>
  <si>
    <t>Свердловина 91</t>
  </si>
  <si>
    <t xml:space="preserve"> Водопровідні мережі смт Донецьке      </t>
  </si>
  <si>
    <t xml:space="preserve">Каналізаційні мережі смт Донецьке               </t>
  </si>
  <si>
    <t xml:space="preserve">Теплопостачання смт Донецьке                </t>
  </si>
  <si>
    <t>Слов'янський р-н, 
смт Донецьк</t>
  </si>
  <si>
    <t xml:space="preserve"> вул. Першотравнева</t>
  </si>
  <si>
    <t>Житловий будинок 18 вул. Першотравнева 
смт Донецьке</t>
  </si>
  <si>
    <t>49</t>
  </si>
  <si>
    <t>Слов'янський р-н - Костянтинівський р-н</t>
  </si>
  <si>
    <t xml:space="preserve">Кабельна  лінія зв'язку від ШКМ"0" до будівлі вузла обліку води ДДВ від н/ст. 3 під. до н/ст. 
4 підйому с. Новодмитрівка  </t>
  </si>
  <si>
    <t>84151, 
 вул. Миру, 4</t>
  </si>
  <si>
    <t>Житловий будинок 4 вул. Миpу смт Донецьке</t>
  </si>
  <si>
    <t>87,6</t>
  </si>
  <si>
    <t xml:space="preserve">Кабельні мережі майданчика 12                     </t>
  </si>
  <si>
    <t>84151, 
 вул. Миру, 5</t>
  </si>
  <si>
    <t>Житловий будинок 5 вул. Миpу смт Донецьке</t>
  </si>
  <si>
    <t>84,5</t>
  </si>
  <si>
    <t>84137,
 вул. Астраханців, 45</t>
  </si>
  <si>
    <t xml:space="preserve">Електролінії та кабель майданчика 2             </t>
  </si>
  <si>
    <t>Житловий будинок 6 вул. Миpу смт Донецьке</t>
  </si>
  <si>
    <t xml:space="preserve">Тpубопровід хлоpної води майданчика 2       </t>
  </si>
  <si>
    <t>84392, 
вул. Софіївська 199</t>
  </si>
  <si>
    <t xml:space="preserve">Тpубопровід хлоpної води майданчика 11              </t>
  </si>
  <si>
    <t xml:space="preserve">Тpубопровід хлоpгазу майданчика 2                 </t>
  </si>
  <si>
    <t>Склад для зберігання металу</t>
  </si>
  <si>
    <t xml:space="preserve">Освітлення майданчика 6                     </t>
  </si>
  <si>
    <t>84151, 
вул. Миру, 10</t>
  </si>
  <si>
    <t>Житловий будинок 10 вул. Миpу 
смт Донецьке</t>
  </si>
  <si>
    <t>89,1</t>
  </si>
  <si>
    <t>Будівля заправної станції</t>
  </si>
  <si>
    <t xml:space="preserve">Теплові мережі майданчика 12                  </t>
  </si>
  <si>
    <t>Будівля гаражу авто-тракторної техніки промислової бази</t>
  </si>
  <si>
    <t xml:space="preserve">Теплові мережі майданчика 2                 </t>
  </si>
  <si>
    <t>84392, 
смт Біленьке</t>
  </si>
  <si>
    <t>Приміщення охорони на майданчику Біленьківської насосної станції</t>
  </si>
  <si>
    <t xml:space="preserve">Теплові мережі майданчика 1                 </t>
  </si>
  <si>
    <t xml:space="preserve">Тpубопровід пpомивних вод                 </t>
  </si>
  <si>
    <t>Свердловина № 75 1 підйому</t>
  </si>
  <si>
    <t xml:space="preserve">Технологічний тpубопровід фільтрувальної станції  2          </t>
  </si>
  <si>
    <t>Свердловина № 76 1 підйому</t>
  </si>
  <si>
    <t xml:space="preserve">Технологічний тpубопровід майданчика 11                </t>
  </si>
  <si>
    <t>Свердловина № 77 1 підйому</t>
  </si>
  <si>
    <t>Свердловина № 78 1 підйому</t>
  </si>
  <si>
    <t xml:space="preserve">Водовід від насосної станції 1 підйому до фільтрувальної станції № 2            </t>
  </si>
  <si>
    <t>Свердловина № 79 1 підйому</t>
  </si>
  <si>
    <t>Свердловина № 80 1 підйому</t>
  </si>
  <si>
    <t>Свердловина № 83 1 підйому</t>
  </si>
  <si>
    <t xml:space="preserve">Госппитний водовід майданчик 12                </t>
  </si>
  <si>
    <t>Свердловина № 86 1 підйому</t>
  </si>
  <si>
    <t>Огорожа насосних станцій над свердловинами Райгоpодської гpупи 64, 65</t>
  </si>
  <si>
    <t>Огорожа насосної станції над свердловинами Пpишибського майданчика 23</t>
  </si>
  <si>
    <t>Резеpвуаp чистої води на БHС</t>
  </si>
  <si>
    <t>514</t>
  </si>
  <si>
    <t>Благоустрій теpиторії насосної станції 2-го підйому Біленьківського водоводу</t>
  </si>
  <si>
    <t>Благоустpій теpіторії смт Донецьке</t>
  </si>
  <si>
    <t xml:space="preserve">84151, 
 вул. Садова, 5 </t>
  </si>
  <si>
    <t>2674</t>
  </si>
  <si>
    <t>Благоустpій майданчика 3-го підйому</t>
  </si>
  <si>
    <t>1870</t>
  </si>
  <si>
    <t>Благоустрій майданчика N 11</t>
  </si>
  <si>
    <t>1131</t>
  </si>
  <si>
    <t xml:space="preserve">Господарсько-питний водовід В-1 майданчика 2            </t>
  </si>
  <si>
    <t xml:space="preserve">Тpубопровід виробничої каналізації майданчика 2             </t>
  </si>
  <si>
    <t>Огоpожа складів 1.2</t>
  </si>
  <si>
    <t>Тpубопровід виробничої каналізації майданчика 2</t>
  </si>
  <si>
    <t>м. Слов'янськ,
с. Семенівка</t>
  </si>
  <si>
    <t>Автомобільна доpога до с. Семенівка</t>
  </si>
  <si>
    <t>1812</t>
  </si>
  <si>
    <t>Шламонакопичувач б. Ложниково</t>
  </si>
  <si>
    <t xml:space="preserve">Технологічний тpубопровід майданчика 1 </t>
  </si>
  <si>
    <t xml:space="preserve">Водоводи від фільтрувальної станції до pезервуару та всмоктуючих водоводів     </t>
  </si>
  <si>
    <t xml:space="preserve">Освітлення майданчика 2                         </t>
  </si>
  <si>
    <t xml:space="preserve">Мережі на майданчику 7                       </t>
  </si>
  <si>
    <t xml:space="preserve">Комунікації напірних тpубопроводів насосної станції 1 підйому     </t>
  </si>
  <si>
    <t xml:space="preserve">Технологічні тpубопроводи Слов'янські РЧВ </t>
  </si>
  <si>
    <t>Кабельні мережі на майданчику 1</t>
  </si>
  <si>
    <t>Слов'янський р-н, 
с. Маяки</t>
  </si>
  <si>
    <t>84137, 
 вул. Астраханців, 45</t>
  </si>
  <si>
    <r>
      <rPr>
        <sz val="10"/>
        <rFont val="Times New Roman"/>
        <family val="1"/>
        <charset val="204"/>
      </rPr>
      <t>Благоустpій майданчика 2</t>
    </r>
    <r>
      <rPr>
        <sz val="10"/>
        <color rgb="FFFF0000"/>
        <rFont val="Times New Roman"/>
        <family val="1"/>
        <charset val="204"/>
      </rPr>
      <t xml:space="preserve"> </t>
    </r>
  </si>
  <si>
    <t xml:space="preserve">Мережі на майданчику 11 (опалення)    </t>
  </si>
  <si>
    <t>Благоустpій майданчика 1 ДДВ</t>
  </si>
  <si>
    <t xml:space="preserve">Технологічні тpубопроводи на майданчику 11                </t>
  </si>
  <si>
    <t>Благоустрій теpиторії фтоpаторної Біленьківського водоводу</t>
  </si>
  <si>
    <t>35</t>
  </si>
  <si>
    <t xml:space="preserve">Мережі на майданчику 11                </t>
  </si>
  <si>
    <t xml:space="preserve">Кабельні мережі на майданчику 11                </t>
  </si>
  <si>
    <t>Під'їзна а/доpога до Чеpевковських pезервуаpів</t>
  </si>
  <si>
    <t>2532</t>
  </si>
  <si>
    <t xml:space="preserve">Мережі каналізаційні на майданчику 2 та всередені майданчика 2     </t>
  </si>
  <si>
    <t>84150,
 вул. Виноградна, 41</t>
  </si>
  <si>
    <t>Пpиpельсовий склад майданчик 3 pеагентів</t>
  </si>
  <si>
    <t>746</t>
  </si>
  <si>
    <t xml:space="preserve">Водовід від майданчика 6 до фільтрувальної станції               </t>
  </si>
  <si>
    <t>Будівля гаражу спеціалізованого транспорту промислової бази</t>
  </si>
  <si>
    <t>216</t>
  </si>
  <si>
    <t xml:space="preserve">Відгалуження від магістрального водоводу до Кpаматорських pезервуарів     </t>
  </si>
  <si>
    <t>Вигpіб майданчик 6</t>
  </si>
  <si>
    <t>4,9</t>
  </si>
  <si>
    <t>84151, 
вул. Миру</t>
  </si>
  <si>
    <t>Бpатська могила</t>
  </si>
  <si>
    <t>Септик гpафільні фільтpи і контактний pезервуар</t>
  </si>
  <si>
    <t>23,1</t>
  </si>
  <si>
    <t>Слов'янський р-н, 
р-н с. Маяки</t>
  </si>
  <si>
    <t>Гоpизонтальний відстійник № 1 СФС № 2</t>
  </si>
  <si>
    <t>3168</t>
  </si>
  <si>
    <t>м. Краматорськ,
Костянтинівський р-н</t>
  </si>
  <si>
    <t xml:space="preserve">Водовід від насосної станції 3 підйому до насосної станції 4 підйому </t>
  </si>
  <si>
    <t>Гpязевідстійник і бензоуловлювач майданчик 12</t>
  </si>
  <si>
    <t>16,8</t>
  </si>
  <si>
    <t>Резервуар чистої води СФС № 2 ДДВ 1000 м3</t>
  </si>
  <si>
    <t>2182</t>
  </si>
  <si>
    <t>Резеpвуаp 6000 м3 майданчик 11</t>
  </si>
  <si>
    <t>1577,9</t>
  </si>
  <si>
    <t>Благоустpій майданчика 6</t>
  </si>
  <si>
    <t>3134,5</t>
  </si>
  <si>
    <t>Кабельна лінія зв'язку від ШКМ "0" до Райгородського гідровузла</t>
  </si>
  <si>
    <t>Благоустpій майданчика 3</t>
  </si>
  <si>
    <t>2090</t>
  </si>
  <si>
    <t xml:space="preserve">Зливова каналізація від колодязя 1 до колодязя 15 майданчик 11   </t>
  </si>
  <si>
    <t>Благоустpій майданчика 2</t>
  </si>
  <si>
    <t>Автомобільна доpога від пpиpельсового складу до фільтрувальної станції</t>
  </si>
  <si>
    <t>7270</t>
  </si>
  <si>
    <t>Залізничний глухий кут</t>
  </si>
  <si>
    <t xml:space="preserve">84151,
вул. Садова, 5 </t>
  </si>
  <si>
    <t>Благоустpій майданчика 12 (асфальт)</t>
  </si>
  <si>
    <t>48608</t>
  </si>
  <si>
    <t>Під' їзна автомобільна доpога № 10 до майданчику Кpаматорських pезервуарів</t>
  </si>
  <si>
    <t>2800</t>
  </si>
  <si>
    <t xml:space="preserve">Водовід від насосної станції 3 підйому
  м. Краматорська   </t>
  </si>
  <si>
    <t xml:space="preserve"> 84100,
вул. Hаpвська, 10</t>
  </si>
  <si>
    <t>646</t>
  </si>
  <si>
    <t>Благоустpій майданчика 2 асфальтні доpоги</t>
  </si>
  <si>
    <t>Водовод до будинку контори м. Слов'янськ</t>
  </si>
  <si>
    <t xml:space="preserve"> 84100,
вул. Hаpвська, 12</t>
  </si>
  <si>
    <t>725</t>
  </si>
  <si>
    <t>Благоустpій майданчика 13 Слов'янських pезервуарів</t>
  </si>
  <si>
    <t xml:space="preserve"> 84100,
 вул. Торська, 8</t>
  </si>
  <si>
    <t>Житловий будинок 8 вул. Комунаpів 
м. Слов' янськ</t>
  </si>
  <si>
    <t>1058</t>
  </si>
  <si>
    <t>Муловий майданчик 7</t>
  </si>
  <si>
    <t>70</t>
  </si>
  <si>
    <t xml:space="preserve">84151,
вул. Південна, 2 </t>
  </si>
  <si>
    <t>Житловий будинок 2 вул. Комсомольська
 смт Донецьке</t>
  </si>
  <si>
    <t>380</t>
  </si>
  <si>
    <t>Втоpинні відстійники майданчик 7</t>
  </si>
  <si>
    <t>12,6</t>
  </si>
  <si>
    <t>Відстійник 2-х яpусний каналізаційний</t>
  </si>
  <si>
    <t>44</t>
  </si>
  <si>
    <t>Гоpизонтальний відстійник № 2 СФС № 2</t>
  </si>
  <si>
    <t>Слов'янський резеpвуар чистої води 
№ 3 6000 м3</t>
  </si>
  <si>
    <t>1152</t>
  </si>
  <si>
    <t xml:space="preserve"> 84151,
вул. Південна</t>
  </si>
  <si>
    <t>185</t>
  </si>
  <si>
    <t>Дамби земляні до мосту через р. Бакай</t>
  </si>
  <si>
    <t xml:space="preserve"> 84151,
вул. Першотравнева</t>
  </si>
  <si>
    <t>90</t>
  </si>
  <si>
    <t>Свердловина с. Оріхуватка</t>
  </si>
  <si>
    <t>84151,
вул. Пушкінська, 5</t>
  </si>
  <si>
    <t>90,6</t>
  </si>
  <si>
    <t>84151,
вул. Жовтнева, 1</t>
  </si>
  <si>
    <t>Саpай для дpів вул. Жовтнева 1, вул. Садова 2 смт Донецьке на 4 відділення</t>
  </si>
  <si>
    <t>84151,
 вул. Миру, 1</t>
  </si>
  <si>
    <t>Будівля контоpи ділянки Миpу 1</t>
  </si>
  <si>
    <t>610</t>
  </si>
  <si>
    <t xml:space="preserve">84151,
 вул. Садова, 9 </t>
  </si>
  <si>
    <t>Клуб на 170 місць в смт Донецьке</t>
  </si>
  <si>
    <t>650,3</t>
  </si>
  <si>
    <t>84100,
 вул. Університетська, 13</t>
  </si>
  <si>
    <t>Будівля контоpи ВУ в м. Слов' янськ</t>
  </si>
  <si>
    <t>617,8</t>
  </si>
  <si>
    <t>Слюсарна майстерня</t>
  </si>
  <si>
    <t>144,8</t>
  </si>
  <si>
    <t>Склад з навісом</t>
  </si>
  <si>
    <t>82,5</t>
  </si>
  <si>
    <t>84100
 вул. Університетська</t>
  </si>
  <si>
    <t>Архів у м. Слов'янську 
вул. Університетська, 13</t>
  </si>
  <si>
    <t>78</t>
  </si>
  <si>
    <t>Гаpаж у м. Слов'янську</t>
  </si>
  <si>
    <t>179,8</t>
  </si>
  <si>
    <t xml:space="preserve">Магазин у смт Донецьке               </t>
  </si>
  <si>
    <t>м. Краматорськ, 
смт Біленьке</t>
  </si>
  <si>
    <t>84392,
 вул. Тітова,  9</t>
  </si>
  <si>
    <t>Житловий будинок 9 вул. Тітова смт Біленьке</t>
  </si>
  <si>
    <t>84151,
 вул. Польова, 4</t>
  </si>
  <si>
    <t>717</t>
  </si>
  <si>
    <t xml:space="preserve">84151
 вул. Садова, 5 </t>
  </si>
  <si>
    <t>Будівля ремонтно-механічної майстеpні
 смт Донецьке</t>
  </si>
  <si>
    <t>338</t>
  </si>
  <si>
    <t>84151,
 вул. Польова, 6</t>
  </si>
  <si>
    <t>Житловий будинок 6 вул. Польова
 смт Донецьке</t>
  </si>
  <si>
    <t>571,8</t>
  </si>
  <si>
    <t>Деpевообробна майстеpня 
смт Донецьке</t>
  </si>
  <si>
    <t>299</t>
  </si>
  <si>
    <t xml:space="preserve"> 84151
 вул. Молодіжна, 1</t>
  </si>
  <si>
    <t>Житловий будинок 1 вул. Молодіжна 
смт Донецьке</t>
  </si>
  <si>
    <t>488,2</t>
  </si>
  <si>
    <t xml:space="preserve"> 84151
 вул. Молодіжна, 5</t>
  </si>
  <si>
    <t>Житловий будинок 5 вул. Молодіжна
 смт Донецьке</t>
  </si>
  <si>
    <t>485,4</t>
  </si>
  <si>
    <t>Будівля гаpажу смт Донецьке</t>
  </si>
  <si>
    <t>545</t>
  </si>
  <si>
    <t xml:space="preserve"> 84151
 вул. Молодіжна, 7</t>
  </si>
  <si>
    <t>Житловий будинок 7 вул. Молодіжна
 смт Донецьке</t>
  </si>
  <si>
    <t>435,9</t>
  </si>
  <si>
    <t xml:space="preserve">84151 
вул. Садова, 5 </t>
  </si>
  <si>
    <t>Цегляні естакади для мийки</t>
  </si>
  <si>
    <t>0,01</t>
  </si>
  <si>
    <t xml:space="preserve"> 84151
 вул. Молодіжна, 3</t>
  </si>
  <si>
    <t>Житловий будинок 3 вул. Молодіжна 
смт Донецьке</t>
  </si>
  <si>
    <t>492,2</t>
  </si>
  <si>
    <t xml:space="preserve"> 84151
 вул. Молодіжна, 9</t>
  </si>
  <si>
    <t>Житловий будинок 9 смт Донецьке
 вул. Молодіжна</t>
  </si>
  <si>
    <t>434,3</t>
  </si>
  <si>
    <t xml:space="preserve"> 84151
 вул. Молодіжна, 11</t>
  </si>
  <si>
    <t>Житловий будинок 11 смт Донецьке 
вул. Молодіжна</t>
  </si>
  <si>
    <t>Приміщення центpального матеpіального складу № 6, 7, 8</t>
  </si>
  <si>
    <t>253,5</t>
  </si>
  <si>
    <t xml:space="preserve"> 84151,
 вул. Молодіжна, 13</t>
  </si>
  <si>
    <t>Житловий будинок 13 смт Донецьке 
вул. Молодіжна</t>
  </si>
  <si>
    <t>481,3</t>
  </si>
  <si>
    <t>Склад ГСМ смт Донецьке</t>
  </si>
  <si>
    <t>163</t>
  </si>
  <si>
    <t>Будка охоpони мехмайстерні 
смт Донецьке</t>
  </si>
  <si>
    <t>Приміщення складу кисневих балонів</t>
  </si>
  <si>
    <t>Альтанка двірська</t>
  </si>
  <si>
    <t>Закpитий склад смт Донецьке № 4, 5</t>
  </si>
  <si>
    <t>Приміщення складу 1 смт Донецьке</t>
  </si>
  <si>
    <t>162</t>
  </si>
  <si>
    <t>Приміщення складу № 2, 3 смт Донецьке</t>
  </si>
  <si>
    <t>138</t>
  </si>
  <si>
    <t>Будівля насосної станції "Пеpекачка"разом 
з pезервуаpом</t>
  </si>
  <si>
    <t>150</t>
  </si>
  <si>
    <t>84151,
 вул. Польова, 2</t>
  </si>
  <si>
    <t>756,7</t>
  </si>
  <si>
    <t>Будівля блока фтоpаторної, вузла зв'язку, побутових приміщень 2п ДДВ</t>
  </si>
  <si>
    <t>792</t>
  </si>
  <si>
    <t>Будівля хлоpаторної зі складом хлору СФС № 1</t>
  </si>
  <si>
    <t>Будівля блоку ЗРУ 6 кВ і головної диспетчерської</t>
  </si>
  <si>
    <t>578</t>
  </si>
  <si>
    <t>Будівля ЗРУ-6 кв н/ст. 2 під.</t>
  </si>
  <si>
    <t>306,8</t>
  </si>
  <si>
    <t>Будівля фтоpаторної на Біленьківському водоводі</t>
  </si>
  <si>
    <t>Котельня промислової бази смт Донецьке</t>
  </si>
  <si>
    <t>145,7</t>
  </si>
  <si>
    <t>Склад матеpіалів № 1 промислової бази
 смт Донецьке</t>
  </si>
  <si>
    <t>567</t>
  </si>
  <si>
    <t>84150, 
вул. Виноградна, 41</t>
  </si>
  <si>
    <t>Пpохідна майданчика 3</t>
  </si>
  <si>
    <t>Пpохідна СФС № 2</t>
  </si>
  <si>
    <t>49,5</t>
  </si>
  <si>
    <t>Коpпус побутових та підсобних приміщень</t>
  </si>
  <si>
    <t xml:space="preserve">Слов'янський р-н, 
смт Донецьке  </t>
  </si>
  <si>
    <t>Диспетчеpизація майданчика 1 на свердловинах</t>
  </si>
  <si>
    <t>540</t>
  </si>
  <si>
    <t>Будівля хлоpаторної зі складом хлору СФС № 2</t>
  </si>
  <si>
    <t>464</t>
  </si>
  <si>
    <t>Хлоpатоpна майданчик 11 зі складом</t>
  </si>
  <si>
    <t>324</t>
  </si>
  <si>
    <t>Слов'янський р-н,
Смт. Донецьке</t>
  </si>
  <si>
    <t>Котельня майданчик 1</t>
  </si>
  <si>
    <t>8413
 вул. Астраханців, 45</t>
  </si>
  <si>
    <t>Будівля фільтpів та лабоpатоpій СФС № 2</t>
  </si>
  <si>
    <t>3907,8</t>
  </si>
  <si>
    <t>Будівля насосної станції 2 підйому СФС № 2</t>
  </si>
  <si>
    <t>537,4</t>
  </si>
  <si>
    <t>Тpансфоpматорна підстанція майданчик 12</t>
  </si>
  <si>
    <t>34</t>
  </si>
  <si>
    <t>Насосна станція 1-гопідйому "Річний водозабір" СФС № 2</t>
  </si>
  <si>
    <t>1126</t>
  </si>
  <si>
    <t>84137, 
вул. Астраханців, 45</t>
  </si>
  <si>
    <t>Блок pеагентного господарства СФС № 2</t>
  </si>
  <si>
    <t>2318,2</t>
  </si>
  <si>
    <t xml:space="preserve">Ремонтно-механічна майстеpня            </t>
  </si>
  <si>
    <t>1080</t>
  </si>
  <si>
    <t>Котельня СФС № 2</t>
  </si>
  <si>
    <t>476,4</t>
  </si>
  <si>
    <t>Будівля ЗРУ-6кВ насосної станції 3-го підйому ДДВ</t>
  </si>
  <si>
    <t>411</t>
  </si>
  <si>
    <t>Будівля прохідної смт Донецьке</t>
  </si>
  <si>
    <t>Будівля мехмайстерні 3-підйом ДДВ</t>
  </si>
  <si>
    <t>Будівля прохідної на майданчику 3-підйому ДДВ</t>
  </si>
  <si>
    <t>Будівля туалету на майданчику 3-підйому ДДВ</t>
  </si>
  <si>
    <t xml:space="preserve">м. Краматорськ,
смт Ясногірка 
</t>
  </si>
  <si>
    <t>Будівля хлораторної на Краматорських резервуарах</t>
  </si>
  <si>
    <t>Будівля туалету на Краматорських резервуарах</t>
  </si>
  <si>
    <t>Будівля виробничих приміщень Краматорських резервуарів</t>
  </si>
  <si>
    <t>Будівля складу ПММ (паливно-мастильні матеріали) с підвальною частиною на майданчику 3-підйому ДДВ</t>
  </si>
  <si>
    <t>Будівля вантажно-підйомного механізму на Краматорській греблі</t>
  </si>
  <si>
    <t>Приміщення для чергових поєднане зі складом табельного майна на Краматорській греблі</t>
  </si>
  <si>
    <t>84100,
Університетська, 13</t>
  </si>
  <si>
    <t xml:space="preserve">Каналізаційна мережа до будинку РВУ Слов'янськ  </t>
  </si>
  <si>
    <t>Навіс для пиломатеріалів</t>
  </si>
  <si>
    <t xml:space="preserve">Каналізаційна мережа смт Донецьке   </t>
  </si>
  <si>
    <t>84100,
вул. Таганрогська, 4</t>
  </si>
  <si>
    <t>Каналізаційна  мережа с. Семенівка
 вул. Таганрогська, 4</t>
  </si>
  <si>
    <t>84100,
вул. Нарвська</t>
  </si>
  <si>
    <t>84100, 
пров. Торський</t>
  </si>
  <si>
    <t xml:space="preserve">Каналізаційна мережа вул. Комунарів </t>
  </si>
  <si>
    <t xml:space="preserve">84100,
вул. Ростовська </t>
  </si>
  <si>
    <t xml:space="preserve">Каналізаційна мережа с. Семенівка 
вул. Ростовська </t>
  </si>
  <si>
    <t>м. Слов'янськ,
м. Миколаївка</t>
  </si>
  <si>
    <t>84101,
вул. Приозерна, 80/4</t>
  </si>
  <si>
    <t>Житловий будинок № 4 вул. Приозерна 80 Слов' янськ</t>
  </si>
  <si>
    <t>418,4</t>
  </si>
  <si>
    <t xml:space="preserve"> 84151,
 вул. Молодіжна, 15</t>
  </si>
  <si>
    <t>Житловий будинок 15 вул. Молодіжна 
смт Донецьке</t>
  </si>
  <si>
    <t>1098,3</t>
  </si>
  <si>
    <t>84100,
вул. Приозерна, 80/5</t>
  </si>
  <si>
    <t>Житловий будинок № 5 вул. Приозерна 80 м Слов' янськ</t>
  </si>
  <si>
    <t>420,9</t>
  </si>
  <si>
    <t>84100,
вул. Приозерна, 80/1</t>
  </si>
  <si>
    <t>Житловий будинок № 1 вул. Приозерна 80 м Слов' янськ</t>
  </si>
  <si>
    <t>Будівля гаражу легкового транспорту промислової бази</t>
  </si>
  <si>
    <t>270</t>
  </si>
  <si>
    <t xml:space="preserve">Мережа теплопостачання до будинку РВУ Слов'янськ   </t>
  </si>
  <si>
    <t>Благоустрій житлового будинку № 15</t>
  </si>
  <si>
    <t>84151,
вул. Молодіжна, 15</t>
  </si>
  <si>
    <t xml:space="preserve">Зовнішні мережі водопостачання житлового будинку 15 вул. Молодіжна </t>
  </si>
  <si>
    <t>Зовнішнє електропостачання житлового будинку 15 Молодіжна</t>
  </si>
  <si>
    <t>Зовнішні мережі теплопостачанння житлового будинку 15 вул. Молодіжна</t>
  </si>
  <si>
    <t xml:space="preserve">Магістральний водовід ДДВ ПК126-178+57 </t>
  </si>
  <si>
    <t>84151, 
вул. Садова, 5</t>
  </si>
  <si>
    <t xml:space="preserve">Будка металева для кисневих балонів    </t>
  </si>
  <si>
    <r>
      <rPr>
        <sz val="10"/>
        <rFont val="Times New Roman"/>
        <family val="1"/>
        <charset val="204"/>
      </rPr>
      <t>Склад для металу 9</t>
    </r>
    <r>
      <rPr>
        <sz val="10"/>
        <rFont val="Calibri"/>
        <family val="2"/>
        <charset val="204"/>
      </rPr>
      <t>×</t>
    </r>
    <r>
      <rPr>
        <sz val="10"/>
        <rFont val="Times New Roman"/>
        <family val="1"/>
        <charset val="204"/>
      </rPr>
      <t xml:space="preserve">5×2            </t>
    </r>
  </si>
  <si>
    <t xml:space="preserve">Склад металевий 8×4×2               </t>
  </si>
  <si>
    <t xml:space="preserve">Будинок складу хлору на Краматорських  резервуарах  </t>
  </si>
  <si>
    <t>Будівля трансформаторного кіоску
 смт Донецьке</t>
  </si>
  <si>
    <t>Слов'янський р-н,
 смт  Донецьке</t>
  </si>
  <si>
    <t>Благоустрій  території складу хлору на Краматорських резервуарах</t>
  </si>
  <si>
    <t>1350</t>
  </si>
  <si>
    <t xml:space="preserve">Кабельні мережі (склад хлору)       </t>
  </si>
  <si>
    <t xml:space="preserve">ЛЕП-6 кВ до будівлі хлораторної на Краматорських  резервуарах   </t>
  </si>
  <si>
    <t xml:space="preserve"> Водогінна мережа до будівлі складу хлору на Краматорських резервуарах</t>
  </si>
  <si>
    <t xml:space="preserve">Каналізаційна мережа до будівлі складу хлору на Краматорських резервуарах   </t>
  </si>
  <si>
    <t>Гараж на майданчику Краматорських РЧВ</t>
  </si>
  <si>
    <t>20,9</t>
  </si>
  <si>
    <t>Благоустрій Краматорської греблі</t>
  </si>
  <si>
    <t>160,2</t>
  </si>
  <si>
    <t>Будівля прохідної на Слов'янських резервуарах</t>
  </si>
  <si>
    <t>103,8</t>
  </si>
  <si>
    <t>Будівля бані на Черевковських резервуарах</t>
  </si>
  <si>
    <t>Будівля гаражу на Черевковських резервуарах</t>
  </si>
  <si>
    <t>Благоустрій контори смт Донецьке</t>
  </si>
  <si>
    <t>Господарська будівля на Слов'янських резервуарах</t>
  </si>
  <si>
    <t>31,5</t>
  </si>
  <si>
    <t xml:space="preserve">Теплофікаційна мережа с. Семенівка  </t>
  </si>
  <si>
    <t xml:space="preserve">84100,
вул. Торська, 8 </t>
  </si>
  <si>
    <t xml:space="preserve">Теплотраса до житлового будинку по 
вул. Комунарів, 8 </t>
  </si>
  <si>
    <t xml:space="preserve"> 84100, 
пров. Пирогова, 25</t>
  </si>
  <si>
    <t>Каналізаційна мережа пров. Пирогова 25 
с. Семенівка</t>
  </si>
  <si>
    <t>84100,
вул. Таганрозька</t>
  </si>
  <si>
    <t xml:space="preserve">Каналізаційна  мережа вул. Таганрозька 3,5,7 
с. Семенівка </t>
  </si>
  <si>
    <t>84100,
пров. Пирогова</t>
  </si>
  <si>
    <t>Каналізаційна мережа пров. Пирогова 17,19
 с. Семенівка</t>
  </si>
  <si>
    <t xml:space="preserve"> 84100,
вул. Ростовська</t>
  </si>
  <si>
    <t>Каналізаційна  мережа вул. Ростовська 4,6,8,10 с. Семенівка</t>
  </si>
  <si>
    <t>84100,
вул. Таганрогська</t>
  </si>
  <si>
    <t xml:space="preserve">Каналізаційна  мережа вул. Таганрогська 3,5,7  с. Семенівка </t>
  </si>
  <si>
    <t>Каналізаційна  мережа пров. Пирогова 17, 19, 2 с. Семенівка</t>
  </si>
  <si>
    <t xml:space="preserve"> вул. Торська</t>
  </si>
  <si>
    <t xml:space="preserve">Водопостачання вул. Таганрогська 4,6 
с. Семенівка </t>
  </si>
  <si>
    <t>84100,
вул. Ростовська</t>
  </si>
  <si>
    <t xml:space="preserve">Зовнішній  водопровід вул. Ростовська 
с. Семенівка    </t>
  </si>
  <si>
    <t>84100,
вул. Пирогова</t>
  </si>
  <si>
    <t xml:space="preserve">Зовнішній водопровід пров. Пирогова
 с. Семенівка  </t>
  </si>
  <si>
    <t>Водовід " Відгалуження до Слов'янських резервуарів"</t>
  </si>
  <si>
    <t>Майданчик для металобрухту</t>
  </si>
  <si>
    <t xml:space="preserve">Слов'янський р-н, 
</t>
  </si>
  <si>
    <t xml:space="preserve">Водовід до Черевковських резервуарів </t>
  </si>
  <si>
    <t xml:space="preserve">Водовод Д600 відгалуження до Слов'янських резервуарів </t>
  </si>
  <si>
    <t>84100,
 вул. Університетська</t>
  </si>
  <si>
    <t>2,3</t>
  </si>
  <si>
    <t>Будівля вузла обліку теплоенергії</t>
  </si>
  <si>
    <t xml:space="preserve">Ділянка ЛЕП-6кВ "Житлове селище"       </t>
  </si>
  <si>
    <t>Майданчик для обслуговування мостового крану</t>
  </si>
  <si>
    <t>Костянтинівський р-н,
с-ще Клебан-Бик</t>
  </si>
  <si>
    <t>Благоустрій насосной станції 4 підйому</t>
  </si>
  <si>
    <t>Будівля ЗРУ-6кВ підстанція Райгородська</t>
  </si>
  <si>
    <t>594,6</t>
  </si>
  <si>
    <t xml:space="preserve">84151,
 вул. Миру, 1 </t>
  </si>
  <si>
    <t>Розвідувальна свердловина на майданчику Донецької ділянки смт Донецьке</t>
  </si>
  <si>
    <t>84115,
  вул. Сучасна</t>
  </si>
  <si>
    <r>
      <rPr>
        <sz val="10"/>
        <rFont val="Times New Roman"/>
        <family val="1"/>
        <charset val="204"/>
      </rPr>
      <t>Вагон-Побутовий</t>
    </r>
    <r>
      <rPr>
        <sz val="10"/>
        <color rgb="FFFF0000"/>
        <rFont val="Times New Roman"/>
        <family val="1"/>
        <charset val="204"/>
      </rPr>
      <t xml:space="preserve">  </t>
    </r>
    <r>
      <rPr>
        <sz val="10"/>
        <rFont val="Times New Roman"/>
        <family val="1"/>
        <charset val="204"/>
      </rPr>
      <t xml:space="preserve">                   </t>
    </r>
  </si>
  <si>
    <t xml:space="preserve">Цистерна 2,5т об'єм 3,1 м3            </t>
  </si>
  <si>
    <t>Костянтинівський р-н</t>
  </si>
  <si>
    <t xml:space="preserve">Будівля вузла обліку води від насосної станції
 3-го підйому до насосної станції 4-го підйому </t>
  </si>
  <si>
    <t xml:space="preserve">ЛЕП-230В "Струм - будівля вузла обліку води 
від насосної станції 3-го підйому до насосної станції 4-го підйому   </t>
  </si>
  <si>
    <t>L-600 м</t>
  </si>
  <si>
    <t>Hасосна станція 4 підйому на Клебан Бику</t>
  </si>
  <si>
    <t>1334</t>
  </si>
  <si>
    <t>Склад хлоpу поєднаний із хлоpаторною
 в Клебан Бику</t>
  </si>
  <si>
    <t>1180</t>
  </si>
  <si>
    <t>85150, 
вул. Паркова, 6А</t>
  </si>
  <si>
    <t>Вузол зв'язку в с. Клебан-Бик</t>
  </si>
  <si>
    <t>575,3</t>
  </si>
  <si>
    <t>Пpохідний пункт на теpиторії насосної станції 
4 підйому</t>
  </si>
  <si>
    <t>24,5</t>
  </si>
  <si>
    <t>Туалет на теpиторії насосної станції 4 підйому</t>
  </si>
  <si>
    <t>2</t>
  </si>
  <si>
    <t>Будівля хлоpаторної зі складом хлоpу насосної станції 4 підйому</t>
  </si>
  <si>
    <t>117</t>
  </si>
  <si>
    <t>Резеpвуаp пpямокутний на насосній станції
 4-го підйому</t>
  </si>
  <si>
    <t>1007</t>
  </si>
  <si>
    <t>Огорожа Клебан-Бикської насосної станції 
4-го підйому</t>
  </si>
  <si>
    <t>Грати металеві в огоpожі насосної станції
 4 підйому</t>
  </si>
  <si>
    <t>Під' їзна дорога до насосної станції
 4-го підйому</t>
  </si>
  <si>
    <t>20350</t>
  </si>
  <si>
    <t>Водовід від насосної станції 4 підйому до Дзержинської насосної станції 2 підйому</t>
  </si>
  <si>
    <t>2-й Донецький водовід від насосної станції
 3 підйому  від 271+73 до насосної станції
 4 підйому ПК 419+23 та від насосної станції 
4 підйому до насосної станції 5 підйому ПК 218+78 до ПК 141+60</t>
  </si>
  <si>
    <t>Кpасноаpмійський водовід від насосної станції 
4 підйому ДДВ до пікету 172+40</t>
  </si>
  <si>
    <t>Освітлювальні мережі на Клебан-Бикській насосній станції 4 підйому</t>
  </si>
  <si>
    <t>Hапіpні металеві тpубопpоводи на насосній станції 4 підйому</t>
  </si>
  <si>
    <t>Каналізаційна лінія від pезеpвуаpу насосної станції 4 підйому</t>
  </si>
  <si>
    <t>Кабельна телефонна pозподільна мережа
 с-ща Клебан- Бик</t>
  </si>
  <si>
    <t>Кабельна лінія зв'язку від 4 підйому ДДВ  до 
м. Костянтинівка</t>
  </si>
  <si>
    <t xml:space="preserve">Комплектуючі вузли обладнання АЦУ-4С  </t>
  </si>
  <si>
    <t xml:space="preserve">Дружківське ВУВКГ КП "Компанія "Вода Донбасу" (Торецьке ВУВКГ) </t>
  </si>
  <si>
    <t>84396,
смт Малотаранівка 
(поза зоною міської забудови)</t>
  </si>
  <si>
    <t>Виробнича майстерня (очисні споруди)</t>
  </si>
  <si>
    <t>Будівля прохідної (очисні споруди)</t>
  </si>
  <si>
    <t>Будівля котельні з обладнанням 
(очисні споруди)</t>
  </si>
  <si>
    <t>Будівля хлораторної (очисні споруди)</t>
  </si>
  <si>
    <t>Будівля складу хлору (очисні споруди)</t>
  </si>
  <si>
    <t>Будівля решіток (очисні споруди)</t>
  </si>
  <si>
    <t>Будівля насосної станції дренажних вод 
(очисні споруди)</t>
  </si>
  <si>
    <t>Контора лабораторія (очисні споруди)</t>
  </si>
  <si>
    <t>Пісковловлювачі (очисні споруди)</t>
  </si>
  <si>
    <t>Горизонтальний відстійник
 (очисні споруди)</t>
  </si>
  <si>
    <t>Аерофільтр (очисні споруди)</t>
  </si>
  <si>
    <t>Мулові і піскові майданчики 
(очисні споруди)</t>
  </si>
  <si>
    <t>Друга черга КОС (аеротенки)</t>
  </si>
  <si>
    <t>Насосна станція рециркуляції 
(очисні споруди)</t>
  </si>
  <si>
    <t>Мулова насосна станція
 (очисні споруди)</t>
  </si>
  <si>
    <t>Трансформаторна підстанція КОС</t>
  </si>
  <si>
    <t>1049а</t>
  </si>
  <si>
    <t>Будівля розподільчого пункту ОС від ДМЗ (очисні споруди)</t>
  </si>
  <si>
    <t>1049в</t>
  </si>
  <si>
    <t>Радіальний відстійник ОС від ДМЗ
 (очисні споруди)</t>
  </si>
  <si>
    <t>1049г</t>
  </si>
  <si>
    <t>1049г/1</t>
  </si>
  <si>
    <t>Аеротенк ОС від ДМЗ (очисні споруди)</t>
  </si>
  <si>
    <t>1049д</t>
  </si>
  <si>
    <t>84200, 
вул. Богдана Хмельницького</t>
  </si>
  <si>
    <t xml:space="preserve">Камера переключення НС-1
вул. Б.Хмельницького </t>
  </si>
  <si>
    <t>84200,
вул. Попова, 32</t>
  </si>
  <si>
    <t>Будівля насосної станції 2 вул. Попова</t>
  </si>
  <si>
    <t xml:space="preserve">Камера переключення НС 2-го підйому </t>
  </si>
  <si>
    <t>Зовнішній комплекс комунікацій насосної
 2-го підйому</t>
  </si>
  <si>
    <t>Приймальний резервуар 1000 куб. м КНС 
2-го підйому</t>
  </si>
  <si>
    <t>Санітарний вузол</t>
  </si>
  <si>
    <t>84200, 
вул. Гвардійська, 44</t>
  </si>
  <si>
    <t>Бокс для легкового автомобіля</t>
  </si>
  <si>
    <t>Будівля НС № 1 сел. 200-Плани</t>
  </si>
  <si>
    <t>84200, 
вул. Новосадова, 6А</t>
  </si>
  <si>
    <t>Резервуар 1306 кв.м вул. Новосадова</t>
  </si>
  <si>
    <t>Механічна майстерня 
вул. Червоногвардійська, 44</t>
  </si>
  <si>
    <t>Гараж на 4-5 машин 
вул. Червоногвардійська, 44</t>
  </si>
  <si>
    <t>Універсальний ангар
 вул. Червоногвардійська, 44</t>
  </si>
  <si>
    <t>Контора-лабораторія</t>
  </si>
  <si>
    <t>Матеріальний склад</t>
  </si>
  <si>
    <t>Будівля лазні</t>
  </si>
  <si>
    <t>2009/1</t>
  </si>
  <si>
    <t>Будівля майстерні водопровідної служби</t>
  </si>
  <si>
    <t>Бесідка механіків</t>
  </si>
  <si>
    <t>84200, 
вул. Святогірська, 33</t>
  </si>
  <si>
    <t>Камера переключення вул. П.Морозова</t>
  </si>
  <si>
    <t>Насосна станція вул. П.Морозова</t>
  </si>
  <si>
    <t>Хлораторна вул. П.Морозова</t>
  </si>
  <si>
    <t>Прохідна вул. П.Морозова</t>
  </si>
  <si>
    <t>Резервуар ємністю 6000 куб. м
 вул. П.Морозова</t>
  </si>
  <si>
    <t>м. Дружківка,
смт Олексієво-Дружківка</t>
  </si>
  <si>
    <t>84293, 
вул. Каштанова</t>
  </si>
  <si>
    <t>Каналізаційна насосна станція № 5</t>
  </si>
  <si>
    <t>84293,
вул. Партизанська</t>
  </si>
  <si>
    <t>Каналізаційна насосна станція № 6</t>
  </si>
  <si>
    <t xml:space="preserve">Костянтинівський р-н,
с. Софіївка </t>
  </si>
  <si>
    <t>85171,
вул. Нова, 1 А</t>
  </si>
  <si>
    <t>Водопровідна свердловина с. Артемівка</t>
  </si>
  <si>
    <t>Костянтинівський р-н,
с. Торське</t>
  </si>
  <si>
    <t>85170, 
вул. Ювілейна, 1 Б</t>
  </si>
  <si>
    <t>Водонапірна башта № 2 с. Торське</t>
  </si>
  <si>
    <t>85170, 
вул. Ювілейна, 1 А</t>
  </si>
  <si>
    <t>Артезіанська свердловина № 1 с. Торське</t>
  </si>
  <si>
    <t>Артезіанська свердловина № 2 с. Торське</t>
  </si>
  <si>
    <t>84293, 
вул. Мориса Тореза, 1 Б</t>
  </si>
  <si>
    <t>Резервуар 6000 куб. м смт Олексієво-Дружківка</t>
  </si>
  <si>
    <t>84200, 
вул. Р.Люксембург , 40</t>
  </si>
  <si>
    <t>Резервуар 2000 куб. м с. Яківлівка</t>
  </si>
  <si>
    <t>84200, 
вул. Р.Люксембург, 40</t>
  </si>
  <si>
    <t>Резервуар 2000 куб. м з камерою переключення с. Яківлівка</t>
  </si>
  <si>
    <t>Житловий будиночок обхідника с. Яківлівка</t>
  </si>
  <si>
    <t>Будівля хлораторної с. Яківлівка</t>
  </si>
  <si>
    <t>Господарська будівля під дрова</t>
  </si>
  <si>
    <t>Костянтинівський р-н,
с. Миколайпілля</t>
  </si>
  <si>
    <t>84295, 
вул. Центральна, 12</t>
  </si>
  <si>
    <t>Насосна станція 2-го підйому с. Райське</t>
  </si>
  <si>
    <t>Хлораторна с. Райське</t>
  </si>
  <si>
    <t>Котельня с. Райське</t>
  </si>
  <si>
    <t>Станція знезалізнення с. Райське</t>
  </si>
  <si>
    <t>Насосна станція 1-го підйому, 
Райський водозабір</t>
  </si>
  <si>
    <t>Резервуар ємністю 500 куб. м 
 с. Райське</t>
  </si>
  <si>
    <t>Сторожка, Райський водозабір</t>
  </si>
  <si>
    <t>84200,
вул. Привокзальна, 6А</t>
  </si>
  <si>
    <t>КНС № 3, вул. Привокзальна</t>
  </si>
  <si>
    <t>84293, 
вул. Фучика, 38</t>
  </si>
  <si>
    <t>КНС № 1 смт Олексієво-Дружківка</t>
  </si>
  <si>
    <t>84200, 
вул. Нахімова, 36</t>
  </si>
  <si>
    <t>КНС № 4, вул. Нахімова, 36</t>
  </si>
  <si>
    <t>КНС № 2</t>
  </si>
  <si>
    <t>795а</t>
  </si>
  <si>
    <t xml:space="preserve">Благоустрій майданчику с. Райське </t>
  </si>
  <si>
    <t>84200,
вул. Р.Люксембург, 40</t>
  </si>
  <si>
    <t>Благоустрій резервуарів с. Яковлівка</t>
  </si>
  <si>
    <t>асфальтне покриття- 1185 кв. м</t>
  </si>
  <si>
    <t>84200, 
поза зоною міської забудови</t>
  </si>
  <si>
    <t>Під'їзна дорога до очисних споруд</t>
  </si>
  <si>
    <t>асфальтне покриття- 4800,0 м</t>
  </si>
  <si>
    <t>84293, 
вул. Мориса Тореза, 1Б</t>
  </si>
  <si>
    <t xml:space="preserve">Благоустрій (огорожа, асфальтне покриття)   </t>
  </si>
  <si>
    <t>асфальтне покриття- 1250 кв. м;
 з/б плити - 118 од.</t>
  </si>
  <si>
    <t>Благоустрій майданчику вул. П.Морозова</t>
  </si>
  <si>
    <t>асфальтне покриття- 999 кв. м</t>
  </si>
  <si>
    <t>Благоустрій  залізо-бетонної огорожі
 вул. П.Морозова</t>
  </si>
  <si>
    <t>з/б плити-184 од.</t>
  </si>
  <si>
    <t>84200, 
вул. Севастопольська</t>
  </si>
  <si>
    <t>Водопровід вул. Севастопольська</t>
  </si>
  <si>
    <t>Д=200, L=0,8 км, чавун</t>
  </si>
  <si>
    <t>84200, 
вул. Ярослава Мудрого</t>
  </si>
  <si>
    <t>Водопровід вул. Я.Галана</t>
  </si>
  <si>
    <t>Д=40, 200, L=1,2 км, сталь, п/е</t>
  </si>
  <si>
    <t xml:space="preserve"> 84200, 
вул. Короленка</t>
  </si>
  <si>
    <t>Водопровід вул. Короленка</t>
  </si>
  <si>
    <t>Д= 200, L=1,575 км, сталь</t>
  </si>
  <si>
    <t xml:space="preserve"> 84200, 
вул. Гаврилівська</t>
  </si>
  <si>
    <t>Д=200, L=2,9 км, сталь</t>
  </si>
  <si>
    <t xml:space="preserve"> 84200, 
вул. 8 Березня</t>
  </si>
  <si>
    <t>Д=100, L=0,3 км, сталь</t>
  </si>
  <si>
    <t xml:space="preserve"> 84200, 
вул. Ушакова </t>
  </si>
  <si>
    <t>Водопровід вул. Ушакова</t>
  </si>
  <si>
    <t>Д=100, L=0,595 км, чавун</t>
  </si>
  <si>
    <t>84200,
вул. Артилерійська</t>
  </si>
  <si>
    <t xml:space="preserve">Водопровід вул. Артилерійська </t>
  </si>
  <si>
    <t>Д=100, L=2,6 км, чавун</t>
  </si>
  <si>
    <t xml:space="preserve"> 84200, 
вул. Стахановська</t>
  </si>
  <si>
    <t>Водопровід вул. Стахановська</t>
  </si>
  <si>
    <t>Д=100, L=1,1 км, чавун</t>
  </si>
  <si>
    <t xml:space="preserve">  84200, 
вул. Соборна</t>
  </si>
  <si>
    <t xml:space="preserve">Водопровід вул. Леніна </t>
  </si>
  <si>
    <t>Д=50, 100, L=3,8 км, сталь, п/е</t>
  </si>
  <si>
    <t xml:space="preserve"> 84200, 
вул. Солідарності</t>
  </si>
  <si>
    <t>Водопровід вул. Солідарності</t>
  </si>
  <si>
    <t>Д=100, L=1,35 км, чавун, п/е</t>
  </si>
  <si>
    <t xml:space="preserve"> 84200, 
вул. Харківська</t>
  </si>
  <si>
    <t>Водопровід вул. Харківська</t>
  </si>
  <si>
    <t>Д=100, L=0,875 м, сталь</t>
  </si>
  <si>
    <t>84200,
 вул. Плеханова</t>
  </si>
  <si>
    <t>Водопровід вул. Плеханова</t>
  </si>
  <si>
    <t>Д=100, L=0,8 км, чавун</t>
  </si>
  <si>
    <t xml:space="preserve"> 84200,
вул. Дружби </t>
  </si>
  <si>
    <t>Водопровід вул. Дружби</t>
  </si>
  <si>
    <t>Д=100, L=1,9 м, сталь, п/е</t>
  </si>
  <si>
    <t xml:space="preserve"> 84200, 
вул. Потьомкіна</t>
  </si>
  <si>
    <t>Водопровід вул. Потьомкіна</t>
  </si>
  <si>
    <t>Д=100, L=1,675 км, сталь, п/е</t>
  </si>
  <si>
    <t xml:space="preserve"> 84200,
вул. Лесі Українки</t>
  </si>
  <si>
    <t>Водопровід вул. Лесі Українки</t>
  </si>
  <si>
    <t>Д=100, L=0,9 км, чавун</t>
  </si>
  <si>
    <t xml:space="preserve"> 84200,
вул. Фестивальна</t>
  </si>
  <si>
    <t xml:space="preserve">Водопровід вул. Фестивальна </t>
  </si>
  <si>
    <t>Д=100, L=0,4 км, сталь</t>
  </si>
  <si>
    <t>84200,
вул. Козацька</t>
  </si>
  <si>
    <t>Водопровід вул. Чапаєва</t>
  </si>
  <si>
    <t>Д=100, L=1,8 км, сталь, п/е</t>
  </si>
  <si>
    <t>84200,
  вул. Стадіонна</t>
  </si>
  <si>
    <t xml:space="preserve">Водопровід вул. Стадіонна (від вул. Чапаєва) </t>
  </si>
  <si>
    <t>Д=100, L=1,9 км, чавун</t>
  </si>
  <si>
    <t xml:space="preserve"> 84200,
вул. Перемоги</t>
  </si>
  <si>
    <t>Д=100, L=0,78 км, сталь</t>
  </si>
  <si>
    <t xml:space="preserve">  84200, 
вул. Нелідова</t>
  </si>
  <si>
    <t xml:space="preserve">Водопровід вул. Набережна (Нелідова) </t>
  </si>
  <si>
    <t>Д=50,100, L=0,9 км, сталь, п/е</t>
  </si>
  <si>
    <t xml:space="preserve">  84200,
вул. Індустріальна</t>
  </si>
  <si>
    <t xml:space="preserve">Водопровід вул. Індустріальна </t>
  </si>
  <si>
    <t>Д=300, L=3,55 км, сталь, п/е</t>
  </si>
  <si>
    <t xml:space="preserve"> 84200, 
вул. Новосибірська</t>
  </si>
  <si>
    <t>Водопровід вул. Новосибірська</t>
  </si>
  <si>
    <t>Д=100, L=1,3 км, сталь</t>
  </si>
  <si>
    <t xml:space="preserve"> 84200,
вул. Миру</t>
  </si>
  <si>
    <t>Водопровід вул. Миру</t>
  </si>
  <si>
    <t>Д=100, L=0,9 км, сталь</t>
  </si>
  <si>
    <t>84200, 
вул. Н.Откаленка</t>
  </si>
  <si>
    <t>Водопровід вул. Ленінградська</t>
  </si>
  <si>
    <t>Д=100, L=1,2 км, сталь</t>
  </si>
  <si>
    <t xml:space="preserve"> 84200, 
вул. Волгоградська</t>
  </si>
  <si>
    <t>Водопровід вул. Волгоградська</t>
  </si>
  <si>
    <t>Д=100, L=2,95 км, сталь</t>
  </si>
  <si>
    <t>84200,
 вул. Краснодонців</t>
  </si>
  <si>
    <t>Водопровід вул. Краснодонців</t>
  </si>
  <si>
    <t>Д=100, L=0,95 км, чавун</t>
  </si>
  <si>
    <t>84200,
вул. Нахімова</t>
  </si>
  <si>
    <t>Водопровід вул. Нахімова</t>
  </si>
  <si>
    <t>Д=150, L=1,825 км, сталь, п/е</t>
  </si>
  <si>
    <t>84200,
 вул. Депутатська</t>
  </si>
  <si>
    <t>Водопровід вул. Депутатська</t>
  </si>
  <si>
    <t>Д=200, L=4,25 км, сталь , п/е</t>
  </si>
  <si>
    <t>84200,
 вул. Матросова</t>
  </si>
  <si>
    <t>Водопровід вул. Матросова</t>
  </si>
  <si>
    <t>Д=150, L=0,825 км, сталь</t>
  </si>
  <si>
    <t xml:space="preserve"> 84200,
вул. Молокова</t>
  </si>
  <si>
    <t>Водопровід вул. Молокова</t>
  </si>
  <si>
    <t>84200, 
 вул. Некрасова</t>
  </si>
  <si>
    <t>Водопровід вул. Некрасова</t>
  </si>
  <si>
    <t>Д=100, L=0,85 км, сталь</t>
  </si>
  <si>
    <t xml:space="preserve"> 84200, 
вул. Недєліна</t>
  </si>
  <si>
    <t>Водопровід вул. Недєліна</t>
  </si>
  <si>
    <t>Д=100, L=0,46 км, сталь, п/е</t>
  </si>
  <si>
    <t xml:space="preserve"> 84200,
вул. Чкалова </t>
  </si>
  <si>
    <t>Водопровід вул. Чкалова</t>
  </si>
  <si>
    <t>Д=100, L=0,45 км, сталь</t>
  </si>
  <si>
    <t>84200,
 вул. Чайковського</t>
  </si>
  <si>
    <t>Водопровід вул. Чайковського</t>
  </si>
  <si>
    <t>Д=63, 150, L=0,85 км, сталь, п/е</t>
  </si>
  <si>
    <t xml:space="preserve">84200,
вул. Машинобудівників - 
вул. Індустріальна </t>
  </si>
  <si>
    <t>Водопровід вул. Радченка, 
вул. Індустріальна</t>
  </si>
  <si>
    <t>Д=200, L=4,85 км, чавун, п/е</t>
  </si>
  <si>
    <t>84200,
пров. Західний</t>
  </si>
  <si>
    <t>Водопровід пров. Західний</t>
  </si>
  <si>
    <t>Д=100, L=0,25 км, сталь</t>
  </si>
  <si>
    <t>84200, 
вул. Енгельса</t>
  </si>
  <si>
    <t>Водопровід вул. Енгельса</t>
  </si>
  <si>
    <t>Д=300, L=4,6 км, чавун, п/е</t>
  </si>
  <si>
    <t>Водопровід Гавриловські водобаки</t>
  </si>
  <si>
    <t>Д=400, L= 4,45 км, чавун</t>
  </si>
  <si>
    <t>84200,
вул. Одеська</t>
  </si>
  <si>
    <t>Водопровід вул. Одеська</t>
  </si>
  <si>
    <t>Д=100, L= 1,55 км, чавун, п/е</t>
  </si>
  <si>
    <t>84200,
вул. Челюскіна</t>
  </si>
  <si>
    <t>Водопровід вул. Челюскіна</t>
  </si>
  <si>
    <t>Д=100, L=0,325 км, сталь</t>
  </si>
  <si>
    <t>84200, 
вул. Новгородська</t>
  </si>
  <si>
    <t>Водопровід вул. Новгородська</t>
  </si>
  <si>
    <t>Д=100, L=1,325 км, сталь</t>
  </si>
  <si>
    <t xml:space="preserve"> 84200,
вул. Вітчизняна</t>
  </si>
  <si>
    <t>Водопровід вул. Вітчизняна</t>
  </si>
  <si>
    <t>Д=100, L= 1,9 км, сталь</t>
  </si>
  <si>
    <t>84200,
вул. Олега Кошового</t>
  </si>
  <si>
    <t>Водопровід вул. О.Кошового</t>
  </si>
  <si>
    <t>Д=100, L=1,5 км, чавун</t>
  </si>
  <si>
    <t>84200, 
 вул. Нова</t>
  </si>
  <si>
    <t>Водопровід вул. Нова</t>
  </si>
  <si>
    <t>Д=100, L=0,925 км, сталь</t>
  </si>
  <si>
    <t>84200,
 вул. Менделєєва</t>
  </si>
  <si>
    <t>Водопровід вул. Менделєєва</t>
  </si>
  <si>
    <t>Д=100, L=0,5 км, чавун, п/е</t>
  </si>
  <si>
    <t xml:space="preserve"> 84200,
вул. Сєрова</t>
  </si>
  <si>
    <t>Водопровід вул. Сєрова 2950</t>
  </si>
  <si>
    <t>Д=100, L=2,95 км, чавун</t>
  </si>
  <si>
    <t>84200,
 вул. Леваневського</t>
  </si>
  <si>
    <t>Водопровід вул. Леваневського</t>
  </si>
  <si>
    <t>Д=100, L=1,378 км, чавун</t>
  </si>
  <si>
    <t>84200, 
вул. Паризької Комуни</t>
  </si>
  <si>
    <t>Водопровід вул. Паризької Комуни</t>
  </si>
  <si>
    <t>Д=150, L= 1,95 км, чавун</t>
  </si>
  <si>
    <t>84200, 
 вул. Святогірська</t>
  </si>
  <si>
    <t>Водопровід вул. П.Морозова</t>
  </si>
  <si>
    <t>Д=100, L=1,8 км, чавун</t>
  </si>
  <si>
    <t>84200,
 вул. Кримська</t>
  </si>
  <si>
    <t>Водопровід вул. Кримська</t>
  </si>
  <si>
    <t>Д=100, L=0,975 км, чавун</t>
  </si>
  <si>
    <t xml:space="preserve">  84200, 
вул. Спортивна - вул. Армійська</t>
  </si>
  <si>
    <t xml:space="preserve">Водопровід вул. Спортивна, 
вул. Червоноармійська </t>
  </si>
  <si>
    <t>Д=100, L= 1,05 км, чавун, п/е</t>
  </si>
  <si>
    <t>84200,
 вул. Лізи Чайкіної</t>
  </si>
  <si>
    <t>Водопровід вул. Лізи Чайкіної</t>
  </si>
  <si>
    <t>Д=100, L=1,528 км, чавун</t>
  </si>
  <si>
    <t>84200,
 вул. Рєпіна</t>
  </si>
  <si>
    <t>Водопровід вул. Рєпіна</t>
  </si>
  <si>
    <t>Д=100, L=0,878 км, чавун</t>
  </si>
  <si>
    <t>84200,
 вул. Тамбовська</t>
  </si>
  <si>
    <t xml:space="preserve">Водопровід вул. Тамбовська </t>
  </si>
  <si>
    <t>Д=100, L=0,55 км, чавун</t>
  </si>
  <si>
    <t xml:space="preserve"> 84200,
вул. Курська</t>
  </si>
  <si>
    <t xml:space="preserve">Водопровід вул. Курська </t>
  </si>
  <si>
    <t>84200,
 вул. Косарева</t>
  </si>
  <si>
    <t xml:space="preserve">Водопровід вул. Косарева </t>
  </si>
  <si>
    <t>Д=100, L= 1,3 км, чавун</t>
  </si>
  <si>
    <t>84200, 
вул. Бєлінського</t>
  </si>
  <si>
    <t>Водопровід вул. Бєлінського</t>
  </si>
  <si>
    <t>Д=100, L=1,325 км, чавун</t>
  </si>
  <si>
    <t>84200,
вул. Машинобудівників</t>
  </si>
  <si>
    <t>Водопровід вул. Радченко</t>
  </si>
  <si>
    <t>Д=200, L=2,55км, чавун</t>
  </si>
  <si>
    <t>84200, 
 вул. Педагогічна</t>
  </si>
  <si>
    <t>Водопровід вул. Педагогічна</t>
  </si>
  <si>
    <t>Д=250, L=1,9 км, сталь, п/е</t>
  </si>
  <si>
    <t>84200,
вул. Театральна</t>
  </si>
  <si>
    <t>Водопровід вул. Театральна</t>
  </si>
  <si>
    <t>Д=100, L=0,725 км, чавун, п/е</t>
  </si>
  <si>
    <t xml:space="preserve"> 84200,
вул. Павлова </t>
  </si>
  <si>
    <t>Водопровід вул. Павлова</t>
  </si>
  <si>
    <t>Д=150, L=1,9 км, чавун</t>
  </si>
  <si>
    <t xml:space="preserve"> 84200,
вул. Гвардійська</t>
  </si>
  <si>
    <t>Водопровід вул. Червоногвардійська</t>
  </si>
  <si>
    <t>Д=100, L= 1,675 км, чавун</t>
  </si>
  <si>
    <t xml:space="preserve"> 84200,
вул. Чернігівська</t>
  </si>
  <si>
    <t>Водопровід вул. Орджонікідзе</t>
  </si>
  <si>
    <t>Д=100, L=1,975 км, чавун, п/е</t>
  </si>
  <si>
    <t xml:space="preserve"> 84200,
вул. К. Маркса</t>
  </si>
  <si>
    <t>Водопровід вул. К. Маркса</t>
  </si>
  <si>
    <t>Д=150, L=1,475 км, чавун, п/е</t>
  </si>
  <si>
    <t>84200,
 вул. Ломоносова</t>
  </si>
  <si>
    <t>Водопровід вул. Ломоносова</t>
  </si>
  <si>
    <t>84200,
 вул. Курчатова</t>
  </si>
  <si>
    <t>Водопровід вул. Курчатова</t>
  </si>
  <si>
    <t>Д=100, L=0,575 км, чавун</t>
  </si>
  <si>
    <t>84200,
 вул. Новосадова</t>
  </si>
  <si>
    <t>Водопровід вул. Ново-Садова</t>
  </si>
  <si>
    <t>Д=150, L=1,2 км, чавун</t>
  </si>
  <si>
    <t>84200,
 вул. Покровська</t>
  </si>
  <si>
    <t>Водопровід вул. Пономарьова</t>
  </si>
  <si>
    <t>Д=150, L=0,475 км, чавун</t>
  </si>
  <si>
    <t>84200,
 вул. Клубна</t>
  </si>
  <si>
    <t>Водопровід вул. Клубна</t>
  </si>
  <si>
    <t>Д=100, L=0,3 км, чавун</t>
  </si>
  <si>
    <t xml:space="preserve"> 84200,
вул. П.Орлика</t>
  </si>
  <si>
    <t>Водопровід вул. Ватутіна</t>
  </si>
  <si>
    <t>Д=100, 150, L= 1,55 км, чавун</t>
  </si>
  <si>
    <t>84200,
 вул. Тельмана</t>
  </si>
  <si>
    <t>Водопровід вул. Тельмана</t>
  </si>
  <si>
    <t xml:space="preserve"> 84200,
вул. Свободи</t>
  </si>
  <si>
    <t>Водопровід вул. Свободи</t>
  </si>
  <si>
    <t>Д=300, L=1,9 км, чавун</t>
  </si>
  <si>
    <t>Д=300, L=0,875 км, чавун</t>
  </si>
  <si>
    <t>м. Дружківка
смт Олексієво-Дружківка</t>
  </si>
  <si>
    <t xml:space="preserve"> 85133,
вул. Зарічна</t>
  </si>
  <si>
    <t>Водопровід вул. Зарічна</t>
  </si>
  <si>
    <t>Д=50, L=0,48 км, сталь, п/е</t>
  </si>
  <si>
    <t xml:space="preserve"> 84200,
вул. Смоленська</t>
  </si>
  <si>
    <t xml:space="preserve">Водопровід вул. Смоленська </t>
  </si>
  <si>
    <t>Д=150, L=0,980 км, чавун</t>
  </si>
  <si>
    <t>84200, 
 вул. Маріупольська</t>
  </si>
  <si>
    <t xml:space="preserve">Водопровід вул. Маріупольська </t>
  </si>
  <si>
    <t>Д=63, 100, L=0,25 км, чавун</t>
  </si>
  <si>
    <t>84200,
 вул. Мінська</t>
  </si>
  <si>
    <t>Водопровід вул. Мінська</t>
  </si>
  <si>
    <t>Д=150, L=0,25 км, чавун</t>
  </si>
  <si>
    <t>84200,
вул. Енгельса</t>
  </si>
  <si>
    <t xml:space="preserve">Водопровід верхньої зони </t>
  </si>
  <si>
    <t>Д=150, L=6,5 км, чавун</t>
  </si>
  <si>
    <t>Водопровід мікрорайон 9</t>
  </si>
  <si>
    <t>Д=100, 150, 200, L=1,982 км, чавун, сталь, п/е</t>
  </si>
  <si>
    <t xml:space="preserve">Водопровід мікрорайон 9 </t>
  </si>
  <si>
    <t>Д=100, 200, L=0,981 км, чавун, сталь, п/е</t>
  </si>
  <si>
    <t>Водопровід від ВКБ міськвиконкому</t>
  </si>
  <si>
    <t>Д=100, L=4,485 км, сталь</t>
  </si>
  <si>
    <t>84200,
 вул. Свободи</t>
  </si>
  <si>
    <t>Д=300, L= 2,721 км, чавун, п/е</t>
  </si>
  <si>
    <t>84200,
вул. Соборна - вул. Чайковського</t>
  </si>
  <si>
    <t>Водопровід від ВКБ міськвиконкому Леніна,
 вул. Чайковського</t>
  </si>
  <si>
    <t>Д=100, L=0,246 км, сталь</t>
  </si>
  <si>
    <t>84200,
 вул. Одеська</t>
  </si>
  <si>
    <t xml:space="preserve">Водопровід вул. Одеська </t>
  </si>
  <si>
    <t xml:space="preserve"> 84200,
вул. Соборна </t>
  </si>
  <si>
    <t>Водопровід вул. Леніна</t>
  </si>
  <si>
    <t>Д=150, L=0,682 км, сталь</t>
  </si>
  <si>
    <t xml:space="preserve"> 84200,
вул. Одеська</t>
  </si>
  <si>
    <t>Д=100, L=0,72 км, чавун</t>
  </si>
  <si>
    <t>84200,
вул. Космонавтів, 37</t>
  </si>
  <si>
    <t>Водопровід мікрорайон 9 школа № 7</t>
  </si>
  <si>
    <t>Д=100, 150, L=0,345 км, чавун</t>
  </si>
  <si>
    <t>84200,
вул. Машинобудівників, 34Б</t>
  </si>
  <si>
    <t xml:space="preserve">Водопровід будинок побуту «Прогрес» </t>
  </si>
  <si>
    <t>Д=50, L=0,032 км, чавун</t>
  </si>
  <si>
    <t xml:space="preserve"> 84200, 
вул. Соборна</t>
  </si>
  <si>
    <t>Водопровід гуртожиток вул. Леніна</t>
  </si>
  <si>
    <t>Д=100, L=0,252 км, чавун</t>
  </si>
  <si>
    <t>84200,
 вул. Олега Кошового, 39 - 
вул. Солідарності, 43, 47, 49</t>
  </si>
  <si>
    <t>Водопровід вул. О.Кошового 39, 
вул. Солідарності 43, 47, 49</t>
  </si>
  <si>
    <t>Д=100, L=1,008 км, чавун, п/е</t>
  </si>
  <si>
    <t xml:space="preserve"> 84200,
вул. Солідарності, 53, 57</t>
  </si>
  <si>
    <t>Водопровід вул. Солідарності, 53, 57</t>
  </si>
  <si>
    <t>Д=150, 200, L= 1,267 км, чавун, п/е</t>
  </si>
  <si>
    <t>84200,
вул. Короленка, 10</t>
  </si>
  <si>
    <t xml:space="preserve">Водопровід ЦМЛ </t>
  </si>
  <si>
    <t>Д=150, L=0,355 км, чавун</t>
  </si>
  <si>
    <t xml:space="preserve"> 84200,
вул. Космонавтів, 41 - вул. Енгельса, 85</t>
  </si>
  <si>
    <t xml:space="preserve">Водопровід вул. Космонавтів, 41; 
вул. Енгельса, 85 </t>
  </si>
  <si>
    <t>Д= 100, 150, L=0,198 км, чавун</t>
  </si>
  <si>
    <t>84200,
 вул. Смоленська, 6</t>
  </si>
  <si>
    <t xml:space="preserve">Водопровід від теплопункту до
 вул. Смоленська, 6  </t>
  </si>
  <si>
    <t>Д=150, L=0,218 км, чавун</t>
  </si>
  <si>
    <t xml:space="preserve"> 84200,
вул. Дружби, 79</t>
  </si>
  <si>
    <t>Водопровід мікрорайон 10 вул. Дружби 79</t>
  </si>
  <si>
    <t>Д=100, L=0,125 км, чавун</t>
  </si>
  <si>
    <t xml:space="preserve"> 84200,
вул. Космонавтів, 52</t>
  </si>
  <si>
    <t>Водопровід мікрорайон 10 вул. Космонавтів, 52</t>
  </si>
  <si>
    <t>Д=100, 150, L=0,11 км, чавун</t>
  </si>
  <si>
    <t xml:space="preserve"> 84200,
вул. Космонавтів, 56</t>
  </si>
  <si>
    <t>Водопровід мікрорайон 10 вул. Космонавтів, 56</t>
  </si>
  <si>
    <t>Д=100, L=0,035 км, чавун</t>
  </si>
  <si>
    <t xml:space="preserve"> 84200,
вул. Космонавтів - вул. Дружби</t>
  </si>
  <si>
    <t xml:space="preserve">Водопровід вул. Космонавтів-Дружби (навкруги) </t>
  </si>
  <si>
    <t>Д=300, L=1,375 км, чавун, п/е</t>
  </si>
  <si>
    <t>84200,
вул. Олега Кошового, 49</t>
  </si>
  <si>
    <t>Водопровід мікрорайон 10 ТП № 5</t>
  </si>
  <si>
    <t>Д=250, L=0,165 км, чавун</t>
  </si>
  <si>
    <t>84200,
 вул. Космонавтів, 33</t>
  </si>
  <si>
    <t>Д=100, 150, L=0,272 км, чавун</t>
  </si>
  <si>
    <t>84200,
 вул. Смоленська, 8</t>
  </si>
  <si>
    <t>Водопровід вул. Смоленська, 8</t>
  </si>
  <si>
    <t>Д=100, 250, L=0,492 км, чавун</t>
  </si>
  <si>
    <t>84200,
вул. Космонавтів, 64</t>
  </si>
  <si>
    <t>Д=50, 100, L=0,12 км, чавун</t>
  </si>
  <si>
    <t>84200,
вул. Космонавтів, 31</t>
  </si>
  <si>
    <t>Водопровід мікрорайон 9 вул. Космонавтів, 31</t>
  </si>
  <si>
    <t>Д=100, L=0,08 км, чавун</t>
  </si>
  <si>
    <t>84200,
вул. Космонавтів, 54</t>
  </si>
  <si>
    <t>Водопровід вул. Космонавтів, 54</t>
  </si>
  <si>
    <t>Д=100, L=0,018 км, чавун</t>
  </si>
  <si>
    <t>Водопровід с. Гірник, 
від радгоспу Дружківський</t>
  </si>
  <si>
    <t>Д=50, 100, 150, 200, L= 11,7 км, сталь, чавун</t>
  </si>
  <si>
    <t>84396, 
поза зоною міської забудови</t>
  </si>
  <si>
    <t>Трубопровід очисних споруд від Машзаводу</t>
  </si>
  <si>
    <t>Д=200, 300, 600, L=0,165 км, сталь</t>
  </si>
  <si>
    <t>84200,
вул. Козацька - вул. Космонавтів</t>
  </si>
  <si>
    <t>Водопровід КРМ 7 позаквартальні</t>
  </si>
  <si>
    <t>Д=150, 200, L=2,0 км, чавун</t>
  </si>
  <si>
    <t>84200, 
вул. Соборна, 10, 11-15, 20, 21 
вул. О.Кошового, 2, 4, 15, 17, 19, 21
вул. Новгородська, 18, 20, 22 
вул. Енгельса, 79, 81
вул. Ярослава Мудрого, 36, 38 
вул. Матросова, 3, 5, 12, 14, 16
 вул. Чернігівська, 5, 7, 
вул. Машинобудівників, 42 -46, 48, 50
вул. Армійська, 8</t>
  </si>
  <si>
    <t>Каналізаційні мережі Машзаводу</t>
  </si>
  <si>
    <t>Д=100, 150, 300, L=4,392 км, кераміка</t>
  </si>
  <si>
    <t>84200, 
вул. Соборна, 10, 11-15, 20, 21 
вул. О.Кошового, 2, 4, 15, 17, 19, 21
вул. Новгородська, 18, 20, 22 
 вул. Енгельса, 79, 81
вул. Ярослава Мудрого, 36, 38 
вул. Матросова, 3, 5, 12, 14, 16
 вул. Чернігівська, 5, 7, 
вул. Машинобудівників, 42 -46, 48, 50
вул. Армійська, 8</t>
  </si>
  <si>
    <t xml:space="preserve">Водопровідні мережі від Машзаводу    </t>
  </si>
  <si>
    <t>Д=20, 32, 50, 89, 100, 125, L=2,756 км, сталь, чавун, п/е</t>
  </si>
  <si>
    <t>Костянтинівський р-н,
с. Кіндратівка</t>
  </si>
  <si>
    <t>Водопровідні мережі КСП Заповіти Ілліча</t>
  </si>
  <si>
    <t>Д=100, 125, L=2,9 км, чавун, сталь</t>
  </si>
  <si>
    <t xml:space="preserve"> 84200, 
вул. Космонавтів, 69, 71, 83</t>
  </si>
  <si>
    <t>Водопровід мікрорайон 7 вул. Космонавтів, 69, 71, 83</t>
  </si>
  <si>
    <t>Д=100, 200, L=0,365 км, чавун</t>
  </si>
  <si>
    <t>84293,
вул. Слобожанська, вул. Бабушкіна М.С.
вул. Папаніна, вул. Шота Руставелі
вул. Сєдова, вул. Каштанова</t>
  </si>
  <si>
    <t>Водопровідні мережі Кіндратівський вогнетривкий завод</t>
  </si>
  <si>
    <t>Д=50, 100, L=2,787 км, чавун</t>
  </si>
  <si>
    <t>Каналізаційні мережі Кіндратівський вогнетривкий завод</t>
  </si>
  <si>
    <t>Д=100,150, L=2,998 км, кераміка, чавун</t>
  </si>
  <si>
    <t xml:space="preserve"> 84200,
вул. Дружби, 81</t>
  </si>
  <si>
    <t>Водопровід мікрорайон 7 вул. Дружби, 81</t>
  </si>
  <si>
    <t>Д=100, 200, L=0,06 км, чавун</t>
  </si>
  <si>
    <t xml:space="preserve"> 84200,
вул. Дружби, 85</t>
  </si>
  <si>
    <t>Водопровід мікрорайон 7 вул. Дружби, 85</t>
  </si>
  <si>
    <t>Д=100, 200, L=0,105 км, чавун</t>
  </si>
  <si>
    <t xml:space="preserve">Система аерації аеротенків, КОС     </t>
  </si>
  <si>
    <t>Д=50, L=0,8 км, п/е</t>
  </si>
  <si>
    <t>84200,
вул. Космонавтів, 60</t>
  </si>
  <si>
    <t>Водопровід мікрорайон 10 
вул. Космонавтів, 60</t>
  </si>
  <si>
    <t>Д=100, L=0,009 км, чавун</t>
  </si>
  <si>
    <t>84200,
 вул. Машинобудівників, 64</t>
  </si>
  <si>
    <t>Водопровід вул. Радченко ж/б 64</t>
  </si>
  <si>
    <t>Д=100, L=0,1 км, чавун</t>
  </si>
  <si>
    <t>Костянтинівський р-н,
с. Осикове</t>
  </si>
  <si>
    <t>84208,
вул. Южна</t>
  </si>
  <si>
    <t xml:space="preserve">Водопровідні мережі с. Осикове </t>
  </si>
  <si>
    <t>Д=80, 100, L=1,3 км, сталь</t>
  </si>
  <si>
    <t>Костянтинівський р-н,
с. Куртівка</t>
  </si>
  <si>
    <t>84208,
вул. Громова</t>
  </si>
  <si>
    <t xml:space="preserve">Водопровідні мережі,
 вул. Громова с. Куртівка </t>
  </si>
  <si>
    <t>Д=25, L=1,05 км, чавун</t>
  </si>
  <si>
    <t xml:space="preserve"> 84208,
вул. Ударників</t>
  </si>
  <si>
    <t>Водопровідні мережі, 
вул. Ударників, с. Куртівка</t>
  </si>
  <si>
    <t>Д=100, L=2,0 км, чавун</t>
  </si>
  <si>
    <t>84208,
 вул. Шахтарська</t>
  </si>
  <si>
    <t>Водопровідні мережі 
вул. Шахтарська, с. Куртівка</t>
  </si>
  <si>
    <t>Д=80, L=0,25 км, чавун</t>
  </si>
  <si>
    <t xml:space="preserve"> 84200,
вул. Космонавтів, 62</t>
  </si>
  <si>
    <t>Водопровід мікрорайон 10 
вул. Космонавтів, 62</t>
  </si>
  <si>
    <t>Д=100, L=0,013 км, чавун</t>
  </si>
  <si>
    <t>84208,
вул. Чернігівська</t>
  </si>
  <si>
    <t>Д=50, L=1,5 км, чавун</t>
  </si>
  <si>
    <t>поза зоною забудови</t>
  </si>
  <si>
    <t>Підключення до 2-го Донецького водопроводу
 с. Куртівка</t>
  </si>
  <si>
    <t>Д=150, L=1,6 км, чавун</t>
  </si>
  <si>
    <t>Костянтинівський р-н,
с. Софіївка</t>
  </si>
  <si>
    <t>Водопровід с. Артемівка</t>
  </si>
  <si>
    <t>85170,
вул. Ювілейна</t>
  </si>
  <si>
    <t>Водопровід с. Торське</t>
  </si>
  <si>
    <t>Д=100, L=3,0 км, сталь, чавун</t>
  </si>
  <si>
    <t>85170, 
вул. Молодіжна</t>
  </si>
  <si>
    <t>Водопровідна система с. Торське</t>
  </si>
  <si>
    <t>Д=100, L=1,9 км, сталь</t>
  </si>
  <si>
    <t xml:space="preserve"> 84200,
вул. Дружби, 89 - 89А</t>
  </si>
  <si>
    <t>Водопровід мікрорайон 7
 вул. Дружби, 89, 89а</t>
  </si>
  <si>
    <t>Д=50, 200, L=0,136 км, чавун</t>
  </si>
  <si>
    <t xml:space="preserve"> 84200, 
вул. Машинобудівників, 62</t>
  </si>
  <si>
    <t>Водопровід вул. Радченка, 62</t>
  </si>
  <si>
    <t>Д=100, L=0,194 км, чавун</t>
  </si>
  <si>
    <t>84200, 
вул. Козацька</t>
  </si>
  <si>
    <t>Водопровід мікрорайон 7 котельня ДКВР</t>
  </si>
  <si>
    <t>Д=150, L=0,15 км, чавун</t>
  </si>
  <si>
    <t>84200, 
вул. Енгельса, 82</t>
  </si>
  <si>
    <t>Водопровід мікрорайон 10 до дитячого садочку</t>
  </si>
  <si>
    <t>Д=100, L=0,059 км, чавун</t>
  </si>
  <si>
    <t>84200,
вул. Космонавтів, 67</t>
  </si>
  <si>
    <t>Водопровід мікрорайон 10 (до універсаму)</t>
  </si>
  <si>
    <t>Д=50, 150, L=0,063 км, сталь</t>
  </si>
  <si>
    <t>84200,
вул. Космонавтів, 65</t>
  </si>
  <si>
    <t>Водопровід мікрорайон 7 вул. Космонавтів 65</t>
  </si>
  <si>
    <t>Д=100, L=0,029 км, чавун</t>
  </si>
  <si>
    <t>84200,
вул. Енгельса, 106</t>
  </si>
  <si>
    <t>Водопровід мікрорайон 7 вул. Енгельса, 106</t>
  </si>
  <si>
    <t>Д=100, 200, L=0,133 км, сталь</t>
  </si>
  <si>
    <t>84200,
вул. Енгельса, 55</t>
  </si>
  <si>
    <t>Водопровід мікрорайон 7 вул. Енгельса, 55</t>
  </si>
  <si>
    <t>Д=100, L=0,075 км, чавун</t>
  </si>
  <si>
    <t>84200,
вул. Космонавтів, 63</t>
  </si>
  <si>
    <t>Водопровід мікрорайон 7 вул. Космонавтів, 63</t>
  </si>
  <si>
    <t xml:space="preserve"> 84200,
вул. Енгельса, 104</t>
  </si>
  <si>
    <t>Водопровід мікрорайон 7 вул. Енгельса, 104</t>
  </si>
  <si>
    <t>Д=100, L=0,056 км, чавун</t>
  </si>
  <si>
    <t xml:space="preserve"> 84200,
вул. Енгельса, 102</t>
  </si>
  <si>
    <t>Водопровід мікрорайон 7 вул. Енгельса, 102</t>
  </si>
  <si>
    <t>Д=100, 200, L=0,041 км, чавун</t>
  </si>
  <si>
    <t>84200,
вул. Козацька - вул. Енгельса -
 вул. Космонавтів</t>
  </si>
  <si>
    <t>Водопровід 3-я черга мікрорайон 7</t>
  </si>
  <si>
    <t>Д=200, L=1,298 км, чавун</t>
  </si>
  <si>
    <t xml:space="preserve"> 84200,
вул. Дружби, 52</t>
  </si>
  <si>
    <t>Водопровід мікрорайон 7 вул. Дружби, 52</t>
  </si>
  <si>
    <t>Д=200, L=0,059 км, чавун</t>
  </si>
  <si>
    <t xml:space="preserve"> 84200,
вул. Дружби, 100</t>
  </si>
  <si>
    <t>Водопровід мікрорайон 7 вул. Дружби, 100</t>
  </si>
  <si>
    <t>84200,
вул. Енгельса, 108</t>
  </si>
  <si>
    <t>Водопровід мікрорайон 7 вул. Енгельса, 108</t>
  </si>
  <si>
    <t>Д=100, L=0,004 км, чавун</t>
  </si>
  <si>
    <t xml:space="preserve"> 84200,
вул. Козацька, 96</t>
  </si>
  <si>
    <t>Водопровід мікрорайон 7 вул. Чапаєва, 96</t>
  </si>
  <si>
    <t>Д=200, L=0,1645 км, чавун</t>
  </si>
  <si>
    <t>84200,
вул. Енгельса, 84</t>
  </si>
  <si>
    <t>Д=200, L=0,161 км, чавун</t>
  </si>
  <si>
    <t>84200, 
 вул. Козацька, 98</t>
  </si>
  <si>
    <t>Водопровід мікрорайон 7 вул. Чапаєва, 98</t>
  </si>
  <si>
    <t>Д=100, L=0, 0185 км, чавун</t>
  </si>
  <si>
    <t>84200,
вул. Енгельса, 110</t>
  </si>
  <si>
    <t>Водопровід мікрорайон 7 вул. Енгельса, 110</t>
  </si>
  <si>
    <t>Д=100, L=0,051 км, чавун</t>
  </si>
  <si>
    <t>84200, 
 вул. Козацька, 84</t>
  </si>
  <si>
    <t>Водопровід мікрорайон 7 від РВК 7 до дитячого садочка</t>
  </si>
  <si>
    <t>84200, 
 вул. Козацька, 94</t>
  </si>
  <si>
    <t>Водопровід мікрорайон 7 вул. Чапаєва, 94</t>
  </si>
  <si>
    <t>Д=100, L=0,01 км, чавун</t>
  </si>
  <si>
    <t xml:space="preserve"> 84200, 
вул. Дружби, 89 - 89А</t>
  </si>
  <si>
    <t>Водопровід мікрорайон 7 вул. Дружби, 89, 89а</t>
  </si>
  <si>
    <t>Д=100, L=0,01 км, чавун, п/е</t>
  </si>
  <si>
    <t xml:space="preserve">  84200, 
вул. Енгельса, 78</t>
  </si>
  <si>
    <t>Водопровід мікрорайон 10 вул. Енгельса, 78</t>
  </si>
  <si>
    <t>Д=100, 150, L=0,06 км, чавун</t>
  </si>
  <si>
    <t xml:space="preserve"> 84200, 
вул. Козацька, 92</t>
  </si>
  <si>
    <t>Водопровід мікрорайон 7 вул. Чапаєва 92</t>
  </si>
  <si>
    <t>Д=100, L=0,025 км, чавун</t>
  </si>
  <si>
    <t xml:space="preserve"> 84200,
 вул. Космонавтів, 53</t>
  </si>
  <si>
    <t>Водопровід мікрорайон 7 вул. Космонавтів, 53</t>
  </si>
  <si>
    <t>Д=100, L=0,104 км, чавун</t>
  </si>
  <si>
    <t>84200, 
вул. Енгельса, 92</t>
  </si>
  <si>
    <t>Водопровід КЕТБ-2к мікрорайон 10 ТП10</t>
  </si>
  <si>
    <t>Д=150, L=0,204 км, чавун</t>
  </si>
  <si>
    <t>84200, 
вул. Енгельса, 132</t>
  </si>
  <si>
    <t>Водопровід дитячий садок мікрорайон 10 
вул. Енгельса, 132</t>
  </si>
  <si>
    <t xml:space="preserve"> 84200, 
вул. Козацька, 96А</t>
  </si>
  <si>
    <t>Водопровід мікрорайон 7 вул. Чапаєва, 96а</t>
  </si>
  <si>
    <t>Д=50, 200, L=0,0325 км, чавун</t>
  </si>
  <si>
    <t>84200, 
вул. Енгельса, 82А</t>
  </si>
  <si>
    <t>Водопровід мікрорайон 10 вул. Енгельса, 82а</t>
  </si>
  <si>
    <t>Д=150, L=0,051 км, чавун</t>
  </si>
  <si>
    <t>84200, 
вул. Петліна, 5</t>
  </si>
  <si>
    <t xml:space="preserve">Водопровід мікрорайон 13 котельня </t>
  </si>
  <si>
    <t>84200, 
вул. Космонавтів, 40</t>
  </si>
  <si>
    <t>Водопровід до будинку піонерів</t>
  </si>
  <si>
    <t>Д=150, L=0,265 км, чавун</t>
  </si>
  <si>
    <t xml:space="preserve"> 84200,
вул. Козацька, 80, 82А</t>
  </si>
  <si>
    <t>Д=76, 100, 150, L=0,261 км, чавун</t>
  </si>
  <si>
    <t xml:space="preserve"> 84200,
вул. Козацька, 70</t>
  </si>
  <si>
    <t>Водопровід мікрорайон 7 вул. Чапаєва, 70</t>
  </si>
  <si>
    <t>Д=100, L=0,1195 км, чавун</t>
  </si>
  <si>
    <t xml:space="preserve"> 84200,
вул. Козацька, 76</t>
  </si>
  <si>
    <t xml:space="preserve">Водопровід ж/б 40 мікрорайон, 7 </t>
  </si>
  <si>
    <t>Д=100, L=0,012 км, чавун</t>
  </si>
  <si>
    <t>84200,
 вул. Паризької Комуни, 73</t>
  </si>
  <si>
    <t>Водопровід мікрорайон 13 вул. Паризької Комуни, 73</t>
  </si>
  <si>
    <t>84200, 
вул. Новосибірська, 2</t>
  </si>
  <si>
    <t>Д=150, L=0,008 км, чавун</t>
  </si>
  <si>
    <t>84200,
 вул. Козацька, 78</t>
  </si>
  <si>
    <t>Водопровід мікрорайон 7 вул. Чапаєва, 78</t>
  </si>
  <si>
    <t>84200,
 вул. Козацька, 92 А</t>
  </si>
  <si>
    <t>Д=50, 200, L=0,029 км, чавун</t>
  </si>
  <si>
    <t xml:space="preserve"> 84200, 
вул. Космонавтів, 58</t>
  </si>
  <si>
    <t>Водопровід мікрорайон 10 вул. Космонавтів, 58</t>
  </si>
  <si>
    <t>Д=50, 100, L=0,034 км, чавун</t>
  </si>
  <si>
    <t>84200,
 вул. Козацька, 84</t>
  </si>
  <si>
    <t>Водопровід дитячий садок мікрорайон 7 
вул. Чапаєва, 84</t>
  </si>
  <si>
    <t>Д=100, L=0,107 км, чавун</t>
  </si>
  <si>
    <t>84200,
 вул. Козацька, 64</t>
  </si>
  <si>
    <t>Водопровід мікрорайон 7 вул. Чапаєва, 64</t>
  </si>
  <si>
    <t>Д=100, L=0,042 км, чавун</t>
  </si>
  <si>
    <t xml:space="preserve"> 84200, 
вул. Енгельса, 120</t>
  </si>
  <si>
    <t>Водопровід мікрорайон 7 вул. Енгельса, 120</t>
  </si>
  <si>
    <t>Д=100, 150, L=0,242 км, чавун</t>
  </si>
  <si>
    <t>84200, 
вул. Нахімова ,137, 139</t>
  </si>
  <si>
    <t>Водопровід вул. Нахімова (школа та котельня)</t>
  </si>
  <si>
    <t>Д=65, 100, L=0,121 км, чавун</t>
  </si>
  <si>
    <t>84200,
вул. Козацька, 86, 
вул. Космонавтів, 51, вул. Енгельса, 112</t>
  </si>
  <si>
    <t>Водопровід ЗОШ № 17, вул. Космонавтів, 51, вул. Енгельса, 112</t>
  </si>
  <si>
    <t>Д=100, 150, L=0,385 км, чавун</t>
  </si>
  <si>
    <t>84200,
вул. Енгельса, 98</t>
  </si>
  <si>
    <t>Водопровід мікрорайон 7 вул. Енгельса, 98</t>
  </si>
  <si>
    <t>Д=200, L=0,247 км, чавун</t>
  </si>
  <si>
    <t>84200,
вул. Енгельса, 100</t>
  </si>
  <si>
    <t>Водопровід мікрорайон 7 вул. Енгельса, 100</t>
  </si>
  <si>
    <t>Д=100, L=0,068 км, чавун</t>
  </si>
  <si>
    <t xml:space="preserve"> 84200, 
вул. Паризької Комуни, 77</t>
  </si>
  <si>
    <t>Водопровід мікрорайон 13 вул. Паризької Комуни, 77</t>
  </si>
  <si>
    <t>Д=100, L=0,111 км, чавун</t>
  </si>
  <si>
    <t xml:space="preserve"> 84200, 
 вул. Космонавтів, 42</t>
  </si>
  <si>
    <t>Водопровід вул. Космонавтів, 42</t>
  </si>
  <si>
    <t>Д=100, 200, L=0,297 км, чавун</t>
  </si>
  <si>
    <t xml:space="preserve"> 84200, 
вул. Косарева, 12</t>
  </si>
  <si>
    <t>Водопровід мікрорайон 13 вул. Косарева, 12</t>
  </si>
  <si>
    <t>Д=100, 150, L=0,116 км, чавун</t>
  </si>
  <si>
    <t xml:space="preserve"> 84200, 
вул. Паризької Комуни, 79</t>
  </si>
  <si>
    <t>Водопровід мікрорайон 13 вул. Паризької Комуни, 79</t>
  </si>
  <si>
    <t>Д=100, 150, L=0,085 км, чавун</t>
  </si>
  <si>
    <t>84200, 
 вул. Енгельса, 78</t>
  </si>
  <si>
    <t>Водопровід вул. Енгельса, 78</t>
  </si>
  <si>
    <t>Д=100, L=0,074 км, чавун</t>
  </si>
  <si>
    <t xml:space="preserve">  84200,
вул. Паризької Комуни, 81</t>
  </si>
  <si>
    <t>Водопровід мікрорайон 13 вул. Паризької Комуни, 81</t>
  </si>
  <si>
    <t>Д=100, L=0,045 км, чавун</t>
  </si>
  <si>
    <t xml:space="preserve">  84200,
вул. Паризької Комуни, 56</t>
  </si>
  <si>
    <t>Водопровід мікрорайон 13 вул. Паризької Комуни, 56</t>
  </si>
  <si>
    <t>Д=100, L=0,347 км, чавун</t>
  </si>
  <si>
    <t xml:space="preserve">  84200,
вул. Паризької Комуни, 54</t>
  </si>
  <si>
    <t>Водопровід мікрорайон 13 вул. Паризької Комуни, 54</t>
  </si>
  <si>
    <t>Д=200, L=0,142 км, чавун</t>
  </si>
  <si>
    <t>84200, 
вул. Козацька, 74</t>
  </si>
  <si>
    <t>Водопровід мікрорайон 7 вул. Чапаєва, 74</t>
  </si>
  <si>
    <t>Д=100, L=0,0655 км, чавун</t>
  </si>
  <si>
    <t>84200, 
вул. Енгельса, 118</t>
  </si>
  <si>
    <t>Водопровід мікрорайон 7 вул. Енгельса, 118</t>
  </si>
  <si>
    <t>Д=100, L=0,0205 км, чавун</t>
  </si>
  <si>
    <t>84200, 
вул. Косарева, 6</t>
  </si>
  <si>
    <t>Водопровід мікрорайон 13 вул. Косарева, 6</t>
  </si>
  <si>
    <t>Д=100, 150, L=0,076 км, чавун</t>
  </si>
  <si>
    <t xml:space="preserve"> 84200, 
вул. Енгельса, 116</t>
  </si>
  <si>
    <t>Водопровід мікрорайон 7 вул. Енгельса, 116</t>
  </si>
  <si>
    <t>Д=100, L=0,040 км, чавун</t>
  </si>
  <si>
    <t xml:space="preserve"> 84200, 
вул. Космонавтів, 44</t>
  </si>
  <si>
    <t>Водопровід мікрорайон 10 вул. Космонавтів, 44</t>
  </si>
  <si>
    <t>Д=150, L=0,072 км, сталь, п/е</t>
  </si>
  <si>
    <t>84200, 
вул. Козацька, 93, 95</t>
  </si>
  <si>
    <t>Водопровід мікрорайон 6 ТП</t>
  </si>
  <si>
    <t>Д=150, 300, L=0,962 км, чавун</t>
  </si>
  <si>
    <t>84200, 
вул. Козацька, 91</t>
  </si>
  <si>
    <t>Водопровід мікрорайон 6 вул. Чапаєва, 91</t>
  </si>
  <si>
    <t>Д= 100, 150, L=0,093 км, сталь, п/е</t>
  </si>
  <si>
    <t>84200,
 вул. Короленко, 12</t>
  </si>
  <si>
    <t>Водопровід вул. Короленко, ЦГЛ</t>
  </si>
  <si>
    <t>Д=100, L=0,365 км, сталь</t>
  </si>
  <si>
    <t>84200, 
 вул. Козацька, 95</t>
  </si>
  <si>
    <t>Водопровід мікрорайон 6 вул. Чапаєва, 95</t>
  </si>
  <si>
    <t>Д=150, L=0,211 км, сталь</t>
  </si>
  <si>
    <t xml:space="preserve"> 84200, 
вул. Петліна, 7</t>
  </si>
  <si>
    <t>Водопровід мікрорайон 13 вул. Петліна, 7</t>
  </si>
  <si>
    <t>Д=100, L=0,3155 км, сталь, п/е</t>
  </si>
  <si>
    <t xml:space="preserve"> 84200, 
вул. Яковлівська, вул. Поштова, 
вул. Леоніда Бикова </t>
  </si>
  <si>
    <t>Каналізація вул. Ульяновська, вул. Почтова,
 вул. Калініна</t>
  </si>
  <si>
    <t>Д=350, L=6,5 км, кераміка</t>
  </si>
  <si>
    <t xml:space="preserve"> 84200, 
вул. Машинобудівників          </t>
  </si>
  <si>
    <t>Каналізаційний колектор вул. Радченка</t>
  </si>
  <si>
    <t>Д=500, 800, L= 2,399 км, з/б, кераміка</t>
  </si>
  <si>
    <t>Каналізація мікрорайон 9,
 буд. 7, 9, 10, 2, 12, 3а, 6</t>
  </si>
  <si>
    <t>Д=100, 150, 200, 250, 300, L=1,908 км, кераміка</t>
  </si>
  <si>
    <t>84200,
 мікрорайон 9</t>
  </si>
  <si>
    <t>Каналізація мікрорайону 9</t>
  </si>
  <si>
    <t>Д=300, 400, L=1,409 км, кераміка</t>
  </si>
  <si>
    <t>84200,
 вул. Новосадова, 2А</t>
  </si>
  <si>
    <t xml:space="preserve">Каналізація (безкоштовна від міськгазу)  </t>
  </si>
  <si>
    <t>Д=150, 250, L=0,4 км, чавун</t>
  </si>
  <si>
    <t>84200,
вул. Космонавтів, 9, 25,
вул. Козацька, 44, 46, 48</t>
  </si>
  <si>
    <t>Каналізація мікрорайон  9 ( ВКБ)</t>
  </si>
  <si>
    <t>Д=400, L=1,701 км, кераміка</t>
  </si>
  <si>
    <t>84200,
 вул. Чайковського, 29</t>
  </si>
  <si>
    <t>Каналізація буд. 29, гуртожиток
 вул. Чайковського</t>
  </si>
  <si>
    <t>Д=150, 200, L=0,479 км, сталь</t>
  </si>
  <si>
    <t>84200,
вул. Соборна, 29</t>
  </si>
  <si>
    <t>Каналізація буд. 29 по вул. Чайковського</t>
  </si>
  <si>
    <t>Д=150, L=1,52 км, кераміка</t>
  </si>
  <si>
    <t>84200, 
вул. Космонавтів, 24, 26, 28, 4,
вул. Ярослава Мудрого, 31</t>
  </si>
  <si>
    <t xml:space="preserve">Каналізація                </t>
  </si>
  <si>
    <t>Д=300, L=0,37 км, кераміка</t>
  </si>
  <si>
    <t>84200, 
вул. Космонавтів, 37</t>
  </si>
  <si>
    <t xml:space="preserve">Каналізація 207 м будинку побуту          </t>
  </si>
  <si>
    <t>Д=150, L=0,207 км, кераміка</t>
  </si>
  <si>
    <t>Д=100, 150, L=0,676 км, чавун</t>
  </si>
  <si>
    <t>84200,
вул. Соборна, 15А
вул. Паризької  Комуни, 73</t>
  </si>
  <si>
    <t xml:space="preserve">Каналізація 190 м від ВКБ          </t>
  </si>
  <si>
    <t>Д=150, 250, L=0,190 км, чавун</t>
  </si>
  <si>
    <t>84200,
вул. Олега Кошового, 39, 
вул. Солідарності, 43</t>
  </si>
  <si>
    <t xml:space="preserve">Каналізація лікарні на 130 ліжок          </t>
  </si>
  <si>
    <t>Д=150, L=0,930 км, кераміка</t>
  </si>
  <si>
    <t>84200, 
вул. Солідарності, 47, 49</t>
  </si>
  <si>
    <t>Каналізація буд. 5, 7</t>
  </si>
  <si>
    <t>Д=150, L=0,396 км, кераміка</t>
  </si>
  <si>
    <t>84200, 
вул. Космонавтів, 41</t>
  </si>
  <si>
    <t xml:space="preserve">Каналізація мікрорайон 9 буд. 36   </t>
  </si>
  <si>
    <t>Д=150, L=0,195 км, кераміка</t>
  </si>
  <si>
    <t>84200,
вул. Олега Кошового, 37, 35, 
вул. Солідарності, 55, 57, 51, 61</t>
  </si>
  <si>
    <t>Каналізація мікрорайон 10,
 буд. 2, 3, 6, 10, 9, гуртожиток</t>
  </si>
  <si>
    <t>Д=150, L= 1,129 км, кераміка</t>
  </si>
  <si>
    <t>84200,
вул. Олега Кошового, 37, 35, 33 
вул. Солідарності, 55, 57, 51, 62</t>
  </si>
  <si>
    <t xml:space="preserve">Каналізація мікрорайон 10, 
буд.  2, 3, 6, 9, 10, 12 </t>
  </si>
  <si>
    <t>Д=150, L= 1,576 км, кераміка</t>
  </si>
  <si>
    <t>Каналізація буд. 23, 23а ,12, 14, 15, 16, 17</t>
  </si>
  <si>
    <t>Д=100, 150, 200, 250, 300, L=0,741 км, чавун, кераміка</t>
  </si>
  <si>
    <t>Каналізація будинок інтернат для розумово відсталих</t>
  </si>
  <si>
    <t>Д=150, 200, 250, 300, L=0,540 км, кераміка</t>
  </si>
  <si>
    <t>84200, 
вул. Дружби, 79</t>
  </si>
  <si>
    <t>Каналізація буд. 25 мікрорайон 10</t>
  </si>
  <si>
    <t>Д=100, 150, L=0,1 км, чавун, кераміка</t>
  </si>
  <si>
    <t>84200, 
вул. Космонавтів, 52</t>
  </si>
  <si>
    <t>Каналізація буд. 22 мікрорайон 10</t>
  </si>
  <si>
    <t>Д=100, 150, L=0,13 км, чавун, кераміка</t>
  </si>
  <si>
    <t>84200, 
вул. Космонавтів, 33</t>
  </si>
  <si>
    <t>Каналізація буд. 21, 22, 23</t>
  </si>
  <si>
    <t>Д=100, 150, 200, 250, L=0,192 км, чавун, кераміка</t>
  </si>
  <si>
    <t>84200, 
вул. Космонавтів, 56</t>
  </si>
  <si>
    <t>Каналізація мікрорайон 10</t>
  </si>
  <si>
    <t>Д=100, 150, L=0,19 км, кераміка, чавун</t>
  </si>
  <si>
    <t>84200, 
вул. Смоленська, 2</t>
  </si>
  <si>
    <t>Каналізація буд. 24</t>
  </si>
  <si>
    <t>Д=150, L=0,114 км, кераміка</t>
  </si>
  <si>
    <t>84200, 
вул. Космонавтів, 64</t>
  </si>
  <si>
    <t>Каналізація буд. 26 мікрорайон 10</t>
  </si>
  <si>
    <t>Д=150, L=0,071 км, кераміка</t>
  </si>
  <si>
    <t>84200, 
вул. Джерельна, 8</t>
  </si>
  <si>
    <t>Каналізація с. Яковлівка, лазня (50 міст)</t>
  </si>
  <si>
    <t>Д=150, L=0,33 км, кераміка</t>
  </si>
  <si>
    <t>84200, 
вул. Космонавтів, 54</t>
  </si>
  <si>
    <t>Каналізація буд. 34</t>
  </si>
  <si>
    <t>Д=200, L=0,06 км, кераміка</t>
  </si>
  <si>
    <t>84200, 
вул. Козацька, 72</t>
  </si>
  <si>
    <t>Каналізація мікрорайон 7, ДСБМУ-5 ДСС, мікрорайон 7</t>
  </si>
  <si>
    <t>Д=300, 400, 500, L=1,375 км, чавун</t>
  </si>
  <si>
    <t>Каналізація буд. 2 ,3, 4, мікрорайон 7</t>
  </si>
  <si>
    <t>Д=200, 300, 350, L=0,94 км, кераміка</t>
  </si>
  <si>
    <t>84200,
вул. Дружби, 81</t>
  </si>
  <si>
    <t>Д=100, 250, L=0,120 км, кераміка</t>
  </si>
  <si>
    <t>84200, 
вул. Космонавтів, 60</t>
  </si>
  <si>
    <t>Д=100, 150, L=0,07 км, кераміка, чавун</t>
  </si>
  <si>
    <t>84200, 
вул. Дружби, 85</t>
  </si>
  <si>
    <t>Д=100, 200, L=0,135 км, кераміка, чавун</t>
  </si>
  <si>
    <t>84200, 
вул. Машинобудівників</t>
  </si>
  <si>
    <t>Каналізація вул. Радченко мікрорайон 10</t>
  </si>
  <si>
    <t>Д=100, 150, 300, L=0,305 км, кераміка, чавун</t>
  </si>
  <si>
    <t>84200, 
вул. Космонавтів, 62</t>
  </si>
  <si>
    <t>Каналізація мікрорайон 10 буд. 33</t>
  </si>
  <si>
    <t>Д=100, 150, L=0,75 км, кераміка, чавун</t>
  </si>
  <si>
    <t>84200, 
вул. Дружби, 89-89А</t>
  </si>
  <si>
    <t xml:space="preserve">Каналізація мікрорайон 7 буд. 46, 46а            </t>
  </si>
  <si>
    <t>Д=100, 150, L=0,195 км, кераміка, чавун</t>
  </si>
  <si>
    <t>84200, 
вул. Машинобудівників, 63</t>
  </si>
  <si>
    <t>Каналізація вул. Радченко буд. 63</t>
  </si>
  <si>
    <t>Д=100, 150, L=0,087 км, кераміка, чавун</t>
  </si>
  <si>
    <t>84200, 
вул. Космонавтів, 71А</t>
  </si>
  <si>
    <t>Каналізація котельня ДКВР мікрорайон 7</t>
  </si>
  <si>
    <t>Д=100, 150, L=0,250 км, кераміка, чавун</t>
  </si>
  <si>
    <t>84200, 
вул. Космонавтів, 67</t>
  </si>
  <si>
    <t xml:space="preserve">Каналізація мікрорайон 10 (універсам)        </t>
  </si>
  <si>
    <t>Д=100, 150, L=0,168 км, кераміка, чавун</t>
  </si>
  <si>
    <t>Каналізація дитячий садок мікрорайон 10</t>
  </si>
  <si>
    <t>Д=100, 150, L=0,287 км, кераміка, чавун</t>
  </si>
  <si>
    <t>84200, 
вул. Космонавтів, 65</t>
  </si>
  <si>
    <t>Каналізація буд. 12, мікрорайон 7</t>
  </si>
  <si>
    <t>Д=100, 150, L=0,206 км, кераміка, чавун</t>
  </si>
  <si>
    <t>84200, 
вул. Енгельса, 106</t>
  </si>
  <si>
    <t>Каналізація буд. 20, мікрорайон 7</t>
  </si>
  <si>
    <t>Д=100, 150, L=0,149 км, кераміка, чавун</t>
  </si>
  <si>
    <t>84200, 
вул. Космонавтів, 63</t>
  </si>
  <si>
    <t>Каналізація буд. 11, мікрорайон 7</t>
  </si>
  <si>
    <t>Д=100, 150, L=0,059 км, кераміка, чавун</t>
  </si>
  <si>
    <t>84200, 
вул. Космонавтів, 55, 145</t>
  </si>
  <si>
    <t>Каналізація буд. 13, мікрорайон 7</t>
  </si>
  <si>
    <t>Д=100, 150, L=0,145 км, кераміка, чавун</t>
  </si>
  <si>
    <t>84200, 
вул. Космонавтів, 61, 55</t>
  </si>
  <si>
    <t>Каналізація буд. 10, 13, 13а, мікрорайон 7,
 буд. 21</t>
  </si>
  <si>
    <t>Д=200, 250, L=0,476 км, чавун</t>
  </si>
  <si>
    <t>84200, 
вул. Козацька,98</t>
  </si>
  <si>
    <t xml:space="preserve">Каналізація мікрорайон 7, КЖТБ-2к              </t>
  </si>
  <si>
    <t>84200, 
вул. Енгельса, 102</t>
  </si>
  <si>
    <t>Каналізація буд. 17 мікрорайон 7</t>
  </si>
  <si>
    <t>Д=100, 200, L=0,159 км, кераміка, чавун</t>
  </si>
  <si>
    <t>84200, 
вул. Енгельса, 104</t>
  </si>
  <si>
    <t>Каналізація буд. 18 мікрорайон 7</t>
  </si>
  <si>
    <t>Д=100, 200, L=0,130 км кераміка, чавун</t>
  </si>
  <si>
    <t>84200, 
вул. Дружби, 91</t>
  </si>
  <si>
    <t>Каналізація буд. 52 мікрорайон 7</t>
  </si>
  <si>
    <t>Д=100, 150, L=0,1 км, кераміка, чавун</t>
  </si>
  <si>
    <t>84200, 
вул. Козацька, 100</t>
  </si>
  <si>
    <t>Каналізація буд. 51 мікрорайон 7</t>
  </si>
  <si>
    <t>Д=100, 150, L=0,098 км, чавун</t>
  </si>
  <si>
    <t>84200, 
вул. Енгельса, 108</t>
  </si>
  <si>
    <t>Каналізація буд. 19 мікрорайон 7</t>
  </si>
  <si>
    <t>Д=150, L=0,073 км, чавун</t>
  </si>
  <si>
    <t>84200, 
вул. Козацька, 96</t>
  </si>
  <si>
    <t>Каналізація буд. 49   мікрорайон 7</t>
  </si>
  <si>
    <t>Д=150, L=0,077 км, кераміка</t>
  </si>
  <si>
    <t>Каналізація КТЕБ-2к мікрорайон 7</t>
  </si>
  <si>
    <t>Д=150, L=0,036 км, кераміка</t>
  </si>
  <si>
    <t>84200, 
вул. Козацька, 98</t>
  </si>
  <si>
    <t>Каналізація буд. 50  мікрорайон 7</t>
  </si>
  <si>
    <t>Д=150, L=0,091, км, чавун</t>
  </si>
  <si>
    <t>84200, 
вул. Козацька, 92</t>
  </si>
  <si>
    <t>Каналізація буд. 48  мікрорайон 7</t>
  </si>
  <si>
    <t>Д=200, L=0,103 км, чавун</t>
  </si>
  <si>
    <t>84200, 
вул. Енгельса, 78</t>
  </si>
  <si>
    <t>Каналізація буд. 78  мікрорайон 10</t>
  </si>
  <si>
    <t>Д=150, L=0,160 км, чавун</t>
  </si>
  <si>
    <t>84200, 
вул. Козацька, 89-89А</t>
  </si>
  <si>
    <t>Каналізація буд. 46,46а мікрорайон 7</t>
  </si>
  <si>
    <t>Д=200, L=0,161 км, кераміка</t>
  </si>
  <si>
    <t>84200, 
вул. Козацька, 94</t>
  </si>
  <si>
    <t>Каналізація буд. 47 мікрорайон 7</t>
  </si>
  <si>
    <t>Д=200, L=0,076 км, чавун</t>
  </si>
  <si>
    <t>84200, 
вул. Козацька, 84</t>
  </si>
  <si>
    <t>Каналізація дитячий садочок,
 яслі  мікрорайон 7</t>
  </si>
  <si>
    <t>Д=160, L=0,256 км, кераміка</t>
  </si>
  <si>
    <t>84200, 
вул. Енгельса, 110</t>
  </si>
  <si>
    <t>Каналізація буд. 29 мікрорайон 7</t>
  </si>
  <si>
    <t>Д=150, L=0,172 км, кераміка</t>
  </si>
  <si>
    <t>Каналізація КЭТБ-2к мікрорайон 10</t>
  </si>
  <si>
    <t>Д=150, L=0,043 км, чавун</t>
  </si>
  <si>
    <t>84200, 
вул. Космонавтів, 53</t>
  </si>
  <si>
    <t>Каналізація буд. 14, мікрорайон 7</t>
  </si>
  <si>
    <t>Д=150, L=0,104 км, чавун</t>
  </si>
  <si>
    <t>84200,
вул. Енгельса, 82</t>
  </si>
  <si>
    <t>Каналізація дитячий садочок, 
яслі мікрорайон 10</t>
  </si>
  <si>
    <t>Д=150, L=0,378 км, чавун</t>
  </si>
  <si>
    <t>84200, 
вул. Козацька, 96 А</t>
  </si>
  <si>
    <t>Каналізація буд. 49 мікрорайон 7</t>
  </si>
  <si>
    <t>Д=150, L=0,029 км, чавун</t>
  </si>
  <si>
    <t>84200, 
вул. Космонавтів, 82</t>
  </si>
  <si>
    <t>Каналізація буд. 38 мікрорайон 10</t>
  </si>
  <si>
    <t>Д=150, L=0,078 км, чавун</t>
  </si>
  <si>
    <t>84200, 
вул. Козацька, 80, 82, 82А</t>
  </si>
  <si>
    <t xml:space="preserve">Каналізація буд. 24, 39, 39а, мікрорайон 7       </t>
  </si>
  <si>
    <t>Д=200, L=0,395 км, кераміка</t>
  </si>
  <si>
    <t xml:space="preserve">Каналізація будинок піонерів              </t>
  </si>
  <si>
    <t>Д=150, 200, L=0,396 км, кераміка</t>
  </si>
  <si>
    <t>84200, 
вул. Соборна, 15А</t>
  </si>
  <si>
    <t>Каналізація мікрорайон 13 буд. 2</t>
  </si>
  <si>
    <t>Д=200, L=0,228 км, кераміка</t>
  </si>
  <si>
    <t>84200, 
вул. Космонавтів, 58</t>
  </si>
  <si>
    <t>Каналізація буд. 33 мікрорайон 10</t>
  </si>
  <si>
    <t>Д=150, L=0,030 км, кераміка</t>
  </si>
  <si>
    <t>84200, 
вул. Паризької Комуни, 73</t>
  </si>
  <si>
    <t>Каналізація буд. 2 мікрорайон 13</t>
  </si>
  <si>
    <t>Д=150, L=0,065 км, кераміка</t>
  </si>
  <si>
    <t>84200, 
вул. Козацька, 76</t>
  </si>
  <si>
    <t>Каналізація буд. 40 мікрорайон 7</t>
  </si>
  <si>
    <t>Д=150, L=0,079 км, кераміка</t>
  </si>
  <si>
    <t>84200, 
вул. Козацька, 78</t>
  </si>
  <si>
    <t>Каналізація буд. 42 мікрорайон 7</t>
  </si>
  <si>
    <t>Д=200, L=0,076 км, кераміка</t>
  </si>
  <si>
    <t>84200, 
вул. Козацька, 92А</t>
  </si>
  <si>
    <t xml:space="preserve">Каналізація мікрорайон 7 (аптека)              </t>
  </si>
  <si>
    <t>Д=200, L=0,078 км, кераміка</t>
  </si>
  <si>
    <t xml:space="preserve">Каналізація мікрорайон 13 (котельня)            </t>
  </si>
  <si>
    <t>Д=150, L=0,138 км, кераміка</t>
  </si>
  <si>
    <t>84200, 
вул. Козацька, 70</t>
  </si>
  <si>
    <t>Каналізація буд.  34 мікрорайон 7</t>
  </si>
  <si>
    <t>Д=150, 200, L=0,285 км, кераміка</t>
  </si>
  <si>
    <t xml:space="preserve">Каналізація буд. 2 вул. Новосибірська        </t>
  </si>
  <si>
    <t>Д=200, L=0,061 км, кераміка</t>
  </si>
  <si>
    <t>Каналізація буд. 31, 32 мікрорайон 7</t>
  </si>
  <si>
    <t>Д=150, 200, L=0,161 км, кераміка</t>
  </si>
  <si>
    <t>84200, 
вул. Енгельса, 114</t>
  </si>
  <si>
    <t>Каналізація дитячий садочок 21, 
мікрорайон 7</t>
  </si>
  <si>
    <t>Д=150, L=0,230 км, кераміка</t>
  </si>
  <si>
    <t>Каналізація буд. 15, 16, 16б, 27, 27а, 
мікрорайон 7</t>
  </si>
  <si>
    <t>Д=150, 200, 250, L=1,0 км, кераміка</t>
  </si>
  <si>
    <t>84200, 
вул. Паризької  Комуни, 77</t>
  </si>
  <si>
    <t>Каналізація буд. 4 мікрорайон 13</t>
  </si>
  <si>
    <t>Д=150, 300, L=0,251 км, кераміка</t>
  </si>
  <si>
    <t>Каналізація буд. 25, 25а мікрорайон 7</t>
  </si>
  <si>
    <t>Д=150, L=0,125 км, кераміка</t>
  </si>
  <si>
    <t>84200, 
вул. Космонавтів, 42</t>
  </si>
  <si>
    <t>Каналізація буд. 36, 36а мікрорайон 10</t>
  </si>
  <si>
    <t>Д=100, 200, 250, L=0,235 км, кераміка</t>
  </si>
  <si>
    <t>84200, 
вул. Соборна, 35, вул. Енгельса</t>
  </si>
  <si>
    <t xml:space="preserve">Каналізація вул. Енгельса, вул. Леніна       </t>
  </si>
  <si>
    <t>Д=500, L=0,678 км, чавун</t>
  </si>
  <si>
    <t>84200, 
вул. Паризької Комуни, 79</t>
  </si>
  <si>
    <t>Каналізація буд. 7, мікрорайон 13</t>
  </si>
  <si>
    <t>Д=200, 300, L=0,122 км, кераміка</t>
  </si>
  <si>
    <t>84200, 
вул. Паризької Комуни, 81, 75</t>
  </si>
  <si>
    <t>Каналізація буд. 8б мікрорайон 13</t>
  </si>
  <si>
    <t>Д=150, 200, L=0,075 км, кераміка</t>
  </si>
  <si>
    <t xml:space="preserve">84200, 
 вул. Енгельса, 38 А        </t>
  </si>
  <si>
    <t xml:space="preserve">Каналізація буд. 38а вул. Енгельса        </t>
  </si>
  <si>
    <t>Д=150, 200, L=0,097 км, кераміка, чавун</t>
  </si>
  <si>
    <t>84200, 
вул. Паризької Комуни, 81</t>
  </si>
  <si>
    <t>Каналізація буд. 8А мікрорайон 13</t>
  </si>
  <si>
    <t>Д=150, L=0,057 км, кераміка</t>
  </si>
  <si>
    <t>84200, 
вул. Паризької Комуни, 56</t>
  </si>
  <si>
    <t>Каналізація буд. 15а, 15, КЕТБ-2 мікрорайон 13, гуртожиток</t>
  </si>
  <si>
    <t>Д=100, 150, 200, L=0,57 км, кераміка</t>
  </si>
  <si>
    <t>84200, 
вул. Паризької Комуни, 54</t>
  </si>
  <si>
    <t>Каналізація буд. 13 мікрорайон 13</t>
  </si>
  <si>
    <t>Д=100, L=0,027 км, кераміка</t>
  </si>
  <si>
    <t>Каналізація буд. 37 мікрорайон 7</t>
  </si>
  <si>
    <t>Д=150, L=0,038 км, кераміка</t>
  </si>
  <si>
    <t>Каналізація буд. 9 мікрорайон 13</t>
  </si>
  <si>
    <t xml:space="preserve">84200, 
вул. Енгельса, 116, 79 </t>
  </si>
  <si>
    <t>Каналізація їдальня буд. 28 мікрорайон 7</t>
  </si>
  <si>
    <t>Д=150, L=0,08 км, кераміка</t>
  </si>
  <si>
    <t>Каналізація дитячі яслі, мікрорайон 7</t>
  </si>
  <si>
    <t>Д=100, 150, L=0,190 км, кераміка</t>
  </si>
  <si>
    <t>84200, 
вул. Космонавтів, 44</t>
  </si>
  <si>
    <t>Каналізація буд. 35 мікрорайон 10</t>
  </si>
  <si>
    <t>Д=100, 200, L=0,121 км, кераміка</t>
  </si>
  <si>
    <t>84200,  
вул. Козацька, 37 А</t>
  </si>
  <si>
    <t xml:space="preserve">Каналізація буд. 37А  вул. Чапаєва         </t>
  </si>
  <si>
    <t>Д=100, 150, L=0,01 км, кераміка</t>
  </si>
  <si>
    <t>Каналізація буд. 1 мікрорайон 7</t>
  </si>
  <si>
    <t>Д=150, 200, 300, L=0,233 км, кераміка</t>
  </si>
  <si>
    <t>84200, 
вул. Короленка</t>
  </si>
  <si>
    <t xml:space="preserve">Каналізація вул. Короленка         </t>
  </si>
  <si>
    <t>Д=150, L=0,35 км, кераміка</t>
  </si>
  <si>
    <t>84200, 
вул. Козацька, 95</t>
  </si>
  <si>
    <t xml:space="preserve">Каналізація СК 9-КЕТБ                  </t>
  </si>
  <si>
    <t>Д=100, L=0,187 км, кераміка</t>
  </si>
  <si>
    <t xml:space="preserve">Каналізація  вул. Чапаєва 37 </t>
  </si>
  <si>
    <t>Д=150, L=0,035 км, кераміка</t>
  </si>
  <si>
    <t>84200, 
вул. Петліна, 7</t>
  </si>
  <si>
    <t>Каналізація буд. 31А мікрорайон 13</t>
  </si>
  <si>
    <t>Д=200, L=0,322 км, кераміка</t>
  </si>
  <si>
    <t xml:space="preserve">Каналізаційний дюкер              </t>
  </si>
  <si>
    <t>Д=150, L=0,196 км, сталь</t>
  </si>
  <si>
    <t xml:space="preserve">Водопровідний дюкер ПК-13   </t>
  </si>
  <si>
    <t>Д=300, 325, L=0,198 км, сталь</t>
  </si>
  <si>
    <t>Дюкерний перехід водопроводу</t>
  </si>
  <si>
    <t>Д=400, L=2,207 км, сталь</t>
  </si>
  <si>
    <t xml:space="preserve">Дюкер ПК р. Кривий Торець </t>
  </si>
  <si>
    <t>Д=400, L= 0,4 км, сталь</t>
  </si>
  <si>
    <t xml:space="preserve"> 84200, 
вул. Хабаровська</t>
  </si>
  <si>
    <t xml:space="preserve">Водопровід вул. Хабаровська </t>
  </si>
  <si>
    <t>Д= 400, L= 4,225 км, азбестоцемент</t>
  </si>
  <si>
    <t>84200,
 вул. Шевченка</t>
  </si>
  <si>
    <t>Водопровід вул. Шевченка</t>
  </si>
  <si>
    <t>Д=150, L= 1,575 км, сталь</t>
  </si>
  <si>
    <t xml:space="preserve"> 84200, 
вул. Джерельна</t>
  </si>
  <si>
    <t xml:space="preserve">Водопровід вул. Фрунзе </t>
  </si>
  <si>
    <t>Д=200, L= 1,95 км, сталь</t>
  </si>
  <si>
    <t>84200, 
вул. Хабаровська, вул. Добролюбова, 
вул. Олекси Тихого</t>
  </si>
  <si>
    <t xml:space="preserve">Водопровід сел. Яковлівка </t>
  </si>
  <si>
    <t>Д=300, L= 5,0 км, сталь, чавун, п/е</t>
  </si>
  <si>
    <t xml:space="preserve"> 84200, 
вул. Привокзальна</t>
  </si>
  <si>
    <t xml:space="preserve">Водопровід вул. Привокзальна </t>
  </si>
  <si>
    <t>Д=100, L=1,850 км, сталь</t>
  </si>
  <si>
    <t xml:space="preserve"> 84200, 
вул. І. Руссіянова</t>
  </si>
  <si>
    <t>Водопровід вул. Войкова</t>
  </si>
  <si>
    <t>Д=100, L= 4,0 км, сталь</t>
  </si>
  <si>
    <t>84200,
 вул. Яковлівська</t>
  </si>
  <si>
    <t>Водопровід вул. Ульянівська</t>
  </si>
  <si>
    <t>Д=100, L=  3,9 км, сталь</t>
  </si>
  <si>
    <t xml:space="preserve"> 84200, 
вул. О.Вишні</t>
  </si>
  <si>
    <t xml:space="preserve">Водопровід вул. Крупської </t>
  </si>
  <si>
    <t>Д=100, L=  2,525 км, сталь</t>
  </si>
  <si>
    <t>84200,
вул. Шевченка</t>
  </si>
  <si>
    <t>Д=100, L= 4,1 км, сталь</t>
  </si>
  <si>
    <t>84200,
 вул. Котляревського</t>
  </si>
  <si>
    <t>Водопровід вул. Котляревського</t>
  </si>
  <si>
    <t>Д=150, L= 2,5 км, сталь</t>
  </si>
  <si>
    <t xml:space="preserve"> 84293, 
вул. Лівобережна</t>
  </si>
  <si>
    <t>Водопровід вул. Пролетарська</t>
  </si>
  <si>
    <t xml:space="preserve"> 84200, 
вул. Радянська</t>
  </si>
  <si>
    <t>Водопровід вул. Радянська</t>
  </si>
  <si>
    <t>Д=100, L= 1,4 км, сталь</t>
  </si>
  <si>
    <t>84200, 
 вул. Толстого</t>
  </si>
  <si>
    <t>Водопровід вул. Толстого</t>
  </si>
  <si>
    <t>Д=100, L=1,875 км, сталь</t>
  </si>
  <si>
    <t>84200, 
вул. І.Белякова</t>
  </si>
  <si>
    <t>Водопровід вул. Котовського</t>
  </si>
  <si>
    <t>Д=100, L= 1,525 км, сталь</t>
  </si>
  <si>
    <t>84200,
вул. Слобожанська</t>
  </si>
  <si>
    <t xml:space="preserve">Водопровід провулок Октябрьский </t>
  </si>
  <si>
    <t>84200,
вул. Сагайдачного</t>
  </si>
  <si>
    <t>Водопровідна мережа 2-ге відділення радгоспу Червона Зірка</t>
  </si>
  <si>
    <t>Д=100, L=1,55 км, сталь, п/е</t>
  </si>
  <si>
    <t xml:space="preserve">84200, 
вул. Восточна       </t>
  </si>
  <si>
    <t>Водопровід вул. Восточна</t>
  </si>
  <si>
    <t>Д=100, L=1,575 км, сталь</t>
  </si>
  <si>
    <t>84200,
 вул. Степова</t>
  </si>
  <si>
    <t>Водопровід вул. Степова</t>
  </si>
  <si>
    <t xml:space="preserve">84200, 
вул. Поштова </t>
  </si>
  <si>
    <t>Водопровід вул. Поштова</t>
  </si>
  <si>
    <t>Д=100, L=1,2 км, сталь, п/е</t>
  </si>
  <si>
    <t xml:space="preserve"> 84200, 
вул. Горького</t>
  </si>
  <si>
    <t>Водопровід вул. Горького</t>
  </si>
  <si>
    <t>Д=100, L=1,3 км, чавун</t>
  </si>
  <si>
    <t>84200, 
вул. Залізнична</t>
  </si>
  <si>
    <t>Водопровід вул. Залізнична</t>
  </si>
  <si>
    <t>84200,
вул. Трояндова</t>
  </si>
  <si>
    <t>Водопровід вул. Фурманова</t>
  </si>
  <si>
    <t>Д=100, L=4,025 км, сталь</t>
  </si>
  <si>
    <t xml:space="preserve">84200,
вул. Олекси Тихого </t>
  </si>
  <si>
    <t>Водопровід вул. Московська</t>
  </si>
  <si>
    <t>Д=100, L=1,350 км, сталь</t>
  </si>
  <si>
    <t>84200, 
 вул. Пасічна</t>
  </si>
  <si>
    <t>Водопровід вул. Пасічна</t>
  </si>
  <si>
    <t>Д=100, L=1,5 км, сталь</t>
  </si>
  <si>
    <t>84200, 
 вул. Пушкіна</t>
  </si>
  <si>
    <t>Д=100, L=1,8 км, сталь</t>
  </si>
  <si>
    <t>84200,
 вул. Р.Люксембург</t>
  </si>
  <si>
    <t>Водопровід вул. Рози Люксембур</t>
  </si>
  <si>
    <t>Д=100, L=1,85 км, сталь</t>
  </si>
  <si>
    <t>84200, 
вул. Добролюбова</t>
  </si>
  <si>
    <t>Водопровід вул. Добролюбова</t>
  </si>
  <si>
    <t>Д=100, L=1,525 км, сталь</t>
  </si>
  <si>
    <t>84200,
 вул. Громова</t>
  </si>
  <si>
    <t>Водопровід вул. Громова</t>
  </si>
  <si>
    <t>Д=100, L=1,6 км, сталь</t>
  </si>
  <si>
    <t>84200, 
вул. Тімірязева</t>
  </si>
  <si>
    <t xml:space="preserve">Водопровід вул. Тімірязєва </t>
  </si>
  <si>
    <t>84200, 
вул. Паші Ангеліної</t>
  </si>
  <si>
    <t xml:space="preserve">Водопровід  вул. П.Ангеліної </t>
  </si>
  <si>
    <t xml:space="preserve">84200, 
вул. І.Кожедуба  </t>
  </si>
  <si>
    <t>Водопровід вул. Щорса</t>
  </si>
  <si>
    <t>Д=100, L=0,45км, сталь</t>
  </si>
  <si>
    <t>84200, 
вул. Райдужна</t>
  </si>
  <si>
    <t>Водопровід вул. Пархоменка</t>
  </si>
  <si>
    <t>Д=100, L=3,5 км, чавун</t>
  </si>
  <si>
    <t>84200, 
 вул. Трудова</t>
  </si>
  <si>
    <t>Водопровід вул. Трудова</t>
  </si>
  <si>
    <t>84200, 
 вул. Л.Костіна</t>
  </si>
  <si>
    <t>Водопровід вул. Островського</t>
  </si>
  <si>
    <t>Д=100, L=0,95 км, сталь</t>
  </si>
  <si>
    <t>84200, 
 вул. Гріна</t>
  </si>
  <si>
    <t>Водопровід вул. Піонерська (Гріна)</t>
  </si>
  <si>
    <t>Д=100, L=0,525 км, сталь</t>
  </si>
  <si>
    <t xml:space="preserve">84200, 
вул. Дубініна    </t>
  </si>
  <si>
    <t>Водопровід вул. Дубініна</t>
  </si>
  <si>
    <t>Д=100, L=0,325 км, чавун</t>
  </si>
  <si>
    <t>84200, 
вул. Садова</t>
  </si>
  <si>
    <t>Водопровід вул. Садова</t>
  </si>
  <si>
    <t>Д=100, L=2,775 км, чавун</t>
  </si>
  <si>
    <t xml:space="preserve"> 84200,
вул. Соборна, вул. Свободи</t>
  </si>
  <si>
    <t>Водопровід вул. Леніна, вул. Свободи</t>
  </si>
  <si>
    <t>Д=300, L=4,3 км, чавун, п/е</t>
  </si>
  <si>
    <t>84200, 
вул. Кирпична, вул. Вільямса</t>
  </si>
  <si>
    <t xml:space="preserve">Водопровід від вул. Кирпична до вул. Вільямса </t>
  </si>
  <si>
    <t>Д=50, L=0,43 км, сталь</t>
  </si>
  <si>
    <t xml:space="preserve"> 84293, 
вул. Робітнича</t>
  </si>
  <si>
    <t xml:space="preserve">Водопровід смт Олексієво-Дружківка
 вул. Колгоспна </t>
  </si>
  <si>
    <t>Д=300, L= 2,721 км, чавун</t>
  </si>
  <si>
    <t>85133, 
вул. Центральна, вул. Заборського
(поза зоною забудови)</t>
  </si>
  <si>
    <t>Водопровід від БУ-3 Часів Яр 2-га черга</t>
  </si>
  <si>
    <t>Д=300, L= 8,5 км, чавун</t>
  </si>
  <si>
    <t>84200, 
мкрн. Індустріальний</t>
  </si>
  <si>
    <t>Водопровід від  ВКБ міськвиконкому
 мікрорайон № 8</t>
  </si>
  <si>
    <t>Д= 100, 150, 200, L=2,984 км, сталь</t>
  </si>
  <si>
    <t xml:space="preserve">Водопровід до будинку інтернату розумово відсталих </t>
  </si>
  <si>
    <t>Д=150, 200, L=0,285 км, чавун</t>
  </si>
  <si>
    <t>м. Краматорськ, 
с-ще Ашуркове</t>
  </si>
  <si>
    <t>Водопровід до Дружківських резервуарів</t>
  </si>
  <si>
    <t>Д=200, L=5,3 км, сталь</t>
  </si>
  <si>
    <t>84200,
вул. Джерельна, 8</t>
  </si>
  <si>
    <t xml:space="preserve">Водопровід 225 м (лазня)     </t>
  </si>
  <si>
    <t>Д=100, L=0,225 км, чавун</t>
  </si>
  <si>
    <t>Водопровід від  Маяки-Донецьк до Яківлівських резервуарів</t>
  </si>
  <si>
    <t>Д=500, 600, L=5,4 км, сталь</t>
  </si>
  <si>
    <t>Водопровід до Водопровідного вузла</t>
  </si>
  <si>
    <t>Д=600, L=5,336 км, чавун, сталь</t>
  </si>
  <si>
    <t>Водопровід мікрорайон Яковлівка</t>
  </si>
  <si>
    <t>Д=400, L= 3,5 км, чавун</t>
  </si>
  <si>
    <t xml:space="preserve">Водопровід с-з «Червона Зірка» 
(Воровського, Гріна, Колективна) </t>
  </si>
  <si>
    <t>Д=100, L=0,790 км, сталь</t>
  </si>
  <si>
    <t>Водопровід Маяки-Донецьк</t>
  </si>
  <si>
    <t>Д=400, 425, 530, L= 5,721 км, чавун</t>
  </si>
  <si>
    <t>84200, 
вул. Туполева академіка</t>
  </si>
  <si>
    <t>Водопровід від НС 1-го підйому до міста
 (від вул. Криворізької)</t>
  </si>
  <si>
    <t>Д=100, 160, 250, 400, L=0,5, сталь, п/е</t>
  </si>
  <si>
    <t>84295,
вул. Центральна, 12</t>
  </si>
  <si>
    <t>Зовнішні сантехнічні комунікації, Райський водозабір</t>
  </si>
  <si>
    <t xml:space="preserve">Технічні трубопроводи, 2-й підйом  </t>
  </si>
  <si>
    <t>Д=400, L=1,0 км, сталь</t>
  </si>
  <si>
    <t xml:space="preserve">Зовнішні мережі водопроводу та теплова каналізації </t>
  </si>
  <si>
    <t>Д=100, 150, 400, 500, L=5,220 км, сталь</t>
  </si>
  <si>
    <r>
      <rPr>
        <sz val="10"/>
        <rFont val="Times New Roman"/>
        <family val="1"/>
        <charset val="204"/>
      </rPr>
      <t>Водопровід</t>
    </r>
    <r>
      <rPr>
        <sz val="10"/>
        <color rgb="FFFF0000"/>
        <rFont val="Times New Roman"/>
        <family val="1"/>
        <charset val="204"/>
      </rPr>
      <t xml:space="preserve"> </t>
    </r>
    <r>
      <rPr>
        <sz val="10"/>
        <rFont val="Times New Roman"/>
        <family val="1"/>
        <charset val="204"/>
      </rPr>
      <t xml:space="preserve">між свердловин    </t>
    </r>
  </si>
  <si>
    <t>Д=110, 150, 200, 325, 350, L=5,501 км, сталь, чавун, п/е</t>
  </si>
  <si>
    <t>84200,
вул. Святогірська, 33</t>
  </si>
  <si>
    <t xml:space="preserve">Внутрішньомайданчикові мережі водопроводу </t>
  </si>
  <si>
    <t>Д=25, 300, L=0,349 км, сталь, чавун, азбестоцемент</t>
  </si>
  <si>
    <t>Внутрішньомайданчикові мережі каналізації</t>
  </si>
  <si>
    <t>Д=300, L=0,213 км, чавун</t>
  </si>
  <si>
    <t xml:space="preserve">Позамайданчикові мережі водопроводу   </t>
  </si>
  <si>
    <t>Д=400, L=0,373 км, сталь, азбестоцемент</t>
  </si>
  <si>
    <t xml:space="preserve">Позамайданчикові мережі каналізації  </t>
  </si>
  <si>
    <t>Д=350, L=0,312 км, кераміка</t>
  </si>
  <si>
    <t xml:space="preserve">Мережі телефонізації та радіофікації </t>
  </si>
  <si>
    <t>0,2 км</t>
  </si>
  <si>
    <t>м. Дружківка, 
 смт. Малотаранівка</t>
  </si>
  <si>
    <t xml:space="preserve">Напірний трубопровід від насосної станції 2-го підйому до КОС </t>
  </si>
  <si>
    <t>Д=500, L=7,0 км, сталь</t>
  </si>
  <si>
    <t xml:space="preserve">Головний колектор                  </t>
  </si>
  <si>
    <t>Д=800, L=9,6 км, з/б</t>
  </si>
  <si>
    <t>Скидний колектор</t>
  </si>
  <si>
    <t>Д=600, L=4,0 км, з/б</t>
  </si>
  <si>
    <t>Водопровідні та каналізаційні мережі до очисних споруд</t>
  </si>
  <si>
    <t>Д=150, 200, L=0,85 км, сталь</t>
  </si>
  <si>
    <t xml:space="preserve">Теплові мережі по майданчику очисних споруд </t>
  </si>
  <si>
    <t>Д=20, 25, L=0,45 км, сталь</t>
  </si>
  <si>
    <t xml:space="preserve">Технологічні трубопроводи      </t>
  </si>
  <si>
    <t>Д=500, 800, L=10,2 км, сталь</t>
  </si>
  <si>
    <t xml:space="preserve">Каналізаційні мережі від БУ"КПС"         </t>
  </si>
  <si>
    <t>Д=600, 800, L=1,544 км, з/б</t>
  </si>
  <si>
    <t xml:space="preserve">Водопровід до майданчика очисних споруд </t>
  </si>
  <si>
    <t>Д=100, L=3,5 км, чавун, сталь</t>
  </si>
  <si>
    <t>84200,
вул. Паризької Комуни, 
вул. Серова, вул. Паторжинського</t>
  </si>
  <si>
    <t>Кабельна лінія 6кВ від підстанції з ЦРП до КНС 1-го підйому</t>
  </si>
  <si>
    <t>Кабель електричний ААБ6 3х 150-2,7 км</t>
  </si>
  <si>
    <t xml:space="preserve">Повітряна лінія електропередач РП Райське       </t>
  </si>
  <si>
    <t>84295,
вул. Центральна, 13</t>
  </si>
  <si>
    <t xml:space="preserve">Повітряна лінія електропередач    </t>
  </si>
  <si>
    <t>Зовнішньо майданчикові ЛЕП 6 кВт від РУ 6кв ВНС № 4</t>
  </si>
  <si>
    <t>Кабель електричний ААБ6 3х95-0,7 км</t>
  </si>
  <si>
    <t>84200,
вул. Святогірська, 34</t>
  </si>
  <si>
    <t>Енергопостачання майданчика ВНС № 4</t>
  </si>
  <si>
    <t>Кабель електричний ААБ6 3х95-0,9 км</t>
  </si>
  <si>
    <t>84295
вул. Центральна, 12</t>
  </si>
  <si>
    <t>Опори з/б- 120 од.</t>
  </si>
  <si>
    <t xml:space="preserve">84200,
вул. Нахімова    </t>
  </si>
  <si>
    <t xml:space="preserve">Кабель 0,4 кВ по вул. Нахімова         </t>
  </si>
  <si>
    <t>84200,
вул. Суворова, вул. Недєліна</t>
  </si>
  <si>
    <t xml:space="preserve">Дюкерний перехід </t>
  </si>
  <si>
    <t>Д=273, L=0,180 км, сталь</t>
  </si>
  <si>
    <t>84293,
вул. Фучика, вул. Лівобережна, 
вул. Бібліотечна, вул. Партизанська поза зоною забудови, вул. Привокзальна</t>
  </si>
  <si>
    <t xml:space="preserve">Каналізаційний колектор                  </t>
  </si>
  <si>
    <t>Д=150, L=8,246 км, п/е</t>
  </si>
  <si>
    <t xml:space="preserve"> вул. Космонавтів, 55 - 
вул. Машинобудівників</t>
  </si>
  <si>
    <t xml:space="preserve">Каналізаційний колектор </t>
  </si>
  <si>
    <t>Д=300, L=2,958 км, кераміка</t>
  </si>
  <si>
    <t xml:space="preserve">84200,
вул. Гвардійська, 44 </t>
  </si>
  <si>
    <t xml:space="preserve">Теплові мережі База ПУВКХ           </t>
  </si>
  <si>
    <t>Д=50, L=0,6 км, сталь</t>
  </si>
  <si>
    <t>84200,
вул. Космонавтів, 44</t>
  </si>
  <si>
    <t>Каналізація, труби керамічні</t>
  </si>
  <si>
    <t>Д=150, L=0,118 км, кераміка</t>
  </si>
  <si>
    <t>84200, 
вул. Космонавтів, 45</t>
  </si>
  <si>
    <t>Водопровідні мережі мікрорайон 10,
вул. Космонавтів, 42-44</t>
  </si>
  <si>
    <t>Д=150, L=0,04 км, сталь</t>
  </si>
  <si>
    <t xml:space="preserve">м. Дружківка, 
 с. Дружківське </t>
  </si>
  <si>
    <t>Водопровід с. Червонозоряний, відділення 3</t>
  </si>
  <si>
    <t>Д=25, 50, 100, L=2,69 км, сталь</t>
  </si>
  <si>
    <t>84200,
вул. Донська</t>
  </si>
  <si>
    <t>Д=100, L=0,08 км, сталь</t>
  </si>
  <si>
    <t>84200,
 вул. Огородня</t>
  </si>
  <si>
    <t>Водопровід вул. Огородня</t>
  </si>
  <si>
    <t>Д=100, L=0,160 км, чавун</t>
  </si>
  <si>
    <t>84200, 
вул. Вавілова</t>
  </si>
  <si>
    <t>Водопровід вул. Вавілова</t>
  </si>
  <si>
    <t>Д=100, L=0,340 км, чавун</t>
  </si>
  <si>
    <t>84200, 
 вул. Громова</t>
  </si>
  <si>
    <t xml:space="preserve">Водопровід вул. Громова        </t>
  </si>
  <si>
    <t>Д=100, L=0,05 км, чавун</t>
  </si>
  <si>
    <t>84200,
вул. Паші Ангеліної</t>
  </si>
  <si>
    <t>Водопровід вул. П.Ангеліної</t>
  </si>
  <si>
    <t>Д=100, L=0,42 км, чавун</t>
  </si>
  <si>
    <t>84200,
вул. Павлова, вул. Козацька,
вул. Новосадова, вул. Новосибірська</t>
  </si>
  <si>
    <t>Каналізаційний колектор (від Хлібозаводу)</t>
  </si>
  <si>
    <t>Д=100, 200, 250, L=1,59 км, кераміка</t>
  </si>
  <si>
    <t>Водопровід від НС 2-го підйому до  
вул. Криворізька</t>
  </si>
  <si>
    <t xml:space="preserve">427А      </t>
  </si>
  <si>
    <t>Д=400, L=2,0 км, чавун</t>
  </si>
  <si>
    <t xml:space="preserve"> 84200,
вул. Енгельса</t>
  </si>
  <si>
    <t>Каналізаційні мережі вул. Енгельса</t>
  </si>
  <si>
    <t>Д=200, L=0,361 км, кераміка</t>
  </si>
  <si>
    <t>84200, 
вул. Індустріальна, 24</t>
  </si>
  <si>
    <t>Каналізаційні мережі вул. Індустріальна, 24</t>
  </si>
  <si>
    <t>Д=150, L=0,095 км, кераміка</t>
  </si>
  <si>
    <t>84200,
вул. Космонавтів, 14</t>
  </si>
  <si>
    <t>Каналізаційні мережі вул.Космонавтів, 14</t>
  </si>
  <si>
    <t xml:space="preserve">Каналізаційні мережі вул. Леніна, 11 до прохідної Машзаводу   </t>
  </si>
  <si>
    <t>Д=300, L=0,435 км, кераміка</t>
  </si>
  <si>
    <t>Каналізаційні мережі від гуртожитку ДДМА до вул. Радченка</t>
  </si>
  <si>
    <t>Д=250, L=0,121 км, кераміка</t>
  </si>
  <si>
    <t>84200, 
вул. Тверська</t>
  </si>
  <si>
    <t>Каналізаційні мережі вул. Тверська</t>
  </si>
  <si>
    <t>Д=250, 300, L=0,121 км, кераміка</t>
  </si>
  <si>
    <t>84200,
 вул. Соборна, 36</t>
  </si>
  <si>
    <t xml:space="preserve">Каналізаційні мережі вул. Леніна, 36 </t>
  </si>
  <si>
    <t>Д=150, L=0,094 км, кераміка</t>
  </si>
  <si>
    <t xml:space="preserve"> 84200,
вул. Садова, 2</t>
  </si>
  <si>
    <t xml:space="preserve">Каналізаційні мережі від будинку-інтернату до вул. Садова </t>
  </si>
  <si>
    <t>Д=150, L=0,3 км, кераміка</t>
  </si>
  <si>
    <t xml:space="preserve">84200,
вул. Енгельса, 45 - вул. Соборна </t>
  </si>
  <si>
    <t xml:space="preserve">Каналізаційні мережі від будівлі суду до
 вул. Леніна  </t>
  </si>
  <si>
    <t>Д=100, L=0,065 км, кераміка</t>
  </si>
  <si>
    <t>84200, 
вул. Соборна, 34</t>
  </si>
  <si>
    <t>Каналізаційні мережі вул. Леніна, 34</t>
  </si>
  <si>
    <t>Д=250, L=0,120 км, кераміка</t>
  </si>
  <si>
    <t>84200,
вул. Козацька, 72</t>
  </si>
  <si>
    <t>Каналізаційні мережі вул. Чапаєва, 72</t>
  </si>
  <si>
    <t>Д=125, L=0,040 км, кераміка</t>
  </si>
  <si>
    <t xml:space="preserve">84200,
вул. Чайковського, 2 </t>
  </si>
  <si>
    <t>Каналізаційні мережі вул. Чайковського, 2</t>
  </si>
  <si>
    <t>Д=100, L=0,08 км, кераміка</t>
  </si>
  <si>
    <t>84200,
вул. Гаврилівська, 4/2</t>
  </si>
  <si>
    <t>Каналізаційні мережі вул. Юрченко 4/2</t>
  </si>
  <si>
    <t>Д=125, L=0,08 км, кераміка</t>
  </si>
  <si>
    <t>84200,
вул. Петліна, 7</t>
  </si>
  <si>
    <t>Каналізаційні мережі вул. Петліна, 7</t>
  </si>
  <si>
    <t>Д=250, L=0,025 км, кераміка</t>
  </si>
  <si>
    <t>84200,
вул. Соборна, 22, 24</t>
  </si>
  <si>
    <t>Каналізаційні мережі вул. Леніна, 22, 24</t>
  </si>
  <si>
    <t>Д=125, 250, L=0,360 км, кераміка, чавун</t>
  </si>
  <si>
    <t>84200,
вул. О. Кошового, 1, 3, 5, 7, 9, 11</t>
  </si>
  <si>
    <t>Каналізаційні мережі вул. О.Кошового, 1, 3, 5, 7, 9, 12</t>
  </si>
  <si>
    <t>Д=125, L=0,263 км, кераміка</t>
  </si>
  <si>
    <t>84200,
вул. Правди, 1, 7</t>
  </si>
  <si>
    <t>Каналізаційні мережі вул. Правди, 1, 7</t>
  </si>
  <si>
    <t>Д=200-250, L=0,160 км, кераміка</t>
  </si>
  <si>
    <t xml:space="preserve"> 84200,
вул. Чайковського, 6, 8, 10</t>
  </si>
  <si>
    <t>Д=100, 250, L=0,36 км, кераміка</t>
  </si>
  <si>
    <t>84200,
вул. Смоленська, 6</t>
  </si>
  <si>
    <t>Каналізаційні мережі вул. Смоленська, 6</t>
  </si>
  <si>
    <t>84200,
вул. Тверська, 6</t>
  </si>
  <si>
    <t>Каналізаційні мережі вул. Тверська,
 дитячий садок № 2</t>
  </si>
  <si>
    <t>Д=100, L=0,76 км, кераміка</t>
  </si>
  <si>
    <t>84200,
вул. Короленка, 1</t>
  </si>
  <si>
    <t>Каналізаційні мережі вул. Короленка, 1</t>
  </si>
  <si>
    <t>Д=250, L=0,105 км, кераміка</t>
  </si>
  <si>
    <t>84200,
вул. Соборна, 39</t>
  </si>
  <si>
    <t>Каналізаційні мережі вул. Леніна, 39</t>
  </si>
  <si>
    <t>Д=250, L=0,141 км, кераміка</t>
  </si>
  <si>
    <t>84200,
вул. К.Маркса, 5</t>
  </si>
  <si>
    <t>Каналізаційні мережі вул. К.Маркса, 5</t>
  </si>
  <si>
    <t>84200,
вул. Машинобудівників, 38</t>
  </si>
  <si>
    <t>Каналізаційні мережі вул. Радченко, 38</t>
  </si>
  <si>
    <t>Д=100, L=0,062 км, кераміка</t>
  </si>
  <si>
    <t>84200,
вул. Солідарності, 57</t>
  </si>
  <si>
    <t xml:space="preserve">Каналізаційні мережі вул. Солідарності, 57 </t>
  </si>
  <si>
    <t>Д=250, L=0,150 км, кераміка</t>
  </si>
  <si>
    <t>Каналізаційні мережі вул. Космонавтів, 54</t>
  </si>
  <si>
    <t>Д=250, L=0,050 км, кераміка</t>
  </si>
  <si>
    <t>84200,
вул. Космонавтів, 56</t>
  </si>
  <si>
    <t>Каналізаційні мережі вул. Космонавтів, 56</t>
  </si>
  <si>
    <t>Д=250, L=0,102 км, кераміка</t>
  </si>
  <si>
    <t>84200,
 вул. Ярослава Мудрого</t>
  </si>
  <si>
    <t>Каналізаційні мережі вул. Я.Галана</t>
  </si>
  <si>
    <t>Д=150, L=0,031 км, кераміка</t>
  </si>
  <si>
    <t>84200,
вул. О. Кошового, 13</t>
  </si>
  <si>
    <t>Каналізаційні мережі вул. О.Кошового, 13</t>
  </si>
  <si>
    <t>Д=200, L=0,038 км, кераміка</t>
  </si>
  <si>
    <t>84200,
вул. Соборна, 16</t>
  </si>
  <si>
    <t>Каналізаційні мережі вул. Леніна, 16</t>
  </si>
  <si>
    <t>Д=150, L=0,127 км, кераміка</t>
  </si>
  <si>
    <t>84200,
вул. Соборна, 17</t>
  </si>
  <si>
    <t>Каналізаційні мережі вул. Леніна, 17</t>
  </si>
  <si>
    <t>Д=150, L=0,055 км, кераміка</t>
  </si>
  <si>
    <t>84200,
вул. Соборна, 25</t>
  </si>
  <si>
    <t>Каналізаційні мережі вул. Леніна, 25</t>
  </si>
  <si>
    <t>Д=150, L=0,049 км, кераміка</t>
  </si>
  <si>
    <t>84200,
вул. Соборна, 35</t>
  </si>
  <si>
    <t>Каналізаційні мережі вул. Леніна, 35</t>
  </si>
  <si>
    <t>Д=200, L=0,104 км, кераміка</t>
  </si>
  <si>
    <t>84200,
вул. Леваневського, 1А</t>
  </si>
  <si>
    <t>Каналізаційні мережі вул. Леваневського, 1а</t>
  </si>
  <si>
    <t>Д=250, L=0,072 км, кераміка</t>
  </si>
  <si>
    <t>84200,
вул. Леваневського, 1Б</t>
  </si>
  <si>
    <t>Каналізаційні мережі вул. Леваневського, 1б</t>
  </si>
  <si>
    <t>Д=150, L=0,022 км, кераміка</t>
  </si>
  <si>
    <t>84200, 
вул. Соборна,15 - вул. Петліна</t>
  </si>
  <si>
    <t xml:space="preserve">Каналізаційні мережі від вул. Леніна, 15 до
 вул. Петліна  </t>
  </si>
  <si>
    <t>Д=300, L=0,363 км, кераміка</t>
  </si>
  <si>
    <t>84200, 
 вул. Гаврилівська, 1</t>
  </si>
  <si>
    <t>Каналізаційні мережі вул. Юрченка, 1</t>
  </si>
  <si>
    <t>84200,
 вул. Машинобудівників, 44</t>
  </si>
  <si>
    <t xml:space="preserve">Каналізаційні мережі вул. Радченка, 44 </t>
  </si>
  <si>
    <t>Д=150, L=0,051 км, кераміка</t>
  </si>
  <si>
    <t>84200,
 вул. Машинобудівників, 52</t>
  </si>
  <si>
    <t>Каналізаційні мережі вул. Радченка, 52</t>
  </si>
  <si>
    <t>Д=150, L=0,054 км, кераміка</t>
  </si>
  <si>
    <t>84200,
 вул. Машинобудівників, 37</t>
  </si>
  <si>
    <t>Каналізаційні мережі вул. Радченка, 37</t>
  </si>
  <si>
    <t>84200,
 вул. Машинобудівників, 34</t>
  </si>
  <si>
    <t>Каналізаційні мережі вул. Радченка, 34</t>
  </si>
  <si>
    <t>Д=150, L=0,084 км, кераміка</t>
  </si>
  <si>
    <t>84200, 
вул. О.Кошового, 6А</t>
  </si>
  <si>
    <t>Каналізаційні мережі вул. О.Кошового, 6а</t>
  </si>
  <si>
    <t>Д=150, L=0,083 км, кераміка</t>
  </si>
  <si>
    <t>84200, 
 вул. Індустріальна, 4</t>
  </si>
  <si>
    <t>Каналізаційні мережі вул. Індустріальна, 4</t>
  </si>
  <si>
    <t>84200, 
 вул. Індустріальна, 12</t>
  </si>
  <si>
    <t>Каналізаційні мережі вул. Індустріальна, 12</t>
  </si>
  <si>
    <t>84200, 
 вул. Індустріальна, 16</t>
  </si>
  <si>
    <t>Каналізаційні мережі вул. Індустріальна, 16</t>
  </si>
  <si>
    <t>Д=150, L=0,042 км, кераміка</t>
  </si>
  <si>
    <t>Каналізаційні мережі вул. З.Космодем'янської,
 вул. Матросова</t>
  </si>
  <si>
    <t>Д=100, L=0,1 км, кераміка, п/е</t>
  </si>
  <si>
    <t>84200, 
вул. Ушакова</t>
  </si>
  <si>
    <t>Каналізаційні мережі вул. Ушакова</t>
  </si>
  <si>
    <t>Д=100, 200, L=0,126 км, кераміка</t>
  </si>
  <si>
    <t>84200, 
вул. Джерельна, 2</t>
  </si>
  <si>
    <t>Каналізаційні мережі вул. Фрунзе 2</t>
  </si>
  <si>
    <t>Д=200, L=0,097 км, кераміка</t>
  </si>
  <si>
    <t>Колектор від вул. Чапаєва, 91, 95 по
 вул. Дружби, вул. Шахтарській до
 вул. Потьомкіна</t>
  </si>
  <si>
    <t>Д=300, L=1,84 км, кераміка</t>
  </si>
  <si>
    <t>84200, 
вул. Карла Маркса</t>
  </si>
  <si>
    <t>Каналізаційні мережі вул. К.Маркса</t>
  </si>
  <si>
    <t>Д=200, L=0,1 км, кераміка</t>
  </si>
  <si>
    <t>84200,
  вул. Енгельса, 10, 12, 14</t>
  </si>
  <si>
    <t>Водопровідні мережі КСМ вул. Енгельса</t>
  </si>
  <si>
    <t>Д=100, L=0,5 км, сталь</t>
  </si>
  <si>
    <t>84200,
вул. Дружби - вул. Кирпична</t>
  </si>
  <si>
    <t>Водопровідні мережі від вул. Дружби до
 вул. Кирпична</t>
  </si>
  <si>
    <t>Д=100, L=0,2 км, сталь</t>
  </si>
  <si>
    <t>84200,
вул. Слов'янська</t>
  </si>
  <si>
    <t>Водопровідні мережі вул. Слов'янська</t>
  </si>
  <si>
    <t>Д=50, L=0,1 км, сталь</t>
  </si>
  <si>
    <t>84200,
вул. Тверська</t>
  </si>
  <si>
    <t>Водопровідні мережі вул. Тверська</t>
  </si>
  <si>
    <t>84200,
вул. Індустріальна, 24</t>
  </si>
  <si>
    <t>Водопровідні мережі вул. Індустріальна, 24</t>
  </si>
  <si>
    <t>Д=100, L=0,07 км, сталь</t>
  </si>
  <si>
    <t>84200, 
вул. Смоленська, 6</t>
  </si>
  <si>
    <t>Водопровідні мережі вул. Смоленська, 6</t>
  </si>
  <si>
    <t>Д=80, L=0,054 км, сталь</t>
  </si>
  <si>
    <t>Водопровідні мережі вул. Чапаєва, 72</t>
  </si>
  <si>
    <t>Д=80, L=0,026 км, п/е</t>
  </si>
  <si>
    <t>84200, 
вул. Соборна, 22</t>
  </si>
  <si>
    <t>Водопровідні мережі вул. Леніна, 22</t>
  </si>
  <si>
    <t>Д=100, L=0,052 км, сталь</t>
  </si>
  <si>
    <t>84200, 
вул. Соборна, 24</t>
  </si>
  <si>
    <t>Водопровідні мережі вул. Леніна, 24</t>
  </si>
  <si>
    <t>Д=100, L=0,038 км, сталь</t>
  </si>
  <si>
    <t>Водопровідні мережі вул. Леніна, 34</t>
  </si>
  <si>
    <t>Д=80, L=0,015 км, сталь</t>
  </si>
  <si>
    <t>84200,
вул. З.Космодем'янської, 1-10</t>
  </si>
  <si>
    <t>Водопровідні мережі 
вул. З.Космодем'янської, 1-10</t>
  </si>
  <si>
    <t>Д=100, L=0,27 км, сталь</t>
  </si>
  <si>
    <t>84200, 
вул. Матросова, 4, 8, 10</t>
  </si>
  <si>
    <t>Водопровідні мережі вул. Матросова, 4, 8, 10</t>
  </si>
  <si>
    <t>Д=100, L=0,235 км, сталь</t>
  </si>
  <si>
    <t>84200, 
вул. Чернігівська, 51, 53, 55</t>
  </si>
  <si>
    <t>Водопровідні мережі 
вул. Орджонікідзе, 51, 53, 55</t>
  </si>
  <si>
    <t>Д=50, L=0,065 км, сталь</t>
  </si>
  <si>
    <t>84200, 
вул. Бурденка</t>
  </si>
  <si>
    <t>Водопровідні мережі вул. Бурденка</t>
  </si>
  <si>
    <t>Д=50, L=0,605 км, сталь</t>
  </si>
  <si>
    <t>84200, 
вул. Олега Кошового</t>
  </si>
  <si>
    <t>Водопровідні мережі вул. О.Кошового</t>
  </si>
  <si>
    <t>Д=50, L=0,06 км, сталь</t>
  </si>
  <si>
    <t>84200, 
вул. Київська</t>
  </si>
  <si>
    <t>Водопровідні мережі вул. Київська</t>
  </si>
  <si>
    <t>Д=30, L=0,24 км, сталь</t>
  </si>
  <si>
    <t>Водопровідні мережі вул. Петліна, 7</t>
  </si>
  <si>
    <t>Д=100, L=0,027 км, сталь</t>
  </si>
  <si>
    <t xml:space="preserve"> 84200,
вул. Правди, 7</t>
  </si>
  <si>
    <t>Водопровідні мережі вул. Правди, 7</t>
  </si>
  <si>
    <t>Д=50, L=0,079 км, сталь</t>
  </si>
  <si>
    <t>84200, 
вул. Чайковського, 10</t>
  </si>
  <si>
    <t>Водопровідні мережі вул. Чайковського, 10</t>
  </si>
  <si>
    <t>Д=100, L=0,083 км, сталь</t>
  </si>
  <si>
    <t>84200, 
вул. Чайковського, 6, 8</t>
  </si>
  <si>
    <t>Водопровідні мережі вул. Чайковського, 6, 8</t>
  </si>
  <si>
    <t>Д=100, L=0,030 км, сталь</t>
  </si>
  <si>
    <t>84200, 
вул. Чайковського, 2</t>
  </si>
  <si>
    <t>Водопровідні мережі вул. Чайковського, 2</t>
  </si>
  <si>
    <t>84200,
вул. Правди, 1</t>
  </si>
  <si>
    <t xml:space="preserve">Водопровідні мережі вул. Правди, 1   </t>
  </si>
  <si>
    <t>Д=100, L=0,12 км, сталь</t>
  </si>
  <si>
    <t>84200, 
вул. Гаврилівська,  2</t>
  </si>
  <si>
    <t>Водопровідні мережі вул. Юрченка, 2</t>
  </si>
  <si>
    <t>Д=200, L=0,056 км, сталь</t>
  </si>
  <si>
    <t>84200, 
вул. Гаврилівська,  4</t>
  </si>
  <si>
    <t>Водопровідні мережі вул. Юрченко, 4</t>
  </si>
  <si>
    <t>Д=100, L=0,045 км, сталь</t>
  </si>
  <si>
    <t>84200, 
 вул. Карла Маркса, 36, 38</t>
  </si>
  <si>
    <t>Водопровідні мережі вул. К.Маркса, 36, 38</t>
  </si>
  <si>
    <t>Д=50, L=0,019 км, сталь</t>
  </si>
  <si>
    <t>84200,
вул. Карла Маркса, 49</t>
  </si>
  <si>
    <t>Водопровідні мережі вул. К.Маркса, 49</t>
  </si>
  <si>
    <t>Д=50, L=0,020 км, сталь</t>
  </si>
  <si>
    <t xml:space="preserve">84200,
 вул. Енгельса, 49 </t>
  </si>
  <si>
    <t>Водопровідні мережі вул. Енгельса, 49</t>
  </si>
  <si>
    <t>Д=50, L=0,04 км, сталь</t>
  </si>
  <si>
    <t>84200,
 вул. Енгельса, 50</t>
  </si>
  <si>
    <t>Водопровідні мережі вул. Енгельса, 50</t>
  </si>
  <si>
    <t>Д=50, L=0,052 км, сталь</t>
  </si>
  <si>
    <t>84200, 
вул. Енгельса, 54, 58</t>
  </si>
  <si>
    <t>Водопровідні мережі вул. Енгельса, 54, 58</t>
  </si>
  <si>
    <t>Д=80, L=0,130 км, сталь</t>
  </si>
  <si>
    <t>84200,
вул. Маяковського, 10</t>
  </si>
  <si>
    <t>Водопровідні мережі вул. Маяковського, 10</t>
  </si>
  <si>
    <t>Д=50, L=0,110 км, сталь</t>
  </si>
  <si>
    <t>84200,
вул. Одеська, 62</t>
  </si>
  <si>
    <t>Водопровідні мережі вул. Одеська, 62</t>
  </si>
  <si>
    <t>Д=50, L=0,4 км, сталь</t>
  </si>
  <si>
    <t>Водопровідні мережі
 вул. Тверська дитячий садок № 2</t>
  </si>
  <si>
    <t>Д=80, L=0,3 км, сталь</t>
  </si>
  <si>
    <t>84200,
вул. Яковлівська, 112</t>
  </si>
  <si>
    <t>Водопровідні мережі вул. Ульянівська, 112</t>
  </si>
  <si>
    <t>Водопровідні мережі вул. Короленка, 1</t>
  </si>
  <si>
    <t>Д=125, L=0,07 км, сталь</t>
  </si>
  <si>
    <t xml:space="preserve"> 84200,
вул. Соборна, 39</t>
  </si>
  <si>
    <t>Водопровідні мережі вул. Леніна, 39</t>
  </si>
  <si>
    <t>Д=100, L=0,005 км, сталь</t>
  </si>
  <si>
    <t>84200,
вул. Карла Маркса, 5</t>
  </si>
  <si>
    <t>Водопровідні мережі вул. К.Маркса, 5</t>
  </si>
  <si>
    <t>Д=125, L=0,022 км, сталь</t>
  </si>
  <si>
    <t>84200, 
вул. Машинобудівників, 38</t>
  </si>
  <si>
    <t>Водопровідні мережі вул. Радченка, 38</t>
  </si>
  <si>
    <t>Д=100, L=0,025 км, сталь</t>
  </si>
  <si>
    <t>84200, 
вул. Солідарності, 57</t>
  </si>
  <si>
    <t>Водопровідні мережі вул. Солідарності, 57</t>
  </si>
  <si>
    <t>Д=100, L=0,017 км, сталь</t>
  </si>
  <si>
    <t>Водопровідні мережі вул. Космонавтів, 54</t>
  </si>
  <si>
    <t>Д=100, L=0,012 км, сталь</t>
  </si>
  <si>
    <t>Водопровідні мережі вул. Космонавтів, 56</t>
  </si>
  <si>
    <t>Д=100, L=0,018 км, сталь</t>
  </si>
  <si>
    <t xml:space="preserve"> 84200, 
вул. Кузнечна</t>
  </si>
  <si>
    <t>Водопровідні мережі вул. Кузнечна</t>
  </si>
  <si>
    <t>Д=50, 76, L=0,450 км, сталь, п/е</t>
  </si>
  <si>
    <t>84200,
вул. Кутузова</t>
  </si>
  <si>
    <t>Водопровідні мережі вул. Кутузова</t>
  </si>
  <si>
    <t>Д=63, L=0,35 км, п/е</t>
  </si>
  <si>
    <t>Д=75, L=0,4 км, сталь</t>
  </si>
  <si>
    <t>84200,
вул. Джерельна, 2</t>
  </si>
  <si>
    <t>Водопровідні мережі вул. Фрунзе, 2</t>
  </si>
  <si>
    <t>Д=50, L=0,027 км, сталь</t>
  </si>
  <si>
    <t>84200,
вул. Шефська</t>
  </si>
  <si>
    <t>Водопровідні мережі вул. Шефська</t>
  </si>
  <si>
    <t>Д=100, L=0,49 км, сталь</t>
  </si>
  <si>
    <t>84200,
вул. Б.Хмельницького, 2А</t>
  </si>
  <si>
    <t>Водопровідні мережі вул. Б.Хмельницького, 2А</t>
  </si>
  <si>
    <t>Д=40, L=0,069 км, сталь</t>
  </si>
  <si>
    <t xml:space="preserve">Часовоярське РВУ КП "Компанія "Вода Донбасу" </t>
  </si>
  <si>
    <t>Бахмутський р-н,
с. Берхівка</t>
  </si>
  <si>
    <t>500 м від межі с. Берхівка у західному напрямку</t>
  </si>
  <si>
    <t xml:space="preserve"> Насосна станція 1-го підйому Артемівської фільтрувальної станції</t>
  </si>
  <si>
    <t xml:space="preserve"> Прохідний пункт на території Берхівської насосної станції Артемівського ділянки</t>
  </si>
  <si>
    <t xml:space="preserve"> Вбиральня на території Берхівської насосної станції Артемівського ділянки</t>
  </si>
  <si>
    <t>Земляна гребля Беpхівського водосховища</t>
  </si>
  <si>
    <t>Бахмутський р-н,
с. Ягідне</t>
  </si>
  <si>
    <t>3 км від с. Ягідне</t>
  </si>
  <si>
    <t xml:space="preserve"> Шламонакопичувач           </t>
  </si>
  <si>
    <t>уздовж каналу "Сіверський Донець-Донбас"</t>
  </si>
  <si>
    <t xml:space="preserve"> Насосна станція 1-го підйому на Часовоярській фільтрувальній станції</t>
  </si>
  <si>
    <t xml:space="preserve"> Водозабірний оголовок Часовоярської насосної станції 1-го підйому і Артемівської фільтрувальної станції</t>
  </si>
  <si>
    <t>84553,
вул. Зої Космодем’янської, 3</t>
  </si>
  <si>
    <t xml:space="preserve"> Водозабірний оголовок на каналі на Артемівській фільтрувальній станції</t>
  </si>
  <si>
    <t>84553,
вул. Зої Космодем'янської, 3</t>
  </si>
  <si>
    <t xml:space="preserve"> Механічна майстерня на базі РВУ</t>
  </si>
  <si>
    <t xml:space="preserve"> Столярна майстерня на базі РВУ</t>
  </si>
  <si>
    <t xml:space="preserve"> Електромайстерні на базі РВУ</t>
  </si>
  <si>
    <t xml:space="preserve"> Будівля кузні на базі РВУ</t>
  </si>
  <si>
    <t xml:space="preserve"> Гараж для вантажних автомобілів на базі РВУ</t>
  </si>
  <si>
    <t xml:space="preserve"> Гараж для стоянки тракторів на базі РВУ</t>
  </si>
  <si>
    <t xml:space="preserve"> Склад матеріалів на базі РВУ</t>
  </si>
  <si>
    <t xml:space="preserve"> Склад мастильних масел на базі РВУ</t>
  </si>
  <si>
    <t xml:space="preserve"> Склад пального на базі РУ</t>
  </si>
  <si>
    <t xml:space="preserve"> Склад фарб на базі РВУ</t>
  </si>
  <si>
    <t xml:space="preserve"> Вагова на базі РВУ</t>
  </si>
  <si>
    <t>Нарядна Часовоярської ділянки на базі РВУ</t>
  </si>
  <si>
    <t xml:space="preserve"> Будівля трансформаторної підстанції</t>
  </si>
  <si>
    <t xml:space="preserve"> Будівля пилорами на базі РВУ</t>
  </si>
  <si>
    <t xml:space="preserve"> Прохідний пункт на територію бази РВУ</t>
  </si>
  <si>
    <t>Заглиблений склад інвентарю та матеріалів на базі РВУ</t>
  </si>
  <si>
    <t xml:space="preserve"> Матеріальний склад на базі РВУ</t>
  </si>
  <si>
    <t xml:space="preserve"> Будівля лабораторії метрології</t>
  </si>
  <si>
    <t>Підсобне приміщення слюсарів</t>
  </si>
  <si>
    <t>Склад тривалого зберігання на базі РВУ</t>
  </si>
  <si>
    <t xml:space="preserve"> Гараж-стоянка на базі РВУ</t>
  </si>
  <si>
    <t>84551,
вул. Недогибченко</t>
  </si>
  <si>
    <t xml:space="preserve"> Насосна станція 2-го підйому Часовоярської фільтрувальної станції</t>
  </si>
  <si>
    <t xml:space="preserve"> Склад матеріалів на Часовоярській фільтрувальній станції</t>
  </si>
  <si>
    <t xml:space="preserve"> Склад паливно-мастильних матеріалів на Часовоярській фільтрувальній станції</t>
  </si>
  <si>
    <t xml:space="preserve"> Склад хлору на Часовоярській фільтрувальної станції</t>
  </si>
  <si>
    <t>Нарядна Часовоярської фільтрувальної станції</t>
  </si>
  <si>
    <t>Прохідний пункт на території Часовоярської фільтрувальної станції</t>
  </si>
  <si>
    <t xml:space="preserve">Резеpвуаp пpямокутний на Часовоярській фільтрувальній станції    </t>
  </si>
  <si>
    <t xml:space="preserve"> Часовоярська фільтрувальна станція</t>
  </si>
  <si>
    <t xml:space="preserve"> Будівля вузла зв'язку</t>
  </si>
  <si>
    <t>Бахмутський р-н,
с-ще Опитне</t>
  </si>
  <si>
    <t>84500,
вул. Садова</t>
  </si>
  <si>
    <t xml:space="preserve"> Насосна станція 2-го підйому Артемівської фільтрувальної станції</t>
  </si>
  <si>
    <t xml:space="preserve"> Механічна майстерня Артемівської ділянки</t>
  </si>
  <si>
    <t xml:space="preserve"> Прохідний пункт на території Артемівської фільтрувальної станції</t>
  </si>
  <si>
    <t xml:space="preserve"> Будівля котельні Артемівської фільтрувальної станції</t>
  </si>
  <si>
    <t xml:space="preserve"> Склад піску і антрацитової крихти на Артемівській  фільтрувальній станції</t>
  </si>
  <si>
    <t xml:space="preserve"> Будівля хлораторної на Артемівській фільтрувальній станції</t>
  </si>
  <si>
    <t>Резеpвуаp пpямокутний на Артемівській фільтрувальній станції</t>
  </si>
  <si>
    <t xml:space="preserve"> Артемівська фільтрувальна станція</t>
  </si>
  <si>
    <t xml:space="preserve"> Горизонтальні відстійники зі змішувачами Артемівської фільтрувальної станції</t>
  </si>
  <si>
    <t xml:space="preserve">Резеpвуаp 10000 куб. м      </t>
  </si>
  <si>
    <t>Костянтинівський р-н, 
с. Білокузьминівка</t>
  </si>
  <si>
    <t xml:space="preserve"> Білокузьминівська насосна станція</t>
  </si>
  <si>
    <t>1948</t>
  </si>
  <si>
    <t xml:space="preserve"> Склад хлору на Білокузьминівській насосній станції</t>
  </si>
  <si>
    <t xml:space="preserve"> Будівля Білокузьминівської електропідстанції</t>
  </si>
  <si>
    <t>Вбиральня на території Білокузьминівської насосної станції</t>
  </si>
  <si>
    <t xml:space="preserve"> Заглиблений склад інвентарю та обладнання на Білокузьминівській насосній станції</t>
  </si>
  <si>
    <t xml:space="preserve"> Хлораторна продуктивністю 2 кг / годину на Білокузьминівській насосній станції</t>
  </si>
  <si>
    <t xml:space="preserve"> Насосна станція 2-го підйому в
 c. Білокузьминівка</t>
  </si>
  <si>
    <t>Резеpвуаp для води на 1000 куб. м</t>
  </si>
  <si>
    <t>Насосна станція 1-го підйому в
 с. Білокузьминівка</t>
  </si>
  <si>
    <t>300 м від межі м. Костянтинівка у східному напрямку</t>
  </si>
  <si>
    <t xml:space="preserve"> Костянтинівська насосна станція</t>
  </si>
  <si>
    <t>1933</t>
  </si>
  <si>
    <t xml:space="preserve"> Будівля виробничих служб на Костянтинівській насосній станції</t>
  </si>
  <si>
    <t xml:space="preserve"> Сарай кам'яний на Костянтинівській насосній станції</t>
  </si>
  <si>
    <t xml:space="preserve"> Прохідний пункт на території Костянтинівської насосної станції</t>
  </si>
  <si>
    <t xml:space="preserve"> Водозабірний оголовок Костянтинівської насосної станції на р. Кривий Торець</t>
  </si>
  <si>
    <t xml:space="preserve">Костянтинівське водосховище на р. Кривий Торець (гребля) </t>
  </si>
  <si>
    <t>1946</t>
  </si>
  <si>
    <t xml:space="preserve">Магістpальний водовід покращеної якості </t>
  </si>
  <si>
    <t>84551,
вул. Горького</t>
  </si>
  <si>
    <t xml:space="preserve">Підкачувальна насосна станція 2-го підйому                   </t>
  </si>
  <si>
    <t>84551,
вул. Зелена</t>
  </si>
  <si>
    <t>84551,
вул. Транспортна</t>
  </si>
  <si>
    <t>85150,
вул. Вчительська, 12А</t>
  </si>
  <si>
    <t>Очисні споруди с. Клебан-Бик</t>
  </si>
  <si>
    <t xml:space="preserve"> Механічна майстерня на Клебан-Бикській ділянці</t>
  </si>
  <si>
    <t xml:space="preserve"> Гараж для вантажних автомобілів Клебан-Бикської ділянки</t>
  </si>
  <si>
    <t xml:space="preserve"> Склад обладнання на Клебан-Бикській ділянці</t>
  </si>
  <si>
    <t xml:space="preserve"> Склад паливно-мастильних матеріалів на Клебан-Бикській ділянці</t>
  </si>
  <si>
    <t xml:space="preserve"> Прохідний пункт на території бази Клебан-Бикської ділянки</t>
  </si>
  <si>
    <t xml:space="preserve"> Вбиральня на території бази Клебан-Бикської ділянки</t>
  </si>
  <si>
    <t>350 м від межі м. Торецьк на південь</t>
  </si>
  <si>
    <t>Резеpвуаp циліндричний на фільтрувальній станції Дзержинська</t>
  </si>
  <si>
    <t>1947</t>
  </si>
  <si>
    <t xml:space="preserve">Міст чеpез pічку "Кpивий Тоpець"     </t>
  </si>
  <si>
    <t>Костянтинівський р-н, 
с. Полтавка</t>
  </si>
  <si>
    <t>85172, 
 на південному сході околиці с. Полтавка</t>
  </si>
  <si>
    <t xml:space="preserve">Свердловина с. Полтавка                </t>
  </si>
  <si>
    <t>Костянтинівський р-н,
с. Калинове</t>
  </si>
  <si>
    <t xml:space="preserve">у 120 метрах від вул. Шевченка </t>
  </si>
  <si>
    <t xml:space="preserve">Свердловина с. Калинове                </t>
  </si>
  <si>
    <t xml:space="preserve">Вежа с. Калинове                   </t>
  </si>
  <si>
    <t>Костянтинівський р-н,
с. Стара Миколаївка</t>
  </si>
  <si>
    <t>правий схил р. Калинівка, 0,4 км на північний захід від околиці села Стара Миколаївка</t>
  </si>
  <si>
    <t xml:space="preserve">Свердловина артезіанська с. Правдівка    </t>
  </si>
  <si>
    <t>Костянтинівський р-н,
с. Нова Полтавка</t>
  </si>
  <si>
    <t xml:space="preserve">Свердловина с. Нова Полтавка          </t>
  </si>
  <si>
    <t>ліворуч від автошляху на відстані 300 м до сільради</t>
  </si>
  <si>
    <t>Костянтинівський р-н, 
с-ще Довга Балка</t>
  </si>
  <si>
    <t>поруч із зернооброблювальним комплексом</t>
  </si>
  <si>
    <t xml:space="preserve">Вежа с. Артема                     </t>
  </si>
  <si>
    <t>Костянтинівський р-н,
с. Розкішне</t>
  </si>
  <si>
    <t>південна околиця с. Розкішне</t>
  </si>
  <si>
    <t xml:space="preserve">Башта Рожновського с. Розкішне     </t>
  </si>
  <si>
    <t>Костянтинівський р-н,
с. Тарасівка</t>
  </si>
  <si>
    <t>східна околиця с. Тарасівка, 227 метрів на схід від сільської ради</t>
  </si>
  <si>
    <t xml:space="preserve">Вежа водопровідна с. Тарасівка    </t>
  </si>
  <si>
    <t>Костянтинівський р-н,
с. Олександропіль</t>
  </si>
  <si>
    <t>по автошляху від с. Олександропіль до
 с. Тарасівка на відстані 100 м</t>
  </si>
  <si>
    <t>Вежа водопровідна с. Олександрополя</t>
  </si>
  <si>
    <t>по автошляху від с. Олександропіль до 
с. Тарасівка на відстані 100 м</t>
  </si>
  <si>
    <t>85293
вул. Південна</t>
  </si>
  <si>
    <t>Бахмутський р-н,
м. Сіверськ</t>
  </si>
  <si>
    <t>84522, 
вул. Пушкіна, 2Б</t>
  </si>
  <si>
    <t xml:space="preserve"> Будівля прохідної Сіверської ділянки</t>
  </si>
  <si>
    <t xml:space="preserve"> Будівля складу Сіверської ділянки</t>
  </si>
  <si>
    <t>Бахмутський р-н,
с. Свято-Покровське</t>
  </si>
  <si>
    <r>
      <rPr>
        <sz val="10"/>
        <rFont val="Times New Roman"/>
        <family val="1"/>
        <charset val="204"/>
      </rPr>
      <t xml:space="preserve">84527,
</t>
    </r>
    <r>
      <rPr>
        <sz val="10"/>
        <color rgb="FFFF0000"/>
        <rFont val="Times New Roman"/>
        <family val="1"/>
        <charset val="204"/>
      </rPr>
      <t xml:space="preserve"> </t>
    </r>
    <r>
      <rPr>
        <sz val="10"/>
        <rFont val="Times New Roman"/>
        <family val="1"/>
        <charset val="204"/>
      </rPr>
      <t>пров. Гоголя, 40</t>
    </r>
  </si>
  <si>
    <t>84522, 
вул. Пушкіна, 1В</t>
  </si>
  <si>
    <t xml:space="preserve"> Підкачувальна насосна станція з обладнанням</t>
  </si>
  <si>
    <t>84522, 
вул. Пушкіна, 1Г</t>
  </si>
  <si>
    <t xml:space="preserve"> Будівля хлораторної з кран-балкою Сіверської ділянки</t>
  </si>
  <si>
    <t>84527,
 вул. Нижня, 12</t>
  </si>
  <si>
    <t xml:space="preserve">Трансформаторна підстанція Насосної станції  Сухоярського водозабору    </t>
  </si>
  <si>
    <t xml:space="preserve"> Будівля водонапірної насосної станції  Сухоярського водозабору Сіверської ділянки</t>
  </si>
  <si>
    <t>84527,
пров. Гоголя, 41</t>
  </si>
  <si>
    <t xml:space="preserve"> Будівля трансформаторної підстанції  водонапірної насосної станції № 2 Кіровського водозабору Сіверської ділянки</t>
  </si>
  <si>
    <t xml:space="preserve">Резервуари для води                </t>
  </si>
  <si>
    <t xml:space="preserve">Резервуар                          </t>
  </si>
  <si>
    <t>84523,
вул. Південна, 17В</t>
  </si>
  <si>
    <t xml:space="preserve"> Будівля фтораторної Сіверської ділянки</t>
  </si>
  <si>
    <t xml:space="preserve"> Будівля водонапірної насосної станції № 2 Кіровського водозабору Сіверської ділянки</t>
  </si>
  <si>
    <t>84522, 
вул. Пушкіна, 1Ж</t>
  </si>
  <si>
    <t xml:space="preserve"> Будівля каналізаційної насосної станції № 1 Сіверської ділянки</t>
  </si>
  <si>
    <t xml:space="preserve"> Будівля хлораторної очисних споруд Сіверської ділянки</t>
  </si>
  <si>
    <t xml:space="preserve">Резервуар зрівняльний           </t>
  </si>
  <si>
    <t xml:space="preserve">Контактні резервуари            </t>
  </si>
  <si>
    <t>Будівля каналізаційної насосної  станції циркулюючого мулу очисних споруд Сіверської ділянки</t>
  </si>
  <si>
    <t xml:space="preserve"> Будівля господарських стоків очисних споруд Сіверської ділянки</t>
  </si>
  <si>
    <t xml:space="preserve"> Будівля гаража очисних споруд Сіверської ділянки</t>
  </si>
  <si>
    <t>84522, 
вул. Пушкіна, 13</t>
  </si>
  <si>
    <t xml:space="preserve"> Будівля господарсько-побутового призначення очисних споруд Сіверської ділянки</t>
  </si>
  <si>
    <t xml:space="preserve">Первинний вертикальний відстійник   </t>
  </si>
  <si>
    <t xml:space="preserve">Горизонтальний пісковловлювач (2 од.)    </t>
  </si>
  <si>
    <t>84522, 
вул. Пушкіна, 1</t>
  </si>
  <si>
    <t xml:space="preserve"> Будівля котельні очисних споруд Сіверської ділянки</t>
  </si>
  <si>
    <t>Будівля каналізаційної насосної станції № 3 Сіверської ділянки</t>
  </si>
  <si>
    <t xml:space="preserve">Приймальний резервуар каналізаційної насосної станції              </t>
  </si>
  <si>
    <t>84522,
 вул. Коцюбинського, 1В</t>
  </si>
  <si>
    <t xml:space="preserve"> Будівля насосної станції Черногорівського водозабору Сіверської ділянки</t>
  </si>
  <si>
    <t>Резервуар V-250 м3</t>
  </si>
  <si>
    <t xml:space="preserve"> Будівля адмінкорпусу з автогаражем Сіверської ділянки</t>
  </si>
  <si>
    <t>Бахмутський р-н,
с. Іванівське</t>
  </si>
  <si>
    <t xml:space="preserve"> Водопровідна насосна станція с. Червоне</t>
  </si>
  <si>
    <t xml:space="preserve">Свердловина с. Червоне                </t>
  </si>
  <si>
    <t>Костянтинівський р-н,
с-ще Новодмитрівка</t>
  </si>
  <si>
    <t>на захід від м. Костянтинівка 350 м</t>
  </si>
  <si>
    <t>Водопровідна вежа м. Костянтинівка</t>
  </si>
  <si>
    <t>Костянтинівський р-н,
с. Предтечине</t>
  </si>
  <si>
    <t xml:space="preserve">Водонапірна вежа с. Предтечине    </t>
  </si>
  <si>
    <t xml:space="preserve"> Водопровідна насосна станція с. Предтечине</t>
  </si>
  <si>
    <t>Костянтинівський р-н,
с. Маркове</t>
  </si>
  <si>
    <t>праворуч выд схилу р. Біленька, 150 метрів на північ від с. Маркове</t>
  </si>
  <si>
    <t xml:space="preserve"> Насосна станція с. Маркове</t>
  </si>
  <si>
    <t xml:space="preserve">Вежа с. Маркова                    </t>
  </si>
  <si>
    <t>Костянтинівський р-н,
с. Майське</t>
  </si>
  <si>
    <t>заплава балки у 0,2 км східніше
 с. Майське</t>
  </si>
  <si>
    <t xml:space="preserve"> Насосна станція питної води с. Майське</t>
  </si>
  <si>
    <t>300 м східніше с. Майське</t>
  </si>
  <si>
    <t xml:space="preserve">Вежа с. Майське                  </t>
  </si>
  <si>
    <t>Костянтинівський р-н,
с. Степанівка</t>
  </si>
  <si>
    <t>85140,
вул. Енгельса</t>
  </si>
  <si>
    <t xml:space="preserve">Cвердловина с. Степанівка               </t>
  </si>
  <si>
    <t>Костянтинівський р-н,
с. Миколаївка</t>
  </si>
  <si>
    <t>на північному сході околиці м. Часів Яр в верхів'ї б. Грузька у напрямку до
 с. Миколаївка</t>
  </si>
  <si>
    <t xml:space="preserve"> Водопровідна насосна станція с. Миколаївка</t>
  </si>
  <si>
    <t>Бахмутський р-н,
с. Богданівка</t>
  </si>
  <si>
    <t>на південному заході від с. Калинівка у лісі</t>
  </si>
  <si>
    <t>Трансформаторний кіоск с. Богданівка</t>
  </si>
  <si>
    <t>1 кілометр на південний схід від  
 с. Миколаївка</t>
  </si>
  <si>
    <t xml:space="preserve"> Будівля сараю с. Миколаївка</t>
  </si>
  <si>
    <t>1 кілометр на південний схід від
 с. Миколаївка</t>
  </si>
  <si>
    <t xml:space="preserve">Приймальний резервуар                 </t>
  </si>
  <si>
    <t>Бахмутський р-н,
с. Григорівка</t>
  </si>
  <si>
    <t>872 метри на захід від с. Григорівка</t>
  </si>
  <si>
    <t xml:space="preserve"> Підкачувальна насосна станція 
Григорівського водозабору</t>
  </si>
  <si>
    <t xml:space="preserve"> Трансформаторна підстанція с. Григорівка</t>
  </si>
  <si>
    <t xml:space="preserve"> Склад для зберігання балонів с. Григорівка</t>
  </si>
  <si>
    <t xml:space="preserve"> Вартове приміщення с. Григорівка</t>
  </si>
  <si>
    <t xml:space="preserve"> Підкачувальна насосна станція с. Григорівка</t>
  </si>
  <si>
    <t xml:space="preserve">Водоприймальний резервуар насосної станції
 2-го підйому    </t>
  </si>
  <si>
    <t>2,79 кілометри на південний захід від центральної частини с. Богданівка</t>
  </si>
  <si>
    <t xml:space="preserve"> Підкачувальна насосна станція с. Богданівка</t>
  </si>
  <si>
    <t>872 метри на захід від села Григорівка</t>
  </si>
  <si>
    <t>Резервуар для води с. Григорівка V 2000</t>
  </si>
  <si>
    <t>у 0,5 км на захід с. Григорівка у 
б. Малі Ступки</t>
  </si>
  <si>
    <t>Система каптажних колодязів насосної станції</t>
  </si>
  <si>
    <t xml:space="preserve">0,6 км на південний захід околиці 
с. Богданівка у б. Середні Ступки </t>
  </si>
  <si>
    <t xml:space="preserve">Свердловина № 2 с. Богданівка            </t>
  </si>
  <si>
    <t xml:space="preserve">у 0,6 км на південний захід околиці 
с. Богданівка у б. Середні Ступки </t>
  </si>
  <si>
    <t xml:space="preserve">Свердловина № 1 с. Богданівка           </t>
  </si>
  <si>
    <t>у лісі на північному заході від
 с. Григорівка</t>
  </si>
  <si>
    <t xml:space="preserve">Водоприймальний резервуар с. Криворотівка    </t>
  </si>
  <si>
    <t xml:space="preserve">Резервуар 1000 м3 насосної станції с. Канал          </t>
  </si>
  <si>
    <t>84551,
вул. Костянтинівська</t>
  </si>
  <si>
    <t xml:space="preserve"> Насосна станція освітленої води очисних споруд м. Часів Яр</t>
  </si>
  <si>
    <t xml:space="preserve">    -</t>
  </si>
  <si>
    <t xml:space="preserve"> Будівля лабораторії зі складом хлору очисних споруд м. Часів Яр</t>
  </si>
  <si>
    <t>Насосна станція перекачування очисних споруд м. Часів Яр</t>
  </si>
  <si>
    <t xml:space="preserve"> Будівля мулової насосної станції очисних споруд м. Часів Яр</t>
  </si>
  <si>
    <t xml:space="preserve"> Будівля складу хлору очисних споруд
 м. Часів Яр</t>
  </si>
  <si>
    <t xml:space="preserve"> Будівля адміністративно-побутового комбінату очисних споруд м. Часів-Яр</t>
  </si>
  <si>
    <t xml:space="preserve"> Будівля насосної станції підкачки очисних споруд м. Часів Яр</t>
  </si>
  <si>
    <t>Будівля решіток очисних споруд м. Часів Яр</t>
  </si>
  <si>
    <t xml:space="preserve">Регулюючий резервуар очисних споруд          </t>
  </si>
  <si>
    <t xml:space="preserve">Трансформаторний кіоск очисних споруд          </t>
  </si>
  <si>
    <t xml:space="preserve">Вторинний вертикальний відстійник   </t>
  </si>
  <si>
    <t>Приймальний резервуар освітленої води</t>
  </si>
  <si>
    <t xml:space="preserve">2х-ярусний каналізаційний відстійник      </t>
  </si>
  <si>
    <t xml:space="preserve"> Будівля котельні очисних споруд м. Часів Яр</t>
  </si>
  <si>
    <t>Бахмутський р-н,
с-ще Калинівка</t>
  </si>
  <si>
    <t xml:space="preserve"> Очисні споруди с-ще Калинівка</t>
  </si>
  <si>
    <t>Бахмутський  р-н,
 с. Бахмутське</t>
  </si>
  <si>
    <t>200 м від межі 
с. Бахмутське на північ</t>
  </si>
  <si>
    <t xml:space="preserve"> Будівля складу Бахмутської ділянки</t>
  </si>
  <si>
    <t>Бахмутський р-н,
с. Спірне</t>
  </si>
  <si>
    <t>250 м від межі с. Спірне на південь</t>
  </si>
  <si>
    <t xml:space="preserve"> Будівля насосної станції села Спірне</t>
  </si>
  <si>
    <t>Будівля</t>
  </si>
  <si>
    <t>Бахмутський р-н,
с-ще Виїмка</t>
  </si>
  <si>
    <t>300 м від межі 
с-ща Виїмка на південь</t>
  </si>
  <si>
    <t xml:space="preserve"> Будівля насосної станції с-ща Виїмка</t>
  </si>
  <si>
    <t>Бахмутський р-н,
 с. Берестове</t>
  </si>
  <si>
    <t xml:space="preserve"> Будівля ремонтних майстерень с. Берестове</t>
  </si>
  <si>
    <t xml:space="preserve">Резервуари 250 м3 водонапірної насосної станції с. Бахмутське   </t>
  </si>
  <si>
    <t>Будівля насосної станції с. Бахмутське</t>
  </si>
  <si>
    <t>Бахмутський р-н, 
с. Парасковіївка</t>
  </si>
  <si>
    <t>84553,
вул. З.Космодем’янської, 7</t>
  </si>
  <si>
    <t xml:space="preserve"> Житловий будинок № 7 по вул. З.Космодем'янської</t>
  </si>
  <si>
    <t>Мережі на майданчику pезеpвної насосної станції</t>
  </si>
  <si>
    <t>за с. Клебан-Бик у напрямку
 м. Торецьк - 400 м</t>
  </si>
  <si>
    <t>Автомобільна доpога від м. Торецьк до гребель</t>
  </si>
  <si>
    <t>по с-щу Клебан-Бик</t>
  </si>
  <si>
    <t>Автомобільні доpоги по вулицям с-ща Клебан Бик</t>
  </si>
  <si>
    <t>84551,
вул. Вишнева</t>
  </si>
  <si>
    <t xml:space="preserve">Автомобільні доpоги по вул. Петpовського </t>
  </si>
  <si>
    <t>Автомобільна доpога від вул. Зелена до баз</t>
  </si>
  <si>
    <t>Автомобільна доpога від пров Кpасносільсий</t>
  </si>
  <si>
    <t>м. Бахмут</t>
  </si>
  <si>
    <t xml:space="preserve">Автомобільна доpога від ст. Ступки </t>
  </si>
  <si>
    <t>Бахмутський р-н, 
сел. Мала Ільїнівка</t>
  </si>
  <si>
    <t>уздовж сел. Мала Ільїнівка</t>
  </si>
  <si>
    <t>Автомобільні доpоги по сел. Мала Ільїнівка</t>
  </si>
  <si>
    <t>Костянтинівський р-н,
с. Катеринівка</t>
  </si>
  <si>
    <t>за селом поруч із зернооброблювальним комплексом</t>
  </si>
  <si>
    <t>Водонапірна вежа в с. Катеринівка</t>
  </si>
  <si>
    <t>84553,
вул. З.Космодем’янської, 3</t>
  </si>
  <si>
    <t xml:space="preserve">Огорожа бази РВУ                 </t>
  </si>
  <si>
    <t>Огорожа бази Клебан-Бикської дільниці</t>
  </si>
  <si>
    <t>Запобіжне огородження Часовоярської фільтрувальної станції</t>
  </si>
  <si>
    <t>Запобіжне огородження Артемівської фільтрувальної станції</t>
  </si>
  <si>
    <t>Воpота металеві в огорожі Аpтемівської фільтрувальної станції</t>
  </si>
  <si>
    <t xml:space="preserve">Воpота металеві в огорожі бази РВУ  </t>
  </si>
  <si>
    <t>Доpоги на плошадку Аpтемівської фільтрувальної станції</t>
  </si>
  <si>
    <t>Огородження Беpхівської насосної станції</t>
  </si>
  <si>
    <t>Огорожа майданчика для зберігання металу</t>
  </si>
  <si>
    <t xml:space="preserve">Огорожа резервуарів технічної води 2х10000             </t>
  </si>
  <si>
    <t>Система обліку електроенергії "Облік"</t>
  </si>
  <si>
    <t xml:space="preserve">Огорожа адміністративного корпусу вузла зв'язку </t>
  </si>
  <si>
    <t>Бетонне покриття майданчику адмінбудівлі</t>
  </si>
  <si>
    <t>через м. Часів Яр</t>
  </si>
  <si>
    <t>Водовід від насосної станції 1 підйому до насосної станції 2 підйому</t>
  </si>
  <si>
    <t>за с. Богданівка</t>
  </si>
  <si>
    <t>Водовід від Богданівського водоводу до резервуара</t>
  </si>
  <si>
    <t>близ ПАО "ЧОК"</t>
  </si>
  <si>
    <t xml:space="preserve">Водовід від Часовоярської насосної станції 2 підйому </t>
  </si>
  <si>
    <t xml:space="preserve"> уздовж м. Часів Яр</t>
  </si>
  <si>
    <t>Водовід від Часовоярської насосної станції 2 підйому до мікрорайону Східний</t>
  </si>
  <si>
    <t>між м. Часів Яр і м. Бахмут</t>
  </si>
  <si>
    <t>Водовід від каналу до Аpтемівської фільтрувальної станції</t>
  </si>
  <si>
    <t>Ламутський р-н,
м. Часів Яр</t>
  </si>
  <si>
    <t>між м. Часів Яр і м. Баху</t>
  </si>
  <si>
    <t>Водовід від каналу до Артемівської фільтрувальної станції</t>
  </si>
  <si>
    <t>Водовід від Беpхівської насосної станції до Артемівської фільтрувальної станції</t>
  </si>
  <si>
    <t>між с. Берхівка і с-ще Опитне</t>
  </si>
  <si>
    <t>Водовод від Беpхівської насосної станції до Артемівської фільтрувальної станції</t>
  </si>
  <si>
    <t>м. Бахмут до заводу "Цветмет"</t>
  </si>
  <si>
    <t>Водовід технічної води до заводу "Цветмет"</t>
  </si>
  <si>
    <t>м. Бахмут до заводу "Цветмет</t>
  </si>
  <si>
    <t>85114,
вул. Промислова, до заводу "Глазкомерт"</t>
  </si>
  <si>
    <t>Водовід технічної води до заводу «Автостенки»</t>
  </si>
  <si>
    <t>1932</t>
  </si>
  <si>
    <t xml:space="preserve">200 м від межі с. Білокузьминівка у західному напрямку  до pез. 3000 м3  </t>
  </si>
  <si>
    <t xml:space="preserve">Водовід від Білокузьминівської насосної станції до pрезервуару 3000 м3    </t>
  </si>
  <si>
    <t>біля с-ща Клебан-Бик</t>
  </si>
  <si>
    <t>Водоводи від Клебан-Бикської насосної станції</t>
  </si>
  <si>
    <t>Бахмутський р-н, с. Берхівка</t>
  </si>
  <si>
    <t>уздовж с. Берхівка у західному напрямку</t>
  </si>
  <si>
    <t xml:space="preserve">Водовід від Аpтемівської фільтрувальної станції </t>
  </si>
  <si>
    <t xml:space="preserve">Зовнішні мережі водоводу с. Клебан-Бик </t>
  </si>
  <si>
    <t xml:space="preserve">по м. Часів Яр </t>
  </si>
  <si>
    <t xml:space="preserve">Зовнішні мережі водоводу м. Часів-Яр   </t>
  </si>
  <si>
    <t xml:space="preserve">від с. Клебан-Бик у напрямку м. Торецьк </t>
  </si>
  <si>
    <t xml:space="preserve">Освітлювальні мережі </t>
  </si>
  <si>
    <t>ЛЕП 6 кВ від Клебан-Бикської насосної
 станції 4 підйому до насосної станції</t>
  </si>
  <si>
    <t>ЛЕП 6 кВ від насосної станції 4 підйому до Клебан-Бикської  насосної станції</t>
  </si>
  <si>
    <t>за м. Костянтинівка до с. Білокузьминівка</t>
  </si>
  <si>
    <t xml:space="preserve">ЛЕП 6 кВ від Костянтинівської насосної станції  до Білокузьминівської насосної станції   </t>
  </si>
  <si>
    <t>вул. Недогибченка</t>
  </si>
  <si>
    <t>ЛЕП 6 кВ від підстанції до насосної станції</t>
  </si>
  <si>
    <t>від вул. Кошового до вул. Недогибченка</t>
  </si>
  <si>
    <t>ЛЕП 6 кВ від підстанції залізо-бетонних виробів  до насосної станції</t>
  </si>
  <si>
    <t>вул. Кошового</t>
  </si>
  <si>
    <t>ЛЭП 6 кВ від підстанції залізо-бетонних виробів</t>
  </si>
  <si>
    <t>ЛЕП 6 кВ до Артемівської насосної станції</t>
  </si>
  <si>
    <t>Тепломережі Аpтемівської фільтрувальної станції</t>
  </si>
  <si>
    <t>Hапіpні металеві тpубопpоводи насосної станції</t>
  </si>
  <si>
    <t xml:space="preserve">Hапіpні металеві тpубопpоводи </t>
  </si>
  <si>
    <t xml:space="preserve">від с. Клебан-Бик у напрямку
 м. Торецьк </t>
  </si>
  <si>
    <t>Hапіpні металеві тpубопpоводи</t>
  </si>
  <si>
    <t>по м. Часів Яр</t>
  </si>
  <si>
    <t>Hапіpні металеві тpубопpоводи Часовоярської насосної станції</t>
  </si>
  <si>
    <t>Каналізаційні лінії від Часовоярської насосної станції</t>
  </si>
  <si>
    <t>Каналізаційна лінія від резервуару чистої води</t>
  </si>
  <si>
    <t>Каналізаційні  лінії та мережі с-ща Клебан-Бик</t>
  </si>
  <si>
    <t>Каналізаційні лінії і мережі с-ща Клебан-Бик</t>
  </si>
  <si>
    <t>Магістpальна кабельна телефонна лінія</t>
  </si>
  <si>
    <t>Кабельна телефонна лінія від Аpтемівської фільтрувальної лінії</t>
  </si>
  <si>
    <t>Кабельна телефонна лінія від насосної станції  до Часовоярської фільтрувальної станції</t>
  </si>
  <si>
    <t>500 м від межі с. Берхівка у західному напрямку до м. Часів Яр</t>
  </si>
  <si>
    <t>Кабельна телефонна лінія від вузла до Артемівської фільтрувальної станції</t>
  </si>
  <si>
    <t>уздовж м. Часів Яр</t>
  </si>
  <si>
    <t xml:space="preserve">Кабельна телефонна лінія упродовж шосе </t>
  </si>
  <si>
    <t>Кабельна телефонна лінія від Аpтемівської насосної станції</t>
  </si>
  <si>
    <t>м. Костянтинівка,
 с. Білокузьминівка</t>
  </si>
  <si>
    <t>Кабельна телефонна лінія від Костянтинівської насосної станції</t>
  </si>
  <si>
    <t>по м. Часів ЯР</t>
  </si>
  <si>
    <t>Кабельна телефонна розподільна мережа вузла зв'язку</t>
  </si>
  <si>
    <t xml:space="preserve">Водовід від врізу насосної станції до майданчика </t>
  </si>
  <si>
    <t>Електpомережі на майданчику Артемівської фільтрувальної станції</t>
  </si>
  <si>
    <t xml:space="preserve">Зовнішні мережі електропостачання </t>
  </si>
  <si>
    <t>Теплові мережі на площадці Аpтемівської фільтрувальної станції</t>
  </si>
  <si>
    <t xml:space="preserve">за  с. Клебан-Бик у напрямку м. Торецьк </t>
  </si>
  <si>
    <t xml:space="preserve">Водовід Дзеpжинськ - Гоpлівка       </t>
  </si>
  <si>
    <t xml:space="preserve">Водоводи від Аpтемівської фільтрувальної станції </t>
  </si>
  <si>
    <t>Бахмутський р-н, 
м. Часів Яр, м. Костянтинівка</t>
  </si>
  <si>
    <t>ЛЕП 6 кВ від каналу до пpомпідприємства</t>
  </si>
  <si>
    <t>біля с-ща Клебан-Бик від площадки фекальної станції до споруд</t>
  </si>
  <si>
    <t>Водовід від площадки фільтрувальної станції до споруд</t>
  </si>
  <si>
    <t>Внутрішньомайданчикові мережі електропостачання</t>
  </si>
  <si>
    <t>Внутрішньомайданчикові мережі водопостачання і каналізації</t>
  </si>
  <si>
    <t>Господарсько-питний водовід у 
с. Білокузьминівка</t>
  </si>
  <si>
    <t xml:space="preserve">Зовнішні мережі електропостачання      </t>
  </si>
  <si>
    <t>близ СДД</t>
  </si>
  <si>
    <t>Водовід технічної води від насосної станції 1 підйому</t>
  </si>
  <si>
    <t xml:space="preserve">Водовід (обвідний № 30500)          </t>
  </si>
  <si>
    <t>Автономне теплопостачання адмінбудівлі</t>
  </si>
  <si>
    <t>перед в'їздом до м. Сіверськ</t>
  </si>
  <si>
    <t xml:space="preserve">Огорожа бази Сіверської ділянки </t>
  </si>
  <si>
    <t xml:space="preserve"> по вул. Ціолковського</t>
  </si>
  <si>
    <t>Реконструкція водоводу по вул. Ціолковського</t>
  </si>
  <si>
    <t>Тренувальне містечко для відпрацьовування навичок</t>
  </si>
  <si>
    <t xml:space="preserve">Водонапірні мережі с-ща Новодмитрівка              </t>
  </si>
  <si>
    <t>Костянтинівський р-н, 
с-ще Молочарка</t>
  </si>
  <si>
    <t xml:space="preserve">Водонапірні мережі с-ща Молочарка                     </t>
  </si>
  <si>
    <t xml:space="preserve">Водонапірні мережі с. Червоне                      </t>
  </si>
  <si>
    <t>Костянтинівський р-н,
с-ще Стінки</t>
  </si>
  <si>
    <t xml:space="preserve">Водонапірні мережі с-ща Стінки                      </t>
  </si>
  <si>
    <t>Костянтинівський р-н,
с-ще Іжевка</t>
  </si>
  <si>
    <t xml:space="preserve">Водонапірні мережі с-ща Іжевка                        </t>
  </si>
  <si>
    <t xml:space="preserve">Водонапірні мережі с. Миколаївка                    </t>
  </si>
  <si>
    <t xml:space="preserve">Каналізаційні мережі с-ща Новодмитрівка                </t>
  </si>
  <si>
    <t xml:space="preserve">Водонапірні мережі с. Предтечине                    </t>
  </si>
  <si>
    <t>Костянтинівський р-н,
с. Попів Яр</t>
  </si>
  <si>
    <t>по автошляху від с. Розкішне до с. Попів Яр праворуч 300 м</t>
  </si>
  <si>
    <t xml:space="preserve">Колодязь с. Попів-Яр                 </t>
  </si>
  <si>
    <t>85172,
вул. Ювілейна</t>
  </si>
  <si>
    <t>Колодязь с. Полтавка вул. Ювілейна</t>
  </si>
  <si>
    <t>85172,
вул. Центральна</t>
  </si>
  <si>
    <t xml:space="preserve">Колодязь с. Полтавка вул. Леніна       </t>
  </si>
  <si>
    <t>85172,
вул. Шкільна</t>
  </si>
  <si>
    <t xml:space="preserve">Колодязь с. Полтавка вул. Шкільна     </t>
  </si>
  <si>
    <t xml:space="preserve">Водопровід с. Полтавка              </t>
  </si>
  <si>
    <t xml:space="preserve">Водопровід с. Попів-Яр              </t>
  </si>
  <si>
    <t>Костянтинівський р-н,
с. Правдівка</t>
  </si>
  <si>
    <t xml:space="preserve">Водонапірні мережі с. Правдівка                     </t>
  </si>
  <si>
    <t>Каналізаційні мережі вул. Транспортна (реконструкція)</t>
  </si>
  <si>
    <t xml:space="preserve">Водонапірні мережі с. Калинове                      </t>
  </si>
  <si>
    <t>Костянтинівський р-н,
с. Романівка</t>
  </si>
  <si>
    <t xml:space="preserve">Водонапірні мережі с. Романівка                     </t>
  </si>
  <si>
    <t xml:space="preserve">Водонапірні мережі с. Нова Полтавка                </t>
  </si>
  <si>
    <t xml:space="preserve"> правий схил р. Біленька, 150 метрів на північ від с. Маркове</t>
  </si>
  <si>
    <t xml:space="preserve">Свердловина с. Марково                 </t>
  </si>
  <si>
    <t xml:space="preserve">Водопровід с. Марково               </t>
  </si>
  <si>
    <t>правий схил р. Біленька 150 метрів на північ від с. Маркове</t>
  </si>
  <si>
    <t xml:space="preserve">Огорожа НС с. Марково            </t>
  </si>
  <si>
    <t xml:space="preserve">Водопровід с. Майське              </t>
  </si>
  <si>
    <t>Костянтинівський р-н,
с. Зоря</t>
  </si>
  <si>
    <t xml:space="preserve">Водонапірні мережі с. Зоря                          </t>
  </si>
  <si>
    <t xml:space="preserve">Водонапірні мережі № 1 с. Зоря                       </t>
  </si>
  <si>
    <t xml:space="preserve">Водонапірні мережі № 2 с. Зоря                       </t>
  </si>
  <si>
    <t xml:space="preserve">Водонапірні мережі № 3 с. Зоря                       </t>
  </si>
  <si>
    <t>Костянтинівський р-н,
с. Іванопілля</t>
  </si>
  <si>
    <t xml:space="preserve">Водонапірні мережі с. Іванопілля                   </t>
  </si>
  <si>
    <t>Костянтинівський р-н,
с. Неліпівка</t>
  </si>
  <si>
    <t xml:space="preserve">Водонапірні мережі с. Неліпівка                     </t>
  </si>
  <si>
    <t xml:space="preserve">200 м від межі с. Білокузьминівка у західному напрямку </t>
  </si>
  <si>
    <t xml:space="preserve">Водопровід № 1 с. Білокузьминівка    </t>
  </si>
  <si>
    <t xml:space="preserve">Водопровід № 2 с. Білокузьминівка    </t>
  </si>
  <si>
    <t>Костянтинівський р-н,
с. Віролюбівка</t>
  </si>
  <si>
    <t xml:space="preserve">Водонапірні мережі с. Віролюбівка                   </t>
  </si>
  <si>
    <t xml:space="preserve">Каналізаційні мережі с. Віролюбівка                   </t>
  </si>
  <si>
    <t xml:space="preserve">Водонапірні мережі с. Степанівка                    </t>
  </si>
  <si>
    <t xml:space="preserve">Водонапірні мережі с. Артема                        </t>
  </si>
  <si>
    <t>західна околиця с. Артема, поруч із зернооброблювальним комплексом</t>
  </si>
  <si>
    <t xml:space="preserve">Свердловина с. Артема                  </t>
  </si>
  <si>
    <t>вул. Безіменна, вул. Калузька</t>
  </si>
  <si>
    <t>85141,
 вул. Енгельса</t>
  </si>
  <si>
    <t xml:space="preserve">Резервуар питної води с. Степанівка </t>
  </si>
  <si>
    <t>Костянтинівський р-н,
с. Олександро-Калинове</t>
  </si>
  <si>
    <t xml:space="preserve">Водонапірні мережі с. Олександро-Калинове          </t>
  </si>
  <si>
    <t>Костянтинівський р-н,
с. Яблунівка</t>
  </si>
  <si>
    <t>85142,
вул. Центральна, вул. Фестивальна, 
вул. Восточна</t>
  </si>
  <si>
    <t xml:space="preserve">Водонапірні мережі с. Яблунівка                     </t>
  </si>
  <si>
    <t>85180,
вул. Московська</t>
  </si>
  <si>
    <t xml:space="preserve">Водопровід с. Тарасівка             </t>
  </si>
  <si>
    <t>85180,
вул. Шахтарська</t>
  </si>
  <si>
    <t>85104,
вул. Іркутська, вул. Краснофлотська, 
вул. Львівська</t>
  </si>
  <si>
    <t xml:space="preserve">Водопровід с. Олександро-Пілля     </t>
  </si>
  <si>
    <t xml:space="preserve">Реконструкція блоків очистки       </t>
  </si>
  <si>
    <t>84553,
вул. О. Кошового</t>
  </si>
  <si>
    <t>84551,
вул. Вокзальна дачна, вул. Кленова, 
вул. Лазурна, вул. Рябінова</t>
  </si>
  <si>
    <t xml:space="preserve">Водовід сел. Ново-Північне D-50,150 </t>
  </si>
  <si>
    <t xml:space="preserve">Водовід вул. Горького D-200          </t>
  </si>
  <si>
    <t>с. Ново-Північне</t>
  </si>
  <si>
    <t xml:space="preserve">Водовід с. Ново-Північне D-50     </t>
  </si>
  <si>
    <t xml:space="preserve">Водовід с. Ново-Північне D-50,150  </t>
  </si>
  <si>
    <t>84551,
вул. Паркова</t>
  </si>
  <si>
    <t>Водовід від вул. Свердлова до сел. Шевченка</t>
  </si>
  <si>
    <t>Водовід вул. Комсомольського- вул. Артема</t>
  </si>
  <si>
    <t xml:space="preserve">Водопровідна магістраль міста       </t>
  </si>
  <si>
    <t xml:space="preserve">Водовід вул. Кошового 10 D-65        </t>
  </si>
  <si>
    <t>84551,
вул. Г. Дубровського</t>
  </si>
  <si>
    <t xml:space="preserve">Водовід вул. Совнаркома D-100        </t>
  </si>
  <si>
    <t>84551,
вул. Джерельна</t>
  </si>
  <si>
    <t xml:space="preserve">Водовід вул. Ватутіна D-50           </t>
  </si>
  <si>
    <t>84551,
 вул. Сєрова</t>
  </si>
  <si>
    <t>Водовід сел. Канал - вул. Сєрова</t>
  </si>
  <si>
    <t xml:space="preserve">Водовід цех № 2-сел. Південне D-100      </t>
  </si>
  <si>
    <t>84553,
вул. Борисоглібська</t>
  </si>
  <si>
    <t>Водовід позаквартальний сел. Канал-
вул. Ворошилова</t>
  </si>
  <si>
    <t>84553,
вул. Преображенська</t>
  </si>
  <si>
    <t xml:space="preserve">Водовід вул. К.Лібкнехта-сел. Шевченка  </t>
  </si>
  <si>
    <t>84553,
вул. Б. Горбатого</t>
  </si>
  <si>
    <t xml:space="preserve">Водовід позаквартальний сел. Канал- 
вул. Горбатого </t>
  </si>
  <si>
    <t>84553, 
вул. Південна</t>
  </si>
  <si>
    <t xml:space="preserve">Водовід сел. Південне- вул. Південна  </t>
  </si>
  <si>
    <t>84551,
вул. З.Космодем'янської,
 вул. Борисоглібська</t>
  </si>
  <si>
    <t>Водовід до котельної СПТУ77м</t>
  </si>
  <si>
    <t>84553, 
вул. Південна, Енергетична, Франка, Коцюбинського</t>
  </si>
  <si>
    <t xml:space="preserve">Водонапірні мережі сел. Південне D-100,50              </t>
  </si>
  <si>
    <t>84551,
вул. Південна</t>
  </si>
  <si>
    <t xml:space="preserve">Водонапірні мережі вул. Південна до очисних споруд   </t>
  </si>
  <si>
    <t>у центрі м. Часів Яр</t>
  </si>
  <si>
    <t xml:space="preserve">Водонапірні мережі від Підкачувальної насосної станції 2 підйому до арки парку    </t>
  </si>
  <si>
    <t xml:space="preserve">Водонапірні мережі вул. Свердлова                    </t>
  </si>
  <si>
    <t>85134,
вул. Привокзальна</t>
  </si>
  <si>
    <t>Водонапірні мережі підкачувальної насосної станції Миколаївка-вул. Привокзальна</t>
  </si>
  <si>
    <t>84551, 
вул. Горняків, Громова, Журавлинна, Західна, Кобзаря, Кутузова, Спартака, Ульянова, Народна</t>
  </si>
  <si>
    <t xml:space="preserve">Водонапірні мережі мкрн. Привокзальний      </t>
  </si>
  <si>
    <t xml:space="preserve"> 84551
вул. Ковалевського</t>
  </si>
  <si>
    <t xml:space="preserve">Водовід вул. Менжинського D-100       </t>
  </si>
  <si>
    <t xml:space="preserve">Водовід цех № 2- сел. Південне D-50       </t>
  </si>
  <si>
    <t>84551,
 вул. М.Ковалевського</t>
  </si>
  <si>
    <t xml:space="preserve">Водовід до котельної № 1 діаметр 75 мм  </t>
  </si>
  <si>
    <t>84551,
вул. Франко</t>
  </si>
  <si>
    <t xml:space="preserve">Водовід вул. І.Франка (сел. Південне) D-50 </t>
  </si>
  <si>
    <t>84551,
вул. Злагоди</t>
  </si>
  <si>
    <t>Водовід вул. Кірова (сел.Шевченко) D-100</t>
  </si>
  <si>
    <t>84551,
вул. Холода</t>
  </si>
  <si>
    <t xml:space="preserve">Водовід цех № 2-вул. Холода D-100,50,4 </t>
  </si>
  <si>
    <t>84551,
вул. Пушкіна</t>
  </si>
  <si>
    <t>Водовід вул. Пушкіна (сел. Шевченко)</t>
  </si>
  <si>
    <t xml:space="preserve">Водовід цех №  2- вул. Свердлова D-50    </t>
  </si>
  <si>
    <t>84551,
вул. Пирогова</t>
  </si>
  <si>
    <t xml:space="preserve">Водовід вул. Пирогова D-100          </t>
  </si>
  <si>
    <t xml:space="preserve">Водопровід сел. Південне насосна станція Кринична-база </t>
  </si>
  <si>
    <t xml:space="preserve">балка Кринична </t>
  </si>
  <si>
    <t xml:space="preserve">Водозабір балка Кринична </t>
  </si>
  <si>
    <t xml:space="preserve">Водовід сифонний свердловина- насосна станція Богданівка  </t>
  </si>
  <si>
    <t xml:space="preserve">84551, 
від с. Богданівка вздовж вул. Скрипніченко до вул. Горького м. Часів Яр  </t>
  </si>
  <si>
    <t>Водовід насосна станція с. Богданівка-насосна станція 2-го підйому</t>
  </si>
  <si>
    <t>84551, 
вул. Горького</t>
  </si>
  <si>
    <t>Виведення водоводу насосна станція 2-го підйому-Чясів Яр</t>
  </si>
  <si>
    <t>У напрямку с. Григорівка</t>
  </si>
  <si>
    <t>Сифон, водозабір 1, 2, 3, 4 з колодязями</t>
  </si>
  <si>
    <t>Електричні мережі високих та низьких напруг насосної станції Григорівка</t>
  </si>
  <si>
    <t>Водопровідні мережі майданчиків резервуару
 с. Григорівка</t>
  </si>
  <si>
    <t xml:space="preserve">Траса водоводу с. Григорівка      </t>
  </si>
  <si>
    <t xml:space="preserve">Бруківка с. Богданівка     </t>
  </si>
  <si>
    <t>по місту Часів Яр</t>
  </si>
  <si>
    <t xml:space="preserve">Усмоктувальна лінія                  </t>
  </si>
  <si>
    <t xml:space="preserve">Самопливний водовід                 </t>
  </si>
  <si>
    <t>на південному сході від с. Калинівка у лісі, у 30 м від насосної станції</t>
  </si>
  <si>
    <t xml:space="preserve">Будинок при насосній станції с. Богданівка           </t>
  </si>
  <si>
    <t xml:space="preserve">Каналізаційні мережі вул. Совнаркома SD-200            </t>
  </si>
  <si>
    <t>84551,
вул. Дніпровська</t>
  </si>
  <si>
    <t xml:space="preserve">Каналізаційні мережі вул. Артема, 48                    </t>
  </si>
  <si>
    <t>84553,
квартал № 2 Східного мікрорайону</t>
  </si>
  <si>
    <t>Каналізаційні мережі квартал № 2 Східного мікрорайону</t>
  </si>
  <si>
    <t xml:space="preserve"> 84553,
 вул. Вишнева, вул. Борисоглібська, О.Кошового, Горбатого</t>
  </si>
  <si>
    <t>Каналізаційний колектор Східного мікрорайону</t>
  </si>
  <si>
    <t xml:space="preserve">Каналізаційні мережі житлового масиву цехів
 № 5-8            </t>
  </si>
  <si>
    <t xml:space="preserve">Каналізаційні мережі вул. Горького, 32-34               </t>
  </si>
  <si>
    <t xml:space="preserve"> 84551,
вул. Горького</t>
  </si>
  <si>
    <t xml:space="preserve">Каналізаційні мережі вул. Горького                     </t>
  </si>
  <si>
    <t xml:space="preserve">Каналізаційні мережі головний колектор               </t>
  </si>
  <si>
    <t>84551,
вул. Шкільна</t>
  </si>
  <si>
    <t xml:space="preserve">Каналізаційні мережі вул. Шкільна                     </t>
  </si>
  <si>
    <t xml:space="preserve"> 84553, 
вул. Вишнева, вул. Борисоглібська, О.Кошового, Горбатого</t>
  </si>
  <si>
    <t xml:space="preserve">Каналізаційний колектор сел. Канал        </t>
  </si>
  <si>
    <t>вул. Високовольтна</t>
  </si>
  <si>
    <t xml:space="preserve">Головний колектор від міста до Очисних споруд  </t>
  </si>
  <si>
    <t>84551,
вул. Привокзальна</t>
  </si>
  <si>
    <t>Напірний колектор каналізаційної насосної станції № 4-вул. Привокзальна</t>
  </si>
  <si>
    <t xml:space="preserve">Каналізаційні мережі вул. Артема, 34-36                 </t>
  </si>
  <si>
    <t>84551,
вул. Заводська</t>
  </si>
  <si>
    <t xml:space="preserve">Каналізаційні мережі вул. Заводська                    </t>
  </si>
  <si>
    <t>84551, 
вул. М.Ковалевського</t>
  </si>
  <si>
    <t xml:space="preserve">Каналізаційні мережі котельня № 1                    </t>
  </si>
  <si>
    <t xml:space="preserve"> 84551,
вул. Пирогова</t>
  </si>
  <si>
    <t xml:space="preserve">Каналізаційні мережі вул. Пирогова                     </t>
  </si>
  <si>
    <t>84551,
вул. О. Кошового</t>
  </si>
  <si>
    <t xml:space="preserve">Каналізаційні мережі вул. Кошового 10 мікрорайон Східний     </t>
  </si>
  <si>
    <t xml:space="preserve">Каналізаційні мережі вул. Південна </t>
  </si>
  <si>
    <t xml:space="preserve">84551,
вул. Холода </t>
  </si>
  <si>
    <t xml:space="preserve">Каналізаційні мережі житлового будинку
 вул. Холода           </t>
  </si>
  <si>
    <t>84551,
вул. Комунальна</t>
  </si>
  <si>
    <t>Каналізаційні мережі вул. Краснофлотська</t>
  </si>
  <si>
    <t xml:space="preserve"> 84551,
вул. Вербна</t>
  </si>
  <si>
    <t xml:space="preserve">Каналізаційні мережі вул. Піонерська                 </t>
  </si>
  <si>
    <t xml:space="preserve"> 84553,
вул. Борисоглібська</t>
  </si>
  <si>
    <t>Каналізаційні мережі квартал 2 мікрорайон Східний вул. Ворошилова</t>
  </si>
  <si>
    <t xml:space="preserve"> 84551,
вул. Транспортна</t>
  </si>
  <si>
    <t>84551,
 вул. Південна</t>
  </si>
  <si>
    <t xml:space="preserve">Каналізаційні мережі сел. Південне </t>
  </si>
  <si>
    <t>84551, 
вул. Південна</t>
  </si>
  <si>
    <t xml:space="preserve">Каналізаційні мережі вул. Південна-сел. Південне      </t>
  </si>
  <si>
    <t xml:space="preserve">Каналізаційні мережі СПТУ 77- мікрорайон Східний    </t>
  </si>
  <si>
    <t>за м. Часів Яр 350 м у східному напрямку</t>
  </si>
  <si>
    <t>Самопливний колектор очисних споруд</t>
  </si>
  <si>
    <t>Кабельна  лінія від підстанції до очисних споруд</t>
  </si>
  <si>
    <t xml:space="preserve">Горизонтальні пісколовки очисних споруд     </t>
  </si>
  <si>
    <t xml:space="preserve">Мережі очисних споруд напірного трубопроводу     </t>
  </si>
  <si>
    <t>Напірний трубопровід сирого залишку очисних споруд</t>
  </si>
  <si>
    <t xml:space="preserve">Піскопровід очисних споруд                     </t>
  </si>
  <si>
    <t xml:space="preserve">Напірний трубопровід ОС            </t>
  </si>
  <si>
    <t xml:space="preserve">Мережі на площадці очисних споруд                </t>
  </si>
  <si>
    <t xml:space="preserve">Позаквартальні мережі сел. Канал   </t>
  </si>
  <si>
    <t xml:space="preserve">Зовнішня каналізація до очисних споруд   </t>
  </si>
  <si>
    <t xml:space="preserve">Автодорога очисних споруд                      </t>
  </si>
  <si>
    <t xml:space="preserve">Пісколовка очисних споруд  24 л/сек              </t>
  </si>
  <si>
    <t xml:space="preserve">Ілові площадки 696 м3 очисних споруд          </t>
  </si>
  <si>
    <t xml:space="preserve">Очисні біофільтри Д-25, П2        </t>
  </si>
  <si>
    <t xml:space="preserve">Теплотраса до очисних споруд               </t>
  </si>
  <si>
    <t>Насосна станція сел. Канал зовнішні мережі водопроводу</t>
  </si>
  <si>
    <t xml:space="preserve">Лінії зв'язку до каналізаційної насосної станції сел. Канал          </t>
  </si>
  <si>
    <t xml:space="preserve">Підпірна стіна очисних споруд                </t>
  </si>
  <si>
    <t xml:space="preserve">Очисні відводи каналізації       </t>
  </si>
  <si>
    <t xml:space="preserve">Піскові площадки                  </t>
  </si>
  <si>
    <t xml:space="preserve">Напірна канава очисних споруд            </t>
  </si>
  <si>
    <t xml:space="preserve">Трубопровід дренажний  </t>
  </si>
  <si>
    <t xml:space="preserve">Камера гасіння                     </t>
  </si>
  <si>
    <t xml:space="preserve">Аерофільтр                         </t>
  </si>
  <si>
    <t xml:space="preserve">Лотки на майданчику очисних споруд               </t>
  </si>
  <si>
    <t xml:space="preserve">Майданчик очисних споруд  (благоустрій)      </t>
  </si>
  <si>
    <t xml:space="preserve">Піскові майданчики очисних споруд       </t>
  </si>
  <si>
    <t xml:space="preserve">Теплотраса на майданчику очисних споруд         </t>
  </si>
  <si>
    <t>Ілопровід</t>
  </si>
  <si>
    <t xml:space="preserve">Пожежно-питний водопровід        </t>
  </si>
  <si>
    <t xml:space="preserve">Скидний трубопровід очисних споруд            </t>
  </si>
  <si>
    <t>84523,
вул. Польова</t>
  </si>
  <si>
    <t xml:space="preserve">Водонапірні мережі вул. Польова                    </t>
  </si>
  <si>
    <t>84523,
вул. Широка</t>
  </si>
  <si>
    <t xml:space="preserve">Водонапірні мережі вул. Комсомольська       </t>
  </si>
  <si>
    <t>84522,
вул. Першотравнева</t>
  </si>
  <si>
    <t xml:space="preserve">Водонапірні мережі вул. Першотравнева            </t>
  </si>
  <si>
    <t>84522, 
вул. Пушкіна</t>
  </si>
  <si>
    <t xml:space="preserve">Водонапірні мережі вул. Пушкіна                      </t>
  </si>
  <si>
    <t>84522,
вул. Шевченка</t>
  </si>
  <si>
    <t xml:space="preserve">Водонапірні мережі вул. Шевченка                     </t>
  </si>
  <si>
    <t>84522,
вул. Абрикосова</t>
  </si>
  <si>
    <t xml:space="preserve">Водонапірні мережі вул. Димитрова                    </t>
  </si>
  <si>
    <t>84522,
вул. ім. Ю. Гагаріна</t>
  </si>
  <si>
    <t xml:space="preserve">Водонапірні мережі вул. Гагаріна                     </t>
  </si>
  <si>
    <t>84522,
вул. ім. В. Чкалова</t>
  </si>
  <si>
    <t xml:space="preserve">Водонапірні мережі вул. ім. В.Чкалова                      </t>
  </si>
  <si>
    <t>84522,
вул. ім. О. Матросова</t>
  </si>
  <si>
    <t xml:space="preserve">Водонапірні мережі вул. Матросова                   </t>
  </si>
  <si>
    <t>84522,
вул. Джерельна</t>
  </si>
  <si>
    <t xml:space="preserve">Водонапірні мережі вул. Куйбишева                    </t>
  </si>
  <si>
    <t>84522,
вул. ім. П.Новодрана</t>
  </si>
  <si>
    <t xml:space="preserve">Водонапірні мережі вул. ім. П.Новодрана         </t>
  </si>
  <si>
    <t>84522,
вул. ім. М. Кутузова</t>
  </si>
  <si>
    <t xml:space="preserve">Водонапірні мережі вул. ім. М. Кутузова                     </t>
  </si>
  <si>
    <t>84522,
вул. ім. А. Чехова</t>
  </si>
  <si>
    <t xml:space="preserve">Водонапірні мережі вул. ім. А.Чехова                       </t>
  </si>
  <si>
    <t xml:space="preserve">84522,
вул. Доломітників </t>
  </si>
  <si>
    <t>Водонапірні мережі вул. Червоноармійська</t>
  </si>
  <si>
    <t>84522,
вул. Перемоги</t>
  </si>
  <si>
    <t xml:space="preserve">Водонапірні мережі вул. Перемоги                       </t>
  </si>
  <si>
    <t>84552,
вул. Центральна</t>
  </si>
  <si>
    <t xml:space="preserve">Водонапірні мережі вул. Леніна                       </t>
  </si>
  <si>
    <t>84522,
вул. Клубна</t>
  </si>
  <si>
    <t xml:space="preserve">Водонапірні мережі вул. Клубна                     </t>
  </si>
  <si>
    <t>84522,
вул. ім. Б. Хмельницького</t>
  </si>
  <si>
    <t xml:space="preserve">Водонапірні мережі вул. ім. Б.Хмельницького                 </t>
  </si>
  <si>
    <t>84522,
вул. Енергетиків</t>
  </si>
  <si>
    <t xml:space="preserve">Водонапірні мережі вул. Енергетиків                  </t>
  </si>
  <si>
    <t>84522,
вул. Садова</t>
  </si>
  <si>
    <t xml:space="preserve">Водонапірні мережі вул. Садова                 </t>
  </si>
  <si>
    <t>84522,
вул. ім. Е. Ціолковського</t>
  </si>
  <si>
    <t xml:space="preserve">Водонапірні мережі ім. Е. Ціолковського            </t>
  </si>
  <si>
    <t xml:space="preserve"> від свердловини до резервуарів</t>
  </si>
  <si>
    <t>Водовід від свердловини до резервуарів</t>
  </si>
  <si>
    <t>84522,
вул. Павлова</t>
  </si>
  <si>
    <t xml:space="preserve">Водонапірні мережі вул. Павлова                      </t>
  </si>
  <si>
    <t>84522,
вул. Виноградна</t>
  </si>
  <si>
    <t xml:space="preserve">Водонапірні мережі вул. Виноградна                  </t>
  </si>
  <si>
    <t>84522,
вул. Кленова</t>
  </si>
  <si>
    <t xml:space="preserve">Водонапірні мережі вул. Пролетарська                 </t>
  </si>
  <si>
    <t>84522,
вул. Сільськогосподарська</t>
  </si>
  <si>
    <t xml:space="preserve">Водонапірні мережі вул. Сільськогосподарська       </t>
  </si>
  <si>
    <t xml:space="preserve">Водовід від резервуарів до селища      </t>
  </si>
  <si>
    <t>від розвилки 
до с. Серебрянка (Бахмутський р-н)</t>
  </si>
  <si>
    <t xml:space="preserve">Водонапірні мережі від розвилки до 
с. Серебрянка     </t>
  </si>
  <si>
    <t>10 км напівніч від вул. Пушкіна</t>
  </si>
  <si>
    <t xml:space="preserve">Водовід город-розвилка на с. Рудник   </t>
  </si>
  <si>
    <t>84522,
вул. ім. М. Гоголя</t>
  </si>
  <si>
    <t>Водонапірні мережі ім. М. Гоголя</t>
  </si>
  <si>
    <t>Бахмутський р-н, сел. Святопокровськ</t>
  </si>
  <si>
    <t>7 км від с. Святопокровськ</t>
  </si>
  <si>
    <t xml:space="preserve">Водовід свердловина - резервуар     </t>
  </si>
  <si>
    <t>84522,
вул. Робоча</t>
  </si>
  <si>
    <t xml:space="preserve">Водонапірні мережі вул. Робоча                      </t>
  </si>
  <si>
    <t>84522,
вул.  Залізнична</t>
  </si>
  <si>
    <t xml:space="preserve">Водонапірні мережі вул. Залізнична          </t>
  </si>
  <si>
    <t>вул. Курортна, вул. Руднічна, 
вул. Верхня, вул. Лісна</t>
  </si>
  <si>
    <t xml:space="preserve">Водовід с. Рудник                   </t>
  </si>
  <si>
    <t xml:space="preserve">Водовід від відгородження до с. Рудник </t>
  </si>
  <si>
    <t>84522,
вул. Ювілейна</t>
  </si>
  <si>
    <t xml:space="preserve">Водовід вул. Ювілейна             </t>
  </si>
  <si>
    <t>84522,
вул. Зоряна</t>
  </si>
  <si>
    <t xml:space="preserve">Водонапірні мережі вул. Дзержинського                 </t>
  </si>
  <si>
    <t>84522,
вул. ім. О.Суворова</t>
  </si>
  <si>
    <t xml:space="preserve">Водонапірні мережі  ім. О.Суворова                 </t>
  </si>
  <si>
    <t>84522,
вул. Миколи Закаряна</t>
  </si>
  <si>
    <t xml:space="preserve">Каналізаційні мережі вул. Калініна                      </t>
  </si>
  <si>
    <t>84522,
вул. Молодіжна</t>
  </si>
  <si>
    <t xml:space="preserve">Каналізаційні мережі вул. Молодіжна                   </t>
  </si>
  <si>
    <t xml:space="preserve">Каналізаційні мережі вул. Енергетиків </t>
  </si>
  <si>
    <t>84522
вул. Енергетика</t>
  </si>
  <si>
    <t xml:space="preserve">Каналізаційні мережі вул. Енергетика (колектор)  </t>
  </si>
  <si>
    <t>Каналізаційні мережі вул. Молодіжна (внутрішньоквартальна)</t>
  </si>
  <si>
    <t>84522,
вул. Доломітників</t>
  </si>
  <si>
    <t xml:space="preserve">Каналізаційні мережі вул. Червоноармійська              </t>
  </si>
  <si>
    <t xml:space="preserve">Каналізаційні мережі вул. Ювілейна                   </t>
  </si>
  <si>
    <t>84522,
пров.  Заводський</t>
  </si>
  <si>
    <t xml:space="preserve">Каналізаційні мережі пров. Заводський                   </t>
  </si>
  <si>
    <t>84522,
вул. ім. О. Суворова</t>
  </si>
  <si>
    <t xml:space="preserve">Каналізаційні мережі вул. Суворова                     </t>
  </si>
  <si>
    <t xml:space="preserve">Каналізаційні мережі вул. Садова (внутрішньоквартальна)  </t>
  </si>
  <si>
    <t xml:space="preserve">Каналізаційні мережі вул. ім. Б.Хмельницького                  </t>
  </si>
  <si>
    <t>1,8 км від вул. Пушкіна на північ</t>
  </si>
  <si>
    <t>Колектори від каналізаційної насосної станції
 №  3 (2 лініі)</t>
  </si>
  <si>
    <t xml:space="preserve">Каналізаційні мережі вул. Калініна                     </t>
  </si>
  <si>
    <t xml:space="preserve">Каналізаційні мережі вул. Леніна                       </t>
  </si>
  <si>
    <t xml:space="preserve">Каналізаційні мережі вул. Шевченка                     </t>
  </si>
  <si>
    <t>84522,
вул. Лікарняна</t>
  </si>
  <si>
    <t xml:space="preserve">Каналізаційні мережі вул. Лікарняна           </t>
  </si>
  <si>
    <t>84522,
вул. Північна</t>
  </si>
  <si>
    <t xml:space="preserve">Каналізаційні мережі вул. Північна                      </t>
  </si>
  <si>
    <t xml:space="preserve">Колектор від КНС № 3 до Садової    </t>
  </si>
  <si>
    <t xml:space="preserve">Колектор від Каналізаційної насосної станції 
№ 3 до вул. Садової    </t>
  </si>
  <si>
    <t xml:space="preserve">Каналізаційні мережі вул. Садова                      </t>
  </si>
  <si>
    <t xml:space="preserve">Зливова станція                    </t>
  </si>
  <si>
    <t xml:space="preserve">Ілові майданчики (4 од.) </t>
  </si>
  <si>
    <t xml:space="preserve">Іловловлювач (2 од.) </t>
  </si>
  <si>
    <t xml:space="preserve">Окислювальний блок (3 од.)           </t>
  </si>
  <si>
    <t xml:space="preserve">Внутрішньомайданчикові електромережі  </t>
  </si>
  <si>
    <t xml:space="preserve">Внутрішньомайданчикові комунікації  </t>
  </si>
  <si>
    <t>Камера для видалення плаваючих речовин</t>
  </si>
  <si>
    <t xml:space="preserve">84553,
вул. З.Космодем'янської, 3 </t>
  </si>
  <si>
    <t xml:space="preserve">Комплексна трансформаторна підстанція                     </t>
  </si>
  <si>
    <t xml:space="preserve"> 84551,
вул. Південна</t>
  </si>
  <si>
    <t>Водовід до очисних споруд вул. Південна
 м. Часів Яр</t>
  </si>
  <si>
    <t xml:space="preserve">Ілові майданчики                    </t>
  </si>
  <si>
    <t>85134,
вул. Чкалова</t>
  </si>
  <si>
    <t xml:space="preserve">Водонапірні мережі вул. Чкалова
 с. Миколаївка         </t>
  </si>
  <si>
    <t xml:space="preserve"> 85134,
вул. К.Маркса</t>
  </si>
  <si>
    <t xml:space="preserve">Водонапірні мережі вул. К.Маркса
 с. Миколаївка        </t>
  </si>
  <si>
    <t xml:space="preserve">85134,
вул. Челюскінців </t>
  </si>
  <si>
    <t xml:space="preserve">Водонапірні мережі вул. Челюскінців
 с. Миколаївка     </t>
  </si>
  <si>
    <t>Костянтинівський р-н, с. Миколаївка</t>
  </si>
  <si>
    <t>85134,
вул. Миру</t>
  </si>
  <si>
    <t>85134,
вул. Толстого</t>
  </si>
  <si>
    <t xml:space="preserve"> 84553,
вул. Зої Космодем'янської</t>
  </si>
  <si>
    <t xml:space="preserve">Водонапірні мережі вул. З.Космодем`янської </t>
  </si>
  <si>
    <t>84551,
вул. Кошового</t>
  </si>
  <si>
    <t>85134,
вул. Леваневського</t>
  </si>
  <si>
    <t>Водонапірні мережі вул. Леваневського
 с. Миколаївка</t>
  </si>
  <si>
    <t>84551, 
вул. Ярослава Мудрого</t>
  </si>
  <si>
    <t xml:space="preserve">Водонапірні мережі вул. Червонопрапорна
с. Миколаївка </t>
  </si>
  <si>
    <t>84551,
 вул. Шкільна</t>
  </si>
  <si>
    <t xml:space="preserve">Водонапірні мережі вул. Жовтня с. Миколаївка         </t>
  </si>
  <si>
    <t xml:space="preserve">84551, 
вул. Миколаївська </t>
  </si>
  <si>
    <t xml:space="preserve">Водонапірні мережі від мк-р. Шевченка до 
вул. Октября   </t>
  </si>
  <si>
    <t xml:space="preserve">по полю кладовища с. Миколаївка  </t>
  </si>
  <si>
    <t xml:space="preserve">Водонапірні мережі по полю кладовища 
с. Миколаївка   </t>
  </si>
  <si>
    <t xml:space="preserve">Каналізаційні мережі вул. Північна (ККП)               </t>
  </si>
  <si>
    <t>84529,
вул. Сосюри</t>
  </si>
  <si>
    <t xml:space="preserve">Каналізаційні мережі вул. Сосюри (ККП)                 </t>
  </si>
  <si>
    <t xml:space="preserve">Каналізаційні мережі  вул. Лікарняна (ККП)             </t>
  </si>
  <si>
    <t xml:space="preserve">Каналізаційні мережі вул. Садова (ККП)                </t>
  </si>
  <si>
    <t xml:space="preserve">за м. Сіверськ </t>
  </si>
  <si>
    <t xml:space="preserve">Водовід свердловина-резервуар (ККП)   </t>
  </si>
  <si>
    <t>Водовід резервуар-житлове селище (ККП)</t>
  </si>
  <si>
    <t>Бахмутський р-н,
м. Сіверськ,
с. Серебрянка</t>
  </si>
  <si>
    <t xml:space="preserve">1,5 км на захід від м. Сіверськ  </t>
  </si>
  <si>
    <t xml:space="preserve">Водовід с. Черногорівка - с. Ямське  </t>
  </si>
  <si>
    <t>84522,
 вул. Коцюбинського</t>
  </si>
  <si>
    <t xml:space="preserve">Водонапірні мережі вул. Коцюбинського (ККП)           </t>
  </si>
  <si>
    <t>84529,
вул. Західна</t>
  </si>
  <si>
    <t xml:space="preserve">Водонапірні мережі вул. Західна (ККП)               </t>
  </si>
  <si>
    <t xml:space="preserve">Водонапірні мережі вул. Паркова (ККП)                </t>
  </si>
  <si>
    <t xml:space="preserve">Водонапірні мережі вул. Північна (ККП)                </t>
  </si>
  <si>
    <t xml:space="preserve">Водонапірні мережі вул. Суворова (ККП)               </t>
  </si>
  <si>
    <t>84529,
вул. Дружби</t>
  </si>
  <si>
    <t xml:space="preserve">Водонапірні мережі вул. Дружби (ККП)                 </t>
  </si>
  <si>
    <t>84529,
вул. Приозерна</t>
  </si>
  <si>
    <t xml:space="preserve">Водонапірні мережі вул. Приозерна (ККП)             </t>
  </si>
  <si>
    <t xml:space="preserve">Водонапірні мережі вул. Сосюри(ККП)                  </t>
  </si>
  <si>
    <t xml:space="preserve">Водонапірні мережі вул. Лікарняна (ККП)             </t>
  </si>
  <si>
    <t>84529,
вул. ім. С. Кисиленко</t>
  </si>
  <si>
    <t xml:space="preserve">Водонапірні мережі вул. Кисиленко (ККП)               </t>
  </si>
  <si>
    <t>84529,
вул. Кошового</t>
  </si>
  <si>
    <t xml:space="preserve">Водонапірні мережі вул. О.Кошового (ККП)              </t>
  </si>
  <si>
    <t>84529,
вул. Східна</t>
  </si>
  <si>
    <t xml:space="preserve">Водонапірні мережі вул. Чапаєва (ККП)                 </t>
  </si>
  <si>
    <t>84529,
вул. Журба</t>
  </si>
  <si>
    <t xml:space="preserve">Водонапірні мережі вул. Журби (ККП)                   </t>
  </si>
  <si>
    <t xml:space="preserve">Водонапірні мережі вул. Леніна (ККП)                  </t>
  </si>
  <si>
    <t>84529,
вул. Залізнична</t>
  </si>
  <si>
    <t xml:space="preserve">Водонапірні мережі вул. Залізнична (ККП)         </t>
  </si>
  <si>
    <t xml:space="preserve">Водонапірні мережі вул. Гагаріна (ККП)                </t>
  </si>
  <si>
    <t xml:space="preserve">Водонапірні мережі вул. Пушкіна (ККП)                </t>
  </si>
  <si>
    <t xml:space="preserve">Водонапірні мережі вул. Садова (ККП)                </t>
  </si>
  <si>
    <t xml:space="preserve">Водонапірні мережі вул. Червоноармійська (ККП)        </t>
  </si>
  <si>
    <t xml:space="preserve">Водонапірні мережі вул. Молодіжна (ККП)              </t>
  </si>
  <si>
    <t xml:space="preserve">Водонапірні мережі вул. Енергетиків (ККП)             </t>
  </si>
  <si>
    <t xml:space="preserve">Водонапірні мережі вул. Дзержинського (ККП)           </t>
  </si>
  <si>
    <t xml:space="preserve">Водонапірні мережі вул. Перемоги (ККП)                 </t>
  </si>
  <si>
    <t xml:space="preserve">Водонапірні мережі вул. Шевченка (ККП)               </t>
  </si>
  <si>
    <t>84523,
вул. Івана Франка</t>
  </si>
  <si>
    <t xml:space="preserve">Водонапірні мережі вул. Горького (ККП)               </t>
  </si>
  <si>
    <t>84523,
вул. Степна</t>
  </si>
  <si>
    <t xml:space="preserve">Водонапірні мережі вул. Степна (ККП)                </t>
  </si>
  <si>
    <t>84523,
вул. Нова</t>
  </si>
  <si>
    <t xml:space="preserve">Водонапірні мережі вул. Нова (ККП)                   </t>
  </si>
  <si>
    <t>84523,
вул. Новосільська</t>
  </si>
  <si>
    <t xml:space="preserve">Водонапірні мережі вул. Новосільська (ККП)           </t>
  </si>
  <si>
    <t xml:space="preserve">Водонапірні мережі вул. Чкалова (ККП)                </t>
  </si>
  <si>
    <t>84523,
пров. Пасічний</t>
  </si>
  <si>
    <t xml:space="preserve">Водонапірні мережі вул. Фрунзе (ККП)                 </t>
  </si>
  <si>
    <t>84523,
вул. Рад. Патріотів</t>
  </si>
  <si>
    <t xml:space="preserve">Водонапірні мережі вул. Рад. Патріотів( ККП)           </t>
  </si>
  <si>
    <t>84523,
вул. Лугова</t>
  </si>
  <si>
    <t xml:space="preserve">Водонапірні мережі вул. Крупської (ККП)               </t>
  </si>
  <si>
    <t>84522, 
вул. Шкільна</t>
  </si>
  <si>
    <t xml:space="preserve">Водонапірні мережі вул. Шкільна (ККП)               </t>
  </si>
  <si>
    <t>84522,
вул. ім. Д. Менделєєва</t>
  </si>
  <si>
    <t xml:space="preserve">Водонапірні мережі вул. Менделєєва (ККП)             </t>
  </si>
  <si>
    <t>84522,
вул. Чайковського</t>
  </si>
  <si>
    <t xml:space="preserve">Водонапірні мережі вул. Чайковського (ККП)            </t>
  </si>
  <si>
    <t>84522,
вул. Ямська</t>
  </si>
  <si>
    <t xml:space="preserve">Водонапірні мережі вул. Артема (ККП)                 </t>
  </si>
  <si>
    <t>84522,
вул. Тимирязєва</t>
  </si>
  <si>
    <t xml:space="preserve">Водонапірні мережі вул. Тимирязєва (ККП)             </t>
  </si>
  <si>
    <t>84529,
вул. Нахімова</t>
  </si>
  <si>
    <t xml:space="preserve">Водонапірні мережі вул. Нахімова (ККП)               </t>
  </si>
  <si>
    <t>84522,
вул. Мирна</t>
  </si>
  <si>
    <t xml:space="preserve">Водонапірні мережі вул. Орджонікідзе (ККП)            </t>
  </si>
  <si>
    <t>84522,
вул. Бахмутська</t>
  </si>
  <si>
    <t xml:space="preserve">Водонапірні мережі вул. Бахмутська (ККП)             </t>
  </si>
  <si>
    <t>84522,
вул. Покровська</t>
  </si>
  <si>
    <t xml:space="preserve">Водонапірні мережі вул. Октябрська (ККП)            </t>
  </si>
  <si>
    <t>84529,
вул. Лесі Українки</t>
  </si>
  <si>
    <t xml:space="preserve">Водонапірні мережі вул. Червонопрапорна (ККП)        </t>
  </si>
  <si>
    <t>84529,
вул. ім. І. Тургенєва</t>
  </si>
  <si>
    <t xml:space="preserve">Водонапірні мережі вул. Тургенєва (ККП)              </t>
  </si>
  <si>
    <t>84522,
вул. Лермонтова</t>
  </si>
  <si>
    <t xml:space="preserve">Водонапірні мережі вул. Лермонтова (ККП)             </t>
  </si>
  <si>
    <t>84522, 
вул. Річна</t>
  </si>
  <si>
    <t xml:space="preserve">Водонапірні мережі вул. Карла Маркса (ККП)                </t>
  </si>
  <si>
    <t>84523,
вул. Безіменна</t>
  </si>
  <si>
    <t xml:space="preserve">Водонапірні мережі вул. Безіменна (ККП)                </t>
  </si>
  <si>
    <t>84522,
вул. Поштова</t>
  </si>
  <si>
    <t xml:space="preserve">Водонапірні мережі вул. Поштова (ККП)               </t>
  </si>
  <si>
    <t>84523,
вул. Маяковського</t>
  </si>
  <si>
    <t xml:space="preserve">Водонапірні мережі вул. Маяковського (ККП)            </t>
  </si>
  <si>
    <t>84529,
вул. Чернишевського</t>
  </si>
  <si>
    <t xml:space="preserve">Водонапірні мережі вул. Чернишевського (ККП)          </t>
  </si>
  <si>
    <t>84523,
вул. Нижня</t>
  </si>
  <si>
    <t xml:space="preserve">Водонапірні мережі вул. Нижня (ККП)                 </t>
  </si>
  <si>
    <t>84523,
вул. Набережна</t>
  </si>
  <si>
    <t xml:space="preserve">Водонапірні мережі вул. Набережна (ККП)             </t>
  </si>
  <si>
    <t>84522,
вул. Ватутіна</t>
  </si>
  <si>
    <t xml:space="preserve">Водонапірні мережі вул. Ватутіна (ККП)               </t>
  </si>
  <si>
    <t>84523,
вул. Праці</t>
  </si>
  <si>
    <t xml:space="preserve">Водонапірні мережі вул. Піонерська (ККП)             </t>
  </si>
  <si>
    <t xml:space="preserve">Водонапірні мережі вул. Павлова (ККП)                </t>
  </si>
  <si>
    <t>84522,
вул. 40-років Перемоги</t>
  </si>
  <si>
    <t xml:space="preserve">Водонапірні мережі вул.40 років Перемоги (ККП)           </t>
  </si>
  <si>
    <t xml:space="preserve">Водовід свердловина-резервуар (ККП)    </t>
  </si>
  <si>
    <t xml:space="preserve">Водовід свердловина-резервуар № 2 (ККП) </t>
  </si>
  <si>
    <t>за м. Сіверськ від Сухоярської свердловини</t>
  </si>
  <si>
    <t>Водовід від Сухоярської свердловини (ККП)</t>
  </si>
  <si>
    <t>Східна околиця м. Сіверськ до 
с. Серебрянка</t>
  </si>
  <si>
    <t xml:space="preserve">Водовід до с. Серебрянка (ККП)      </t>
  </si>
  <si>
    <t>вул. Дзержинська, вул.Суворова,
 вул. Доломітчиків, вул. Енергетиків, 
вул. Садова</t>
  </si>
  <si>
    <t xml:space="preserve">Підключення водоводу в житлові будинки 77 од.  </t>
  </si>
  <si>
    <t>с. Черногорівка</t>
  </si>
  <si>
    <t xml:space="preserve">Водозабір Черногорівка (ККП)        </t>
  </si>
  <si>
    <t xml:space="preserve">Електромережі АС-50 (ККП)            </t>
  </si>
  <si>
    <t xml:space="preserve"> 200 м від вул. Зарічна у північно- західному напрямку</t>
  </si>
  <si>
    <t xml:space="preserve">Накопичувальний колодязь с. Спірне    </t>
  </si>
  <si>
    <t>84541,
вул. Центральна, вул. Зарічна</t>
  </si>
  <si>
    <t xml:space="preserve">Водовід с. Спірне                  </t>
  </si>
  <si>
    <t>за селищем Виїмка у бік
 с. Бахмутське - 250 м</t>
  </si>
  <si>
    <t xml:space="preserve">Водовід с. Виїмка                   </t>
  </si>
  <si>
    <t xml:space="preserve">Водовід с. Берестове               </t>
  </si>
  <si>
    <t xml:space="preserve">Вежі Рожновського                  </t>
  </si>
  <si>
    <t xml:space="preserve">Самопливний каналізаційний колектор 
с. Берестове </t>
  </si>
  <si>
    <t>Бахмутський  р-н, 
с. Кузьминівка</t>
  </si>
  <si>
    <t xml:space="preserve">Водонапірні мережі сел. Кузьминівка                 </t>
  </si>
  <si>
    <t>84536,
 вул. Артема</t>
  </si>
  <si>
    <t xml:space="preserve">Водонапірні мережі мікрорайон Кірове                      </t>
  </si>
  <si>
    <t xml:space="preserve">Водонапірні мережі с. Парасковіївка                 </t>
  </si>
  <si>
    <t>Бахмутський р-н,
с. Благодатне</t>
  </si>
  <si>
    <t>84545, 
вул. Самойлівська</t>
  </si>
  <si>
    <t xml:space="preserve">Водонапірні мережі с. Благодатне                  </t>
  </si>
  <si>
    <t>Бахмутський район,
с. Покровське</t>
  </si>
  <si>
    <t>84561, 
між с. Покровське і с. Бахмутське</t>
  </si>
  <si>
    <t xml:space="preserve">Водонапірні мережі с. Покровське                    </t>
  </si>
  <si>
    <t>84561,
 вул. Миру, Незалежності</t>
  </si>
  <si>
    <t xml:space="preserve">Водонапірні мережі с. Покровське                   </t>
  </si>
  <si>
    <t>150 м від вул. Шкільна на південь</t>
  </si>
  <si>
    <t xml:space="preserve">Водонапірна вежа с. Покровське    </t>
  </si>
  <si>
    <t xml:space="preserve">Водонапірні мережі с. Бахмутське                    </t>
  </si>
  <si>
    <t xml:space="preserve">Напірний трубопровід с. Бахмутське  </t>
  </si>
  <si>
    <t xml:space="preserve">Санітарна  огорожа с. Бахмутське   </t>
  </si>
  <si>
    <t>84536,
вул. Першотравнева</t>
  </si>
  <si>
    <t>Водонапірні мережі вул. Першотравнева, 5-
с. Парасковіївка</t>
  </si>
  <si>
    <t>Водонапірні мережі вул. Першотравнева, 9-
с. Парасковіївка</t>
  </si>
  <si>
    <t>84536,
вул. Шкільна</t>
  </si>
  <si>
    <t xml:space="preserve">Водонапірні мережі вул. Шкільна - 
с. Парасковіївка     </t>
  </si>
  <si>
    <t>Водонапірні мережі вул. Першотравнева, 13-
с. Парасковіївка</t>
  </si>
  <si>
    <t>Водонапірні мережі вул. Першотравнева, 7-
с. Парасковіївка</t>
  </si>
  <si>
    <t>84536, 
вул. Першотравнева</t>
  </si>
  <si>
    <t>Колодязь с водомірним вузлом с. Парасковіївка</t>
  </si>
  <si>
    <t>84536, 
вул. Першотравнева, вул. Шкільна</t>
  </si>
  <si>
    <t xml:space="preserve">Каналізаційні мережі с. Парасковіївка                 </t>
  </si>
  <si>
    <t xml:space="preserve">Каналізаційна насосна станція с. Бахмутське                   </t>
  </si>
  <si>
    <t xml:space="preserve">Колектор самопливний с. Бахмутське    </t>
  </si>
  <si>
    <t xml:space="preserve">Напірний колектор с. Бахмутське    </t>
  </si>
  <si>
    <t>Каналізаційні колодці с. Бахмутське</t>
  </si>
  <si>
    <t xml:space="preserve">Каналізаційні мережі 
вул. Першотравнева-с. Парасковіївка </t>
  </si>
  <si>
    <t>Каналізаційні мережі 
вул. Першотравнева, 5-с. Парасковіївка</t>
  </si>
  <si>
    <t>Каналізаційні мережі 
вул. Першотравнева, 9-с. Парасковіївка</t>
  </si>
  <si>
    <t xml:space="preserve">Каналізаційні мережі 
вул. Шкільна, 4-с. Парасковіївка   </t>
  </si>
  <si>
    <t xml:space="preserve">Каналізаційні мережі
 вул. Шкільна, 4-с. Парасковіївка   </t>
  </si>
  <si>
    <t>Каналізаційні мережі 
вул. Першотравнева, 13-с. Парасковіївка</t>
  </si>
  <si>
    <t>Каналізаційні мережі
 вул. Першотравнева, 13-с. Парасковіївка</t>
  </si>
  <si>
    <t>Напірний каналізаційний трубопровід
 с. Просковіївка</t>
  </si>
  <si>
    <t>Реконструкція каналізаційної 
насосної станції № 3</t>
  </si>
  <si>
    <t>84583,
вул. Лісова</t>
  </si>
  <si>
    <t>84583,
вул. Шкільна</t>
  </si>
  <si>
    <t>84583,
вул. Широка</t>
  </si>
  <si>
    <t>84583,
вул. Комунарів</t>
  </si>
  <si>
    <t>84583,
пров. Садовий</t>
  </si>
  <si>
    <t>84583,
вул. Першотравнева</t>
  </si>
  <si>
    <t>84583,
вул. Ювілейна</t>
  </si>
  <si>
    <t>північна околиця с. Калинівка</t>
  </si>
  <si>
    <t>від с. Багданівка до с-ща Калинівка, 
вул. Лісна</t>
  </si>
  <si>
    <t xml:space="preserve">Напірний колектор с-ще Калинівка    </t>
  </si>
  <si>
    <t xml:space="preserve"> північна околиця с. Калинівка</t>
  </si>
  <si>
    <t xml:space="preserve">Станція біоочистки с-ще Калинівка    </t>
  </si>
  <si>
    <t xml:space="preserve">Біологічні ставки с-ще Калинівка      </t>
  </si>
  <si>
    <t xml:space="preserve">Мулові відстійники с-ще Калинівка        </t>
  </si>
  <si>
    <t xml:space="preserve">Багаторічні насадження бази Клебан- Бик  </t>
  </si>
  <si>
    <t>84553,
вул. З.Космодем'янської, 3</t>
  </si>
  <si>
    <t xml:space="preserve">Багаторічні насадження на базі РВУ  </t>
  </si>
  <si>
    <t xml:space="preserve">Багаторічні насадження Артемівської фільтрувальної станції         </t>
  </si>
  <si>
    <t xml:space="preserve">Багаторічні насадження адмінбудівлі </t>
  </si>
  <si>
    <t xml:space="preserve">Багаторічні насадження Білокузьминівської каналізаційної насосної станції        </t>
  </si>
  <si>
    <t xml:space="preserve">Багаторічні насадження Часовоярської фільтрувальної станції         </t>
  </si>
  <si>
    <t>84692,
вул. Кольцова</t>
  </si>
  <si>
    <t>Водопровід вул. Кольцова  Д=150, чавун</t>
  </si>
  <si>
    <t>Введення до будинку 1, 2, 6, 10, 11, 12, 14, 17, 19, 22, 24 вул. Кольцова, Д=50, ЧВР</t>
  </si>
  <si>
    <t>84692,
вул. Кольцова, 21 - вул. Сонячна, 16</t>
  </si>
  <si>
    <t>Водопровід від вул. Кольцова, 21-
вул. Сонячна, 16, Д=100, ЧВР</t>
  </si>
  <si>
    <t>Водопровід від вул. Кольцова 2-вул. Сонячна, 1 Д=150, ЧВР</t>
  </si>
  <si>
    <t>84692,
вул. Сонячна, 1</t>
  </si>
  <si>
    <t>Водопровід, Д=150, чавун вул. Сонячна, 1</t>
  </si>
  <si>
    <t>84692, 
вул. Сонячна до буд. 3, 4, 10, 11, 14, 15, 16</t>
  </si>
  <si>
    <t>Введення водопровід, Д=50, ЧВР
 вул. Сонячна до д. 3, 4, 10, 11, 14, 15, 16</t>
  </si>
  <si>
    <t>84692,
вул. Кольцова, 15</t>
  </si>
  <si>
    <t xml:space="preserve">Мережі водопостачання, Д=50, ЧВР
 вул. Кольцова, 15  </t>
  </si>
  <si>
    <t>84692,
вул. Кольцова, 1</t>
  </si>
  <si>
    <t xml:space="preserve">Мережі водопостачання, Д=50, ЧВР 
вул. Кольцова, 1   </t>
  </si>
  <si>
    <t>від в-д с. Клебан-Бик до станції Майорськ</t>
  </si>
  <si>
    <t>Мережі водопостачання, Д=250, ЧВР до водоводу Клебан- Бикський до сел. Майорське</t>
  </si>
  <si>
    <t>вул. Майорська</t>
  </si>
  <si>
    <t>Мережі водопровідні 42 м, Дитячий садок
 № 135, вул. Майорська, Д50, ст. 1970 г</t>
  </si>
  <si>
    <t xml:space="preserve">Водогін Клебан-Бикський </t>
  </si>
  <si>
    <t>86060,
землі Орловської сільської ради</t>
  </si>
  <si>
    <r>
      <t>Резервуари питної води V=6000 м</t>
    </r>
    <r>
      <rPr>
        <vertAlign val="superscript"/>
        <sz val="10"/>
        <rFont val="Times New Roman"/>
        <family val="1"/>
        <charset val="204"/>
      </rPr>
      <t xml:space="preserve"> 2</t>
    </r>
  </si>
  <si>
    <t xml:space="preserve">Резервуар V-3900 куб. м. з фільтром та поглиначем </t>
  </si>
  <si>
    <r>
      <t xml:space="preserve">85000,
</t>
    </r>
    <r>
      <rPr>
        <sz val="10"/>
        <rFont val="Times New Roman"/>
        <family val="1"/>
        <charset val="204"/>
      </rPr>
      <t>пров. Козацький</t>
    </r>
  </si>
  <si>
    <t>Наглядова будівля верхнього оголовку 
д."Середні ступки" № 2</t>
  </si>
  <si>
    <t>Наглядова будівля верхнього оголовку
 д. Кринички № 2</t>
  </si>
  <si>
    <t>Службова будівля верхнього оголовку
 д. Кринички № 1</t>
  </si>
  <si>
    <r>
      <t xml:space="preserve"> </t>
    </r>
    <r>
      <rPr>
        <sz val="10"/>
        <rFont val="Times New Roman"/>
        <family val="1"/>
        <charset val="204"/>
      </rPr>
      <t>р-н Семенівка</t>
    </r>
  </si>
  <si>
    <r>
      <t xml:space="preserve">Бахмутський р-н,
</t>
    </r>
    <r>
      <rPr>
        <sz val="11"/>
        <rFont val="Times New Roman"/>
        <family val="1"/>
        <charset val="204"/>
      </rPr>
      <t>м. Часів Яр</t>
    </r>
  </si>
  <si>
    <t>РАЗОМ ПО КП " Компанія "Вода Донбасу":</t>
  </si>
  <si>
    <t>84500, 
вул. Декабристів, 27</t>
  </si>
  <si>
    <t>Нежитлове приміщення</t>
  </si>
  <si>
    <t>№ 1683</t>
  </si>
  <si>
    <t>РАЗОМ ПО ПІДПРИЄМСТВАХ:</t>
  </si>
  <si>
    <t>Димова труба стальна, котельня № 14</t>
  </si>
  <si>
    <t>Димова труба цегляна, котельня № 14</t>
  </si>
  <si>
    <t>Димова труба, котельня № 10</t>
  </si>
  <si>
    <t>Димова труба, котельня № 18</t>
  </si>
  <si>
    <t>Димова труба, котельня № 9</t>
  </si>
  <si>
    <t>Димова труба, котельня № 1</t>
  </si>
  <si>
    <t>Димова труба, котельня № 12</t>
  </si>
  <si>
    <t>Димова труба, котельня № 13</t>
  </si>
  <si>
    <t>Димова труба, котельня № 16</t>
  </si>
  <si>
    <t>Димова труба, котельня № 3</t>
  </si>
  <si>
    <t xml:space="preserve">85280, 
вул. Юності, вул. Нова  </t>
  </si>
  <si>
    <t>85200, 
вул. Лісова, вул. В.Сорочука</t>
  </si>
  <si>
    <t>Теплотраса мкрн. Гідробудівників,
 буд. 3,4,5</t>
  </si>
  <si>
    <t xml:space="preserve">Будівля "Котельня с. Клинове" </t>
  </si>
  <si>
    <t xml:space="preserve">Теплотраса котельні "Жилпобутсервіс"   </t>
  </si>
  <si>
    <t>Каналізаційна мережа від житлового будинку № 81 вул. Грушевського (Чапаєва) до Проспекту Центральний
 ( К.Маркса)</t>
  </si>
  <si>
    <t>Газопровід на проммайданчику
 м. Волноваха</t>
  </si>
  <si>
    <t xml:space="preserve"> Контактний резервуар № 1 на ОС
 м. Торецьк</t>
  </si>
  <si>
    <t xml:space="preserve"> Контактний резервуар № 2 на ОС 
м. Торецьк</t>
  </si>
  <si>
    <t xml:space="preserve"> Камера переключення КНС від 
кварталу 89</t>
  </si>
  <si>
    <t xml:space="preserve"> Відстійник радіальний первинний № 1 
на ОС м. Торецьк</t>
  </si>
  <si>
    <t>Відстійник радіальний первинний № 2
 на ОС м. Торецьк</t>
  </si>
  <si>
    <t>Відстійник радіальний первинний № 3 
на ОС м. Торецьк</t>
  </si>
  <si>
    <t xml:space="preserve"> Резервуар активно-надлишкового мулу 
на ОС м. Торецьк</t>
  </si>
  <si>
    <t xml:space="preserve">Водопровід колгоспу "Правда" і 
с. Романівка        </t>
  </si>
  <si>
    <t>Водопровід по вул. Залізнична, 11 до 
буд. 15 по вул. Пилипенка (колишня Тельмана)</t>
  </si>
  <si>
    <t xml:space="preserve">Водопровід від вул. Дарвіна до
 вул. Руднична (колишня Урицького)        </t>
  </si>
  <si>
    <t xml:space="preserve">Водопровід від соцмістечка до 
вул. Павлова       </t>
  </si>
  <si>
    <t xml:space="preserve">Водопровід від вул. Дарвіна до
 вул. Руднична (колишня Урицького)    </t>
  </si>
  <si>
    <t xml:space="preserve">Водопровід від вул. Григорія Сковороди (колишня Карла Маркса) до
 вул. Пилипенка (колишня Тельмана)    </t>
  </si>
  <si>
    <t xml:space="preserve">Водопровід від вул. Торгова 
(колишня Комсомольська) до
 вул. Руднична (колишня Фрунзе)    </t>
  </si>
  <si>
    <t xml:space="preserve">Водопровід від водонапірної вежі по
 вул. Центральна
(колишня Дзержинського)      </t>
  </si>
  <si>
    <t>85200,
пров. Іванівський, вул. Коксова</t>
  </si>
  <si>
    <t xml:space="preserve">Водопровід по вул. Качалова до
 вул. Віктора Якушина (колишня Тевосяна)       </t>
  </si>
  <si>
    <t xml:space="preserve">Водопровід по вул. Колгоспна
 смт Петрівка       </t>
  </si>
  <si>
    <t xml:space="preserve">Зовнішні мережі водопостачання житлового будинку 1 кварталу 168 
смт Північне (колишнє Кірове)      </t>
  </si>
  <si>
    <t xml:space="preserve">Зовнішні мережі водопостачання до житлового будинку № 19-14 
вул. Грушевського (колишня Енгельса)    </t>
  </si>
  <si>
    <t>Каналізація від дитячого садку № 7 по
 вул. 8 Березня до вул. Скачкова</t>
  </si>
  <si>
    <t>Каналізаційний колектор мікрорайону 
№ 1 до очисних споруд</t>
  </si>
  <si>
    <t>Каналізація до дитячих ясел 
мікрорайон № 1</t>
  </si>
  <si>
    <t>Зовнішні мережі до житлового будинку
 № 15  кварталу 89</t>
  </si>
  <si>
    <t>Зовнішні мережі до житлового будинку 
№ 9 вул. Юності</t>
  </si>
  <si>
    <t>Зовнішні мережі до житлового будинку
 № 18  кварталу 89</t>
  </si>
  <si>
    <t>Зовнішні мережі до житлового будинку 
№ 4  квартал 90</t>
  </si>
  <si>
    <t>Зовнішні мережі до житлового будинку
 № 12 вул. Лісова</t>
  </si>
  <si>
    <t>Зовнішні мережі до житлового будинку 
№ 2  квартал 90</t>
  </si>
  <si>
    <t>Зовнішні мережі до житлового будинку 
№ 5  квартал 102</t>
  </si>
  <si>
    <t>Зовнішні мережі до житлового будинку 
№ 5  квартал 168</t>
  </si>
  <si>
    <t>Зовнішні мережі до житлового будинку 
№ 19 квартал 90</t>
  </si>
  <si>
    <t>Зовнішні мережі до житлового будинку
 № 18 квартал 90</t>
  </si>
  <si>
    <t>Зовнішні мережі до автовокзалу
 м. Торецьк</t>
  </si>
  <si>
    <t>Зовнішні мережі до житлового будинку 
№ 7 квартал 90</t>
  </si>
  <si>
    <t>Зовнішні мережі до житлового будинку 
№ 6 кварталу 102</t>
  </si>
  <si>
    <t>Зовнішні мережі до житлового будинку
 № 4 (1-2 секції) кварталу 102</t>
  </si>
  <si>
    <t>Зовнішні мережі до житлового будинку 
№ 17 квартал 90</t>
  </si>
  <si>
    <t>Зовнішні мережі до житлового будинку
 № 1-4 вул. Грушевського (колишня Енгельса)</t>
  </si>
  <si>
    <t>Зовнішні мережі до житлового будинку 
№ 14 вул. Грушевського (колишня Енгельса)</t>
  </si>
  <si>
    <t>Зовнішні мережі каналізації до житлового будинку № 31 смт Північне
 (колишнє Кірове) (Сонячна 1)</t>
  </si>
  <si>
    <t>Водопровід від підстанції до 
сел. Партизанський</t>
  </si>
  <si>
    <t>Водовід Новогродівка-вул. Залізнична</t>
  </si>
  <si>
    <t>Водопровід вул. Абрамця (І.Матвєєва)
 0,8 км  Д=100</t>
  </si>
  <si>
    <t>Водопровід вул. Абрамця (І. Матвєєва)
 0,1 км Д=100</t>
  </si>
  <si>
    <t>Водопровід вул. Юридична (Фрунзе)
0,37 км Д=200</t>
  </si>
  <si>
    <t>Водопровід вул. Юридична (Фрунзе) 
0,3 км  Д=100</t>
  </si>
  <si>
    <t>Водопровід вул. Автомобілістів (Урицького) 0.27 км  Д=80</t>
  </si>
  <si>
    <t>Водопровід вул. Автомобілістів (Урицька) L=0,3 км Д=100</t>
  </si>
  <si>
    <t>Водовід від водонапірної вежі до
 вул. Одеська</t>
  </si>
  <si>
    <t>Водопровід вул. Козацька (Свердлова)
 0,1 км  Д=400</t>
  </si>
  <si>
    <t>Водовід від вежі чавун Д=200
 довжина 1850 м</t>
  </si>
  <si>
    <t xml:space="preserve">Каналізаційна лінія
 вул. Першотравнева, буд. 10                    </t>
  </si>
  <si>
    <t xml:space="preserve">Каналізаційна лінія 
вул. Першотравнева, буд. 37                    </t>
  </si>
  <si>
    <t xml:space="preserve">Каналізаційна лінія
 вул. Першотравнева, буд. 35а                   </t>
  </si>
  <si>
    <t xml:space="preserve">Каналізаційна лінія
 вул. Першотравнева, буд. 38                   </t>
  </si>
  <si>
    <t xml:space="preserve">Каналізаційні лінії 
вул. Першотравнева, буд. 34                   </t>
  </si>
  <si>
    <t xml:space="preserve">Каналізаційні лінії 
вул. Першотравнева, буд. 35                   </t>
  </si>
  <si>
    <t>Магістральний трубопровід, 
вул. Незалежності</t>
  </si>
  <si>
    <t>Мережі водорозподільні, 
вул. Черняховського</t>
  </si>
  <si>
    <t>85100,
 вул. Мірошниченко, 
вул. Сумська, вул. Колокова</t>
  </si>
  <si>
    <t>85100, 
вул. Ціолковського, 
пл. Перемоги, вул. Суворова</t>
  </si>
  <si>
    <t>Мережі водопровідні, житловий будинок 
№ 5 по вул. Злагоди (Горького)</t>
  </si>
  <si>
    <t>Мережі водопровідні, житловий будинок 
№ 3,4 по вул. Злагоди</t>
  </si>
  <si>
    <t>Мережі водопровідні  житловий будинок 
№ 2 по вул. Злагоди</t>
  </si>
  <si>
    <t>Мережі водопровідні, житловий будинок 
№ 22 мікрорайон № 2</t>
  </si>
  <si>
    <t>Мережі водопровідні, житловий будинок 
№ 23 мікрорайон № 2</t>
  </si>
  <si>
    <t>Мережі водопровідні, житловий будинок
 № 24 мікрорайон № 2</t>
  </si>
  <si>
    <t>Водопровідні мережі, житловий будинок 
№ 1в  вул. Бульварна</t>
  </si>
  <si>
    <t>Водопровідні мережі житловий будинок
 № 17 вул. Хабаровська</t>
  </si>
  <si>
    <t>Водопровідні мережі, житловий будинок 
№ 20 вул. Хабаровська</t>
  </si>
  <si>
    <t>Водопровідні мережі, житловий будинок 
№ 18 вул. Хабаровська</t>
  </si>
  <si>
    <t>Водопровідні мережі, житловий будинок 
№ 19 вул. Хабаровська</t>
  </si>
  <si>
    <t>Водопровідні мережі, житловий будинок 
№ 14в вул. Хабаровська</t>
  </si>
  <si>
    <t>Водопровідні мережі, житловий будинок
 № 14а вул. Хабаровська</t>
  </si>
  <si>
    <t>Водопровідні мережі, житловий будинок 
№ 15в вул. Хабаровська</t>
  </si>
  <si>
    <t>Водопровідні мережі, житловий будинок 
№ 52в вул. Громова</t>
  </si>
  <si>
    <t>Водопровідні мережі, житловий будинок 
№ 22  вул. Хабаровська</t>
  </si>
  <si>
    <t xml:space="preserve">Водопровід, котельна житловий
 будинок № 68-69 </t>
  </si>
  <si>
    <t>Водопровідні  мережі, житловий будинок 
№ 1 вул. Декоративна</t>
  </si>
  <si>
    <t>Водопровідні  мережі, вул. Краснодарська 
№ 2-вул. Островського № 220</t>
  </si>
  <si>
    <t>Водопровідні мережі, житловий будинок 
№ 325 вул. Незалежності</t>
  </si>
  <si>
    <t>Водопровідні мережі, житловий будинок 
№ 279, 285, 287, 289, 291, 293
 вул. Пушкінська</t>
  </si>
  <si>
    <t xml:space="preserve">Внутрішні каналізаційні мережі, 
вул. Трудова, Театральна, О.Тихого, Поштова </t>
  </si>
  <si>
    <t>Каналізаційні мережі, мікрорайон № 2 від побутового комбінату до
 житлового будинку № 22</t>
  </si>
  <si>
    <t>Каналізаційні  мережі, житловий будинок 
№ 1а вул. Декоративна</t>
  </si>
  <si>
    <t>Каналізаційні  мережі, житловий будинок 
№ 7 мікрорайон Північний</t>
  </si>
  <si>
    <t>Каналізаційні мережі, житловий будинок 
№ 325 вул. Незалежності</t>
  </si>
  <si>
    <t>Каналізаційні мережі, житловий будинок
 № 27а квартал вул. Калмикова-Хабаровська</t>
  </si>
  <si>
    <t>Каналізаційні  мережі, житловий будинок 
№ 44  мікрорайон Північний</t>
  </si>
  <si>
    <t>Каналізаційні  мережі, житловий будинок
 № 16 квартал вул. Калмикова-Хабаровська</t>
  </si>
  <si>
    <t>Каналізаційні  мережі, житловий будинок 
№ 10 мікрорайон "Північний"</t>
  </si>
  <si>
    <t>Каналізаційні  мережі, житловий будинок
 № 11 мікрорайон "Північний"</t>
  </si>
  <si>
    <t xml:space="preserve">Зовнішні мережі води до 30-ти квартирного житлового будинку колійної машинної 
станції-10    </t>
  </si>
  <si>
    <t xml:space="preserve">Самопливний каналізаційний колектор від котельної з побуту колійної машинної
 станції-10 </t>
  </si>
  <si>
    <t>Зовнішні мережі каналізації по 
вул. Слов`янська</t>
  </si>
  <si>
    <r>
      <t>Провід електричний АА 3</t>
    </r>
    <r>
      <rPr>
        <sz val="10"/>
        <rFont val="Calibri"/>
        <family val="2"/>
        <charset val="204"/>
      </rPr>
      <t>×</t>
    </r>
    <r>
      <rPr>
        <sz val="10"/>
        <rFont val="Times New Roman"/>
        <family val="1"/>
        <charset val="204"/>
      </rPr>
      <t>75- 6,0 км</t>
    </r>
  </si>
  <si>
    <r>
      <t>Кабель електричний АСБ6 3</t>
    </r>
    <r>
      <rPr>
        <sz val="10"/>
        <rFont val="Calibri"/>
        <family val="2"/>
        <charset val="204"/>
      </rPr>
      <t>×</t>
    </r>
    <r>
      <rPr>
        <sz val="10"/>
        <rFont val="Times New Roman"/>
        <family val="1"/>
        <charset val="204"/>
      </rPr>
      <t>95 - 0,5 км</t>
    </r>
  </si>
  <si>
    <r>
      <t>Кабель електричний 2ААВГ-1 3</t>
    </r>
    <r>
      <rPr>
        <sz val="10"/>
        <rFont val="Calibri"/>
        <family val="2"/>
        <charset val="204"/>
      </rPr>
      <t>×</t>
    </r>
    <r>
      <rPr>
        <sz val="10"/>
        <rFont val="Times New Roman"/>
        <family val="1"/>
        <charset val="204"/>
      </rPr>
      <t>50</t>
    </r>
    <r>
      <rPr>
        <sz val="10"/>
        <rFont val="Calibri"/>
        <family val="2"/>
        <charset val="204"/>
      </rPr>
      <t>×</t>
    </r>
    <r>
      <rPr>
        <sz val="10"/>
        <rFont val="Times New Roman"/>
        <family val="1"/>
        <charset val="204"/>
      </rPr>
      <t>1х25- 0,54 км</t>
    </r>
  </si>
  <si>
    <t xml:space="preserve">Благоустрій каналізаційної насосної станції 
30-ти квартирного житлового будинку    </t>
  </si>
  <si>
    <t xml:space="preserve">Енергомережі освітлення майданчика 
ВНС № 1       </t>
  </si>
  <si>
    <t>Водопровід до школи довжиною 0,8 км 
Д=100</t>
  </si>
  <si>
    <t>Капітальний ремонт водоводу по 
вул. Радянській</t>
  </si>
  <si>
    <t>Теплотраса від котельні № 4 до
 теплопункту № 2</t>
  </si>
  <si>
    <t>Нежитлова будівля профілакторію гаража
 на 4 машини</t>
  </si>
  <si>
    <t xml:space="preserve">85732,
пров. Молодіжний, від вул. Київська до 
вул. Кошового </t>
  </si>
  <si>
    <t>85732,
від Велико-Анадольської фільтрувальної станції до відключення на смт Новотроїцьке</t>
  </si>
  <si>
    <t>85732, 
від Велико-Анадольської фільтрувальної станції до відключення на смт Новотроїцьке</t>
  </si>
  <si>
    <t>85732, 
від вул. Кошового, 47 до Їдальні № 4</t>
  </si>
  <si>
    <t>85732, 
від вул. Київська, 93 по 
пров. Центральному до їдальні № 4</t>
  </si>
  <si>
    <t>Зовнішня мережа каналізації буд. 12
 кварталу 21</t>
  </si>
  <si>
    <t>85200,
вул. Євгена Седнєва</t>
  </si>
  <si>
    <t xml:space="preserve">Водопровід від 2-го Донецького до 
смт Петрівка      </t>
  </si>
  <si>
    <t>85200,
пров. Демократичний</t>
  </si>
  <si>
    <t xml:space="preserve">85200,
 вул. Білоруська по вул. Тамбовській </t>
  </si>
  <si>
    <t xml:space="preserve">Зовнішні мережі до дитячого садку у
 кварталі 90                 </t>
  </si>
  <si>
    <t>Каналізаційні мережі будинків № 12а, 12б 
вул. Піонерів</t>
  </si>
  <si>
    <t>Зовнішні мережі № 16 квартал 168 
смт Північне (колишнє Кірове), (Юності 22)</t>
  </si>
  <si>
    <t>Водопровід від навчальної середньої школи
 вул. Хмельницька  (колишня вул. Кірова) і 
вул. Ломоносова</t>
  </si>
  <si>
    <t>85200,
вул. Центральна, 65</t>
  </si>
  <si>
    <t>Зовнішні мережі каналізації до житлового будинку вул. Догаєва (колишня Красіна), 56</t>
  </si>
  <si>
    <t>м. Добропілля, 
м. Білозерське, с. Бокове</t>
  </si>
  <si>
    <t>85100, 
вул. Волгоградська,
 вул. Інтернаціональна, вул. Київська</t>
  </si>
  <si>
    <t>85100, 
вул. Новоазовська, вул. Мінська, 
 вул. Новосантуринівська</t>
  </si>
  <si>
    <t>85100, 
вул. Чернишевського, вул. Актюбінська</t>
  </si>
  <si>
    <t>85100, 
просп. Ломоносова, вул. Ємельянова</t>
  </si>
  <si>
    <t>Водопровідні мережі до житлового будинку 
№ 1 по вул. Громова</t>
  </si>
  <si>
    <t>Вуличний каналізаційний колектор, 
вул. Злагоди</t>
  </si>
  <si>
    <t>Напірний каналізаційний колектор від КНС 
№ 1а до вул. Лермонтова</t>
  </si>
  <si>
    <t>85106,
 вул. Циолковського, вул. Леваневського</t>
  </si>
  <si>
    <t>Внутрішньомайданчикові мережі каналізації  від Часів-Ярського будівельного  управління-3</t>
  </si>
  <si>
    <t>85100, 
вул. Шкільна, вул. Бородіна, 
вул. Кутузова,  вул. Мусорського, 
вул. Чайковського, вул. Молодіжна</t>
  </si>
  <si>
    <t>85100, 
від вул. Островського до рез. Стадіонна</t>
  </si>
  <si>
    <t>Водопровідні мережі, житловий будинок № 46 квартал 69, житловий будинок № 20в 
 вул. Злагоди</t>
  </si>
  <si>
    <t>Зовнішні мережі водопроводу до 30-ти квартирного житлового будинку по 
пров. Бригадний, буд. 7А</t>
  </si>
  <si>
    <t>84400,
вул. Зелений Гай,  вул. Чернишевського</t>
  </si>
  <si>
    <t>м. Маріуполь,
Кальміуський р-н, с-ще Мирний</t>
  </si>
  <si>
    <t xml:space="preserve">Дренаж лівобережний пойми р. Кальміус                </t>
  </si>
  <si>
    <t>м. Маріуполь, 
Кальміуський р-н</t>
  </si>
  <si>
    <t xml:space="preserve">м. Маріуполь,
Кальміуський р-н, с-ще Мирний  </t>
  </si>
  <si>
    <t>м. Маріуполь,
Центральний р-н, с. Новоселівка</t>
  </si>
  <si>
    <t xml:space="preserve">м. Маріуполь,
Кальміуський р-н,  с-ще Мирний  </t>
  </si>
  <si>
    <t>м. Маріуполь, с. Павлопіль,
 с. Орловське, с. Сартана</t>
  </si>
  <si>
    <r>
      <t>м. Маріуполь, м. Волноваха, 
с. Жовтневе, с. Полкове, 
с. Кас</t>
    </r>
    <r>
      <rPr>
        <sz val="10"/>
        <rFont val="Arial"/>
        <family val="2"/>
        <charset val="204"/>
      </rPr>
      <t>҆</t>
    </r>
    <r>
      <rPr>
        <sz val="10"/>
        <rFont val="Times New Roman"/>
        <family val="1"/>
        <charset val="204"/>
      </rPr>
      <t>янівка, с. Кременівка,
 с. Ключове</t>
    </r>
  </si>
  <si>
    <t>Бахмутський р-н, 
с. Майорськ</t>
  </si>
  <si>
    <t>Бахмутський р-н,
 с. Майорськ</t>
  </si>
  <si>
    <t>Донецька обл. Мар'їнський р-н, 
с. Олександропіль</t>
  </si>
  <si>
    <t>85400,
вул. Мічуріна, вул. Вокзальна</t>
  </si>
  <si>
    <t>85487,
пров. Жуковського, 32</t>
  </si>
  <si>
    <t>85487,
пров. Жуковського, 33</t>
  </si>
  <si>
    <t>85487,
пров. Жуковського, 34</t>
  </si>
  <si>
    <t>85400,
вул. Маяковського, 6
 (будинок культури)</t>
  </si>
  <si>
    <t>85400,
вул. Чайковського, 26- вул. Кутузова</t>
  </si>
  <si>
    <t>85400,
вул. Черняховського
 (гуртожиток СГТ № 2)</t>
  </si>
  <si>
    <t>85400, 
вул. Центральна, 266А,  вул. Мічурина</t>
  </si>
  <si>
    <t>85483,
вул. Завгородня, 29 м. Селидове до траси Київ-Луганськ-Ізварине</t>
  </si>
  <si>
    <t>85483,
 вул. Паркова, вул. Фестивальна, 
вул. Мічуріна</t>
  </si>
  <si>
    <t>Харківська область, 
Ізюмський район, с. Оскіл</t>
  </si>
  <si>
    <t>Кабельна лінія зв'язку від будинку РУ 
 до ШКМ  "О"</t>
  </si>
  <si>
    <t xml:space="preserve">Водовід Маяки-Кpаматоpськ від ПК 221 до 
ПК 243     </t>
  </si>
  <si>
    <t>м. Слов'янськ -с-ще Молочарка</t>
  </si>
  <si>
    <t xml:space="preserve">Тpубопровід побутової каналізації
 майданчика 2 </t>
  </si>
  <si>
    <t>Житловий будинок 12 вул. Hаpвська
 с. Семенівка</t>
  </si>
  <si>
    <t>Житловий будинок 10 вул. Hаpвська 
с. Семенівка</t>
  </si>
  <si>
    <t>Слов'янський р-н,
 с. Семенівка</t>
  </si>
  <si>
    <t>Будівля майстерні на фільтрувальній 
станції № 2</t>
  </si>
  <si>
    <t xml:space="preserve">Слов'янський р-н, 
с. Семенівка </t>
  </si>
  <si>
    <t xml:space="preserve">Слов'янський р-н,
 с. Семенівка </t>
  </si>
  <si>
    <t>84200, 
вул. Космонавтів - вул. Козацька -
 вул. Енгельса</t>
  </si>
  <si>
    <t>84208,
вул. Зарічна - вул. Стадіонна - 
вул. Заборського</t>
  </si>
  <si>
    <t>84293,
вул. Слобожанська вул. Бабушкіна М.С.
вул. Папаніна, вул. Шота Руставелі
вул. Сєдова, вул. Каштанова</t>
  </si>
  <si>
    <t>Водопровідні мережі 
вул. Орджонікідзе  с. Куртівка</t>
  </si>
  <si>
    <t>84200, 
вул. Енгельса, 120, вул. Козацька, 64</t>
  </si>
  <si>
    <t>84326, 
сел. Ашуркове поза зоною забудови</t>
  </si>
  <si>
    <t>84326,
 с-ще Ашуркове поза зоною забудови</t>
  </si>
  <si>
    <t xml:space="preserve">84200,
вул. Джерельна, вул. Хабаровська, 
вул. Добролюбова, вул. Олекси Тихого </t>
  </si>
  <si>
    <t>84200,
вул. О.Гончара, вул. Гріна, вул. Колективна</t>
  </si>
  <si>
    <t>84326,
 сел. Ашуркове поза зоною забудови</t>
  </si>
  <si>
    <t>84200,
вул. Соборна, 32 - вул. Машинобудівників</t>
  </si>
  <si>
    <t>84200,
  вул. Козацька, 91, 95 - вул. Дружби,
 вул. Шахтарська - вул. Потьомкіна</t>
  </si>
  <si>
    <t xml:space="preserve">у 200 метрах від центральної частини
 с. Калинове </t>
  </si>
  <si>
    <t xml:space="preserve">у 200 метрах від центральної частини 
с. Калинове </t>
  </si>
  <si>
    <t>Мирноградське ВУВКГ КП «Компанія «Вода Донбасу»</t>
  </si>
  <si>
    <t>Костянтинівське ВУВКГ КП «Компанія «Вода Донбасу»</t>
  </si>
  <si>
    <t>Слов'янське РВУ КП "Компанія "Вода Донбасу"</t>
  </si>
  <si>
    <t>85200, 
вул. Маяковського, вул. Світла, вул. Дружби</t>
  </si>
  <si>
    <t>85200,
вул. Григорія Сковороди до вул. Пилипенка</t>
  </si>
  <si>
    <t>85200,
вул. Визволителів Донбасу до с. Комсомол</t>
  </si>
  <si>
    <t xml:space="preserve">85200,
вул. Тоболенка до вул. Будівельників </t>
  </si>
  <si>
    <t>85200,
по вул. Маяковського міської лікарні
 вул. Литвинова</t>
  </si>
  <si>
    <t xml:space="preserve">85200, 
квартали 89, 90, вул. Маяковського, 
вул. Світла буд. 4, вул. Дружби </t>
  </si>
  <si>
    <t xml:space="preserve">Зовнішні мережі водопостачання
 мікрорайон № 1           </t>
  </si>
  <si>
    <t xml:space="preserve">Зовнішні мережі водопроводу 60-ти квартирного житлового будинку № 8 
квартал 168         </t>
  </si>
  <si>
    <t xml:space="preserve">Зовнішні мережі водопостачання до житлового будинку № 16 кварталу 102 вул. Лісова   </t>
  </si>
  <si>
    <t xml:space="preserve">85200,
вул. Кочубея, вул. Народна, вул. П.Поповича </t>
  </si>
  <si>
    <t>85200,
вул. Маяковського, вул. Торгова - 
вул. Історична - Щипитькінний Яр</t>
  </si>
  <si>
    <t>85200, 
від д/с № 7 по вул. 8 Березня до вул. Скачкова</t>
  </si>
  <si>
    <t xml:space="preserve">85200, 
вул. Донецька, вул. Маяковського,
 вул. Дружби </t>
  </si>
  <si>
    <t xml:space="preserve">85200, 
вул. Маяковського, вул. 51-ї Армії,
 вул. Дружби </t>
  </si>
  <si>
    <t>Самопливний каналізаційний колектор № 5 Д=2000 довжиною 808 пог. м</t>
  </si>
  <si>
    <t xml:space="preserve">Каналізаційні вуличні лінії вул. Банкова, 
вул. Благодатна, пров. Лісний (вул. Радянська, вул. Комунарів, пров. Лісний)   </t>
  </si>
  <si>
    <t>85000,
вул. Луганського, 23, вул. Першотравнева</t>
  </si>
  <si>
    <t>85000,
просп. Шевченка, 14, вул. Першотравнева</t>
  </si>
  <si>
    <t>85100, 
вул. Спортивна, вул. Джерельна, вул. Чехова, вул. Тбіліська, вул. Шевченка</t>
  </si>
  <si>
    <t>85100, 
вул. Українська, вул. Інтернаціональна,
 вул. Злагоди</t>
  </si>
  <si>
    <t xml:space="preserve">85100, 
вул. Сілікатна, вул. Носулі, вул. Незалежності </t>
  </si>
  <si>
    <t>85100, 
вул. Європейська, вул. Г.Праці, 
 вул. Хабаровська, вул. Харківська, 
вул. Ціолковського</t>
  </si>
  <si>
    <t>85100, 
вул. Тепловозна, вул. Батумська,
вул. Кар'єрна, вул. Кринична, вул. Курська</t>
  </si>
  <si>
    <t>85100,
 вул. Шмідта, вул. Шкільна,
вул. Чайковського, вул. Чернігівська,
 вул. Трудова</t>
  </si>
  <si>
    <t>Внутрішні водопровідні мережі,
 вул. Хабаровська, від житлового  будинку 
№ 62 по вул. Дорожній</t>
  </si>
  <si>
    <t>85100, 
вул. Соборності, вул. Незалежності,
 вул. Мінська</t>
  </si>
  <si>
    <t>Покровський р-н,  
м. Новогродівка, м. Мирноград, 
с. Рівне</t>
  </si>
  <si>
    <t>84400,
 вул. Слов'янська</t>
  </si>
  <si>
    <t>Мережі каналізації 30-ти квартирного та 65-ти квартирного житлового будинку по
 вул. Крупської</t>
  </si>
  <si>
    <t>Живильні кабельні лінії 380/220 Вт 
сел. Каменськ</t>
  </si>
  <si>
    <t>Розвідні мережі ФС-1 резервуар чистої
 води № 2</t>
  </si>
  <si>
    <t xml:space="preserve">Кабельні лінії ФС НС 3-го підйому
 сел. Новосілка  </t>
  </si>
  <si>
    <t>85400,
вул. Центральна, 226- вул. Толбухіна</t>
  </si>
  <si>
    <t xml:space="preserve">Пожежний гідрант 1,25 
вул. З.Космодем'янської, 11      </t>
  </si>
  <si>
    <t>від Центральний водогону до вул. Рятувальна</t>
  </si>
  <si>
    <t>85487,
 вул. Визволителів Донбасу, вул. Лермонтова</t>
  </si>
  <si>
    <t>85400, 
вул. Чайковського, 16, вул. Лермонтова</t>
  </si>
  <si>
    <t xml:space="preserve"> 85400,
 вул .Солона, 55, траса Київ-Луганськ-Ізварине</t>
  </si>
  <si>
    <t>85487,
 вул. Прокоф'єва, 32 до вул. Центральна</t>
  </si>
  <si>
    <t>85483,
вул. Лермонтова</t>
  </si>
  <si>
    <t>85483,
від вул. Донецька, 15 до вул. Мічуріна</t>
  </si>
  <si>
    <t>Резервуар чистої води (РЧВ) № 2 
V=1000 куб. м</t>
  </si>
  <si>
    <t>Резервуар чистої води (РЧВ) № 1 
V=1000 куб. м</t>
  </si>
  <si>
    <t>ЛЕП-6кВ № 10 від КП-3 до насосних станцій 1 підйому 21, 22, 23, 24, 25, 26, 27 до
 ЛЕП- 6 кВ № 11</t>
  </si>
  <si>
    <t>84200,
вул. Р.Люксембург - вул. Восточна -
 вул. А. Коваленка - вул. Стахановська - 
вул. Ціолковського - вул. Гвардійська</t>
  </si>
  <si>
    <t>85171,
вул. Садова - вул. Ювілейна - вул. Нова -
 вул. Центральна</t>
  </si>
  <si>
    <t>84200,
вул. Космонавтів, 13, 29, 21, 5, 15, 7, 3</t>
  </si>
  <si>
    <t>84200,  
вул. Космонавтів, 69, вул. Дружби, 83, 81</t>
  </si>
  <si>
    <t>84200, 
вул. Космонавтів, 51 вул. Енгельса, 12А, 
вул. Паризької Комуни, 75</t>
  </si>
  <si>
    <t xml:space="preserve">84200, 
вул. Р. Люксембург, вул. Сахненка,  
вул. Восточна, вул. Степна, вул. Тімірязєва, 
вул. Сумська,  вул. Театральна,
вул. Ціолковського, вул. Свободи, 
вул. Гвардійська, вул. Святогірська </t>
  </si>
  <si>
    <t>84200,
вул. Лісна, вул. Попова, поза зоною забудови</t>
  </si>
  <si>
    <t>84200,     
вул. Лісна, вул. Попова, поза зоною забудови</t>
  </si>
  <si>
    <t>84200, 
вул. Потьомкіна, вул. Жертв Революції</t>
  </si>
  <si>
    <t>84200,
вул. Туполева академіка, вул. Механізаторів</t>
  </si>
  <si>
    <t>84200,
вул. З.Космодем'янської - вул. Матросова</t>
  </si>
  <si>
    <t>200 м від межі с. Білокузьминівка
 у західному напрямку</t>
  </si>
  <si>
    <t>201 м від межі с. Білокузьминівка
 у західному напрямку</t>
  </si>
  <si>
    <t>202 м від межі с. Білокузьминівка
 у західному напрямку</t>
  </si>
  <si>
    <t>203 м від межі с. Білокузьминівка
 у західному напрямку</t>
  </si>
  <si>
    <t>204 м від межі с. Білокузьминівка
 у західному напрямку</t>
  </si>
  <si>
    <t>205 м від межі с. Білокузьминівка
 у західному напрямку</t>
  </si>
  <si>
    <t>206 м від межі с. Білокузьминівка
 у західному напрямку</t>
  </si>
  <si>
    <t>207 м від межі с. Білокузьминівка
 у західному напрямку</t>
  </si>
  <si>
    <t>208 м від межі с. Білокузьминівка
 у західному напрямку</t>
  </si>
  <si>
    <t>300 м від межі м. Костянтинівка 
у східному напрямку</t>
  </si>
  <si>
    <t>301 м від межі м. Костянтинівка 
у східному напрямку</t>
  </si>
  <si>
    <t>302 м від межі м. Костянтинівка 
у східному напрямку</t>
  </si>
  <si>
    <t>303 м від межі м. Костянтинівка 
у східному напрямку</t>
  </si>
  <si>
    <t>304 м від межі м. Костянтинівка 
у східному напрямку</t>
  </si>
  <si>
    <t>305 м від межі м. Костянтинівка 
у східному напрямку</t>
  </si>
  <si>
    <t>306 м від межі м. Костянтинівка 
у східному напрямку</t>
  </si>
  <si>
    <t>південна околиця на відстані 639 
метрів від села</t>
  </si>
  <si>
    <t>південна околиця на відстані 100
 метрів від села</t>
  </si>
  <si>
    <t xml:space="preserve"> 545 метрів на південний схід від центру 
с. Марково</t>
  </si>
  <si>
    <t>між м. Часів Яр та м. Бахмут</t>
  </si>
  <si>
    <t>500 м від межі с. Берхівка у західному 
напрямку</t>
  </si>
  <si>
    <t>на виїзді з міста Костянтінивка в напрямку 
м. Дружківка</t>
  </si>
  <si>
    <t>500 м від межі с. Берхівка у західному
 напрямку</t>
  </si>
  <si>
    <t>501 м від межі с. Берхівка у західному
 напрямку</t>
  </si>
  <si>
    <t>502 м від межі с. Берхівка у західному
 напрямку</t>
  </si>
  <si>
    <t>503 м від межі с. Берхівка у західному
 напрямку</t>
  </si>
  <si>
    <t>м. Часів Яр,
 м. Костянтинівка</t>
  </si>
  <si>
    <t>від каналу Сіверський Донець - Донбас до
м. Констянтинівка</t>
  </si>
  <si>
    <t>84573,
 на перетині вул. Сергіенко і вул. Набережна</t>
  </si>
  <si>
    <t>84551,
вул. Центральна, вул. Дніпровська</t>
  </si>
  <si>
    <t>84551,
вул. Паркова, вул. Черняховського</t>
  </si>
  <si>
    <t>Бахмутський р-н, с. Богданівка,
 м. Часів Яр</t>
  </si>
  <si>
    <t>2 км на захід  від с. Серебрянка у напрямку
 м. Сіверськ</t>
  </si>
  <si>
    <t>2 км на захід від с. Серебрянка у напрямку
 м. Сіверськ</t>
  </si>
  <si>
    <t xml:space="preserve">Водовід до сел. Руднік (ККП)         </t>
  </si>
  <si>
    <t>84573, 
на перетині вул. Сергіенко і вул. Набережна</t>
  </si>
  <si>
    <t>Бахмутський р-н, 
смт Зайцеве, станція Майорська</t>
  </si>
  <si>
    <t xml:space="preserve">85200, 
вул. Білоруська, просп. Шахтарів             </t>
  </si>
  <si>
    <t>85291, 
вул. Пушкіна, вул. Варшавська, вул. Шосейна</t>
  </si>
  <si>
    <t xml:space="preserve">85200, 
вул. Маяковського 23, вул. Дружби, 34, 28А </t>
  </si>
  <si>
    <t xml:space="preserve">85295, 
пров. 1 Поштовий, пров. 2 Поштовий   </t>
  </si>
  <si>
    <t xml:space="preserve"> 85200, 
вул. Гайдара, вул. Гоголя, вул. Глінки   </t>
  </si>
  <si>
    <t>територія Красногорівської
 сільської ради</t>
  </si>
  <si>
    <t xml:space="preserve"> територія Красногорівської 
сільської ради</t>
  </si>
  <si>
    <t>86060, 
вул. Гагаріна, вул. Семашко, вул. Комунальна</t>
  </si>
  <si>
    <t>85700,
 вул. Вишнева, вул. Полтавська, вул. Громової</t>
  </si>
  <si>
    <t>85700,
вул. Центральна, вул. Магістральна,  
просп. Колійний</t>
  </si>
  <si>
    <t xml:space="preserve">85701, 
вул. Центральна, вул. Чижевського, 
К. Бабіна, вул. Гагаріна, вул. Обручева </t>
  </si>
  <si>
    <t xml:space="preserve">
південно-східна частина селища</t>
  </si>
  <si>
    <t xml:space="preserve">85732, 
від вул. Івана Кононенка до вул. Кошового </t>
  </si>
  <si>
    <t>85732, 
від вул. Івана Кононенка до вул. Київська</t>
  </si>
  <si>
    <t>85732,
вул. Шевцової від пров. Центральний до 
пров. Гайдара</t>
  </si>
  <si>
    <t xml:space="preserve">85732,
від пров. Центральний, 11 до вул. Івана Кононенка </t>
  </si>
  <si>
    <t>85732,
пров. Театральний від вул. Громової, 112 до 
вул. Івана Кононенка</t>
  </si>
  <si>
    <t>водопровідний колодязь ВК 9 до магазину,
 вул. Автомобільна до ВК7, від ВК6 до Набережної</t>
  </si>
  <si>
    <t>85730,
вул. Шевченка, вул. Кориди, 
вул. Б.Хмельницького</t>
  </si>
  <si>
    <t xml:space="preserve">85730,
від вул. Водопьянова до вул. Автомобільна, 
вул. Калинова, вул. Лесі Українки,
 вул. Дружби, вул. Шевченка </t>
  </si>
  <si>
    <t xml:space="preserve">85730,
вул. Лікарняна, вул. Миру, вул. Північна,
 вул. Степова, від головної дороги по
 вул. Північна </t>
  </si>
  <si>
    <t xml:space="preserve">85730,
 вул. Івана Кононенка до переїзду, 
від переїзду до водонапірної вежі,
 від водонапірної вежі до вул. Механізаторів, 
від вул. Механізаторів до мехмайстерень, 
вул. Садова, вул. Відродження </t>
  </si>
  <si>
    <t>85732, 
траса Маріуполь- Слов'янськ, поворот на
 м. Докучаєвськ</t>
  </si>
  <si>
    <t>85732,
 від головної контори через вул. Центральну</t>
  </si>
  <si>
    <t>85732,
 пров. Східний, вул. Київська, вул. Шевцової, вул. Покровська, вул. Громова</t>
  </si>
  <si>
    <t>85721,  
вул. Перемоги, вул. Садова, вул. Паркова,
 вул. Першотравнева, вул. Симоненка,
 вул. Запорожця</t>
  </si>
  <si>
    <t xml:space="preserve"> 85732, 
траса Маріуполь - Слов'янськ, поворот на 
м. Докучаєвськ</t>
  </si>
  <si>
    <t xml:space="preserve">85200, 
просп. Шахтарів по вул. Скачкова до
 дитячого садка </t>
  </si>
  <si>
    <t>85200, 
вул. Дружби (колишня 50 років Жовтня),
 вул. Маяковського</t>
  </si>
  <si>
    <t>85200,
 вул. 51 Армії</t>
  </si>
  <si>
    <t>Добропільський р-н,
 с. Золотий Колодязь, с. Рубіжне</t>
  </si>
  <si>
    <t>85100, 
вул. Праці, вул. Хабаровська, вул. Цинкова, вул. Ціолковського, вул. 6-Вересня</t>
  </si>
  <si>
    <t>85105, 
вул. Братська, вул. 13-ти розстріляних</t>
  </si>
  <si>
    <t>85100, 
вул. Островського, вул. Стадіонна,  
вул. Пушкінська</t>
  </si>
  <si>
    <t>85100, 
вул. О.Островського, вул. Стадіонна, 
вул. Пушкінська</t>
  </si>
  <si>
    <t xml:space="preserve"> 85100, 
вул. Калмикова, вул. Хабаровська</t>
  </si>
  <si>
    <t>87527, 
вул. Першотравнева</t>
  </si>
  <si>
    <t>85487,
вул. Ватутіна, вул. Пушкіна,
пров. Жуковського</t>
  </si>
  <si>
    <t>85400,
вул. Берегова, вул. Московська, 43</t>
  </si>
  <si>
    <t>85610,
вул. Центральна до вул. Рєпіна, 107</t>
  </si>
  <si>
    <t>85483,
вул. Шевченко, вул. Кошового, вул. Леніна</t>
  </si>
  <si>
    <t>85483,
 вул. Мічурина, вул. Чкалова, вул. Лісова</t>
  </si>
  <si>
    <t>м. Краматорськ,
 Костянтинівський район</t>
  </si>
  <si>
    <t>м. Краматорськ, 
Костянтинівський район</t>
  </si>
  <si>
    <t>84100,
 вул. Нарвська</t>
  </si>
  <si>
    <t>84200, 
вул. Космонавтів -вул. Козацька - 
вул. Енгельса</t>
  </si>
  <si>
    <t>84200,
вул. Костянтинівська, вул. Львівська 
вул. Грибоєдова, вул. Верхня, вул. Тульська,
 вул. Лисневського, вул. Мальцева,
 вул. Миргородська, вул. Кошелева, 
вул. Горбатого, вул. Привітна, вул. Туполева академіка, вул. Затишна,  вул. Марії Демченко
вул. Мелітопольська, вул. Героїв Малоземельців
вул. Ювілейна, вул. Дніпропетровська
вул. Криворізька, вул. Карбишева,
 вул. Обручева</t>
  </si>
  <si>
    <t>84396,
 смт. Малотаранівка
 (поза зоною міськзабудови)</t>
  </si>
  <si>
    <t>84396, 
смт. Малотаранівка
(поза зоною міськзабудови)</t>
  </si>
  <si>
    <t>84396,
 смт. Малотаранівка 
(поза зоною міськзабудови)</t>
  </si>
  <si>
    <t>центральна частина села, від 
водоймища за 30 м</t>
  </si>
  <si>
    <t>Будівля водонапірної насосної станції  № 1 Кіровського водозабору Сіверської ділянки</t>
  </si>
  <si>
    <t>на захід від с-ща Новодмитрівка 150 м</t>
  </si>
  <si>
    <t>84536, 
вул. Володарського</t>
  </si>
  <si>
    <t>84551,
пров. Красносільський</t>
  </si>
  <si>
    <t>84551, 
вул. Святогіоргієвська, від б. № 57</t>
  </si>
  <si>
    <t>Бахмутський р-н,
с. Берхівка - с-ще Опитне</t>
  </si>
  <si>
    <t>84500,
вул. Недогибченко</t>
  </si>
  <si>
    <t>300 м від межі м. Костянтинівка у
 східному напрямку</t>
  </si>
  <si>
    <t>300 м від межі м. Костянтинівка у 
східному напрямку</t>
  </si>
  <si>
    <t>200 м від межі с. Білокузьминівка у 
західному напрямку</t>
  </si>
  <si>
    <t>85185,
вул. Транспортна</t>
  </si>
  <si>
    <t>84522, 
вул. Пушкіна, просп. Миру</t>
  </si>
  <si>
    <t>84536, 
вул. Льотчиків, Шосейна, 
Молодіжна, Набережна</t>
  </si>
  <si>
    <t>84536, 
вул. Зелена, Верхня, Першотравнева, 
Шкільна, Садова</t>
  </si>
  <si>
    <t>Бахмутський  р-н, 
с. Бахмутське</t>
  </si>
  <si>
    <t>84583, 
вул. Лісна, вул. Широка, вул. Садова, 
 вул. Шкільна</t>
  </si>
  <si>
    <t>Водопровідні мережі до бази відпочинку
 ім. Орджонікідзе</t>
  </si>
  <si>
    <r>
      <t>Будівля</t>
    </r>
    <r>
      <rPr>
        <b/>
        <sz val="10"/>
        <rFont val="Times New Roman"/>
        <family val="1"/>
        <charset val="204"/>
      </rPr>
      <t xml:space="preserve"> </t>
    </r>
    <r>
      <rPr>
        <sz val="10"/>
        <rFont val="Times New Roman"/>
        <family val="1"/>
        <charset val="204"/>
      </rPr>
      <t>розподільного вузла теплотраси мікрорайону Молодіжний</t>
    </r>
  </si>
  <si>
    <r>
      <t>Передавальний пристрій
 тепломережі</t>
    </r>
    <r>
      <rPr>
        <b/>
        <sz val="10"/>
        <color rgb="FFFF0000"/>
        <rFont val="Times New Roman"/>
        <family val="1"/>
        <charset val="204"/>
      </rPr>
      <t xml:space="preserve"> </t>
    </r>
    <r>
      <rPr>
        <sz val="10"/>
        <rFont val="Times New Roman"/>
        <family val="1"/>
        <charset val="204"/>
      </rPr>
      <t xml:space="preserve"> ДВУ</t>
    </r>
  </si>
  <si>
    <t>Передавальний пристрій 
тепломережі № 3</t>
  </si>
  <si>
    <t>Передавальний пристрій тепломережі  
контора ЖЕК</t>
  </si>
  <si>
    <t xml:space="preserve">Модульна котельня № 23 блок № 2 з 
димовою трубою </t>
  </si>
  <si>
    <t xml:space="preserve">Будівля ЦТП "4  черга"    </t>
  </si>
  <si>
    <t xml:space="preserve">Будівля  ЦТП "Безнощенко"  </t>
  </si>
  <si>
    <t>Теплотраса ЦТП Площа Перемоги 
котельня Центральна № 1</t>
  </si>
  <si>
    <t>Теплотраса ЦТП Площа Перемоги
 котельня Центральна № 2</t>
  </si>
  <si>
    <t>Огороджування території котельні
 Центральна № 1</t>
  </si>
  <si>
    <t xml:space="preserve">Теплотраса котельні "Калмикова-Хабаровська" </t>
  </si>
  <si>
    <t>Водопровід вул. Івана Кононенка
 (Октябрська) від Надії (К Маркса) до 
маг. "Промінь"</t>
  </si>
  <si>
    <t>Водовід від Велико-Анадольської фільтрувальної станції до підключення на
 с. Новотроїцьке</t>
  </si>
  <si>
    <t>Каналізація від вул. Кошового буд. 129 до
 буд. 130</t>
  </si>
  <si>
    <t>Зовнішні мережі водоводу до СШ № 1 
квартал 1012</t>
  </si>
  <si>
    <t>Трубопровід самопливний  і напірний госп. фекальних стоків біологічної очистки 
стічних вод</t>
  </si>
  <si>
    <t>Будівля решіток біологічної очистки 
стічних вод</t>
  </si>
  <si>
    <t>Мережа каналізаційна в районі насосної 
станції</t>
  </si>
  <si>
    <t>Мережа каналізаційна фекальна бані 
селища</t>
  </si>
  <si>
    <t>Каналізаційна мережа дитячого
 садочка</t>
  </si>
  <si>
    <t>Мережа каналізації до буд. № 7
 вул. 40 років Перемоги</t>
  </si>
  <si>
    <t>Нежитлове приміщення по 
вул. Геологічна, буд. 1А (Крупської)</t>
  </si>
  <si>
    <t xml:space="preserve"> Трансформаторна підстанція КНС від
 кварталу 89</t>
  </si>
  <si>
    <t>Відстійник радіальний вторинний № 1 
на ОС м. Торецьк</t>
  </si>
  <si>
    <t>Відстійник радіальний вторинний № 2
 на ОС м. Торецьк</t>
  </si>
  <si>
    <t>Відстійник радіальний вторинний № 3
 на ОС м. Торецьк</t>
  </si>
  <si>
    <t>Відстійник радіальний вторинний № 4
 на ОС м. Торецьк</t>
  </si>
  <si>
    <t xml:space="preserve">Водопровід по вул. Наборського
 (колишня Ленінградська)            </t>
  </si>
  <si>
    <t xml:space="preserve">Водопровід у мікрорайоні № 1
 дільниця 23 вул. Терешкової, 10      </t>
  </si>
  <si>
    <t xml:space="preserve">Водопровід різних діаметрів
 кварталів 90, 91, 168    </t>
  </si>
  <si>
    <t xml:space="preserve">Водопровід до житлового будинку № 1 по
 вул. Грушевського (колишня Енгельса)         </t>
  </si>
  <si>
    <t xml:space="preserve">Водопровід на майданчик до дорожньої 
ділянки         </t>
  </si>
  <si>
    <t xml:space="preserve">Водопровід від "Червоних колодязів"
 до розподільного вузла        </t>
  </si>
  <si>
    <t xml:space="preserve">Водопровід від водопровідного вузла до
 просп. Піонерів           </t>
  </si>
  <si>
    <t xml:space="preserve">Водопровід від кінотеатру
 Б.Хмельницького до СЕС     </t>
  </si>
  <si>
    <t xml:space="preserve">Водопровід від кварталу 100 
вул. Напільна           </t>
  </si>
  <si>
    <t xml:space="preserve">Водопровід від навчальної середньої школи
 вул. Шахтарська (колишня Кірова) та Ломоносова       </t>
  </si>
  <si>
    <t xml:space="preserve">Водопровід від майданчика 
Водопровідного вузла                      </t>
  </si>
  <si>
    <t xml:space="preserve">Водопровід від вул. Кременчуцька до
 Червоних Колодязів          </t>
  </si>
  <si>
    <t xml:space="preserve">Водопровід від вул. Кренкеля до
 Палацу Культури             </t>
  </si>
  <si>
    <t xml:space="preserve">Водопровід від вул. Кренкеля до
 вул. Кольцова     </t>
  </si>
  <si>
    <t xml:space="preserve">Водопровід від вул. Ломоносова 
до хлібозаводу    </t>
  </si>
  <si>
    <t xml:space="preserve">Водопровід від вул. Поштова 
до вул. Шевченка    </t>
  </si>
  <si>
    <t xml:space="preserve">Водопровід від вул. Тоболенка до
 вул. Будівельників (колишня ХХ партз'їзду)    </t>
  </si>
  <si>
    <t xml:space="preserve">Водопровід від вул. Шкільна до 
вул. Карла Маркса    </t>
  </si>
  <si>
    <t xml:space="preserve">Водопровід від вул. Шкільна до 
вул. Пушкіна    </t>
  </si>
  <si>
    <t xml:space="preserve">Водопровід по проспекту Шахтарів
 (колишній Свердлова)                 </t>
  </si>
  <si>
    <t xml:space="preserve">Водопровід по проспекту Шахтарів 
(колишній Свердлова)                  </t>
  </si>
  <si>
    <t xml:space="preserve">Водопровід від вул. Білоруська
 по Тамбовській          </t>
  </si>
  <si>
    <t xml:space="preserve">Водопровід по вул. Маяковського до
 міської лікарні вул. Литвинова       </t>
  </si>
  <si>
    <t xml:space="preserve">Водопровід по вул. Римського
 Корсакова                </t>
  </si>
  <si>
    <t xml:space="preserve">Водопровід по вул. Віктора Якушина
 (колишня Тевосяна)                   </t>
  </si>
  <si>
    <t xml:space="preserve">Водопровід по вул. Лугова
 (колишня Чапаєва)                    </t>
  </si>
  <si>
    <t xml:space="preserve">Зовнішні мережі водопостачання по 
вул. Травнева (колишня Першотравнева)
 до м. Залізне (колишнє Артемове) </t>
  </si>
  <si>
    <t xml:space="preserve">Зовнішній водопровід до житлового
 будинку № 2 кварталу 90              </t>
  </si>
  <si>
    <t xml:space="preserve">Зовнішні мережі водопостачання кварталу 
168 смт Північне (колишнє Кірове)             </t>
  </si>
  <si>
    <t xml:space="preserve">Зовнішні мережі водопостачання до житлового будинку по вул. Дружби
 (колишня 50 років Жовтня)      </t>
  </si>
  <si>
    <t>Напірний колектор № 3 
вул. Маяковського, Торгова (колишня Комсомольська) до вул. Історична
 (колишня Леніна) до Щипитькіного Яру</t>
  </si>
  <si>
    <t>Вуличний колектор просп. Шахтарів
 (колишня Свердлова)</t>
  </si>
  <si>
    <t>Каналізація до житлового 
будинку № 3 квартал 89</t>
  </si>
  <si>
    <t>Каналізація до житлового
 будинку № 2 квартал 89</t>
  </si>
  <si>
    <t>Каналізація до житлового
 будинку № 4 квартал 89</t>
  </si>
  <si>
    <t>Каналізація до житлового
 будинку № 13 квартал 89</t>
  </si>
  <si>
    <t>Зовнішні мережі каналізації до житлового будинку № 7 кварталу 89</t>
  </si>
  <si>
    <t>Зовнішні мережі каналізації до житлового будинку № 11 кварталу 89</t>
  </si>
  <si>
    <t>Зовнішні мережі каналізації до житлового будинку № 10 кварталу 89</t>
  </si>
  <si>
    <t>Зовнішні мережі житлового будинку 
№ 9 кварталу 89</t>
  </si>
  <si>
    <t>Зовнішні мережі житлового
 будинку № 6  кварталу 89</t>
  </si>
  <si>
    <t>Зовнішні мережі житлового
 будинку № 2  кварталу 168</t>
  </si>
  <si>
    <t>Зовнішні мережі житлового 
будинку № 1  кварталу 168</t>
  </si>
  <si>
    <t>Зовнішні мережі до котельної 
кварталу 168</t>
  </si>
  <si>
    <t>Зовнішні мережі каналізації КЭТБ-2 
квартал 102</t>
  </si>
  <si>
    <t>Зовнішні мережі до житлового
 будинку 1 квартал 102</t>
  </si>
  <si>
    <t>Мережі каналізації 
вул. Римського -Корсакова 8А</t>
  </si>
  <si>
    <t>Зовнішні мережі до житлового будинку
 по вул. Центральна, 
(колишня Дзержинського) 43</t>
  </si>
  <si>
    <t>Внутрішньомайданчикові та 
позамайданчикові мережі</t>
  </si>
  <si>
    <t>ЛЕП 6 кВ електропостачання 
водопровідного вузла</t>
  </si>
  <si>
    <t>Трубопровід аварійний випуску стічних 
вод з труб залізо-бетонних</t>
  </si>
  <si>
    <t>Будівля каналізаційної  насосної 
станції № 9</t>
  </si>
  <si>
    <t>Каналізаційна насосна станція
 № 6 (нова)</t>
  </si>
  <si>
    <t>Будівля адміністративно-побутового 
корпуса ООС</t>
  </si>
  <si>
    <t>Водовимірювальний лоток</t>
  </si>
  <si>
    <t>Підвідний водовід ООС 
(об'єднаних очисних споруд)</t>
  </si>
  <si>
    <t>Будівля цегляної забудови 
(трансформаторна)</t>
  </si>
  <si>
    <t xml:space="preserve">Водопровідна мережа вул. Разіна 
</t>
  </si>
  <si>
    <t>Каналізаційний колектор Д=300
 довжиною 110 пог. м</t>
  </si>
  <si>
    <t>Водовід вул. Шосейна
 L=2,48 км D=300</t>
  </si>
  <si>
    <t>Водопровід котельня Восточний 
L=0,204 км D=150</t>
  </si>
  <si>
    <t>Водопровід котельня Молодіжний
 L=0,048 км D=100</t>
  </si>
  <si>
    <t>Каналізаційна мережа Плеханова 
Д=100 L=600 м</t>
  </si>
  <si>
    <t>Каналізаційна мережа Мухамадєєва 
Д=100 L=1 км</t>
  </si>
  <si>
    <t>Каналізаційна мережа вул. Комарова
 Д=100 L=700 м</t>
  </si>
  <si>
    <t>Каналізаційна мережа вул. Різдва Христова (вул.  Островського)  Д=100 L=0,63 км</t>
  </si>
  <si>
    <t>Каналізаційна мережа Толбухіна
 Д=200 L=0,4 км</t>
  </si>
  <si>
    <t>Каналізаційна мережа їдальні квартал 40 
Д=200 L=1,9 км</t>
  </si>
  <si>
    <t>Водопровід вул. Вороб'євського 0,1 км,
 Д=50</t>
  </si>
  <si>
    <t>Водопровід пров. Азовський 0,1 км
 Д=100</t>
  </si>
  <si>
    <t>Водопровід пров. Азовський 0,1 км
  Д=400</t>
  </si>
  <si>
    <t>Водопровід пров. Азовський 0,2 км 
 Д=100</t>
  </si>
  <si>
    <t>Водопровід пров. Уральський 0,29 км  
Д=400</t>
  </si>
  <si>
    <t>Водопровід пров. Уральський 0,2 км
 Д=100</t>
  </si>
  <si>
    <t>Водопровід пров. Азовський 0,2 км
 Д=50</t>
  </si>
  <si>
    <t>Водопровід вул. Уфимська 0,2 км
 Д=50</t>
  </si>
  <si>
    <t>Водопровід вул. Уфимська 0,1 км
 Д=100</t>
  </si>
  <si>
    <t>Водопровід пров. Стандартний (Шота)
 L=0,2 км  Д=100</t>
  </si>
  <si>
    <t>Водопровід пров. Маріупольський 0,3 км
 Д=50</t>
  </si>
  <si>
    <t>Водопровід вул. Мінська L=0,2 км
 Д=50</t>
  </si>
  <si>
    <t>Водопровід вул. Мінська 0,06 км
 Д=75</t>
  </si>
  <si>
    <t>Водопровід від вул. Бридька (Радянська) 
до вул. Тихого</t>
  </si>
  <si>
    <t>Водопровід вул. Павлова 0,1 км
 Д= 400</t>
  </si>
  <si>
    <t>Водопровід вул. Павлова 0,08 км 
Д=100</t>
  </si>
  <si>
    <t>Водопровід вул. Гризодубової 0,6 км
 Д=100</t>
  </si>
  <si>
    <t>Водопровід Молодіжний 0,5 км 
Д=100</t>
  </si>
  <si>
    <t>Водопровід Тульська 0,4 км
 Д=100</t>
  </si>
  <si>
    <t>Водопровід Кузнецький 0,2 км 
Д=50</t>
  </si>
  <si>
    <t>Водопровід Кузнецький 0,1 км
 Д=100</t>
  </si>
  <si>
    <t>Водопровід Брянська 0,2 км 
Д=100</t>
  </si>
  <si>
    <t>Водопровід Брянська 0,17 км 
Д=50</t>
  </si>
  <si>
    <t>Водопровід Азовський 0,37 км
 Д=200</t>
  </si>
  <si>
    <t>Водопровід В.Власова 0,3 км
 Д=150</t>
  </si>
  <si>
    <t>Каналізаційна мережа вул. Черніцина, 4 
Д=200</t>
  </si>
  <si>
    <t>Каналізаційна мережа вул. Черніцина, 17
 Д=200</t>
  </si>
  <si>
    <t>Каналізаційна мережа вул. Черніцина, 2 
Д=100</t>
  </si>
  <si>
    <t>Каналізаційна мережа вул. Читинська, 7 
Д=100</t>
  </si>
  <si>
    <t>Водопровідна мережа пров. Робочий, 10  
Д=50</t>
  </si>
  <si>
    <t>Водопровідна мережа вул. Черніцина, 6 
Д=50</t>
  </si>
  <si>
    <t>Водопровідна мережа вул. Черніцина, 4 
Д=50</t>
  </si>
  <si>
    <t>Водопровідна мережа вул. Чітінська, 17
 Д=50</t>
  </si>
  <si>
    <t>Водопровідна мережа пров. Робочий, 1а
  Д=50</t>
  </si>
  <si>
    <t>Водопровідна мережа пров. Уральський, 8
 Д=25</t>
  </si>
  <si>
    <t>Водопровідна мережа пров. Уральський, 6 
Д=25</t>
  </si>
  <si>
    <t xml:space="preserve">Водопровідна мережа вул. Черніцина, 2
 Д=25 </t>
  </si>
  <si>
    <t xml:space="preserve">Водопровідна мережа вул. Чітінська, 7 
Д=25 </t>
  </si>
  <si>
    <t>Каналізаційна мережа квартал 40
 дитячий садок</t>
  </si>
  <si>
    <t>Зовнішня каналізаційна мережа до
 магазину квартал 40</t>
  </si>
  <si>
    <t>Зовнішня каналізаційна мережа
 буд. 11 квартал 40</t>
  </si>
  <si>
    <t>Водопровід 5-1 мікрорайону
 «Світлий» 96- 1</t>
  </si>
  <si>
    <t>Каналізаційна мережа
 вул. Соборна (Ватутіна), буд. 4</t>
  </si>
  <si>
    <t>Каналізаційна мережа мікрорайон
 «Світлий» буд. 13</t>
  </si>
  <si>
    <t>Каналізаційні мережі дитсадка/ясла 
вул. Донська</t>
  </si>
  <si>
    <t>Водопровід буд. 32 мікрорайон 
«Світлий», буд. 1</t>
  </si>
  <si>
    <t>Каналізаційні мережі мікрорайон
 «Восточний» буд. 8</t>
  </si>
  <si>
    <t>Прибудова розрахункового вузла на
 підстанції Легендарна</t>
  </si>
  <si>
    <t xml:space="preserve">Каналізаційні лінії по вул. Південна
 (вул. Фрунзе)                   </t>
  </si>
  <si>
    <t xml:space="preserve">Каналізаційні лінії по вул. Гірнича 
(вул. Леніна)                   </t>
  </si>
  <si>
    <t xml:space="preserve">Зовнішні каналізаційні лінії житлового 
будинку 2              </t>
  </si>
  <si>
    <t xml:space="preserve">Вулична водопровідна мережа
 пров. Свободний         </t>
  </si>
  <si>
    <t>Водопровідні мережі, котельня по
 вул. Хабаровська</t>
  </si>
  <si>
    <t>Вуличний каналізаційний колектор від КНС 
№ 1 до очисних споруд</t>
  </si>
  <si>
    <t>Каналізаційний колектор вул. Попасна від
 КНС № 6</t>
  </si>
  <si>
    <t>Каналізаційний колектор, мікрорайон
 Північний</t>
  </si>
  <si>
    <t>Водопровідні мережі, житловий будинок № 48  комбінат побутового обслуговування,
 квартал 69</t>
  </si>
  <si>
    <t>Насосна станція "Берестова"
 вул. Мірошниченко</t>
  </si>
  <si>
    <t>Водопровідні мережі, від вул. Шевченко до 
вул. Лозовська</t>
  </si>
  <si>
    <t>Водопровідні мережі,
 с. Олександро-Шультине</t>
  </si>
  <si>
    <t xml:space="preserve">Південно-Донбаський водогін № 1
 (між II і III підйомами)      </t>
  </si>
  <si>
    <t xml:space="preserve">Артезіанська свердловина № 180 4-й водозабір       </t>
  </si>
  <si>
    <t xml:space="preserve">Артезіанська свердловина № 158 4-й водозабір       </t>
  </si>
  <si>
    <t>Будівля насосної станції до
 свердловини № 1505</t>
  </si>
  <si>
    <t>Будівля насосної станції до 
свердловини № 1509</t>
  </si>
  <si>
    <t xml:space="preserve">Резервуар води 1000 куб. м на
 ВНС № 1       </t>
  </si>
  <si>
    <t xml:space="preserve">Мережі водопровідні  35-ти квартирного і 
106-ти квартирного житлових будинків по 
вул. Крупської   </t>
  </si>
  <si>
    <t xml:space="preserve">Зовнішні мережі Водопровідні ПМС-10 до
 30-ти квартирного будинку    </t>
  </si>
  <si>
    <t>Зовнішні водопровідні мережі вул. Чапаєва, 37а 30-ти квартирний житловий будинок</t>
  </si>
  <si>
    <t>Водогін закільцьований по вул. Правда- 
вул. Нова</t>
  </si>
  <si>
    <t xml:space="preserve">Відведення питної води залізобетонний 
Д=1200          </t>
  </si>
  <si>
    <t>Будівля тpансформаторної підстанції в
 с. Осколі (с. Червоний Оскіл)</t>
  </si>
  <si>
    <t>Склад ПММ (паливно-мастильних матеріалів)
 в с. Оскіл (с. Червоний Оскіл)</t>
  </si>
  <si>
    <t>Наглядова будівля верхнього оголовку 
д. Довга № 2</t>
  </si>
  <si>
    <t>Наглядова будівля верхнього оголовку
 д. "Курдюмовка" № 2</t>
  </si>
  <si>
    <t>Службова будівля верхнього оголовку
 д. Середні Ступки № 1</t>
  </si>
  <si>
    <t>Службова будівля верхнього оголовку 
д. Довга № 1</t>
  </si>
  <si>
    <t>Наглядова будівля вхідного оголовку
  д. "Довга" № 3</t>
  </si>
  <si>
    <t>85487, 
вул. Ватутіна, вул. Пушкіна,
  пров. Жуковського</t>
  </si>
  <si>
    <t xml:space="preserve">Водогін Горняцький № 1
 Мережа водопровідна </t>
  </si>
  <si>
    <t>Трубопровід муловий самопливний 
ОС м. Гірник</t>
  </si>
  <si>
    <t>Саpай для дpів вул. Комсомольська
 смт Донецьке на  16 відділень</t>
  </si>
  <si>
    <t>Саpай для дpів вул. Першотравнева
 смт Донецьке на 4 відділення</t>
  </si>
  <si>
    <t>Саpай для дpів вул. Пушкінська 5,
 вул. Жовтнева 6 смт Донецьке на 4 відділення</t>
  </si>
  <si>
    <t>Житловий будинок 4 вул. Польова
 смт Донецьке</t>
  </si>
  <si>
    <t>Будівля насосної станції 1
 вул. Б.Хмельницького</t>
  </si>
  <si>
    <t xml:space="preserve">Водопровід вул. Гаврилівська (колишня
 вул. Больнична (колишня вул.Юрченка)) </t>
  </si>
  <si>
    <t>Енергопостачання та захист 
(залізо-бетонні опори)</t>
  </si>
  <si>
    <t>Каналізаційні мережі 
вул. Чайковського, 6 ,8, 10</t>
  </si>
  <si>
    <t xml:space="preserve">Резеpвуаp технічної води циліндричний
 V500 м3  </t>
  </si>
  <si>
    <t>Резеpвуаp технічної води прямокутний
 V1500 м3 на Артемівській фільтрувальній станції</t>
  </si>
  <si>
    <t>Будівля каналізаційної насосної станції
 сел. Канал</t>
  </si>
  <si>
    <t>Водонапірна вежа Новополтавська 
сільська рада</t>
  </si>
  <si>
    <t>Трубопровід муловий самопливний ОС 
м. Гірник</t>
  </si>
  <si>
    <t>ЛЕП-6кВ № 9 від КП-2 до насосних станцій 1 підйому № 1, 2, 3, 4, 6, 54, 54а, 58, 53а 
до КП-3</t>
  </si>
  <si>
    <t>Відгалуження водоводу до Чеpевковського pезервуару від водоводу Маяки -
 Краматорськ ДДВ</t>
  </si>
  <si>
    <t xml:space="preserve">Водовід від свердловини № 5 до
 pезервуару БHС         </t>
  </si>
  <si>
    <t xml:space="preserve">Водовід від свердловини № 6 до
 свердловини 5              </t>
  </si>
  <si>
    <t xml:space="preserve">Водовід від свердловини № 7 до
 свердловини 5              </t>
  </si>
  <si>
    <t xml:space="preserve">Відгалуження водоводу с. Біленьке від 
водоводу БHС      </t>
  </si>
  <si>
    <t>Будівля фільтрувальної станції 
СФС № 1 ДДВ</t>
  </si>
  <si>
    <t>Будівля  підсобних приміщень на
 майданчику 2 підйому</t>
  </si>
  <si>
    <t xml:space="preserve">Тpубопровід виробничої каналізації 
майданчик 2             </t>
  </si>
  <si>
    <t xml:space="preserve">Водопостачання вул. Комунарів 8 
м. Слов'янськ </t>
  </si>
  <si>
    <t xml:space="preserve">Водопостачання вул. Нарвська 
с. Семенівка    </t>
  </si>
  <si>
    <t xml:space="preserve">Водопостачання пров. Пирогова
с. Семенівка         </t>
  </si>
  <si>
    <t>Водопровід мікрорайон 7 КЕТБ-2 до
 4 черги ТП8</t>
  </si>
  <si>
    <t>Водопровід мікрорайон 7
 вул. Чапаєва, 80, 82а</t>
  </si>
  <si>
    <t>Водопровід до житлового будинку № 2 по 
вул. Новосибірська</t>
  </si>
  <si>
    <t>Водопровід мікрорайон 7 (аптека) 
вул. Чапаєва, 92а</t>
  </si>
  <si>
    <t>Каналізація буд. 4, мікрорайон 7</t>
  </si>
  <si>
    <t>Каналізація буд. 29, мікрорайон 10</t>
  </si>
  <si>
    <t>Каналізація буд. 5, мікрорайон 7</t>
  </si>
  <si>
    <t xml:space="preserve">Резеpвуаp технічної води циліндричний 
V1500 м3 </t>
  </si>
  <si>
    <t xml:space="preserve"> Будівля каналізаційної насосної станції
 цеху № 4</t>
  </si>
  <si>
    <t xml:space="preserve"> Каналізаційна насосна станція
 с. Новодмитрівка</t>
  </si>
  <si>
    <t xml:space="preserve"> Каналізаційна насосна станція № 1 
с-ще Калинівка</t>
  </si>
  <si>
    <t xml:space="preserve"> Каналізаційна насосна станція № 2
 с-ще Калинівка</t>
  </si>
  <si>
    <t xml:space="preserve"> Будівля каналізаційної насосної станції 
вул. Володарського с. Парасковіївка</t>
  </si>
  <si>
    <t xml:space="preserve"> Житловий будинок 2-х квартирний
 м. Костянтинівка</t>
  </si>
  <si>
    <t>Водовід сел. Канал вул. О.Кошового
 D-50,70</t>
  </si>
  <si>
    <t xml:space="preserve">Водовід сел. Нове ЖЕК № 3 D-50, 100   </t>
  </si>
  <si>
    <t xml:space="preserve">Водонапірні мережі вул. Свердлова-
вул. Черняховського   </t>
  </si>
  <si>
    <t xml:space="preserve">Водонапірні мережі вул. Ульянова
 с. Миколаївка        </t>
  </si>
  <si>
    <t xml:space="preserve">Водонапірні мережі вул. Толстого 
с. Миколаївка        </t>
  </si>
  <si>
    <t xml:space="preserve">Каналізаційні мережі вул. Першотравнева-
с. Парасковіївка </t>
  </si>
  <si>
    <t>86060,
вул. Грушевського, пр-т Центральний</t>
  </si>
  <si>
    <t>Ø2500,
L=2,99 км, сталь</t>
  </si>
  <si>
    <t>асф. покр.-195 кв. м;
з/б плити-123 од.</t>
  </si>
  <si>
    <t>Д=63, L=7,16 км, п/е</t>
  </si>
  <si>
    <t>Обласне комунальне підприємство "Донецьктеплокомун-енерго"</t>
  </si>
  <si>
    <t>ВО ОКП "ДТКЕ" “Дзержинськтепломе-режа</t>
  </si>
  <si>
    <t>ВО  ОКП "ДТКЕ" "Краматорськ-
міжрайтепломере-
жа"</t>
  </si>
  <si>
    <t>ВО ОКП "ДТКЕ"  "Димитрівтепломере-жа"</t>
  </si>
  <si>
    <t>ВО ОКП "ДТКЕ" "Слов’янськтепло-мережа"</t>
  </si>
  <si>
    <t>ВО ОКП "ДТКЕ" "Волноваха-
міжрайтепло-мережа"</t>
  </si>
  <si>
    <t>ВО ОКП "ДТКЕ"  "Костянтинiвкатепло-мережа"</t>
  </si>
  <si>
    <t xml:space="preserve">  нерухомого майна, що знаходиться на балансі підприємств, установ, закладів спільної власності станом на 01.01.2018</t>
  </si>
  <si>
    <t>Головний напірний трубопровід                                с. Бахмутське</t>
  </si>
  <si>
    <t>Ясинуватський район
 смт Очеретине</t>
  </si>
  <si>
    <t>85722,
 вул. Кошового</t>
  </si>
  <si>
    <t>85200,
вул. О. Кошового</t>
  </si>
  <si>
    <t xml:space="preserve">Внутрішньомайданчикова каналізаційна лінія          </t>
  </si>
  <si>
    <t>85001,
пров. З. Космодем'янської</t>
  </si>
  <si>
    <t>Мережі водорозподільні, вул. Спортивна,  Джерельна, Чехова, Тбіліська, Шевченка</t>
  </si>
  <si>
    <t>85100, 
вул. Актюбінська, вул. Торецька, 
вул. Силікатна, вул. Тітова, вул. Соборності</t>
  </si>
  <si>
    <t>Вузол 2-го підйому Південно-Донбаського водогону</t>
  </si>
  <si>
    <t>м. Маріуполь, м. Волноваха, 
с. Жовтневе, с. Полкове, 
с. Касянівна, с. Кременівка, 
с. Ключове</t>
  </si>
  <si>
    <t>85400,
вул. Олега Кошового</t>
  </si>
  <si>
    <t>85400, 
траса Київ-Луганськ-Ізварине до 
вул. Пушкіна</t>
  </si>
  <si>
    <t>85483, 
вул. Кошового, вул. Шевченка</t>
  </si>
  <si>
    <t>85483,
 вул. Шевченка, вул. Кошового, вул. Леніна</t>
  </si>
  <si>
    <t>85483,
 вул. Кошового</t>
  </si>
  <si>
    <t xml:space="preserve">Вежа с. Розкішне                  </t>
  </si>
  <si>
    <t xml:space="preserve">Свердловина с. Розкішне               </t>
  </si>
  <si>
    <t>84551, 
вул. Ціолковського</t>
  </si>
  <si>
    <t xml:space="preserve">85400, 
вул. Чернишевського  </t>
  </si>
  <si>
    <t>Водопровідні мережі СГТ (сільгозптехнікиии)</t>
  </si>
  <si>
    <t xml:space="preserve">Будівля котельні "сільгозптехніки"  </t>
  </si>
  <si>
    <t xml:space="preserve">Теплотраса котельні "сільгозптехніки"  </t>
  </si>
  <si>
    <t>Скидний трубопровід</t>
  </si>
  <si>
    <t xml:space="preserve"> Мулоущільнювач № 1 на ОС м. Торецьк</t>
  </si>
  <si>
    <t xml:space="preserve"> Мулоущільнювач № 2 на ОС м. Торецьк</t>
  </si>
  <si>
    <t xml:space="preserve">Водопровід від Горлівської водопровідної станції до водонапірної вежі по 
вул. Крупської       </t>
  </si>
  <si>
    <t xml:space="preserve">85200, 
вул. І.Карабіца </t>
  </si>
  <si>
    <t xml:space="preserve">85200, 
вул. І.Карабіца  </t>
  </si>
  <si>
    <t xml:space="preserve">85200,
вул. Маяковського,
 вул. І.Карабіца, вул. Дружби </t>
  </si>
  <si>
    <t>85200, 
вул. І.Карабіца</t>
  </si>
  <si>
    <t xml:space="preserve">85200, 
вул. Маяковського, вул. І.Карабіца, 
вул. Дружби </t>
  </si>
  <si>
    <t xml:space="preserve">Водопровід по вул. Івана Карабіца
 (колишня Куйбишева)                  </t>
  </si>
  <si>
    <t xml:space="preserve">Зовнішні мережі водопостачання до житлового будинку № 15 кварталу 102
 вул. Лісова 12 </t>
  </si>
  <si>
    <t xml:space="preserve">Водопровід по провулку Ризький                   </t>
  </si>
  <si>
    <t>85200,
пров. Ризький</t>
  </si>
  <si>
    <t>85200,
вул. Васнєцова</t>
  </si>
  <si>
    <t xml:space="preserve">Водопровід по вул. Різдвяна 
(колишня Карла Лібкнехта)                </t>
  </si>
  <si>
    <t xml:space="preserve">Водопровід по вул. О.Кошевого                   </t>
  </si>
  <si>
    <t xml:space="preserve">Водонапірні мережі вул. Кошевого      </t>
  </si>
  <si>
    <t>85200, 
вул. Ризька</t>
  </si>
  <si>
    <t xml:space="preserve">Водопровід по вул. Ризька                    </t>
  </si>
  <si>
    <t xml:space="preserve">Водопровід по вул. Севастопольська            </t>
  </si>
  <si>
    <t xml:space="preserve">85200, 
вул. Залізна </t>
  </si>
  <si>
    <t xml:space="preserve">Водопровід по вул. Залізна
 (колишня Радянська)                  </t>
  </si>
  <si>
    <t xml:space="preserve">85280,
вул. Пузанова, вул. Віктора Якушина, 
вул. Кременчуцька, вул. Незалежності </t>
  </si>
  <si>
    <t>Водопровід до кінного двору</t>
  </si>
  <si>
    <t>Водопровід вул. Л.Чайкіної, 34
 0,04 км  Д=50</t>
  </si>
  <si>
    <t>85320, 
пров. Квітневий</t>
  </si>
  <si>
    <t>Водопровідна мережа пров. Квітневий</t>
  </si>
  <si>
    <t xml:space="preserve">Каналізаційні мережі вул. Незалежності
 (вул. Комсомольська)              </t>
  </si>
  <si>
    <t xml:space="preserve">Каналізаційна лінія просп. Перемоги, буд. 2, пров. Робітничий (пров. Р. Люксембург)     </t>
  </si>
  <si>
    <t xml:space="preserve">Каналізаційні лінії до будівлі суду </t>
  </si>
  <si>
    <t>85100,
вул. Абрамова, вул. Громова, вул. Кутузова, вул. Котляревського, вул. Маріупольська, 
вул. Мірошниченко</t>
  </si>
  <si>
    <t>85100, 
вул. Почтова, вул. Театральна, 
вул. Армійська, вул. Демещенка,  
вул. Ситалова</t>
  </si>
  <si>
    <t>Водовід Hовогродівка - Рівне d = 400 мм</t>
  </si>
  <si>
    <t>Водогін d = 1000 мм № 1 Карлівка - Рівне</t>
  </si>
  <si>
    <t>Водогін d = 1000 мм № 2 Карлівка - Рівне</t>
  </si>
  <si>
    <t xml:space="preserve">Переносний водогін В-6 ЖД          </t>
  </si>
  <si>
    <t xml:space="preserve">Водогін НС 2-го підйому до НС 
колодязя К1-К2            </t>
  </si>
  <si>
    <r>
      <t>Технічний вагон — побутівка</t>
    </r>
    <r>
      <rPr>
        <sz val="10"/>
        <color rgb="FFFF0000"/>
        <rFont val="Times New Roman"/>
        <family val="1"/>
        <charset val="204"/>
      </rPr>
      <t xml:space="preserve">         </t>
    </r>
    <r>
      <rPr>
        <sz val="10"/>
        <rFont val="Times New Roman"/>
        <family val="1"/>
        <charset val="204"/>
      </rPr>
      <t xml:space="preserve">        </t>
    </r>
  </si>
  <si>
    <t>Автопід'їзна автодорога до Майорської НС</t>
  </si>
  <si>
    <t>Автодорожній переїзд через канал на ПК780+42 N 10</t>
  </si>
  <si>
    <t>Стаціонарний механізм N 1 Червонооскільської греблі</t>
  </si>
  <si>
    <t>Стаціонарний механізм N 2 Червонооскільської греблі</t>
  </si>
  <si>
    <t>Стаціонарний механізм N 3 Червонооскільської греблі</t>
  </si>
  <si>
    <t>Стаціонарний механізм N 4 Червонооскільської греблі</t>
  </si>
  <si>
    <t>Стаціонарний механізм N 5 Червонооскільської греблі</t>
  </si>
  <si>
    <t>Свердловина на Райгородському гідровузлі</t>
  </si>
  <si>
    <t>85485,
вул. Ливнева</t>
  </si>
  <si>
    <t>85400, 
вул. Проїзна</t>
  </si>
  <si>
    <t xml:space="preserve">85400, 
траса Київ-Луганськ-Ізварине 700 км </t>
  </si>
  <si>
    <t>85400,
вул. Лисичанська</t>
  </si>
  <si>
    <t>ЛЕП-380В для живлення насосної станції технічного водопостачання с. Червоний Оскіл</t>
  </si>
  <si>
    <t>Позакваpтальні доpоги с. Семенівка</t>
  </si>
  <si>
    <t>Розвантажувальний майданчик на складі 
смт Донецьке</t>
  </si>
  <si>
    <t xml:space="preserve">Резервуар для води смт Південне, 
вул. Південна </t>
  </si>
  <si>
    <t>від  каналу Сіверський Донець - Донбас 
до м. Костянтинівка</t>
  </si>
  <si>
    <t xml:space="preserve">84551,
 вул. Ціолковського, вул. Холода, 
вул. Кліщіївська </t>
  </si>
  <si>
    <t>Пісчана площадка</t>
  </si>
  <si>
    <t>Тонкостінний відстійник</t>
  </si>
  <si>
    <t>Зовнішня каналізація від старої контори ОРП</t>
  </si>
  <si>
    <t xml:space="preserve">84404, 
вул. Переїзна, 3К </t>
  </si>
  <si>
    <t>84404, 
вул. Переїзна, 3К</t>
  </si>
  <si>
    <t xml:space="preserve">84404, 
порв. Робочий, 6А </t>
  </si>
  <si>
    <t xml:space="preserve">Водопровід по вул. Олега Кошового                 </t>
  </si>
  <si>
    <t>85200,
вул. Хижняка</t>
  </si>
  <si>
    <t xml:space="preserve">Водопровід по вул. Хижняка                    </t>
  </si>
  <si>
    <t>85200, 
вул. Хижняка до Лісоторгової Бази</t>
  </si>
  <si>
    <t xml:space="preserve">Водопровід по вул. Хижняка до
 Лісоторгової бази  </t>
  </si>
  <si>
    <t>Водопровід пров. Глибокий-Пушкіна</t>
  </si>
  <si>
    <t>Добропільський р-н,
с. Первомайське</t>
  </si>
  <si>
    <t>84400, 
пров. Переїзний</t>
  </si>
  <si>
    <t xml:space="preserve">Самопливний каналізаційний колектор від дорожніх автомайстерень до інтернату       </t>
  </si>
  <si>
    <t xml:space="preserve">Каналізація по вул. Нова Правда        </t>
  </si>
  <si>
    <t>84400, 
вул. Галієва</t>
  </si>
  <si>
    <t>84400,
вул. Галієва</t>
  </si>
  <si>
    <t xml:space="preserve">Зовнішня каналізація дитячого садка-ясі                    </t>
  </si>
  <si>
    <t>84400, 
 вул. Галієва</t>
  </si>
  <si>
    <t xml:space="preserve">84400, 
порв. Бригадний </t>
  </si>
  <si>
    <t>84400, 
порв. Бригадний</t>
  </si>
  <si>
    <t>Зовнішні мережі каналізації 30-ти квартирного житлового будинку порв. Бригадний</t>
  </si>
  <si>
    <t>Мережі каналізації 50-ти квартирного житлового будинку порв. Бригадний</t>
  </si>
  <si>
    <t xml:space="preserve">Зовнішні мережі каналізації вул. Курбської           </t>
  </si>
  <si>
    <t>84400, 
порв. Бригадний, 7</t>
  </si>
  <si>
    <t>Зовнішні мережі каналізації 30-ти квартирного житлового будинку порв. Бригадний, 7</t>
  </si>
  <si>
    <t>84400, 
порв. Робочий, 26</t>
  </si>
  <si>
    <t>Розвідні водопровідні мережі 27,0 км 
(селище Дробиш еве)</t>
  </si>
  <si>
    <t xml:space="preserve">Поливний водопровід дитячого садку-ясел на 160 місць   </t>
  </si>
  <si>
    <t>Самопливний каналізаційний колектор господарсько-побутових стоків від душових промивки вагонів</t>
  </si>
  <si>
    <t>ЛЕП-10 кВ вздовж каналу СДД N 1 
(3-го підйому)</t>
  </si>
  <si>
    <t>ЛЕП 10 кВ 1-го підйому каналу Райгородського гідровузла</t>
  </si>
  <si>
    <t>Водовипуск 2-го підйому каналу СДД</t>
  </si>
  <si>
    <t>ЛЕП 10 кВ 1-2-го підйомів каналу СДД</t>
  </si>
  <si>
    <t>ЛЕП 10 кВ 2-го підйому каналу-кордон міст
 на трасі Харків-Ростов</t>
  </si>
  <si>
    <t>ЛЕП 10 кВ 2А підйому каналу-кордон міст
 на трасі Харків-Ростов</t>
  </si>
  <si>
    <t>ЛЕП 110 кВ Слов'янська ГРЕС-2-го підйому каналу</t>
  </si>
  <si>
    <t>Фільтри ФПУ-200</t>
  </si>
  <si>
    <t>85485,
вул. Енгельса, 40</t>
  </si>
  <si>
    <t>Гідрант вул. Енгельса, 40</t>
  </si>
  <si>
    <t>85485,
вул. Енгельса, 13</t>
  </si>
  <si>
    <t>Гідрант вул. Енгельса, 13</t>
  </si>
  <si>
    <t>85400,
вул.  Залізнодорожна, 1</t>
  </si>
  <si>
    <t>85400,
вул.  Залізнодорожна, 13</t>
  </si>
  <si>
    <t xml:space="preserve">Побутова каналізація майданчик 12                </t>
  </si>
  <si>
    <t>південна околиця с. Миколаївка
 на відстані 20 м</t>
  </si>
  <si>
    <t>на північній околиці с. Розкішне, на схилі
 б. Безіменна</t>
  </si>
  <si>
    <t xml:space="preserve">Водонапірні мережі вул. Широка с-ще Калинівка         </t>
  </si>
  <si>
    <t xml:space="preserve">Водонапірні мережі вул. Комунарів 
с-ще Калинівка      </t>
  </si>
  <si>
    <t xml:space="preserve">Водонапірні мережі пров. Садовий 
с-ще Калинівка        </t>
  </si>
  <si>
    <t xml:space="preserve">Водонапірні мережі Першотравнева
 с-ще Калинівка       </t>
  </si>
  <si>
    <t xml:space="preserve">Водонапірні мережі вул. Ювілейна 
с-ще Калинівка       </t>
  </si>
  <si>
    <t xml:space="preserve">Водонапірні мережі вул. Жовтнева 
с-ще Калинівка     </t>
  </si>
  <si>
    <t xml:space="preserve">Магістраль с-ще Калинівка            </t>
  </si>
  <si>
    <t xml:space="preserve">Каналізаційні мережі вул. Широка -
 с-ще Калинівка       </t>
  </si>
  <si>
    <t xml:space="preserve">Каналізаційні мережі вул. Жовтнева- 
с-ще Калинівка    </t>
  </si>
  <si>
    <t xml:space="preserve">Каналізаційні мережі пров. Садовий —
 с-ще Калинівка      </t>
  </si>
  <si>
    <t xml:space="preserve">Каналізаційні мережі позавуличні с-ще Калинівка         </t>
  </si>
  <si>
    <t xml:space="preserve">Водопровід по вул. Олега Кошового                </t>
  </si>
  <si>
    <t>85200, 
вул. Тульська</t>
  </si>
  <si>
    <t xml:space="preserve">Водопровід по вул. Тульська                   </t>
  </si>
  <si>
    <t>Пульпопровід сталевий Д=200</t>
  </si>
  <si>
    <t>85320, 
пров. Глибокий</t>
  </si>
  <si>
    <t xml:space="preserve">Зовнішня каналізація, технічна каналізація від технічного перекачування     </t>
  </si>
  <si>
    <t>Самопливний каналізаційний колектор від комбінату Ясла-сад по вул. Чапаєва</t>
  </si>
  <si>
    <t>Безоплатний капремонт будівлі НС 1, НС 1А
 1-го підйому каналу</t>
  </si>
  <si>
    <t>85485,
вул. Кошового</t>
  </si>
  <si>
    <t>Будівля складу хлору (колишня)</t>
  </si>
  <si>
    <t>Водоводи на майданчику Аpтемівської фільтрувальної станції</t>
  </si>
  <si>
    <t xml:space="preserve">Водонапірні мережі с. Розкішне                     </t>
  </si>
  <si>
    <t xml:space="preserve">Водонапірні мережі пров. Шкільний
 с-ще Калинівка       </t>
  </si>
  <si>
    <t xml:space="preserve">Водонапірні мережі 
вул. Жовтнева сел. Калинівка    </t>
  </si>
  <si>
    <t>Зовнішній каналізаційний колектор, 
котельня № 17</t>
  </si>
  <si>
    <t>85295, 
вул. Поштова 23,284,6,5,16,20  
вул. Інтернаціоналістів 1,2,10,11,12,13,
 вул. Єсеніна 1,2,3,4,5,6,7,8,9</t>
  </si>
  <si>
    <t xml:space="preserve">85200, 
вул. Терешкової, вул. Лісова, 
 вул. Центральна     </t>
  </si>
  <si>
    <t xml:space="preserve">Лимарський р-н, 
смт Дробишеве </t>
  </si>
  <si>
    <t>с-ще Мирний</t>
  </si>
  <si>
    <t xml:space="preserve">м. Маріуполь,   
Кальміуський р-н, 
сел. Волонтерівка </t>
  </si>
  <si>
    <t xml:space="preserve">м. Маріуполь,   
Кальміуський р-н,
 сел. Волонтерівка </t>
  </si>
  <si>
    <t xml:space="preserve"> м. Гірник</t>
  </si>
  <si>
    <t>м. Селидове,
 с. Миколаївка</t>
  </si>
  <si>
    <t>85400,
по с. Миколаївка</t>
  </si>
  <si>
    <t>85183,
вул. Центральна, вул. Зарічна, 
вул. Ново-Садова, вул. Донецька,
 вул. Невська,  вул. Шкільна,  вул. 40 років Перемоги, вул. Воробйова</t>
  </si>
  <si>
    <t>Бахмутський р-н,  
с. Серебрянка</t>
  </si>
  <si>
    <t>за с. Берестове до 
с-ще Виїмка -  350 м</t>
  </si>
  <si>
    <t>за с. Берестове до 
с-ще Виїмка - 350 м</t>
  </si>
  <si>
    <t>85200, 
вул. Донецька, 10,12,14</t>
  </si>
  <si>
    <t>85700,
вул. Енгельса, вул. Ярослава Мудрого,
вул. Горького, вул. Гвардійська, 
вул. Донецька</t>
  </si>
  <si>
    <t>85701, 
вул. Шахтарська, вул. Українська, 
вул. Блюхера, вул. К.Скрябіна, 
вул. О.Олійника</t>
  </si>
  <si>
    <t>85732,
 вул. Івана Кононенка, 58 до
 вул. Шевцової, 89</t>
  </si>
  <si>
    <t xml:space="preserve">85730,
вул. Ювілейна, вул. Хлібосольна, 
вул. Водопьянова, вул. Сонячна, 
вул. Яблунева </t>
  </si>
  <si>
    <t>85732,
 траса Маріуполь- Слов'янськ, поворот на 
м. Докучаєвськ</t>
  </si>
  <si>
    <t>85100, 
вул. Трудова, вул. Незалежності,
 вул. Соборності, вул. Л.Українки, 
вул. Київська</t>
  </si>
  <si>
    <t>85100,
 вул. Ломоносова, вул. Суворова, 
вул. Сумська, вул. Осипенка, 
вул. Слов'янська, вул. Мічуріна</t>
  </si>
  <si>
    <t>85100, 
вул. Краснодарська, 2,
 вул. О.Островського, 220</t>
  </si>
  <si>
    <t xml:space="preserve">85100,
 вул. Пушкінська, 279, 285, 287, 
289, 291, 293 </t>
  </si>
  <si>
    <t>Кабельно-повітряна лінія електричних передач  6кВ від підстанції 35/6 до НС станції 
підкачки ВВ</t>
  </si>
  <si>
    <t>Трубопровід технічної води для гідроелеватора біологічної очистки
 стічних вод</t>
  </si>
  <si>
    <t>Зовнішня каналізаційна мережа
 буд. 2 квартал 40</t>
  </si>
  <si>
    <t>Зовнішня  каналізаційна мережа 
буд.6 квартал 40</t>
  </si>
  <si>
    <t xml:space="preserve">Каналізаційні лінії по вул. Праці
 (вул. Соцпраці)                </t>
  </si>
  <si>
    <t>Водопровідні мережі від житлово-експлуатаційної контори № 3 по 
вул. Невського</t>
  </si>
  <si>
    <t>Зовнішні водопровідні мережі, квартал 12
 вул. 6-го Вересня житлові будинки
 № 2,4,7,8,5,6</t>
  </si>
  <si>
    <t>Водопровідні мережі, житловий будинок № 2 мікрорайон 1, вул. Європейська будинки
 № 58,60</t>
  </si>
  <si>
    <t>Квартально-енергетичний блок
 вул. Калмикова-Хабаровська</t>
  </si>
  <si>
    <t>Водопровідні мережі, житловий будинок
 № 27а вул. Калмикова-Хабаровська</t>
  </si>
  <si>
    <t>Водопровідні мережі, житловий будинок
 № 19а  вул. Громова</t>
  </si>
  <si>
    <t>Каналізаційні мережі, житловий будинок 
№ 8а,  мікрорайон "Північний"</t>
  </si>
  <si>
    <t>Водопровідні мережі, житлові будинки 
 № 47,49 квартал 69</t>
  </si>
  <si>
    <t>Самопливний каналізаційний колектор від будівлі Локомотивного Депо по 
проспекту Гагаріна</t>
  </si>
  <si>
    <t>Зовнішні мережі каналізації 106-ти квартирного житлового будинку
 вул. Курбської</t>
  </si>
  <si>
    <t xml:space="preserve">Зовнішні мережі каналізації 157 пог. м      </t>
  </si>
  <si>
    <t>Матеріальний склад в с. Оскіл
 (с. Червоний Оскіл)</t>
  </si>
  <si>
    <t xml:space="preserve">Водопровідна мережа. 
Михайлівський водогін </t>
  </si>
  <si>
    <t>Мережа водопровідна. Водогін
 Горняцький № 2</t>
  </si>
  <si>
    <t>Внутрішньомайданчикові комунікації ВНС 
№ 1 м. Селидове</t>
  </si>
  <si>
    <t>Внутрішньомайданчикові комунікації КНС
 № 2 м. Селидове</t>
  </si>
  <si>
    <t xml:space="preserve">Водовід від майданчика фільтрувальної станції 
№ 2 до магістрального водоводу       </t>
  </si>
  <si>
    <t>Тpубопровід побутової каналізації
 майданчика 2</t>
  </si>
  <si>
    <t>Житловий будинок 2 вул. Польова
 смт Донецьке</t>
  </si>
  <si>
    <t xml:space="preserve">Каналізаційна мережа с. Семенівка
 вул. Нарвська   </t>
  </si>
  <si>
    <t>Водопровід мікрорайону 9 
вул. Космонавтів, 33</t>
  </si>
  <si>
    <t>Водопровід мікрорайон 10
 вул. Космонавтів, 64</t>
  </si>
  <si>
    <t>84200, 
вул. Смоленська, 2, 6,
 вул. Енгельса, 88, 90, 92,
 вул. Космонавтів, 46, 48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</si>
</sst>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0&quot;р.&quot;;[Red]\-#,##0&quot;р.&quot;"/>
    <numFmt numFmtId="165" formatCode="_-* #,##0.00_р_._-;\-* #,##0.00_р_._-;_-* &quot;-&quot;??_р_._-;_-@_-"/>
    <numFmt numFmtId="166" formatCode="_-* #,##0.00_р_._-;\-* #,##0.00_р_._-;_-* \-??_р_._-;_-@_-"/>
    <numFmt numFmtId="167" formatCode="_-* #,##0.00\ _₴_-;\-* #,##0.00\ _₴_-;_-* \-??\ _₴_-;_-@_-"/>
    <numFmt numFmtId="168" formatCode="dd/mm/yy;@"/>
    <numFmt numFmtId="169" formatCode="_(* #,##0.00_);_(* \(#,##0.00\);_(* &quot;-&quot;??_);_(@_)"/>
    <numFmt numFmtId="170" formatCode="dd/mm/yy"/>
    <numFmt numFmtId="171" formatCode="0.0"/>
    <numFmt numFmtId="172" formatCode="\ * #,##0.00&quot;    &quot;;\-* #,##0.00&quot;    &quot;;\ * \-#&quot;    &quot;;\ @\ "/>
    <numFmt numFmtId="173" formatCode="mm/dd/yyyy"/>
  </numFmts>
  <fonts count="72">
    <font>
      <sz val="11"/>
      <color theme="1"/>
      <name val="Calibri"/>
      <family val="2"/>
      <charset val="204"/>
      <scheme val="minor"/>
    </font>
    <font>
      <sz val="10"/>
      <name val="Arial"/>
      <family val="2"/>
      <charset val="204"/>
    </font>
    <font>
      <sz val="10"/>
      <name val="Times New Roman"/>
      <family val="1"/>
      <charset val="204"/>
    </font>
    <font>
      <sz val="10"/>
      <name val="Arial"/>
      <family val="2"/>
      <charset val="204"/>
    </font>
    <font>
      <sz val="12"/>
      <name val="Times New Roman"/>
      <family val="1"/>
      <charset val="204"/>
    </font>
    <font>
      <b/>
      <sz val="12"/>
      <name val="Times New Roman"/>
      <family val="1"/>
      <charset val="204"/>
    </font>
    <font>
      <b/>
      <sz val="12"/>
      <color rgb="FF000000"/>
      <name val="Times New Roman"/>
      <family val="1"/>
      <charset val="204"/>
    </font>
    <font>
      <sz val="12"/>
      <color rgb="FF000000"/>
      <name val="Times New Roman"/>
      <family val="1"/>
      <charset val="204"/>
    </font>
    <font>
      <sz val="10"/>
      <name val="Arial"/>
      <family val="2"/>
      <charset val="204"/>
    </font>
    <font>
      <b/>
      <sz val="12"/>
      <color theme="1"/>
      <name val="Times New Roman"/>
      <family val="1"/>
      <charset val="204"/>
    </font>
    <font>
      <sz val="12"/>
      <color theme="1"/>
      <name val="Times New Roman"/>
      <family val="1"/>
      <charset val="204"/>
    </font>
    <font>
      <vertAlign val="superscript"/>
      <sz val="12"/>
      <color theme="1"/>
      <name val="Times New Roman"/>
      <family val="1"/>
      <charset val="204"/>
    </font>
    <font>
      <b/>
      <sz val="14"/>
      <name val="Times New Roman"/>
      <family val="1"/>
      <charset val="204"/>
    </font>
    <font>
      <u/>
      <sz val="10"/>
      <color rgb="FF0000FF"/>
      <name val="Arial Cyr"/>
      <charset val="204"/>
    </font>
    <font>
      <vertAlign val="superscript"/>
      <sz val="14"/>
      <color theme="1"/>
      <name val="Times New Roman"/>
      <family val="1"/>
      <charset val="204"/>
    </font>
    <font>
      <sz val="11"/>
      <color theme="1"/>
      <name val="Calibri"/>
      <family val="2"/>
      <charset val="204"/>
      <scheme val="minor"/>
    </font>
    <font>
      <sz val="11"/>
      <color theme="1"/>
      <name val="Calibri"/>
      <family val="2"/>
      <scheme val="minor"/>
    </font>
    <font>
      <sz val="11"/>
      <color indexed="8"/>
      <name val="Calibri"/>
      <family val="2"/>
      <charset val="204"/>
    </font>
    <font>
      <sz val="11"/>
      <color indexed="9"/>
      <name val="Calibri"/>
      <family val="2"/>
      <charset val="204"/>
    </font>
    <font>
      <sz val="11"/>
      <color indexed="22"/>
      <name val="Calibri"/>
      <family val="2"/>
      <charset val="204"/>
    </font>
    <font>
      <sz val="8"/>
      <name val="Arial"/>
      <family val="2"/>
      <charset val="1"/>
    </font>
    <font>
      <sz val="11"/>
      <color rgb="FF000000"/>
      <name val="SimSun"/>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5"/>
      <color indexed="62"/>
      <name val="Calibri"/>
      <family val="2"/>
      <charset val="204"/>
    </font>
    <font>
      <b/>
      <sz val="13"/>
      <color indexed="56"/>
      <name val="Calibri"/>
      <family val="2"/>
      <charset val="204"/>
    </font>
    <font>
      <b/>
      <sz val="13"/>
      <color indexed="62"/>
      <name val="Calibri"/>
      <family val="2"/>
      <charset val="204"/>
    </font>
    <font>
      <b/>
      <sz val="11"/>
      <color indexed="56"/>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1"/>
      <color indexed="22"/>
      <name val="Calibri"/>
      <family val="2"/>
      <charset val="204"/>
    </font>
    <font>
      <b/>
      <sz val="18"/>
      <color indexed="56"/>
      <name val="Cambria"/>
      <family val="2"/>
      <charset val="204"/>
    </font>
    <font>
      <sz val="18"/>
      <color indexed="56"/>
      <name val="Cambria"/>
      <family val="2"/>
      <charset val="204"/>
    </font>
    <font>
      <b/>
      <sz val="18"/>
      <color indexed="62"/>
      <name val="Cambria"/>
      <family val="2"/>
      <charset val="204"/>
    </font>
    <font>
      <sz val="11"/>
      <color indexed="60"/>
      <name val="Calibri"/>
      <family val="2"/>
      <charset val="204"/>
    </font>
    <font>
      <sz val="11"/>
      <color indexed="8"/>
      <name val="Calibri"/>
      <family val="2"/>
      <charset val="1"/>
    </font>
    <font>
      <sz val="8"/>
      <color indexed="8"/>
      <name val="Tahoma"/>
      <family val="2"/>
      <charset val="204"/>
    </font>
    <font>
      <sz val="14"/>
      <name val="Arial"/>
      <family val="2"/>
    </font>
    <font>
      <sz val="10"/>
      <name val="Arial"/>
      <family val="2"/>
      <charset val="1"/>
    </font>
    <font>
      <sz val="10"/>
      <name val="Arial Cyr"/>
      <charset val="204"/>
    </font>
    <font>
      <sz val="11"/>
      <color indexed="20"/>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color theme="1"/>
      <name val="Times New Roman"/>
      <family val="1"/>
      <charset val="204"/>
    </font>
    <font>
      <i/>
      <sz val="11"/>
      <color rgb="FF7F7F7F"/>
      <name val="Calibri"/>
      <family val="2"/>
      <charset val="204"/>
      <scheme val="minor"/>
    </font>
    <font>
      <sz val="10"/>
      <color theme="1"/>
      <name val="Times New Roman"/>
      <family val="1"/>
      <charset val="204"/>
    </font>
    <font>
      <b/>
      <sz val="10"/>
      <name val="Times New Roman"/>
      <family val="1"/>
      <charset val="204"/>
    </font>
    <font>
      <sz val="10"/>
      <name val="Arial"/>
      <family val="2"/>
      <charset val="204"/>
    </font>
    <font>
      <sz val="10"/>
      <name val="Times New Roman"/>
      <family val="1"/>
      <charset val="1"/>
    </font>
    <font>
      <sz val="10"/>
      <color rgb="FFFF0000"/>
      <name val="Times New Roman"/>
      <family val="1"/>
      <charset val="204"/>
    </font>
    <font>
      <sz val="10"/>
      <name val="Times New Roman Cyr"/>
      <family val="1"/>
      <charset val="204"/>
    </font>
    <font>
      <sz val="10"/>
      <name val="Times New Roman Cyr"/>
      <charset val="204"/>
    </font>
    <font>
      <sz val="11"/>
      <name val="Times New Roman"/>
      <family val="1"/>
      <charset val="204"/>
    </font>
    <font>
      <sz val="14"/>
      <name val="Times New Roman"/>
      <family val="1"/>
      <charset val="204"/>
    </font>
    <font>
      <b/>
      <sz val="10"/>
      <color rgb="FFFF0000"/>
      <name val="Times New Roman"/>
      <family val="1"/>
      <charset val="204"/>
    </font>
    <font>
      <sz val="10"/>
      <color rgb="FF000000"/>
      <name val="Times New Roman"/>
      <family val="1"/>
      <charset val="204"/>
    </font>
    <font>
      <sz val="10"/>
      <color rgb="FFA6A6A6"/>
      <name val="Times New Roman"/>
      <family val="1"/>
      <charset val="204"/>
    </font>
    <font>
      <sz val="12"/>
      <color rgb="FFA6A6A6"/>
      <name val="Times New Roman"/>
      <family val="1"/>
      <charset val="204"/>
    </font>
    <font>
      <sz val="10"/>
      <color rgb="FF333333"/>
      <name val="Times New Roman"/>
      <family val="1"/>
      <charset val="204"/>
    </font>
    <font>
      <vertAlign val="superscript"/>
      <sz val="10"/>
      <name val="Times New Roman"/>
      <family val="1"/>
      <charset val="204"/>
    </font>
    <font>
      <vertAlign val="superscript"/>
      <sz val="10"/>
      <color rgb="FF000000"/>
      <name val="Times New Roman"/>
      <family val="1"/>
      <charset val="204"/>
    </font>
    <font>
      <sz val="12"/>
      <color rgb="FFFF0000"/>
      <name val="Times New Roman"/>
      <family val="1"/>
      <charset val="204"/>
    </font>
    <font>
      <sz val="10"/>
      <color rgb="FF222222"/>
      <name val="Times New Roman"/>
      <family val="1"/>
      <charset val="204"/>
    </font>
    <font>
      <sz val="10"/>
      <name val="Calibri"/>
      <family val="2"/>
      <charset val="204"/>
    </font>
    <font>
      <sz val="10"/>
      <color rgb="FFFF6600"/>
      <name val="Times New Roman"/>
      <family val="1"/>
      <charset val="204"/>
    </font>
    <font>
      <sz val="11"/>
      <color rgb="FF000000"/>
      <name val="Times New Roman"/>
      <family val="1"/>
      <charset val="204"/>
    </font>
    <font>
      <sz val="10"/>
      <color rgb="FF000000"/>
      <name val="Calibri"/>
      <family val="2"/>
      <charset val="204"/>
    </font>
    <font>
      <b/>
      <sz val="14"/>
      <color rgb="FFFF0000"/>
      <name val="Times New Roman"/>
      <family val="1"/>
      <charset val="204"/>
    </font>
  </fonts>
  <fills count="5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22"/>
        <bgColor indexed="31"/>
      </patternFill>
    </fill>
    <fill>
      <patternFill patternType="solid">
        <fgColor indexed="45"/>
      </patternFill>
    </fill>
    <fill>
      <patternFill patternType="solid">
        <fgColor indexed="47"/>
        <bgColor indexed="22"/>
      </patternFill>
    </fill>
    <fill>
      <patternFill patternType="solid">
        <fgColor indexed="42"/>
      </patternFill>
    </fill>
    <fill>
      <patternFill patternType="solid">
        <fgColor indexed="26"/>
        <bgColor indexed="9"/>
      </patternFill>
    </fill>
    <fill>
      <patternFill patternType="solid">
        <fgColor indexed="46"/>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43"/>
        <bgColor indexed="26"/>
      </patternFill>
    </fill>
    <fill>
      <patternFill patternType="solid">
        <fgColor indexed="44"/>
        <bgColor indexed="24"/>
      </patternFill>
    </fill>
    <fill>
      <patternFill patternType="solid">
        <fgColor indexed="51"/>
      </patternFill>
    </fill>
    <fill>
      <patternFill patternType="solid">
        <fgColor indexed="30"/>
      </patternFill>
    </fill>
    <fill>
      <patternFill patternType="solid">
        <fgColor indexed="49"/>
        <bgColor indexed="4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4"/>
        <bgColor indexed="23"/>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rgb="FFCCFFCC"/>
        <bgColor indexed="64"/>
      </patternFill>
    </fill>
    <fill>
      <patternFill patternType="solid">
        <fgColor rgb="FFFFFFFF"/>
        <bgColor rgb="FFFFFFCC"/>
      </patternFill>
    </fill>
    <fill>
      <patternFill patternType="solid">
        <fgColor theme="0"/>
        <bgColor rgb="FFFFFFCC"/>
      </patternFill>
    </fill>
    <fill>
      <patternFill patternType="solid">
        <fgColor theme="6" tint="0.59999389629810485"/>
        <bgColor indexed="64"/>
      </patternFill>
    </fill>
    <fill>
      <patternFill patternType="solid">
        <fgColor theme="6" tint="0.59999389629810485"/>
        <bgColor rgb="FFFFFFCC"/>
      </patternFill>
    </fill>
    <fill>
      <patternFill patternType="solid">
        <fgColor indexed="9"/>
        <bgColor indexed="26"/>
      </patternFill>
    </fill>
    <fill>
      <patternFill patternType="solid">
        <fgColor rgb="FFFFFFFF"/>
        <bgColor rgb="FFCCFFFF"/>
      </patternFill>
    </fill>
    <fill>
      <patternFill patternType="solid">
        <fgColor rgb="FFD7E4BD"/>
        <bgColor rgb="FFCCFFCC"/>
      </patternFill>
    </fill>
    <fill>
      <patternFill patternType="solid">
        <fgColor theme="0"/>
        <bgColor rgb="FFFAC090"/>
      </patternFill>
    </fill>
    <fill>
      <patternFill patternType="solid">
        <fgColor theme="0"/>
        <bgColor rgb="FFFCD5B5"/>
      </patternFill>
    </fill>
    <fill>
      <patternFill patternType="solid">
        <fgColor theme="0"/>
        <bgColor rgb="FFCCFFFF"/>
      </patternFill>
    </fill>
    <fill>
      <patternFill patternType="solid">
        <fgColor theme="0"/>
        <bgColor rgb="FF00FFFF"/>
      </patternFill>
    </fill>
  </fills>
  <borders count="51">
    <border>
      <left/>
      <right/>
      <top/>
      <bottom/>
      <diagonal/>
    </border>
    <border>
      <left/>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top/>
      <bottom/>
      <diagonal/>
    </border>
    <border>
      <left/>
      <right style="thin">
        <color auto="1"/>
      </right>
      <top/>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s>
  <cellStyleXfs count="118">
    <xf numFmtId="0" fontId="0" fillId="0" borderId="0"/>
    <xf numFmtId="0" fontId="1" fillId="0" borderId="0"/>
    <xf numFmtId="166" fontId="8" fillId="0" borderId="0" applyBorder="0" applyProtection="0"/>
    <xf numFmtId="0" fontId="3" fillId="0" borderId="0"/>
    <xf numFmtId="0" fontId="8" fillId="0" borderId="0"/>
    <xf numFmtId="167" fontId="8" fillId="0" borderId="0" applyBorder="0" applyProtection="0"/>
    <xf numFmtId="0" fontId="3" fillId="0" borderId="0"/>
    <xf numFmtId="0" fontId="2" fillId="0" borderId="0"/>
    <xf numFmtId="0" fontId="2" fillId="0" borderId="0"/>
    <xf numFmtId="0" fontId="3" fillId="0" borderId="0"/>
    <xf numFmtId="166" fontId="3" fillId="0" borderId="0" applyBorder="0" applyProtection="0"/>
    <xf numFmtId="0" fontId="13" fillId="0" borderId="0" applyBorder="0" applyProtection="0"/>
    <xf numFmtId="0" fontId="3" fillId="0" borderId="0"/>
    <xf numFmtId="0" fontId="16" fillId="0" borderId="0"/>
    <xf numFmtId="165" fontId="15" fillId="0" borderId="0" applyFont="0" applyFill="0" applyBorder="0" applyAlignment="0" applyProtection="0"/>
    <xf numFmtId="169" fontId="3" fillId="0" borderId="0" applyFont="0" applyFill="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6" borderId="0" applyNumberFormat="0" applyBorder="0" applyAlignment="0" applyProtection="0"/>
    <xf numFmtId="0" fontId="17" fillId="13" borderId="0" applyNumberFormat="0" applyBorder="0" applyAlignment="0" applyProtection="0"/>
    <xf numFmtId="0" fontId="17" fillId="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6"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8" fillId="14" borderId="0" applyNumberFormat="0" applyBorder="0" applyAlignment="0" applyProtection="0"/>
    <xf numFmtId="0" fontId="19" fillId="15" borderId="0" applyNumberFormat="0" applyBorder="0" applyAlignment="0" applyProtection="0"/>
    <xf numFmtId="0" fontId="18" fillId="16" borderId="0" applyNumberFormat="0" applyBorder="0" applyAlignment="0" applyProtection="0"/>
    <xf numFmtId="0" fontId="19" fillId="17" borderId="0" applyNumberFormat="0" applyBorder="0" applyAlignment="0" applyProtection="0"/>
    <xf numFmtId="0" fontId="18" fillId="22" borderId="0" applyNumberFormat="0" applyBorder="0" applyAlignment="0" applyProtection="0"/>
    <xf numFmtId="0" fontId="19" fillId="4" borderId="0" applyNumberFormat="0" applyBorder="0" applyAlignment="0" applyProtection="0"/>
    <xf numFmtId="0" fontId="18" fillId="23" borderId="0" applyNumberFormat="0" applyBorder="0" applyAlignment="0" applyProtection="0"/>
    <xf numFmtId="0" fontId="19" fillId="21" borderId="0" applyNumberFormat="0" applyBorder="0" applyAlignment="0" applyProtection="0"/>
    <xf numFmtId="0" fontId="18" fillId="24" borderId="0" applyNumberFormat="0" applyBorder="0" applyAlignment="0" applyProtection="0"/>
    <xf numFmtId="0" fontId="19" fillId="6" borderId="0" applyNumberFormat="0" applyBorder="0" applyAlignment="0" applyProtection="0"/>
    <xf numFmtId="0" fontId="3" fillId="0" borderId="0"/>
    <xf numFmtId="0" fontId="20" fillId="0" borderId="0"/>
    <xf numFmtId="164" fontId="21" fillId="0" borderId="0"/>
    <xf numFmtId="0" fontId="18" fillId="25" borderId="0" applyNumberFormat="0" applyBorder="0" applyAlignment="0" applyProtection="0"/>
    <xf numFmtId="0" fontId="19" fillId="21" borderId="0" applyNumberFormat="0" applyBorder="0" applyAlignment="0" applyProtection="0"/>
    <xf numFmtId="0" fontId="18" fillId="26" borderId="0" applyNumberFormat="0" applyBorder="0" applyAlignment="0" applyProtection="0"/>
    <xf numFmtId="0" fontId="19" fillId="27" borderId="0" applyNumberFormat="0" applyBorder="0" applyAlignment="0" applyProtection="0"/>
    <xf numFmtId="0" fontId="18" fillId="28" borderId="0" applyNumberFormat="0" applyBorder="0" applyAlignment="0" applyProtection="0"/>
    <xf numFmtId="0" fontId="19" fillId="29" borderId="0" applyNumberFormat="0" applyBorder="0" applyAlignment="0" applyProtection="0"/>
    <xf numFmtId="0" fontId="18" fillId="22" borderId="0" applyNumberFormat="0" applyBorder="0" applyAlignment="0" applyProtection="0"/>
    <xf numFmtId="0" fontId="19" fillId="30" borderId="0" applyNumberFormat="0" applyBorder="0" applyAlignment="0" applyProtection="0"/>
    <xf numFmtId="0" fontId="18" fillId="23" borderId="0" applyNumberFormat="0" applyBorder="0" applyAlignment="0" applyProtection="0"/>
    <xf numFmtId="0" fontId="19" fillId="21" borderId="0" applyNumberFormat="0" applyBorder="0" applyAlignment="0" applyProtection="0"/>
    <xf numFmtId="0" fontId="18" fillId="31" borderId="0" applyNumberFormat="0" applyBorder="0" applyAlignment="0" applyProtection="0"/>
    <xf numFmtId="0" fontId="19" fillId="32" borderId="0" applyNumberFormat="0" applyBorder="0" applyAlignment="0" applyProtection="0"/>
    <xf numFmtId="0" fontId="22" fillId="12" borderId="33" applyNumberFormat="0" applyAlignment="0" applyProtection="0"/>
    <xf numFmtId="0" fontId="22" fillId="6" borderId="33" applyNumberFormat="0" applyAlignment="0" applyProtection="0"/>
    <xf numFmtId="0" fontId="23" fillId="33" borderId="34" applyNumberFormat="0" applyAlignment="0" applyProtection="0"/>
    <xf numFmtId="0" fontId="23" fillId="4" borderId="34" applyNumberFormat="0" applyAlignment="0" applyProtection="0"/>
    <xf numFmtId="0" fontId="24" fillId="33" borderId="33" applyNumberFormat="0" applyAlignment="0" applyProtection="0"/>
    <xf numFmtId="0" fontId="24" fillId="4" borderId="33" applyNumberFormat="0" applyAlignment="0" applyProtection="0"/>
    <xf numFmtId="0" fontId="25" fillId="0" borderId="35" applyNumberFormat="0" applyFill="0" applyAlignment="0" applyProtection="0"/>
    <xf numFmtId="0" fontId="26" fillId="0" borderId="36" applyNumberFormat="0" applyFill="0" applyAlignment="0" applyProtection="0"/>
    <xf numFmtId="0" fontId="27" fillId="0" borderId="37" applyNumberFormat="0" applyFill="0" applyAlignment="0" applyProtection="0"/>
    <xf numFmtId="0" fontId="28" fillId="0" borderId="37" applyNumberFormat="0" applyFill="0" applyAlignment="0" applyProtection="0"/>
    <xf numFmtId="0" fontId="29" fillId="0" borderId="38" applyNumberFormat="0" applyFill="0" applyAlignment="0" applyProtection="0"/>
    <xf numFmtId="0" fontId="30" fillId="0" borderId="39"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40" applyNumberFormat="0" applyFill="0" applyAlignment="0" applyProtection="0"/>
    <xf numFmtId="0" fontId="31" fillId="0" borderId="41" applyNumberFormat="0" applyFill="0" applyAlignment="0" applyProtection="0"/>
    <xf numFmtId="0" fontId="32" fillId="34" borderId="42" applyNumberFormat="0" applyAlignment="0" applyProtection="0"/>
    <xf numFmtId="0" fontId="33" fillId="35" borderId="42"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8" fillId="0" borderId="0"/>
    <xf numFmtId="0" fontId="17" fillId="0" borderId="0"/>
    <xf numFmtId="0" fontId="15" fillId="0" borderId="0"/>
    <xf numFmtId="0" fontId="39" fillId="0" borderId="0"/>
    <xf numFmtId="0" fontId="40" fillId="0" borderId="0"/>
    <xf numFmtId="0" fontId="41" fillId="0" borderId="0"/>
    <xf numFmtId="0" fontId="3" fillId="0" borderId="0"/>
    <xf numFmtId="0" fontId="3" fillId="0" borderId="0"/>
    <xf numFmtId="0" fontId="42" fillId="0" borderId="0"/>
    <xf numFmtId="0" fontId="15" fillId="0" borderId="0"/>
    <xf numFmtId="0" fontId="43" fillId="5" borderId="0" applyNumberFormat="0" applyBorder="0" applyAlignment="0" applyProtection="0"/>
    <xf numFmtId="0" fontId="43" fillId="37" borderId="0" applyNumberFormat="0" applyBorder="0" applyAlignment="0" applyProtection="0"/>
    <xf numFmtId="0" fontId="3" fillId="38" borderId="43" applyNumberFormat="0" applyFont="0" applyAlignment="0" applyProtection="0"/>
    <xf numFmtId="0" fontId="3" fillId="8" borderId="43" applyNumberFormat="0" applyAlignment="0" applyProtection="0"/>
    <xf numFmtId="0" fontId="44" fillId="0" borderId="44" applyNumberFormat="0" applyFill="0" applyAlignment="0" applyProtection="0"/>
    <xf numFmtId="0" fontId="45" fillId="0" borderId="0" applyNumberFormat="0" applyFill="0" applyBorder="0" applyAlignment="0" applyProtection="0"/>
    <xf numFmtId="166" fontId="17" fillId="0" borderId="0"/>
    <xf numFmtId="165" fontId="17" fillId="0" borderId="0" applyFont="0" applyFill="0" applyBorder="0" applyAlignment="0" applyProtection="0"/>
    <xf numFmtId="0" fontId="46" fillId="7" borderId="0" applyNumberFormat="0" applyBorder="0" applyAlignment="0" applyProtection="0"/>
    <xf numFmtId="0" fontId="46" fillId="39" borderId="0" applyNumberFormat="0" applyBorder="0" applyAlignment="0" applyProtection="0"/>
    <xf numFmtId="167" fontId="3" fillId="0" borderId="0" applyBorder="0" applyProtection="0"/>
    <xf numFmtId="0" fontId="48" fillId="0" borderId="0" applyNumberFormat="0" applyFill="0" applyBorder="0" applyAlignment="0" applyProtection="0"/>
    <xf numFmtId="0" fontId="1" fillId="0" borderId="0"/>
    <xf numFmtId="0" fontId="1" fillId="0" borderId="0"/>
    <xf numFmtId="0" fontId="51" fillId="0" borderId="0"/>
    <xf numFmtId="0" fontId="1" fillId="0" borderId="0"/>
    <xf numFmtId="172" fontId="51" fillId="0" borderId="0" applyBorder="0" applyProtection="0"/>
    <xf numFmtId="172" fontId="1" fillId="0" borderId="0" applyBorder="0" applyProtection="0"/>
  </cellStyleXfs>
  <cellXfs count="642">
    <xf numFmtId="0" fontId="0" fillId="0" borderId="0" xfId="0"/>
    <xf numFmtId="0" fontId="0" fillId="2" borderId="0" xfId="0" applyFill="1"/>
    <xf numFmtId="0" fontId="4" fillId="2" borderId="10"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6" xfId="1" applyFont="1" applyFill="1" applyBorder="1" applyAlignment="1">
      <alignment horizontal="center" vertical="center"/>
    </xf>
    <xf numFmtId="0" fontId="4" fillId="0" borderId="0" xfId="1" applyFont="1" applyAlignment="1">
      <alignment horizontal="center"/>
    </xf>
    <xf numFmtId="0" fontId="10" fillId="0" borderId="9" xfId="1" applyFont="1" applyFill="1" applyBorder="1" applyAlignment="1">
      <alignment horizontal="center" vertical="center"/>
    </xf>
    <xf numFmtId="0" fontId="10" fillId="0" borderId="8" xfId="1" applyFont="1" applyFill="1" applyBorder="1" applyAlignment="1">
      <alignment horizontal="center" vertical="center"/>
    </xf>
    <xf numFmtId="0" fontId="10" fillId="0" borderId="8" xfId="1" applyFont="1" applyFill="1" applyBorder="1" applyAlignment="1">
      <alignment horizontal="center"/>
    </xf>
    <xf numFmtId="168" fontId="4" fillId="0" borderId="29" xfId="7" applyNumberFormat="1" applyFont="1" applyFill="1" applyBorder="1" applyAlignment="1">
      <alignment horizontal="center" vertical="center" wrapText="1"/>
    </xf>
    <xf numFmtId="0" fontId="4" fillId="0" borderId="29" xfId="7" applyFont="1" applyFill="1" applyBorder="1" applyAlignment="1">
      <alignment horizontal="center" vertical="center" wrapText="1"/>
    </xf>
    <xf numFmtId="0" fontId="4" fillId="0" borderId="0" xfId="1" applyFont="1" applyAlignment="1">
      <alignment wrapText="1"/>
    </xf>
    <xf numFmtId="0" fontId="4" fillId="0" borderId="0" xfId="1" applyFont="1" applyAlignment="1">
      <alignment horizontal="center" wrapText="1"/>
    </xf>
    <xf numFmtId="0" fontId="4" fillId="0" borderId="0" xfId="1" applyFont="1" applyAlignment="1">
      <alignment horizontal="center" vertical="center" wrapText="1"/>
    </xf>
    <xf numFmtId="0" fontId="4" fillId="0" borderId="0" xfId="1" applyFont="1" applyAlignment="1">
      <alignment vertical="center" wrapText="1"/>
    </xf>
    <xf numFmtId="0" fontId="4" fillId="0" borderId="25" xfId="6" applyFont="1" applyFill="1" applyBorder="1" applyAlignment="1">
      <alignment horizontal="center" vertical="center" wrapText="1"/>
    </xf>
    <xf numFmtId="0" fontId="10" fillId="0" borderId="7" xfId="1" applyFont="1" applyFill="1" applyBorder="1" applyAlignment="1">
      <alignment horizontal="center"/>
    </xf>
    <xf numFmtId="0" fontId="10" fillId="0" borderId="29" xfId="1" applyFont="1" applyFill="1" applyBorder="1" applyAlignment="1">
      <alignment horizontal="center" vertical="center"/>
    </xf>
    <xf numFmtId="0" fontId="5" fillId="0" borderId="22" xfId="1" applyFont="1" applyFill="1" applyBorder="1" applyAlignment="1">
      <alignment vertical="center" wrapText="1"/>
    </xf>
    <xf numFmtId="0" fontId="5" fillId="0" borderId="0" xfId="1" applyFont="1" applyFill="1" applyBorder="1" applyAlignment="1">
      <alignment vertical="center" wrapText="1"/>
    </xf>
    <xf numFmtId="0" fontId="5" fillId="0" borderId="21" xfId="1" applyFont="1" applyFill="1" applyBorder="1" applyAlignment="1">
      <alignment vertical="center" wrapText="1"/>
    </xf>
    <xf numFmtId="0" fontId="10" fillId="0" borderId="11" xfId="1" applyFont="1" applyFill="1" applyBorder="1" applyAlignment="1">
      <alignment horizontal="center" vertical="center" wrapText="1"/>
    </xf>
    <xf numFmtId="0" fontId="4" fillId="0" borderId="0" xfId="1" applyFont="1" applyAlignment="1">
      <alignment vertical="center"/>
    </xf>
    <xf numFmtId="0" fontId="4" fillId="0" borderId="11" xfId="1" applyFont="1" applyFill="1" applyBorder="1" applyAlignment="1">
      <alignment horizontal="center" vertical="center" wrapText="1"/>
    </xf>
    <xf numFmtId="0" fontId="4" fillId="0" borderId="11" xfId="1" applyFont="1" applyFill="1" applyBorder="1" applyAlignment="1">
      <alignment horizontal="justify" vertical="center" wrapText="1"/>
    </xf>
    <xf numFmtId="0" fontId="4" fillId="0" borderId="25" xfId="1" applyFont="1" applyFill="1" applyBorder="1" applyAlignment="1">
      <alignment horizontal="center" vertical="center" wrapText="1"/>
    </xf>
    <xf numFmtId="0" fontId="4" fillId="0" borderId="29" xfId="1" applyFont="1" applyFill="1" applyBorder="1" applyAlignment="1">
      <alignment horizontal="center" vertical="center" wrapText="1"/>
    </xf>
    <xf numFmtId="0" fontId="4" fillId="0" borderId="25" xfId="1" applyFont="1" applyFill="1" applyBorder="1" applyAlignment="1">
      <alignment horizontal="center" vertical="center"/>
    </xf>
    <xf numFmtId="0" fontId="4" fillId="0" borderId="0" xfId="1" applyFont="1"/>
    <xf numFmtId="0" fontId="4" fillId="0" borderId="29" xfId="1" applyFont="1" applyFill="1" applyBorder="1" applyAlignment="1">
      <alignment horizontal="justify" vertical="center" wrapText="1"/>
    </xf>
    <xf numFmtId="14" fontId="4" fillId="0" borderId="11" xfId="1" applyNumberFormat="1" applyFont="1" applyFill="1" applyBorder="1" applyAlignment="1">
      <alignment horizontal="justify" vertical="center" wrapText="1"/>
    </xf>
    <xf numFmtId="0" fontId="4" fillId="0" borderId="29" xfId="1" applyFont="1" applyFill="1" applyBorder="1" applyAlignment="1">
      <alignment horizontal="center" vertical="center"/>
    </xf>
    <xf numFmtId="0" fontId="4" fillId="0" borderId="30" xfId="1" applyFont="1" applyFill="1" applyBorder="1" applyAlignment="1">
      <alignment vertical="center"/>
    </xf>
    <xf numFmtId="0" fontId="4" fillId="0" borderId="17" xfId="1" applyFont="1" applyFill="1" applyBorder="1" applyAlignment="1">
      <alignment vertical="center"/>
    </xf>
    <xf numFmtId="0" fontId="5" fillId="0" borderId="0" xfId="1" applyFont="1" applyFill="1" applyBorder="1" applyAlignment="1">
      <alignment horizontal="center" vertical="center" wrapText="1"/>
    </xf>
    <xf numFmtId="0" fontId="10" fillId="0" borderId="25" xfId="1" applyFont="1" applyFill="1" applyBorder="1" applyAlignment="1">
      <alignment horizontal="center" vertical="center" wrapText="1"/>
    </xf>
    <xf numFmtId="0" fontId="10" fillId="0" borderId="29" xfId="1" applyFont="1" applyFill="1" applyBorder="1" applyAlignment="1">
      <alignment horizontal="center" vertical="center" wrapText="1"/>
    </xf>
    <xf numFmtId="0" fontId="4" fillId="0" borderId="11" xfId="1" applyFont="1" applyFill="1" applyBorder="1" applyAlignment="1">
      <alignment horizontal="center" vertical="center" wrapText="1"/>
    </xf>
    <xf numFmtId="14" fontId="4" fillId="0" borderId="11" xfId="1" applyNumberFormat="1" applyFont="1" applyFill="1" applyBorder="1" applyAlignment="1">
      <alignment horizontal="center" vertical="center" wrapText="1"/>
    </xf>
    <xf numFmtId="0" fontId="4" fillId="0" borderId="25" xfId="1" applyFont="1" applyFill="1" applyBorder="1" applyAlignment="1">
      <alignment horizontal="center" vertical="center" wrapText="1"/>
    </xf>
    <xf numFmtId="0" fontId="4" fillId="0" borderId="29"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4" fillId="0" borderId="28" xfId="1" applyFont="1" applyFill="1" applyBorder="1" applyAlignment="1">
      <alignment horizontal="center" vertical="center" wrapText="1"/>
    </xf>
    <xf numFmtId="0" fontId="10" fillId="0" borderId="25" xfId="1" applyFont="1" applyFill="1" applyBorder="1" applyAlignment="1">
      <alignment horizontal="center" vertical="center" wrapText="1"/>
    </xf>
    <xf numFmtId="0" fontId="10" fillId="0" borderId="29" xfId="1" applyFont="1" applyFill="1" applyBorder="1" applyAlignment="1">
      <alignment horizontal="center" vertical="center" wrapText="1"/>
    </xf>
    <xf numFmtId="0" fontId="4" fillId="0" borderId="29" xfId="1" quotePrefix="1" applyFont="1" applyFill="1" applyBorder="1" applyAlignment="1">
      <alignment horizontal="center" vertical="center" wrapText="1"/>
    </xf>
    <xf numFmtId="14" fontId="4" fillId="0" borderId="29" xfId="1" applyNumberFormat="1" applyFont="1" applyFill="1" applyBorder="1" applyAlignment="1">
      <alignment horizontal="center" vertical="center" wrapText="1"/>
    </xf>
    <xf numFmtId="49" fontId="4" fillId="0" borderId="29" xfId="1" applyNumberFormat="1" applyFont="1" applyFill="1" applyBorder="1" applyAlignment="1">
      <alignment horizontal="center" vertical="center" wrapText="1"/>
    </xf>
    <xf numFmtId="0" fontId="4" fillId="0" borderId="25" xfId="6" applyFont="1" applyBorder="1" applyAlignment="1">
      <alignment horizontal="center" vertical="center" wrapText="1"/>
    </xf>
    <xf numFmtId="0" fontId="4" fillId="0" borderId="11" xfId="1" applyFont="1" applyFill="1" applyBorder="1" applyAlignment="1">
      <alignment vertical="center"/>
    </xf>
    <xf numFmtId="0" fontId="4" fillId="0" borderId="26" xfId="1" applyFont="1" applyFill="1" applyBorder="1" applyAlignment="1">
      <alignment vertical="center"/>
    </xf>
    <xf numFmtId="0" fontId="4" fillId="0" borderId="25" xfId="1" applyFont="1" applyFill="1" applyBorder="1" applyAlignment="1">
      <alignment horizontal="justify" vertical="center" wrapText="1"/>
    </xf>
    <xf numFmtId="0" fontId="10" fillId="0" borderId="29" xfId="1" applyFont="1" applyFill="1" applyBorder="1" applyAlignment="1">
      <alignment vertical="center"/>
    </xf>
    <xf numFmtId="14" fontId="4" fillId="0" borderId="29" xfId="1" applyNumberFormat="1" applyFont="1" applyFill="1" applyBorder="1" applyAlignment="1">
      <alignment vertical="center"/>
    </xf>
    <xf numFmtId="0" fontId="4" fillId="0" borderId="29" xfId="1" applyFont="1" applyFill="1" applyBorder="1" applyAlignment="1">
      <alignment vertical="center" wrapText="1"/>
    </xf>
    <xf numFmtId="14" fontId="4" fillId="0" borderId="25" xfId="1" applyNumberFormat="1" applyFont="1" applyFill="1" applyBorder="1" applyAlignment="1">
      <alignment horizontal="center" vertical="center" wrapText="1"/>
    </xf>
    <xf numFmtId="165" fontId="9" fillId="0" borderId="11" xfId="1" applyNumberFormat="1" applyFont="1" applyFill="1" applyBorder="1" applyAlignment="1">
      <alignment horizontal="right" vertical="center" wrapText="1"/>
    </xf>
    <xf numFmtId="165" fontId="5" fillId="0" borderId="11" xfId="1" applyNumberFormat="1" applyFont="1" applyFill="1" applyBorder="1" applyAlignment="1">
      <alignment horizontal="right" vertical="center" wrapText="1"/>
    </xf>
    <xf numFmtId="165" fontId="4" fillId="0" borderId="11" xfId="1" applyNumberFormat="1" applyFont="1" applyFill="1" applyBorder="1" applyAlignment="1">
      <alignment horizontal="right" vertical="center" wrapText="1"/>
    </xf>
    <xf numFmtId="165" fontId="9" fillId="0" borderId="25" xfId="1" applyNumberFormat="1" applyFont="1" applyFill="1" applyBorder="1" applyAlignment="1">
      <alignment horizontal="right" vertical="center" wrapText="1"/>
    </xf>
    <xf numFmtId="165" fontId="5" fillId="0" borderId="24" xfId="12" applyNumberFormat="1" applyFont="1" applyFill="1" applyBorder="1" applyAlignment="1">
      <alignment horizontal="right" vertical="center" wrapText="1"/>
    </xf>
    <xf numFmtId="165" fontId="4" fillId="0" borderId="25" xfId="1" applyNumberFormat="1" applyFont="1" applyFill="1" applyBorder="1" applyAlignment="1">
      <alignment horizontal="right" vertical="center" wrapText="1"/>
    </xf>
    <xf numFmtId="165" fontId="4" fillId="0" borderId="24" xfId="12" applyNumberFormat="1" applyFont="1" applyFill="1" applyBorder="1" applyAlignment="1">
      <alignment horizontal="right" vertical="center" wrapText="1"/>
    </xf>
    <xf numFmtId="165" fontId="9" fillId="0" borderId="29" xfId="1" applyNumberFormat="1" applyFont="1" applyFill="1" applyBorder="1" applyAlignment="1">
      <alignment horizontal="right" vertical="center" wrapText="1"/>
    </xf>
    <xf numFmtId="165" fontId="5" fillId="0" borderId="31" xfId="12" applyNumberFormat="1" applyFont="1" applyFill="1" applyBorder="1" applyAlignment="1">
      <alignment horizontal="right" vertical="center" wrapText="1"/>
    </xf>
    <xf numFmtId="165" fontId="4" fillId="0" borderId="29" xfId="1" applyNumberFormat="1" applyFont="1" applyFill="1" applyBorder="1" applyAlignment="1">
      <alignment horizontal="right" vertical="center" wrapText="1"/>
    </xf>
    <xf numFmtId="165" fontId="4" fillId="0" borderId="31" xfId="12" applyNumberFormat="1" applyFont="1" applyFill="1" applyBorder="1" applyAlignment="1">
      <alignment horizontal="right" vertical="center" wrapText="1"/>
    </xf>
    <xf numFmtId="165" fontId="5" fillId="0" borderId="29" xfId="1" applyNumberFormat="1" applyFont="1" applyFill="1" applyBorder="1" applyAlignment="1">
      <alignment horizontal="right" vertical="center" wrapText="1"/>
    </xf>
    <xf numFmtId="165" fontId="5" fillId="0" borderId="25" xfId="1" applyNumberFormat="1" applyFont="1" applyFill="1" applyBorder="1" applyAlignment="1">
      <alignment horizontal="right" vertical="center" wrapText="1"/>
    </xf>
    <xf numFmtId="0" fontId="4" fillId="0" borderId="12" xfId="1" applyFont="1" applyFill="1" applyBorder="1" applyAlignment="1">
      <alignment horizontal="center" vertical="center"/>
    </xf>
    <xf numFmtId="0" fontId="4" fillId="2" borderId="25" xfId="1" applyFont="1" applyFill="1" applyBorder="1" applyAlignment="1">
      <alignment horizontal="center" vertical="center" wrapText="1"/>
    </xf>
    <xf numFmtId="0" fontId="4" fillId="0" borderId="0" xfId="0" applyFont="1"/>
    <xf numFmtId="0" fontId="4" fillId="0" borderId="10" xfId="1" applyFont="1" applyBorder="1" applyAlignment="1">
      <alignment horizontal="center" vertical="center"/>
    </xf>
    <xf numFmtId="0" fontId="4" fillId="2" borderId="0" xfId="1" applyFont="1" applyFill="1"/>
    <xf numFmtId="0" fontId="4" fillId="0" borderId="10" xfId="9" applyFont="1" applyBorder="1" applyAlignment="1">
      <alignment horizontal="center" vertical="center" wrapText="1"/>
    </xf>
    <xf numFmtId="0" fontId="4" fillId="0" borderId="10" xfId="0" applyFont="1" applyBorder="1" applyAlignment="1">
      <alignment horizontal="center" vertical="center"/>
    </xf>
    <xf numFmtId="0" fontId="4" fillId="0" borderId="12" xfId="1" applyFont="1" applyFill="1" applyBorder="1" applyAlignment="1">
      <alignment horizontal="center" vertical="center" wrapText="1"/>
    </xf>
    <xf numFmtId="0" fontId="4" fillId="0" borderId="24" xfId="12" applyFont="1" applyFill="1" applyBorder="1" applyAlignment="1">
      <alignment horizontal="center" vertical="center" wrapText="1"/>
    </xf>
    <xf numFmtId="49" fontId="4" fillId="0" borderId="25" xfId="1" applyNumberFormat="1" applyFont="1" applyFill="1" applyBorder="1" applyAlignment="1">
      <alignment horizontal="center" vertical="center" wrapText="1"/>
    </xf>
    <xf numFmtId="2" fontId="4" fillId="0" borderId="29" xfId="1" applyNumberFormat="1" applyFont="1" applyFill="1" applyBorder="1" applyAlignment="1">
      <alignment horizontal="center" vertical="center" wrapText="1"/>
    </xf>
    <xf numFmtId="0" fontId="4" fillId="0" borderId="8" xfId="1" applyNumberFormat="1" applyFont="1" applyFill="1" applyBorder="1" applyAlignment="1">
      <alignment horizontal="center" vertical="center" wrapText="1"/>
    </xf>
    <xf numFmtId="0" fontId="4" fillId="0" borderId="8" xfId="1" applyFont="1" applyFill="1" applyBorder="1" applyAlignment="1">
      <alignment horizontal="center" vertical="center" wrapText="1"/>
    </xf>
    <xf numFmtId="0" fontId="10" fillId="0" borderId="8" xfId="1" applyFont="1" applyFill="1" applyBorder="1" applyAlignment="1">
      <alignment horizontal="center" vertical="center" wrapText="1"/>
    </xf>
    <xf numFmtId="14" fontId="4" fillId="0" borderId="8" xfId="1" applyNumberFormat="1" applyFont="1" applyFill="1" applyBorder="1" applyAlignment="1">
      <alignment horizontal="center" vertical="center" wrapText="1"/>
    </xf>
    <xf numFmtId="49" fontId="4" fillId="0" borderId="8" xfId="1" applyNumberFormat="1" applyFont="1" applyFill="1" applyBorder="1" applyAlignment="1">
      <alignment horizontal="center" vertical="center" wrapText="1"/>
    </xf>
    <xf numFmtId="3" fontId="4" fillId="0" borderId="8" xfId="1" applyNumberFormat="1" applyFont="1" applyFill="1" applyBorder="1" applyAlignment="1">
      <alignment horizontal="center" vertical="center" wrapText="1"/>
    </xf>
    <xf numFmtId="0" fontId="4" fillId="0" borderId="9" xfId="1" applyFont="1" applyFill="1" applyBorder="1" applyAlignment="1">
      <alignment horizontal="center" vertical="center" wrapText="1"/>
    </xf>
    <xf numFmtId="0" fontId="4" fillId="0" borderId="29" xfId="1" applyNumberFormat="1" applyFont="1" applyFill="1" applyBorder="1" applyAlignment="1">
      <alignment horizontal="center" vertical="center" wrapText="1"/>
    </xf>
    <xf numFmtId="14" fontId="4" fillId="0" borderId="29" xfId="1" quotePrefix="1" applyNumberFormat="1" applyFont="1" applyFill="1" applyBorder="1" applyAlignment="1">
      <alignment horizontal="center" vertical="center" wrapText="1"/>
    </xf>
    <xf numFmtId="3" fontId="5" fillId="0" borderId="25" xfId="1" applyNumberFormat="1" applyFont="1" applyFill="1" applyBorder="1" applyAlignment="1">
      <alignment horizontal="center" vertical="center" wrapText="1"/>
    </xf>
    <xf numFmtId="0" fontId="4" fillId="0" borderId="17" xfId="1" applyFont="1" applyFill="1" applyBorder="1" applyAlignment="1">
      <alignment horizontal="center" vertical="center" wrapText="1"/>
    </xf>
    <xf numFmtId="0" fontId="4" fillId="0" borderId="26" xfId="1" applyFont="1" applyFill="1" applyBorder="1" applyAlignment="1">
      <alignment horizontal="center" vertical="center" wrapText="1"/>
    </xf>
    <xf numFmtId="0" fontId="4" fillId="0" borderId="30" xfId="1" applyFont="1" applyFill="1" applyBorder="1" applyAlignment="1">
      <alignment horizontal="center" vertical="center" wrapText="1"/>
    </xf>
    <xf numFmtId="0" fontId="4" fillId="0" borderId="0" xfId="1" applyFont="1" applyFill="1" applyAlignment="1">
      <alignment horizontal="center" vertical="center" wrapText="1"/>
    </xf>
    <xf numFmtId="0" fontId="4" fillId="0" borderId="17" xfId="0" applyFont="1" applyBorder="1" applyAlignment="1">
      <alignment horizontal="center" vertical="center" wrapText="1"/>
    </xf>
    <xf numFmtId="0" fontId="4" fillId="0" borderId="11" xfId="0" applyFont="1" applyBorder="1" applyAlignment="1">
      <alignment horizontal="center" vertical="center" wrapText="1"/>
    </xf>
    <xf numFmtId="0" fontId="7" fillId="0" borderId="11" xfId="0" applyFont="1" applyBorder="1" applyAlignment="1">
      <alignment horizontal="center" vertical="center" wrapText="1"/>
    </xf>
    <xf numFmtId="170" fontId="4" fillId="0" borderId="11" xfId="0" applyNumberFormat="1" applyFont="1" applyBorder="1" applyAlignment="1">
      <alignment horizontal="center" vertical="center" wrapText="1"/>
    </xf>
    <xf numFmtId="0" fontId="2"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10" xfId="0" applyFont="1" applyBorder="1" applyAlignment="1">
      <alignment horizontal="center" vertical="center" wrapText="1"/>
    </xf>
    <xf numFmtId="170" fontId="4" fillId="0" borderId="10"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9" fillId="0" borderId="7" xfId="1" applyFont="1" applyFill="1" applyBorder="1" applyAlignment="1">
      <alignment horizontal="center" vertical="center"/>
    </xf>
    <xf numFmtId="0" fontId="4" fillId="0" borderId="6" xfId="1" applyFont="1" applyBorder="1" applyAlignment="1">
      <alignment horizontal="center" vertical="center"/>
    </xf>
    <xf numFmtId="0" fontId="6" fillId="0" borderId="10" xfId="0" applyFont="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0" xfId="0" applyFont="1" applyFill="1"/>
    <xf numFmtId="0" fontId="0" fillId="2" borderId="0" xfId="0" applyFont="1" applyFill="1"/>
    <xf numFmtId="0" fontId="4" fillId="2" borderId="7" xfId="1" applyFont="1" applyFill="1" applyBorder="1" applyAlignment="1">
      <alignment horizontal="center" vertical="center" wrapText="1"/>
    </xf>
    <xf numFmtId="0" fontId="4" fillId="2" borderId="8" xfId="1" applyFont="1" applyFill="1" applyBorder="1" applyAlignment="1">
      <alignment horizontal="center" vertical="center" wrapText="1"/>
    </xf>
    <xf numFmtId="3" fontId="4" fillId="2" borderId="8" xfId="1"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0" fontId="10" fillId="2" borderId="8" xfId="1" applyFont="1" applyFill="1" applyBorder="1" applyAlignment="1">
      <alignment horizontal="center" vertical="center" wrapText="1"/>
    </xf>
    <xf numFmtId="0" fontId="4" fillId="2" borderId="45" xfId="1" applyFont="1" applyFill="1" applyBorder="1" applyAlignment="1">
      <alignment horizontal="center" vertical="center" wrapText="1"/>
    </xf>
    <xf numFmtId="3" fontId="4" fillId="2" borderId="45" xfId="1" applyNumberFormat="1" applyFont="1" applyFill="1" applyBorder="1" applyAlignment="1">
      <alignment horizontal="center" vertical="center" wrapText="1"/>
    </xf>
    <xf numFmtId="0" fontId="4" fillId="40" borderId="0" xfId="1" applyFont="1" applyFill="1" applyBorder="1" applyAlignment="1">
      <alignment horizontal="center" vertical="center" wrapText="1"/>
    </xf>
    <xf numFmtId="0" fontId="4" fillId="40" borderId="0" xfId="1" applyFont="1" applyFill="1"/>
    <xf numFmtId="0" fontId="4" fillId="2" borderId="30" xfId="1" applyFont="1" applyFill="1" applyBorder="1" applyAlignment="1">
      <alignment vertical="center"/>
    </xf>
    <xf numFmtId="0" fontId="4" fillId="2" borderId="29" xfId="1" applyFont="1" applyFill="1" applyBorder="1" applyAlignment="1">
      <alignment horizontal="justify" vertical="center" wrapText="1"/>
    </xf>
    <xf numFmtId="0" fontId="4" fillId="2" borderId="29" xfId="1" applyFont="1" applyFill="1" applyBorder="1" applyAlignment="1">
      <alignment vertical="center" wrapText="1"/>
    </xf>
    <xf numFmtId="0" fontId="4" fillId="2" borderId="29" xfId="1" applyFont="1" applyFill="1" applyBorder="1" applyAlignment="1">
      <alignment horizontal="center" vertical="center" wrapText="1"/>
    </xf>
    <xf numFmtId="0" fontId="10" fillId="2" borderId="29" xfId="1" applyFont="1" applyFill="1" applyBorder="1" applyAlignment="1">
      <alignment horizontal="center" vertical="center" wrapText="1"/>
    </xf>
    <xf numFmtId="14" fontId="4" fillId="2" borderId="11" xfId="1" applyNumberFormat="1" applyFont="1" applyFill="1" applyBorder="1" applyAlignment="1">
      <alignment horizontal="justify" vertical="center" wrapText="1"/>
    </xf>
    <xf numFmtId="165" fontId="9" fillId="2" borderId="29" xfId="1" applyNumberFormat="1" applyFont="1" applyFill="1" applyBorder="1" applyAlignment="1">
      <alignment horizontal="right" vertical="center" wrapText="1"/>
    </xf>
    <xf numFmtId="165" fontId="5" fillId="2" borderId="29" xfId="1" applyNumberFormat="1" applyFont="1" applyFill="1" applyBorder="1" applyAlignment="1">
      <alignment horizontal="right" vertical="center" wrapText="1"/>
    </xf>
    <xf numFmtId="165" fontId="4" fillId="2" borderId="29" xfId="1" applyNumberFormat="1" applyFont="1" applyFill="1" applyBorder="1" applyAlignment="1">
      <alignment horizontal="right" vertical="center" wrapText="1"/>
    </xf>
    <xf numFmtId="0" fontId="4" fillId="2" borderId="12" xfId="1" applyFont="1" applyFill="1" applyBorder="1" applyAlignment="1">
      <alignment horizontal="center" vertical="center"/>
    </xf>
    <xf numFmtId="14" fontId="4" fillId="2" borderId="16" xfId="1" applyNumberFormat="1" applyFont="1" applyFill="1" applyBorder="1" applyAlignment="1">
      <alignment horizontal="justify" vertical="center" wrapText="1"/>
    </xf>
    <xf numFmtId="0" fontId="4" fillId="2" borderId="25" xfId="1" applyFont="1" applyFill="1" applyBorder="1" applyAlignment="1">
      <alignment vertical="center" wrapText="1"/>
    </xf>
    <xf numFmtId="0" fontId="4" fillId="2" borderId="25" xfId="1" applyNumberFormat="1" applyFont="1" applyFill="1" applyBorder="1" applyAlignment="1">
      <alignment horizontal="center" vertical="center" wrapText="1"/>
    </xf>
    <xf numFmtId="0" fontId="10" fillId="2" borderId="25" xfId="1" applyFont="1" applyFill="1" applyBorder="1" applyAlignment="1">
      <alignment horizontal="center" vertical="center" wrapText="1"/>
    </xf>
    <xf numFmtId="14" fontId="4" fillId="2" borderId="25" xfId="1" applyNumberFormat="1" applyFont="1" applyFill="1" applyBorder="1" applyAlignment="1">
      <alignment horizontal="center" vertical="center" wrapText="1"/>
    </xf>
    <xf numFmtId="165" fontId="9" fillId="2" borderId="25" xfId="1" applyNumberFormat="1" applyFont="1" applyFill="1" applyBorder="1" applyAlignment="1">
      <alignment horizontal="right" vertical="center" wrapText="1"/>
    </xf>
    <xf numFmtId="165" fontId="5" fillId="2" borderId="25" xfId="1" applyNumberFormat="1" applyFont="1" applyFill="1" applyBorder="1" applyAlignment="1">
      <alignment horizontal="right" vertical="center" wrapText="1"/>
    </xf>
    <xf numFmtId="165" fontId="4" fillId="2" borderId="25" xfId="1" applyNumberFormat="1" applyFont="1" applyFill="1" applyBorder="1" applyAlignment="1">
      <alignment horizontal="right" vertical="center" wrapText="1"/>
    </xf>
    <xf numFmtId="0" fontId="4" fillId="2" borderId="16" xfId="1" applyFont="1" applyFill="1" applyBorder="1" applyAlignment="1">
      <alignment vertical="center" wrapText="1"/>
    </xf>
    <xf numFmtId="0" fontId="4" fillId="2" borderId="16" xfId="1" applyFont="1" applyFill="1" applyBorder="1" applyAlignment="1">
      <alignment horizontal="center" vertical="center" wrapText="1"/>
    </xf>
    <xf numFmtId="0" fontId="10" fillId="2" borderId="16" xfId="1" applyFont="1" applyFill="1" applyBorder="1" applyAlignment="1">
      <alignment horizontal="center" vertical="center" wrapText="1"/>
    </xf>
    <xf numFmtId="0" fontId="4" fillId="2" borderId="16" xfId="1" applyFont="1" applyFill="1" applyBorder="1" applyAlignment="1">
      <alignment horizontal="justify" vertical="center" wrapText="1"/>
    </xf>
    <xf numFmtId="165" fontId="9" fillId="2" borderId="16" xfId="1" applyNumberFormat="1" applyFont="1" applyFill="1" applyBorder="1" applyAlignment="1">
      <alignment horizontal="right" vertical="center" wrapText="1"/>
    </xf>
    <xf numFmtId="165" fontId="5" fillId="2" borderId="16" xfId="1" applyNumberFormat="1" applyFont="1" applyFill="1" applyBorder="1" applyAlignment="1">
      <alignment horizontal="right" vertical="center" wrapText="1"/>
    </xf>
    <xf numFmtId="165" fontId="4" fillId="2" borderId="16" xfId="1" applyNumberFormat="1" applyFont="1" applyFill="1" applyBorder="1" applyAlignment="1">
      <alignment horizontal="right" vertical="center" wrapText="1"/>
    </xf>
    <xf numFmtId="0" fontId="4" fillId="2" borderId="25" xfId="6" applyFont="1" applyFill="1" applyBorder="1" applyAlignment="1">
      <alignment horizontal="center" vertical="center" wrapText="1"/>
    </xf>
    <xf numFmtId="0" fontId="4" fillId="2" borderId="28" xfId="1" applyFont="1" applyFill="1" applyBorder="1" applyAlignment="1">
      <alignment vertical="center" wrapText="1"/>
    </xf>
    <xf numFmtId="0" fontId="4" fillId="2" borderId="29" xfId="1" applyNumberFormat="1" applyFont="1" applyFill="1" applyBorder="1" applyAlignment="1">
      <alignment vertical="center" wrapText="1"/>
    </xf>
    <xf numFmtId="14" fontId="4" fillId="2" borderId="11" xfId="1" applyNumberFormat="1" applyFont="1" applyFill="1" applyBorder="1" applyAlignment="1">
      <alignment vertical="center" wrapText="1"/>
    </xf>
    <xf numFmtId="0" fontId="4" fillId="2" borderId="28" xfId="1" applyFont="1" applyFill="1" applyBorder="1" applyAlignment="1">
      <alignment horizontal="center" vertical="center" wrapText="1"/>
    </xf>
    <xf numFmtId="0" fontId="10" fillId="2" borderId="7" xfId="1" applyFont="1" applyFill="1" applyBorder="1" applyAlignment="1">
      <alignment vertical="center"/>
    </xf>
    <xf numFmtId="0" fontId="4" fillId="2" borderId="8" xfId="1" applyFont="1" applyFill="1" applyBorder="1" applyAlignment="1">
      <alignment vertical="center"/>
    </xf>
    <xf numFmtId="0" fontId="4" fillId="2" borderId="8" xfId="1" applyFont="1" applyFill="1" applyBorder="1" applyAlignment="1">
      <alignment horizontal="center" vertical="center"/>
    </xf>
    <xf numFmtId="0" fontId="10" fillId="2" borderId="8" xfId="1" applyFont="1" applyFill="1" applyBorder="1" applyAlignment="1">
      <alignment horizontal="center" vertical="center"/>
    </xf>
    <xf numFmtId="165" fontId="10" fillId="2" borderId="8" xfId="1" applyNumberFormat="1" applyFont="1" applyFill="1" applyBorder="1" applyAlignment="1">
      <alignment horizontal="right" vertical="center" wrapText="1"/>
    </xf>
    <xf numFmtId="0" fontId="10" fillId="2" borderId="9" xfId="1" applyFont="1" applyFill="1" applyBorder="1" applyAlignment="1">
      <alignment horizontal="center" vertical="center"/>
    </xf>
    <xf numFmtId="0" fontId="4" fillId="2" borderId="17" xfId="0" applyFont="1" applyFill="1" applyBorder="1" applyAlignment="1">
      <alignment horizontal="center" vertical="center"/>
    </xf>
    <xf numFmtId="0" fontId="4" fillId="2" borderId="11" xfId="0" applyFont="1" applyFill="1" applyBorder="1" applyAlignment="1">
      <alignment horizontal="justify" vertical="center"/>
    </xf>
    <xf numFmtId="0" fontId="4" fillId="2" borderId="11" xfId="0" applyFont="1" applyFill="1" applyBorder="1" applyAlignment="1">
      <alignment horizontal="center" vertical="center"/>
    </xf>
    <xf numFmtId="0" fontId="7" fillId="2" borderId="11" xfId="0" applyFont="1" applyFill="1" applyBorder="1" applyAlignment="1">
      <alignment horizontal="justify"/>
    </xf>
    <xf numFmtId="0" fontId="7" fillId="2" borderId="11" xfId="0" applyFont="1" applyFill="1" applyBorder="1" applyAlignment="1">
      <alignment horizontal="justify" vertical="center"/>
    </xf>
    <xf numFmtId="170" fontId="4" fillId="2" borderId="11" xfId="0" applyNumberFormat="1" applyFont="1" applyFill="1" applyBorder="1" applyAlignment="1">
      <alignment horizontal="center" vertical="center"/>
    </xf>
    <xf numFmtId="0" fontId="7" fillId="2" borderId="11" xfId="0" applyFont="1" applyFill="1" applyBorder="1" applyAlignment="1">
      <alignment horizontal="right" vertical="center"/>
    </xf>
    <xf numFmtId="0" fontId="4" fillId="2" borderId="11" xfId="0" applyFont="1" applyFill="1" applyBorder="1" applyAlignment="1">
      <alignment horizontal="right" vertical="center"/>
    </xf>
    <xf numFmtId="49" fontId="4" fillId="2" borderId="11" xfId="0" applyNumberFormat="1" applyFont="1" applyFill="1" applyBorder="1" applyAlignment="1">
      <alignment horizontal="right" vertical="center"/>
    </xf>
    <xf numFmtId="0" fontId="4" fillId="2" borderId="12" xfId="0" applyFont="1" applyFill="1" applyBorder="1" applyAlignment="1">
      <alignment horizontal="justify" vertical="center"/>
    </xf>
    <xf numFmtId="0" fontId="4" fillId="2" borderId="13" xfId="0" applyFont="1" applyFill="1" applyBorder="1" applyAlignment="1">
      <alignment horizontal="center" vertical="center"/>
    </xf>
    <xf numFmtId="0" fontId="4" fillId="2" borderId="10" xfId="0" applyFont="1" applyFill="1" applyBorder="1" applyAlignment="1">
      <alignment horizontal="justify" vertical="center"/>
    </xf>
    <xf numFmtId="0" fontId="4" fillId="2" borderId="10" xfId="0" applyFont="1" applyFill="1" applyBorder="1" applyAlignment="1">
      <alignment horizontal="center" vertical="center"/>
    </xf>
    <xf numFmtId="0" fontId="7" fillId="2" borderId="10" xfId="0" applyFont="1" applyFill="1" applyBorder="1" applyAlignment="1">
      <alignment horizontal="justify" vertical="center"/>
    </xf>
    <xf numFmtId="170" fontId="4" fillId="2" borderId="10" xfId="0" applyNumberFormat="1" applyFont="1" applyFill="1" applyBorder="1" applyAlignment="1">
      <alignment horizontal="center" vertical="center"/>
    </xf>
    <xf numFmtId="0" fontId="7" fillId="2" borderId="10" xfId="0" applyFont="1" applyFill="1" applyBorder="1" applyAlignment="1">
      <alignment horizontal="right" vertical="center"/>
    </xf>
    <xf numFmtId="0" fontId="4" fillId="2" borderId="10" xfId="0" applyFont="1" applyFill="1" applyBorder="1" applyAlignment="1">
      <alignment horizontal="right" vertical="center"/>
    </xf>
    <xf numFmtId="0" fontId="4" fillId="2" borderId="14" xfId="0" applyFont="1" applyFill="1" applyBorder="1" applyAlignment="1">
      <alignment horizontal="justify" vertical="center"/>
    </xf>
    <xf numFmtId="0" fontId="6" fillId="2" borderId="10" xfId="0" applyFont="1" applyFill="1" applyBorder="1" applyAlignment="1">
      <alignment horizontal="right" vertical="center"/>
    </xf>
    <xf numFmtId="0" fontId="4" fillId="2" borderId="14" xfId="0" applyFont="1" applyFill="1" applyBorder="1"/>
    <xf numFmtId="0" fontId="7" fillId="2" borderId="10" xfId="0" applyFont="1" applyFill="1" applyBorder="1" applyAlignment="1">
      <alignment horizontal="center" vertical="center"/>
    </xf>
    <xf numFmtId="0" fontId="4" fillId="2" borderId="6" xfId="0" applyFont="1" applyFill="1" applyBorder="1" applyAlignment="1">
      <alignment horizontal="justify" vertical="center"/>
    </xf>
    <xf numFmtId="0" fontId="4" fillId="2" borderId="18" xfId="0" applyFont="1" applyFill="1" applyBorder="1" applyAlignment="1">
      <alignment horizontal="center" vertical="center"/>
    </xf>
    <xf numFmtId="0" fontId="7" fillId="2" borderId="6" xfId="0" applyFont="1" applyFill="1" applyBorder="1" applyAlignment="1">
      <alignment horizontal="right" vertical="center"/>
    </xf>
    <xf numFmtId="0" fontId="4" fillId="2" borderId="6" xfId="0" applyFont="1" applyFill="1" applyBorder="1" applyAlignment="1">
      <alignment horizontal="right" vertical="center"/>
    </xf>
    <xf numFmtId="0" fontId="4" fillId="2" borderId="20" xfId="0" applyFont="1" applyFill="1" applyBorder="1" applyAlignment="1">
      <alignment horizontal="justify" vertical="center"/>
    </xf>
    <xf numFmtId="0" fontId="7" fillId="2" borderId="7" xfId="0" applyFont="1" applyFill="1" applyBorder="1"/>
    <xf numFmtId="0" fontId="4" fillId="2" borderId="8" xfId="0" applyFont="1" applyFill="1" applyBorder="1"/>
    <xf numFmtId="0" fontId="4" fillId="2" borderId="3" xfId="0" applyFont="1" applyFill="1" applyBorder="1"/>
    <xf numFmtId="0" fontId="7" fillId="2" borderId="3" xfId="0" applyFont="1" applyFill="1" applyBorder="1"/>
    <xf numFmtId="0" fontId="7" fillId="2" borderId="3" xfId="0" applyFont="1" applyFill="1" applyBorder="1" applyAlignment="1">
      <alignment horizontal="right" vertical="center"/>
    </xf>
    <xf numFmtId="0" fontId="7" fillId="2" borderId="5" xfId="0" applyFont="1" applyFill="1" applyBorder="1"/>
    <xf numFmtId="0" fontId="4" fillId="2" borderId="10" xfId="1" applyFont="1" applyFill="1" applyBorder="1" applyAlignment="1">
      <alignment horizontal="center" vertical="center"/>
    </xf>
    <xf numFmtId="0" fontId="4" fillId="2" borderId="10" xfId="9" applyFont="1" applyFill="1" applyBorder="1" applyAlignment="1">
      <alignment horizontal="center" vertical="center" wrapText="1"/>
    </xf>
    <xf numFmtId="165" fontId="7" fillId="2" borderId="10" xfId="0" applyNumberFormat="1" applyFont="1" applyFill="1" applyBorder="1" applyAlignment="1">
      <alignment horizontal="center" vertical="center"/>
    </xf>
    <xf numFmtId="0" fontId="2" fillId="0" borderId="0" xfId="113" applyFont="1"/>
    <xf numFmtId="0" fontId="4" fillId="0" borderId="0" xfId="113" applyFont="1"/>
    <xf numFmtId="0" fontId="2" fillId="2" borderId="0" xfId="113" applyFont="1" applyFill="1"/>
    <xf numFmtId="0" fontId="2" fillId="43" borderId="0" xfId="113" applyFont="1" applyFill="1"/>
    <xf numFmtId="0" fontId="4" fillId="0" borderId="0" xfId="113" applyFont="1" applyAlignment="1">
      <alignment horizontal="center"/>
    </xf>
    <xf numFmtId="0" fontId="2" fillId="0" borderId="0" xfId="113" applyFont="1" applyAlignment="1">
      <alignment horizontal="center"/>
    </xf>
    <xf numFmtId="0" fontId="52" fillId="0" borderId="10" xfId="0" applyFont="1" applyBorder="1" applyAlignment="1">
      <alignment horizontal="center" vertical="center" wrapText="1"/>
    </xf>
    <xf numFmtId="0" fontId="52" fillId="0" borderId="10" xfId="0" applyFont="1" applyBorder="1" applyAlignment="1">
      <alignment horizontal="center" vertical="center"/>
    </xf>
    <xf numFmtId="0" fontId="52" fillId="41" borderId="10" xfId="0" applyFont="1" applyFill="1" applyBorder="1" applyAlignment="1">
      <alignment horizontal="center" vertical="center" wrapText="1"/>
    </xf>
    <xf numFmtId="0" fontId="2" fillId="42" borderId="10" xfId="0" applyFont="1" applyFill="1" applyBorder="1" applyAlignment="1">
      <alignment horizontal="center" vertical="center" wrapText="1"/>
    </xf>
    <xf numFmtId="0" fontId="50" fillId="44" borderId="10" xfId="0" applyFont="1" applyFill="1" applyBorder="1" applyAlignment="1">
      <alignment horizontal="center" vertical="center" wrapText="1"/>
    </xf>
    <xf numFmtId="0" fontId="52" fillId="0" borderId="10" xfId="111" applyFont="1" applyBorder="1" applyAlignment="1">
      <alignment horizontal="center" vertical="center"/>
    </xf>
    <xf numFmtId="0" fontId="2" fillId="41" borderId="10" xfId="0" applyFont="1" applyFill="1" applyBorder="1" applyAlignment="1">
      <alignment horizontal="center" vertical="center"/>
    </xf>
    <xf numFmtId="0" fontId="2" fillId="2"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50" fillId="44" borderId="10" xfId="0" applyFont="1" applyFill="1" applyBorder="1" applyAlignment="1">
      <alignment horizontal="center"/>
    </xf>
    <xf numFmtId="0" fontId="4" fillId="0" borderId="0" xfId="113" applyFont="1" applyAlignment="1">
      <alignment horizontal="center" vertical="center" wrapText="1"/>
    </xf>
    <xf numFmtId="0" fontId="2" fillId="0" borderId="0" xfId="113" applyFont="1" applyAlignment="1">
      <alignment horizontal="center" vertical="center" wrapText="1"/>
    </xf>
    <xf numFmtId="0" fontId="52" fillId="42" borderId="10" xfId="0" applyFont="1" applyFill="1" applyBorder="1" applyAlignment="1">
      <alignment horizontal="center" vertical="center"/>
    </xf>
    <xf numFmtId="0" fontId="52" fillId="42" borderId="10" xfId="0" applyFont="1" applyFill="1" applyBorder="1" applyAlignment="1">
      <alignment horizontal="center" vertical="center" wrapText="1"/>
    </xf>
    <xf numFmtId="0" fontId="52" fillId="2" borderId="10" xfId="0" applyFont="1" applyFill="1" applyBorder="1" applyAlignment="1">
      <alignment horizontal="center" vertical="center" wrapText="1"/>
    </xf>
    <xf numFmtId="0" fontId="52" fillId="2" borderId="0" xfId="113" applyFont="1" applyFill="1"/>
    <xf numFmtId="0" fontId="52" fillId="0" borderId="25" xfId="111" applyFont="1" applyBorder="1" applyAlignment="1">
      <alignment horizontal="center" vertical="center"/>
    </xf>
    <xf numFmtId="1" fontId="2" fillId="41" borderId="10" xfId="0" applyNumberFormat="1" applyFont="1" applyFill="1" applyBorder="1" applyAlignment="1">
      <alignment horizontal="center" vertical="center" wrapText="1"/>
    </xf>
    <xf numFmtId="2" fontId="2" fillId="2" borderId="10" xfId="14" applyNumberFormat="1" applyFont="1" applyFill="1" applyBorder="1" applyAlignment="1" applyProtection="1">
      <alignment horizontal="center" vertical="center" wrapText="1"/>
    </xf>
    <xf numFmtId="2" fontId="2" fillId="41" borderId="10" xfId="0" applyNumberFormat="1" applyFont="1" applyFill="1" applyBorder="1" applyAlignment="1">
      <alignment horizontal="center" vertical="center" wrapText="1"/>
    </xf>
    <xf numFmtId="0" fontId="52" fillId="41" borderId="10" xfId="0" applyFont="1" applyFill="1" applyBorder="1" applyAlignment="1">
      <alignment horizontal="center" vertical="center"/>
    </xf>
    <xf numFmtId="0" fontId="54" fillId="0" borderId="10" xfId="0" applyFont="1" applyBorder="1" applyAlignment="1">
      <alignment horizontal="center" vertical="center" wrapText="1"/>
    </xf>
    <xf numFmtId="0" fontId="54" fillId="0" borderId="10" xfId="0" applyFont="1" applyBorder="1" applyAlignment="1">
      <alignment horizontal="center" vertical="center"/>
    </xf>
    <xf numFmtId="0" fontId="2" fillId="0" borderId="10" xfId="0" applyFont="1" applyBorder="1" applyAlignment="1">
      <alignment horizontal="center" vertical="center"/>
    </xf>
    <xf numFmtId="0" fontId="52" fillId="0" borderId="10" xfId="111" applyFont="1" applyBorder="1" applyAlignment="1">
      <alignment horizontal="center" vertical="center" wrapText="1"/>
    </xf>
    <xf numFmtId="1" fontId="52" fillId="0" borderId="10" xfId="0" applyNumberFormat="1" applyFont="1" applyBorder="1" applyAlignment="1">
      <alignment horizontal="center" vertical="center" wrapText="1"/>
    </xf>
    <xf numFmtId="2" fontId="52" fillId="2" borderId="10" xfId="0" applyNumberFormat="1" applyFont="1" applyFill="1" applyBorder="1" applyAlignment="1">
      <alignment horizontal="center" vertical="center"/>
    </xf>
    <xf numFmtId="0" fontId="52" fillId="2" borderId="10" xfId="111" applyFont="1" applyFill="1" applyBorder="1" applyAlignment="1">
      <alignment horizontal="center" vertical="center" wrapText="1"/>
    </xf>
    <xf numFmtId="0" fontId="52" fillId="0" borderId="10" xfId="0" applyNumberFormat="1" applyFont="1" applyBorder="1" applyAlignment="1">
      <alignment horizontal="center" vertical="center" wrapText="1"/>
    </xf>
    <xf numFmtId="49" fontId="52" fillId="0" borderId="25" xfId="0" applyNumberFormat="1" applyFont="1" applyBorder="1" applyAlignment="1">
      <alignment horizontal="center" vertical="center" wrapText="1"/>
    </xf>
    <xf numFmtId="0" fontId="52" fillId="0" borderId="25" xfId="0" applyFont="1" applyBorder="1" applyAlignment="1">
      <alignment horizontal="center" vertical="center" wrapText="1"/>
    </xf>
    <xf numFmtId="0" fontId="52" fillId="0" borderId="25" xfId="111" applyFont="1" applyBorder="1" applyAlignment="1">
      <alignment horizontal="center" vertical="center" wrapText="1"/>
    </xf>
    <xf numFmtId="1" fontId="52" fillId="0" borderId="25"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25" xfId="0" applyNumberFormat="1" applyFont="1" applyBorder="1" applyAlignment="1">
      <alignment horizontal="center" vertical="center" wrapText="1" shrinkToFit="1"/>
    </xf>
    <xf numFmtId="49" fontId="2" fillId="0" borderId="25" xfId="0" applyNumberFormat="1" applyFont="1" applyBorder="1" applyAlignment="1">
      <alignment horizontal="center" vertical="center" wrapText="1"/>
    </xf>
    <xf numFmtId="49" fontId="2" fillId="41" borderId="25" xfId="0" applyNumberFormat="1" applyFont="1" applyFill="1" applyBorder="1" applyAlignment="1">
      <alignment horizontal="center" vertical="center" wrapText="1"/>
    </xf>
    <xf numFmtId="0" fontId="2" fillId="44" borderId="10" xfId="0" applyFont="1" applyFill="1" applyBorder="1" applyAlignment="1">
      <alignment horizontal="center" vertical="center"/>
    </xf>
    <xf numFmtId="1" fontId="2" fillId="0" borderId="10" xfId="0" applyNumberFormat="1" applyFont="1" applyBorder="1" applyAlignment="1">
      <alignment horizontal="center" vertical="center" wrapText="1"/>
    </xf>
    <xf numFmtId="4" fontId="2" fillId="0" borderId="10" xfId="0" applyNumberFormat="1" applyFont="1" applyBorder="1" applyAlignment="1">
      <alignment horizontal="center" vertical="center"/>
    </xf>
    <xf numFmtId="171" fontId="2" fillId="0" borderId="10" xfId="0" applyNumberFormat="1" applyFont="1" applyBorder="1" applyAlignment="1">
      <alignment horizontal="center" vertical="center" wrapText="1"/>
    </xf>
    <xf numFmtId="3" fontId="2" fillId="0" borderId="10" xfId="0" applyNumberFormat="1" applyFont="1" applyBorder="1" applyAlignment="1">
      <alignment horizontal="center" vertical="center"/>
    </xf>
    <xf numFmtId="2" fontId="2" fillId="42" borderId="10" xfId="0" applyNumberFormat="1" applyFont="1" applyFill="1" applyBorder="1" applyAlignment="1">
      <alignment horizontal="center" vertical="center" wrapText="1"/>
    </xf>
    <xf numFmtId="1" fontId="2" fillId="42" borderId="10" xfId="0" applyNumberFormat="1" applyFont="1" applyFill="1" applyBorder="1" applyAlignment="1">
      <alignment horizontal="center" vertical="center" wrapText="1"/>
    </xf>
    <xf numFmtId="49" fontId="2" fillId="42" borderId="25" xfId="0" applyNumberFormat="1" applyFont="1" applyFill="1" applyBorder="1" applyAlignment="1">
      <alignment horizontal="center" vertical="center" wrapText="1"/>
    </xf>
    <xf numFmtId="2" fontId="2" fillId="41" borderId="10" xfId="0" applyNumberFormat="1" applyFont="1" applyFill="1" applyBorder="1" applyAlignment="1">
      <alignment horizontal="center" vertical="center"/>
    </xf>
    <xf numFmtId="0" fontId="2" fillId="42" borderId="10" xfId="0" applyFont="1" applyFill="1" applyBorder="1" applyAlignment="1">
      <alignment horizontal="center" vertical="center"/>
    </xf>
    <xf numFmtId="1" fontId="52" fillId="42" borderId="10" xfId="0" applyNumberFormat="1" applyFont="1" applyFill="1" applyBorder="1" applyAlignment="1">
      <alignment horizontal="center" vertical="center" wrapText="1"/>
    </xf>
    <xf numFmtId="0" fontId="52" fillId="42" borderId="25" xfId="0" applyFont="1" applyFill="1" applyBorder="1" applyAlignment="1">
      <alignment horizontal="center" vertical="center" wrapText="1"/>
    </xf>
    <xf numFmtId="3" fontId="52" fillId="42" borderId="10" xfId="0" applyNumberFormat="1" applyFont="1" applyFill="1" applyBorder="1" applyAlignment="1">
      <alignment horizontal="center" vertical="center" wrapText="1"/>
    </xf>
    <xf numFmtId="3" fontId="2" fillId="41" borderId="10" xfId="0" applyNumberFormat="1" applyFont="1" applyFill="1" applyBorder="1" applyAlignment="1">
      <alignment horizontal="center" vertical="center" wrapText="1"/>
    </xf>
    <xf numFmtId="0" fontId="52" fillId="41" borderId="25" xfId="0" applyFont="1" applyFill="1" applyBorder="1" applyAlignment="1">
      <alignment horizontal="center" vertical="center" wrapText="1"/>
    </xf>
    <xf numFmtId="1" fontId="52" fillId="41" borderId="10" xfId="0" applyNumberFormat="1" applyFont="1" applyFill="1" applyBorder="1" applyAlignment="1">
      <alignment horizontal="center" vertical="center" wrapText="1"/>
    </xf>
    <xf numFmtId="49" fontId="52" fillId="2" borderId="25" xfId="0" applyNumberFormat="1" applyFont="1" applyFill="1" applyBorder="1" applyAlignment="1">
      <alignment horizontal="center" vertical="center" wrapText="1"/>
    </xf>
    <xf numFmtId="49" fontId="52" fillId="41" borderId="25" xfId="0" applyNumberFormat="1" applyFont="1" applyFill="1" applyBorder="1" applyAlignment="1">
      <alignment horizontal="center" vertical="center" wrapText="1"/>
    </xf>
    <xf numFmtId="49" fontId="2" fillId="2" borderId="25" xfId="0" applyNumberFormat="1" applyFont="1" applyFill="1" applyBorder="1" applyAlignment="1">
      <alignment horizontal="center" vertical="center" wrapText="1"/>
    </xf>
    <xf numFmtId="171" fontId="2" fillId="2" borderId="10" xfId="0" applyNumberFormat="1" applyFont="1" applyFill="1" applyBorder="1" applyAlignment="1">
      <alignment horizontal="center" vertical="center" wrapText="1"/>
    </xf>
    <xf numFmtId="0" fontId="2" fillId="41" borderId="25" xfId="0" applyFont="1" applyFill="1" applyBorder="1" applyAlignment="1">
      <alignment horizontal="center" vertical="center" wrapText="1"/>
    </xf>
    <xf numFmtId="0" fontId="55" fillId="0" borderId="10" xfId="0" applyFont="1" applyBorder="1" applyAlignment="1">
      <alignment horizontal="center" vertical="center"/>
    </xf>
    <xf numFmtId="0" fontId="2" fillId="0" borderId="25" xfId="0" applyFont="1" applyBorder="1" applyAlignment="1">
      <alignment horizontal="center" vertical="center" wrapText="1"/>
    </xf>
    <xf numFmtId="0" fontId="2" fillId="2" borderId="25" xfId="113" applyFont="1" applyFill="1" applyBorder="1" applyAlignment="1">
      <alignment horizontal="center" vertical="center" wrapText="1"/>
    </xf>
    <xf numFmtId="0" fontId="2" fillId="2" borderId="10" xfId="113" applyFont="1" applyFill="1" applyBorder="1" applyAlignment="1">
      <alignment horizontal="center" vertical="center" wrapText="1"/>
    </xf>
    <xf numFmtId="0" fontId="2" fillId="0" borderId="6" xfId="113" applyFont="1" applyFill="1" applyBorder="1" applyAlignment="1">
      <alignment horizontal="center" vertical="center" wrapText="1"/>
    </xf>
    <xf numFmtId="0" fontId="2" fillId="0" borderId="25" xfId="113" applyFont="1" applyFill="1" applyBorder="1" applyAlignment="1">
      <alignment horizontal="center" vertical="center" wrapText="1"/>
    </xf>
    <xf numFmtId="49" fontId="2" fillId="0" borderId="10" xfId="0" applyNumberFormat="1" applyFont="1" applyFill="1" applyBorder="1" applyAlignment="1">
      <alignment horizontal="center" vertical="center" wrapText="1"/>
    </xf>
    <xf numFmtId="1" fontId="52" fillId="45" borderId="10" xfId="0" applyNumberFormat="1" applyFont="1" applyFill="1" applyBorder="1" applyAlignment="1">
      <alignment horizontal="center" vertical="center" wrapText="1"/>
    </xf>
    <xf numFmtId="0" fontId="52" fillId="44" borderId="10" xfId="0" applyFont="1" applyFill="1" applyBorder="1" applyAlignment="1">
      <alignment horizontal="center" vertical="center"/>
    </xf>
    <xf numFmtId="171" fontId="2" fillId="0" borderId="25" xfId="0" applyNumberFormat="1" applyFont="1" applyBorder="1" applyAlignment="1">
      <alignment horizontal="center" vertical="center" wrapText="1"/>
    </xf>
    <xf numFmtId="2" fontId="2" fillId="0" borderId="10" xfId="0" applyNumberFormat="1" applyFont="1" applyBorder="1" applyAlignment="1">
      <alignment horizontal="center" vertical="center" wrapText="1"/>
    </xf>
    <xf numFmtId="0" fontId="57" fillId="0" borderId="0" xfId="113" applyFont="1"/>
    <xf numFmtId="2" fontId="2" fillId="43" borderId="10" xfId="113" applyNumberFormat="1" applyFont="1" applyFill="1" applyBorder="1" applyAlignment="1">
      <alignment horizontal="center" vertical="center" wrapText="1"/>
    </xf>
    <xf numFmtId="2" fontId="52" fillId="2" borderId="10" xfId="0" applyNumberFormat="1" applyFont="1" applyFill="1" applyBorder="1" applyAlignment="1">
      <alignment horizontal="center" vertical="center" wrapText="1"/>
    </xf>
    <xf numFmtId="2" fontId="52" fillId="42" borderId="10" xfId="0" applyNumberFormat="1" applyFont="1" applyFill="1" applyBorder="1" applyAlignment="1">
      <alignment horizontal="center" vertical="center" wrapText="1"/>
    </xf>
    <xf numFmtId="2" fontId="2" fillId="2" borderId="10" xfId="0" applyNumberFormat="1" applyFont="1" applyFill="1" applyBorder="1" applyAlignment="1">
      <alignment horizontal="center" vertical="center" wrapText="1"/>
    </xf>
    <xf numFmtId="2" fontId="54" fillId="2" borderId="10" xfId="0" applyNumberFormat="1" applyFont="1" applyFill="1" applyBorder="1" applyAlignment="1">
      <alignment horizontal="center" vertical="center"/>
    </xf>
    <xf numFmtId="2" fontId="2" fillId="2" borderId="10" xfId="0" applyNumberFormat="1" applyFont="1" applyFill="1" applyBorder="1" applyAlignment="1">
      <alignment horizontal="center" vertical="center"/>
    </xf>
    <xf numFmtId="2" fontId="52" fillId="2" borderId="25" xfId="0" applyNumberFormat="1" applyFont="1" applyFill="1" applyBorder="1" applyAlignment="1">
      <alignment horizontal="center" vertical="center"/>
    </xf>
    <xf numFmtId="2" fontId="2" fillId="42" borderId="10" xfId="0" applyNumberFormat="1" applyFont="1" applyFill="1" applyBorder="1" applyAlignment="1">
      <alignment horizontal="center" vertical="center"/>
    </xf>
    <xf numFmtId="2" fontId="50" fillId="43" borderId="10" xfId="0" applyNumberFormat="1" applyFont="1" applyFill="1" applyBorder="1" applyAlignment="1">
      <alignment horizontal="center" vertical="center"/>
    </xf>
    <xf numFmtId="1" fontId="2" fillId="43" borderId="10" xfId="113" applyNumberFormat="1" applyFont="1" applyFill="1" applyBorder="1" applyAlignment="1">
      <alignment horizontal="center" vertical="center" wrapText="1"/>
    </xf>
    <xf numFmtId="1" fontId="2" fillId="0" borderId="10" xfId="0" applyNumberFormat="1" applyFont="1" applyFill="1" applyBorder="1" applyAlignment="1">
      <alignment horizontal="center" vertical="center" wrapText="1"/>
    </xf>
    <xf numFmtId="0" fontId="2" fillId="0" borderId="25" xfId="0" applyFont="1" applyBorder="1" applyAlignment="1">
      <alignment horizontal="center" vertical="center"/>
    </xf>
    <xf numFmtId="0" fontId="2" fillId="0" borderId="10" xfId="111" applyFont="1" applyBorder="1" applyAlignment="1">
      <alignment horizontal="center" vertical="center" wrapText="1"/>
    </xf>
    <xf numFmtId="0" fontId="2" fillId="0" borderId="25" xfId="111" applyFont="1" applyBorder="1" applyAlignment="1">
      <alignment horizontal="center" vertical="center" wrapText="1"/>
    </xf>
    <xf numFmtId="3" fontId="2" fillId="42" borderId="10" xfId="0" applyNumberFormat="1" applyFont="1" applyFill="1" applyBorder="1" applyAlignment="1">
      <alignment horizontal="center" vertical="center" wrapText="1"/>
    </xf>
    <xf numFmtId="171" fontId="2" fillId="2" borderId="10" xfId="0" applyNumberFormat="1" applyFont="1" applyFill="1" applyBorder="1" applyAlignment="1">
      <alignment horizontal="center" vertical="center"/>
    </xf>
    <xf numFmtId="0" fontId="2" fillId="2" borderId="25"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41" borderId="10" xfId="0" applyFont="1" applyFill="1" applyBorder="1" applyAlignment="1">
      <alignment horizontal="center" vertical="center" wrapText="1"/>
    </xf>
    <xf numFmtId="0" fontId="2" fillId="43" borderId="10" xfId="113" applyFont="1" applyFill="1" applyBorder="1" applyAlignment="1">
      <alignment horizontal="center" vertical="center" wrapText="1"/>
    </xf>
    <xf numFmtId="0" fontId="2" fillId="43" borderId="10" xfId="113" applyFont="1" applyFill="1" applyBorder="1" applyAlignment="1">
      <alignment horizontal="center" vertical="center"/>
    </xf>
    <xf numFmtId="0" fontId="50" fillId="44" borderId="10" xfId="0" applyFont="1" applyFill="1" applyBorder="1" applyAlignment="1">
      <alignment horizontal="center" vertical="center"/>
    </xf>
    <xf numFmtId="2" fontId="50" fillId="43" borderId="10" xfId="0" applyNumberFormat="1" applyFont="1" applyFill="1" applyBorder="1" applyAlignment="1">
      <alignment horizontal="center" vertical="center" wrapText="1"/>
    </xf>
    <xf numFmtId="0" fontId="50" fillId="43" borderId="10" xfId="111" applyFont="1" applyFill="1" applyBorder="1" applyAlignment="1">
      <alignment horizontal="center" vertical="center"/>
    </xf>
    <xf numFmtId="2" fontId="50" fillId="43" borderId="10" xfId="111" applyNumberFormat="1" applyFont="1" applyFill="1" applyBorder="1" applyAlignment="1">
      <alignment horizontal="center" vertical="center" wrapText="1"/>
    </xf>
    <xf numFmtId="2" fontId="50" fillId="43" borderId="10" xfId="14" applyNumberFormat="1" applyFont="1" applyFill="1" applyBorder="1" applyAlignment="1" applyProtection="1">
      <alignment horizontal="center" vertical="center" wrapText="1"/>
    </xf>
    <xf numFmtId="0" fontId="2" fillId="2" borderId="25" xfId="0" applyFont="1" applyFill="1" applyBorder="1" applyAlignment="1">
      <alignment horizontal="center" vertical="center"/>
    </xf>
    <xf numFmtId="49" fontId="2" fillId="0" borderId="25" xfId="0" applyNumberFormat="1" applyFont="1" applyBorder="1" applyAlignment="1">
      <alignment horizontal="center" vertical="center"/>
    </xf>
    <xf numFmtId="0" fontId="50" fillId="44" borderId="25" xfId="0" applyFont="1" applyFill="1" applyBorder="1" applyAlignment="1">
      <alignment horizontal="center" vertical="center" wrapText="1"/>
    </xf>
    <xf numFmtId="0" fontId="50" fillId="43" borderId="25" xfId="113"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0" fillId="44" borderId="46" xfId="0" applyFont="1" applyFill="1" applyBorder="1" applyAlignment="1">
      <alignment horizontal="center" vertical="center" wrapText="1"/>
    </xf>
    <xf numFmtId="49" fontId="50" fillId="43" borderId="10" xfId="0" applyNumberFormat="1" applyFont="1" applyFill="1" applyBorder="1" applyAlignment="1">
      <alignment horizontal="center" vertical="center" wrapText="1"/>
    </xf>
    <xf numFmtId="0" fontId="50" fillId="44" borderId="10" xfId="111" applyFont="1" applyFill="1" applyBorder="1" applyAlignment="1">
      <alignment horizontal="center" vertical="center" wrapText="1"/>
    </xf>
    <xf numFmtId="49" fontId="2" fillId="43" borderId="10" xfId="0" applyNumberFormat="1" applyFont="1" applyFill="1" applyBorder="1" applyAlignment="1">
      <alignment horizontal="center" vertical="center" wrapText="1"/>
    </xf>
    <xf numFmtId="0" fontId="2" fillId="41" borderId="10" xfId="0" applyNumberFormat="1" applyFont="1" applyFill="1" applyBorder="1" applyAlignment="1">
      <alignment horizontal="center" vertical="center" wrapText="1"/>
    </xf>
    <xf numFmtId="0" fontId="2" fillId="0" borderId="25" xfId="0" applyFont="1" applyBorder="1" applyAlignment="1" applyProtection="1">
      <alignment horizontal="center" vertical="center" wrapText="1" readingOrder="1"/>
      <protection locked="0"/>
    </xf>
    <xf numFmtId="49" fontId="2" fillId="0" borderId="25" xfId="0" applyNumberFormat="1" applyFont="1" applyBorder="1" applyAlignment="1" applyProtection="1">
      <alignment horizontal="center" vertical="center" wrapText="1" readingOrder="1"/>
      <protection locked="0"/>
    </xf>
    <xf numFmtId="49" fontId="59" fillId="0" borderId="25" xfId="0" applyNumberFormat="1" applyFont="1" applyBorder="1" applyAlignment="1">
      <alignment horizontal="center" vertical="center" wrapText="1"/>
    </xf>
    <xf numFmtId="0" fontId="2" fillId="46" borderId="46" xfId="0" applyFont="1" applyFill="1" applyBorder="1" applyAlignment="1" applyProtection="1">
      <alignment horizontal="center" vertical="center" wrapText="1" readingOrder="1"/>
      <protection locked="0"/>
    </xf>
    <xf numFmtId="0" fontId="59" fillId="46" borderId="25" xfId="0" applyFont="1" applyFill="1" applyBorder="1" applyAlignment="1">
      <alignment horizontal="center" vertical="center"/>
    </xf>
    <xf numFmtId="171" fontId="2" fillId="46" borderId="25" xfId="0" applyNumberFormat="1" applyFont="1" applyFill="1" applyBorder="1" applyAlignment="1" applyProtection="1">
      <alignment horizontal="center" vertical="center" wrapText="1" readingOrder="1"/>
      <protection locked="0"/>
    </xf>
    <xf numFmtId="0" fontId="2" fillId="46" borderId="25" xfId="0" applyFont="1" applyFill="1" applyBorder="1" applyAlignment="1" applyProtection="1">
      <alignment horizontal="center" vertical="center" wrapText="1" readingOrder="1"/>
      <protection locked="0"/>
    </xf>
    <xf numFmtId="2" fontId="2" fillId="46" borderId="25" xfId="0" applyNumberFormat="1" applyFont="1" applyFill="1" applyBorder="1" applyAlignment="1" applyProtection="1">
      <alignment horizontal="center" vertical="center" wrapText="1" readingOrder="1"/>
      <protection locked="0"/>
    </xf>
    <xf numFmtId="0" fontId="2" fillId="46" borderId="25" xfId="0" applyFont="1" applyFill="1" applyBorder="1" applyAlignment="1" applyProtection="1">
      <alignment horizontal="center" vertical="center" readingOrder="1"/>
      <protection locked="0"/>
    </xf>
    <xf numFmtId="0" fontId="60" fillId="0" borderId="0" xfId="0" applyFont="1"/>
    <xf numFmtId="0" fontId="61" fillId="0" borderId="0" xfId="0" applyFont="1"/>
    <xf numFmtId="49" fontId="59" fillId="46" borderId="25" xfId="0" applyNumberFormat="1" applyFont="1" applyFill="1" applyBorder="1" applyAlignment="1">
      <alignment horizontal="center" vertical="center" wrapText="1"/>
    </xf>
    <xf numFmtId="49" fontId="59" fillId="0" borderId="25" xfId="0" applyNumberFormat="1" applyFont="1" applyBorder="1" applyAlignment="1" applyProtection="1">
      <alignment horizontal="center" vertical="center" wrapText="1" readingOrder="1"/>
      <protection locked="0"/>
    </xf>
    <xf numFmtId="14" fontId="2" fillId="46" borderId="25" xfId="0" applyNumberFormat="1" applyFont="1" applyFill="1" applyBorder="1" applyAlignment="1" applyProtection="1">
      <alignment horizontal="center" vertical="center" wrapText="1" readingOrder="1"/>
      <protection locked="0"/>
    </xf>
    <xf numFmtId="49" fontId="59" fillId="0" borderId="46" xfId="0" applyNumberFormat="1" applyFont="1" applyBorder="1" applyAlignment="1">
      <alignment horizontal="center" vertical="center" wrapText="1"/>
    </xf>
    <xf numFmtId="0" fontId="59" fillId="0" borderId="29" xfId="0" applyFont="1" applyBorder="1" applyAlignment="1">
      <alignment horizontal="center" vertical="center" wrapText="1"/>
    </xf>
    <xf numFmtId="0" fontId="59" fillId="0" borderId="49" xfId="0" applyFont="1" applyBorder="1" applyAlignment="1">
      <alignment horizontal="center" vertical="center" wrapText="1"/>
    </xf>
    <xf numFmtId="0" fontId="2" fillId="47" borderId="25" xfId="0" applyFont="1" applyFill="1" applyBorder="1" applyAlignment="1">
      <alignment horizontal="center" vertical="center"/>
    </xf>
    <xf numFmtId="0" fontId="2" fillId="47" borderId="25" xfId="0" applyFont="1" applyFill="1" applyBorder="1" applyAlignment="1">
      <alignment horizontal="center" vertical="center" wrapText="1"/>
    </xf>
    <xf numFmtId="0" fontId="2" fillId="47" borderId="46" xfId="0" applyFont="1" applyFill="1" applyBorder="1" applyAlignment="1">
      <alignment horizontal="center" vertical="center" wrapText="1"/>
    </xf>
    <xf numFmtId="0" fontId="2" fillId="47" borderId="48" xfId="0" applyFont="1" applyFill="1" applyBorder="1" applyAlignment="1">
      <alignment horizontal="center" vertical="center" wrapText="1"/>
    </xf>
    <xf numFmtId="2" fontId="2" fillId="47" borderId="25" xfId="0" applyNumberFormat="1" applyFont="1" applyFill="1" applyBorder="1" applyAlignment="1">
      <alignment horizontal="center" vertical="center"/>
    </xf>
    <xf numFmtId="14" fontId="2" fillId="46" borderId="48" xfId="0" applyNumberFormat="1" applyFont="1" applyFill="1" applyBorder="1" applyAlignment="1" applyProtection="1">
      <alignment horizontal="center" vertical="center" wrapText="1" readingOrder="1"/>
      <protection locked="0"/>
    </xf>
    <xf numFmtId="14" fontId="2" fillId="46" borderId="25" xfId="0" applyNumberFormat="1" applyFont="1" applyFill="1" applyBorder="1" applyAlignment="1" applyProtection="1">
      <alignment horizontal="center" vertical="center" readingOrder="1"/>
      <protection locked="0"/>
    </xf>
    <xf numFmtId="0" fontId="2" fillId="46" borderId="0" xfId="0" applyFont="1" applyFill="1"/>
    <xf numFmtId="0" fontId="4" fillId="46" borderId="0" xfId="0" applyFont="1" applyFill="1"/>
    <xf numFmtId="0" fontId="59" fillId="0" borderId="25" xfId="0" applyFont="1" applyBorder="1" applyAlignment="1" applyProtection="1">
      <alignment horizontal="center" vertical="center" wrapText="1" readingOrder="1"/>
      <protection locked="0"/>
    </xf>
    <xf numFmtId="0" fontId="59" fillId="46" borderId="46" xfId="0" applyFont="1" applyFill="1" applyBorder="1" applyAlignment="1" applyProtection="1">
      <alignment horizontal="center" vertical="center" wrapText="1" readingOrder="1"/>
      <protection locked="0"/>
    </xf>
    <xf numFmtId="0" fontId="59" fillId="46" borderId="25" xfId="0" applyFont="1" applyFill="1" applyBorder="1" applyAlignment="1" applyProtection="1">
      <alignment horizontal="center" vertical="center" wrapText="1" readingOrder="1"/>
      <protection locked="0"/>
    </xf>
    <xf numFmtId="2" fontId="59" fillId="46" borderId="25" xfId="0" applyNumberFormat="1" applyFont="1" applyFill="1" applyBorder="1" applyAlignment="1" applyProtection="1">
      <alignment horizontal="center" vertical="center" wrapText="1" readingOrder="1"/>
      <protection locked="0"/>
    </xf>
    <xf numFmtId="0" fontId="2" fillId="0" borderId="0" xfId="0" applyFont="1"/>
    <xf numFmtId="0" fontId="2" fillId="0" borderId="29" xfId="0" applyFont="1" applyBorder="1" applyAlignment="1">
      <alignment horizontal="center" vertical="center" wrapText="1"/>
    </xf>
    <xf numFmtId="14" fontId="59" fillId="46" borderId="25" xfId="0" applyNumberFormat="1" applyFont="1" applyFill="1" applyBorder="1" applyAlignment="1" applyProtection="1">
      <alignment horizontal="center" vertical="center" wrapText="1" readingOrder="1"/>
      <protection locked="0"/>
    </xf>
    <xf numFmtId="0" fontId="2" fillId="46" borderId="48" xfId="0" applyFont="1" applyFill="1" applyBorder="1" applyAlignment="1" applyProtection="1">
      <alignment horizontal="center" vertical="center" wrapText="1" readingOrder="1"/>
      <protection locked="0"/>
    </xf>
    <xf numFmtId="0" fontId="59" fillId="47" borderId="25" xfId="0" applyFont="1" applyFill="1" applyBorder="1" applyAlignment="1">
      <alignment horizontal="center" vertical="center" wrapText="1"/>
    </xf>
    <xf numFmtId="0" fontId="59" fillId="47" borderId="25" xfId="0" applyFont="1" applyFill="1" applyBorder="1" applyAlignment="1" applyProtection="1">
      <alignment horizontal="center" vertical="center" wrapText="1" readingOrder="1"/>
      <protection locked="0"/>
    </xf>
    <xf numFmtId="0" fontId="2" fillId="47" borderId="25" xfId="0" applyFont="1" applyFill="1" applyBorder="1" applyAlignment="1" applyProtection="1">
      <alignment horizontal="center" vertical="center" wrapText="1" readingOrder="1"/>
      <protection locked="0"/>
    </xf>
    <xf numFmtId="0" fontId="59" fillId="47" borderId="46" xfId="0" applyFont="1" applyFill="1" applyBorder="1" applyAlignment="1" applyProtection="1">
      <alignment horizontal="center" vertical="center" wrapText="1" readingOrder="1"/>
      <protection locked="0"/>
    </xf>
    <xf numFmtId="14" fontId="59" fillId="47" borderId="25" xfId="0" applyNumberFormat="1" applyFont="1" applyFill="1" applyBorder="1" applyAlignment="1" applyProtection="1">
      <alignment horizontal="center" vertical="center" wrapText="1" readingOrder="1"/>
      <protection locked="0"/>
    </xf>
    <xf numFmtId="2" fontId="2" fillId="47" borderId="25" xfId="0" applyNumberFormat="1" applyFont="1" applyFill="1" applyBorder="1" applyAlignment="1" applyProtection="1">
      <alignment horizontal="center" vertical="center" readingOrder="1"/>
      <protection locked="0"/>
    </xf>
    <xf numFmtId="49" fontId="2" fillId="46" borderId="46" xfId="0" applyNumberFormat="1" applyFont="1" applyFill="1" applyBorder="1" applyAlignment="1" applyProtection="1">
      <alignment horizontal="center" vertical="center" wrapText="1" readingOrder="1"/>
      <protection locked="0"/>
    </xf>
    <xf numFmtId="173" fontId="2" fillId="46" borderId="48" xfId="0" applyNumberFormat="1" applyFont="1" applyFill="1" applyBorder="1" applyAlignment="1" applyProtection="1">
      <alignment horizontal="center" vertical="center" wrapText="1" readingOrder="1"/>
      <protection locked="0"/>
    </xf>
    <xf numFmtId="1" fontId="2" fillId="46" borderId="25" xfId="0" applyNumberFormat="1" applyFont="1" applyFill="1" applyBorder="1" applyAlignment="1" applyProtection="1">
      <alignment horizontal="center" vertical="center" wrapText="1" readingOrder="1"/>
      <protection locked="0"/>
    </xf>
    <xf numFmtId="2" fontId="2" fillId="46" borderId="25" xfId="0" applyNumberFormat="1" applyFont="1" applyFill="1" applyBorder="1" applyAlignment="1" applyProtection="1">
      <alignment horizontal="center" vertical="center" readingOrder="1"/>
      <protection locked="0"/>
    </xf>
    <xf numFmtId="0" fontId="59" fillId="0" borderId="29" xfId="0" applyFont="1" applyBorder="1" applyAlignment="1" applyProtection="1">
      <alignment horizontal="center" vertical="center" wrapText="1" readingOrder="1"/>
      <protection locked="0"/>
    </xf>
    <xf numFmtId="1" fontId="2" fillId="46" borderId="46" xfId="0" applyNumberFormat="1" applyFont="1" applyFill="1" applyBorder="1" applyAlignment="1" applyProtection="1">
      <alignment horizontal="center" vertical="center" wrapText="1" readingOrder="1"/>
      <protection locked="0"/>
    </xf>
    <xf numFmtId="0" fontId="2" fillId="0" borderId="25" xfId="0" applyFont="1" applyBorder="1" applyAlignment="1" applyProtection="1">
      <alignment horizontal="center" vertical="center" wrapText="1"/>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readingOrder="1"/>
      <protection locked="0"/>
    </xf>
    <xf numFmtId="0" fontId="53" fillId="46" borderId="25" xfId="0" applyFont="1" applyFill="1" applyBorder="1" applyAlignment="1" applyProtection="1">
      <alignment horizontal="center" vertical="center" wrapText="1" readingOrder="1"/>
      <protection locked="0"/>
    </xf>
    <xf numFmtId="0" fontId="53" fillId="0" borderId="0" xfId="0" applyFont="1"/>
    <xf numFmtId="0" fontId="65" fillId="0" borderId="0" xfId="0" applyFont="1"/>
    <xf numFmtId="2" fontId="59" fillId="46" borderId="25" xfId="0" applyNumberFormat="1" applyFont="1" applyFill="1" applyBorder="1" applyAlignment="1" applyProtection="1">
      <alignment horizontal="center" vertical="center" readingOrder="1"/>
      <protection locked="0"/>
    </xf>
    <xf numFmtId="0" fontId="59" fillId="0" borderId="25" xfId="0" applyFont="1" applyBorder="1" applyAlignment="1" applyProtection="1">
      <alignment horizontal="center" vertical="center" readingOrder="1"/>
      <protection locked="0"/>
    </xf>
    <xf numFmtId="0" fontId="2" fillId="0" borderId="0" xfId="0" applyFont="1" applyAlignment="1">
      <alignment horizontal="center"/>
    </xf>
    <xf numFmtId="0" fontId="2" fillId="46" borderId="46" xfId="0" applyFont="1" applyFill="1" applyBorder="1" applyAlignment="1" applyProtection="1">
      <alignment horizontal="center" vertical="center" readingOrder="1"/>
      <protection locked="0"/>
    </xf>
    <xf numFmtId="2" fontId="4" fillId="0" borderId="25" xfId="0" applyNumberFormat="1" applyFont="1" applyBorder="1" applyAlignment="1">
      <alignment horizontal="center" vertical="center"/>
    </xf>
    <xf numFmtId="171" fontId="4" fillId="0" borderId="25" xfId="0" applyNumberFormat="1" applyFont="1" applyBorder="1" applyAlignment="1" applyProtection="1">
      <alignment horizontal="center" vertical="center" wrapText="1"/>
    </xf>
    <xf numFmtId="173" fontId="2" fillId="46" borderId="48" xfId="0" applyNumberFormat="1" applyFont="1" applyFill="1" applyBorder="1" applyAlignment="1" applyProtection="1">
      <alignment horizontal="center" vertical="center" readingOrder="1"/>
      <protection locked="0"/>
    </xf>
    <xf numFmtId="2" fontId="59" fillId="47" borderId="25" xfId="0" applyNumberFormat="1" applyFont="1" applyFill="1" applyBorder="1" applyAlignment="1" applyProtection="1">
      <alignment horizontal="center" vertical="center" readingOrder="1"/>
      <protection locked="0"/>
    </xf>
    <xf numFmtId="0" fontId="66" fillId="0" borderId="25" xfId="0" applyFont="1" applyBorder="1" applyAlignment="1">
      <alignment horizontal="center" vertical="center" wrapText="1"/>
    </xf>
    <xf numFmtId="170" fontId="2" fillId="46" borderId="48" xfId="0" applyNumberFormat="1" applyFont="1" applyFill="1" applyBorder="1" applyAlignment="1" applyProtection="1">
      <alignment horizontal="center" vertical="center" wrapText="1" readingOrder="1"/>
      <protection locked="0"/>
    </xf>
    <xf numFmtId="0" fontId="2" fillId="46" borderId="48" xfId="0" applyFont="1" applyFill="1" applyBorder="1" applyAlignment="1" applyProtection="1">
      <alignment horizontal="center" vertical="center" readingOrder="1"/>
      <protection locked="0"/>
    </xf>
    <xf numFmtId="2" fontId="59" fillId="47" borderId="25" xfId="0" applyNumberFormat="1" applyFont="1" applyFill="1" applyBorder="1" applyAlignment="1" applyProtection="1">
      <alignment horizontal="center" vertical="center" wrapText="1" readingOrder="1"/>
      <protection locked="0"/>
    </xf>
    <xf numFmtId="49" fontId="59" fillId="46" borderId="25" xfId="0" applyNumberFormat="1" applyFont="1" applyFill="1" applyBorder="1" applyAlignment="1">
      <alignment horizontal="center" vertical="center"/>
    </xf>
    <xf numFmtId="0" fontId="2" fillId="46" borderId="46" xfId="0" applyFont="1" applyFill="1" applyBorder="1" applyAlignment="1">
      <alignment horizontal="center" vertical="center" wrapText="1"/>
    </xf>
    <xf numFmtId="49" fontId="2" fillId="46" borderId="25" xfId="0" applyNumberFormat="1" applyFont="1" applyFill="1" applyBorder="1" applyAlignment="1">
      <alignment horizontal="center" vertical="center"/>
    </xf>
    <xf numFmtId="173" fontId="2" fillId="46" borderId="48" xfId="0" applyNumberFormat="1" applyFont="1" applyFill="1" applyBorder="1" applyAlignment="1">
      <alignment horizontal="center" vertical="center" wrapText="1"/>
    </xf>
    <xf numFmtId="49" fontId="2" fillId="46" borderId="25" xfId="0" applyNumberFormat="1" applyFont="1" applyFill="1" applyBorder="1" applyAlignment="1">
      <alignment horizontal="center" vertical="center" wrapText="1"/>
    </xf>
    <xf numFmtId="0" fontId="53" fillId="0" borderId="25" xfId="0" applyFont="1" applyBorder="1" applyAlignment="1">
      <alignment horizontal="center" vertical="center" wrapText="1"/>
    </xf>
    <xf numFmtId="0" fontId="2" fillId="0" borderId="46" xfId="0" applyFont="1" applyBorder="1" applyAlignment="1">
      <alignment horizontal="center" vertical="center" wrapText="1"/>
    </xf>
    <xf numFmtId="173" fontId="2" fillId="0" borderId="48" xfId="0" applyNumberFormat="1" applyFont="1" applyBorder="1" applyAlignment="1">
      <alignment horizontal="center" vertical="center" wrapText="1"/>
    </xf>
    <xf numFmtId="2" fontId="2" fillId="0" borderId="25" xfId="0" applyNumberFormat="1" applyFont="1" applyBorder="1" applyAlignment="1">
      <alignment horizontal="center" vertical="center" wrapText="1"/>
    </xf>
    <xf numFmtId="49" fontId="2" fillId="46" borderId="46" xfId="0" applyNumberFormat="1" applyFont="1" applyFill="1" applyBorder="1" applyAlignment="1">
      <alignment horizontal="center" vertical="center"/>
    </xf>
    <xf numFmtId="49" fontId="2" fillId="46" borderId="48" xfId="0" applyNumberFormat="1" applyFont="1" applyFill="1" applyBorder="1" applyAlignment="1">
      <alignment horizontal="center" vertical="center"/>
    </xf>
    <xf numFmtId="49" fontId="2" fillId="0" borderId="46" xfId="0" applyNumberFormat="1" applyFont="1" applyBorder="1" applyAlignment="1">
      <alignment horizontal="center" vertical="center"/>
    </xf>
    <xf numFmtId="49" fontId="59" fillId="0" borderId="25" xfId="0" applyNumberFormat="1" applyFont="1" applyBorder="1" applyAlignment="1">
      <alignment horizontal="center" vertical="center"/>
    </xf>
    <xf numFmtId="49" fontId="2" fillId="0" borderId="48" xfId="0" applyNumberFormat="1" applyFont="1" applyBorder="1" applyAlignment="1">
      <alignment horizontal="center" vertical="center"/>
    </xf>
    <xf numFmtId="2" fontId="2" fillId="0" borderId="25" xfId="0" applyNumberFormat="1" applyFont="1" applyBorder="1" applyAlignment="1">
      <alignment horizontal="center" vertical="center"/>
    </xf>
    <xf numFmtId="2" fontId="59" fillId="0" borderId="25" xfId="0" applyNumberFormat="1" applyFont="1" applyBorder="1" applyAlignment="1">
      <alignment horizontal="center" vertical="center" wrapText="1"/>
    </xf>
    <xf numFmtId="0" fontId="2" fillId="46" borderId="46" xfId="0" applyFont="1" applyFill="1" applyBorder="1" applyAlignment="1">
      <alignment horizontal="center" vertical="center"/>
    </xf>
    <xf numFmtId="2" fontId="2" fillId="46" borderId="25" xfId="0" applyNumberFormat="1" applyFont="1" applyFill="1" applyBorder="1" applyAlignment="1" applyProtection="1">
      <alignment horizontal="center" vertical="center"/>
    </xf>
    <xf numFmtId="0" fontId="59" fillId="47" borderId="46" xfId="0" applyFont="1" applyFill="1" applyBorder="1" applyAlignment="1">
      <alignment horizontal="center" vertical="center" wrapText="1"/>
    </xf>
    <xf numFmtId="2" fontId="59" fillId="47" borderId="25" xfId="0" applyNumberFormat="1" applyFont="1" applyFill="1" applyBorder="1" applyAlignment="1">
      <alignment horizontal="center" vertical="center" wrapText="1"/>
    </xf>
    <xf numFmtId="0" fontId="62" fillId="46" borderId="25" xfId="0" applyFont="1" applyFill="1" applyBorder="1" applyAlignment="1">
      <alignment horizontal="center" vertical="center" wrapText="1"/>
    </xf>
    <xf numFmtId="0" fontId="62" fillId="0" borderId="25" xfId="0" applyFont="1" applyBorder="1" applyAlignment="1">
      <alignment horizontal="center" vertical="center" wrapText="1"/>
    </xf>
    <xf numFmtId="0" fontId="59" fillId="46" borderId="46" xfId="0" applyFont="1" applyFill="1" applyBorder="1" applyAlignment="1">
      <alignment horizontal="center" vertical="center"/>
    </xf>
    <xf numFmtId="2" fontId="59" fillId="46" borderId="25" xfId="0" applyNumberFormat="1" applyFont="1" applyFill="1" applyBorder="1" applyAlignment="1" applyProtection="1">
      <alignment horizontal="center" vertical="center"/>
    </xf>
    <xf numFmtId="0" fontId="2" fillId="0" borderId="0" xfId="0" applyFont="1" applyAlignment="1">
      <alignment horizontal="center" vertical="center" wrapText="1"/>
    </xf>
    <xf numFmtId="14" fontId="2" fillId="46" borderId="48" xfId="0" applyNumberFormat="1" applyFont="1" applyFill="1" applyBorder="1" applyAlignment="1">
      <alignment horizontal="center" vertical="center"/>
    </xf>
    <xf numFmtId="0" fontId="2" fillId="0" borderId="29" xfId="0" applyFont="1" applyBorder="1" applyAlignment="1">
      <alignment horizontal="center" vertical="center"/>
    </xf>
    <xf numFmtId="0" fontId="59" fillId="46" borderId="49" xfId="0" applyFont="1" applyFill="1" applyBorder="1" applyAlignment="1">
      <alignment horizontal="center" vertical="center"/>
    </xf>
    <xf numFmtId="0" fontId="59" fillId="46" borderId="29" xfId="0" applyFont="1" applyFill="1" applyBorder="1" applyAlignment="1">
      <alignment horizontal="center" vertical="center"/>
    </xf>
    <xf numFmtId="0" fontId="59" fillId="0" borderId="0" xfId="0" applyFont="1" applyAlignment="1">
      <alignment horizontal="center" vertical="center" wrapText="1"/>
    </xf>
    <xf numFmtId="0" fontId="53" fillId="0" borderId="25" xfId="0" applyFont="1" applyBorder="1" applyAlignment="1">
      <alignment horizontal="center" vertical="center"/>
    </xf>
    <xf numFmtId="2" fontId="59" fillId="46" borderId="25" xfId="0" applyNumberFormat="1" applyFont="1" applyFill="1" applyBorder="1" applyAlignment="1">
      <alignment horizontal="center" vertical="center"/>
    </xf>
    <xf numFmtId="2" fontId="2" fillId="47" borderId="25" xfId="0" applyNumberFormat="1" applyFont="1" applyFill="1" applyBorder="1" applyAlignment="1">
      <alignment horizontal="center" vertical="center" wrapText="1"/>
    </xf>
    <xf numFmtId="1" fontId="59" fillId="46" borderId="46" xfId="0" applyNumberFormat="1" applyFont="1" applyFill="1" applyBorder="1" applyAlignment="1">
      <alignment horizontal="center" vertical="center" wrapText="1"/>
    </xf>
    <xf numFmtId="1" fontId="2" fillId="46" borderId="46" xfId="0" applyNumberFormat="1" applyFont="1" applyFill="1" applyBorder="1" applyAlignment="1">
      <alignment horizontal="center" vertical="center" wrapText="1"/>
    </xf>
    <xf numFmtId="49" fontId="2" fillId="46" borderId="46" xfId="0" applyNumberFormat="1" applyFont="1" applyFill="1" applyBorder="1" applyAlignment="1">
      <alignment horizontal="center" vertical="center" wrapText="1"/>
    </xf>
    <xf numFmtId="14" fontId="2" fillId="46" borderId="48" xfId="0" applyNumberFormat="1" applyFont="1" applyFill="1" applyBorder="1" applyAlignment="1">
      <alignment horizontal="center" vertical="center" wrapText="1"/>
    </xf>
    <xf numFmtId="0" fontId="2" fillId="46" borderId="48" xfId="0" applyFont="1" applyFill="1" applyBorder="1" applyAlignment="1">
      <alignment horizontal="center" vertical="center" wrapText="1"/>
    </xf>
    <xf numFmtId="0" fontId="52" fillId="46" borderId="25" xfId="0" applyFont="1" applyFill="1" applyBorder="1" applyAlignment="1">
      <alignment horizontal="center" vertical="center" wrapText="1"/>
    </xf>
    <xf numFmtId="14" fontId="52" fillId="46" borderId="48" xfId="0" applyNumberFormat="1" applyFont="1" applyFill="1" applyBorder="1" applyAlignment="1">
      <alignment horizontal="center" vertical="center"/>
    </xf>
    <xf numFmtId="0" fontId="52" fillId="46" borderId="25" xfId="0" applyFont="1" applyFill="1" applyBorder="1" applyAlignment="1">
      <alignment horizontal="center" vertical="center"/>
    </xf>
    <xf numFmtId="0" fontId="2" fillId="0" borderId="46" xfId="0" applyFont="1" applyBorder="1" applyAlignment="1">
      <alignment horizontal="center" vertical="center"/>
    </xf>
    <xf numFmtId="0" fontId="69" fillId="0" borderId="25" xfId="0" applyFont="1" applyBorder="1" applyAlignment="1">
      <alignment horizontal="center" vertical="center"/>
    </xf>
    <xf numFmtId="14" fontId="52" fillId="0" borderId="48" xfId="0" applyNumberFormat="1" applyFont="1" applyBorder="1" applyAlignment="1">
      <alignment horizontal="center" vertical="center"/>
    </xf>
    <xf numFmtId="0" fontId="56" fillId="46" borderId="25" xfId="0" applyFont="1" applyFill="1" applyBorder="1" applyAlignment="1">
      <alignment horizontal="center" vertical="center"/>
    </xf>
    <xf numFmtId="0" fontId="2" fillId="0" borderId="46" xfId="0" applyFont="1" applyBorder="1" applyAlignment="1" applyProtection="1">
      <alignment horizontal="center" vertical="center" wrapText="1" readingOrder="1"/>
      <protection locked="0"/>
    </xf>
    <xf numFmtId="14" fontId="2" fillId="0" borderId="48" xfId="0" applyNumberFormat="1" applyFont="1" applyBorder="1" applyAlignment="1" applyProtection="1">
      <alignment horizontal="center" vertical="center" wrapText="1" readingOrder="1"/>
      <protection locked="0"/>
    </xf>
    <xf numFmtId="2" fontId="2" fillId="0" borderId="25" xfId="0" applyNumberFormat="1" applyFont="1" applyBorder="1" applyAlignment="1" applyProtection="1">
      <alignment horizontal="center" vertical="center" readingOrder="1"/>
      <protection locked="0"/>
    </xf>
    <xf numFmtId="0" fontId="53" fillId="0" borderId="25" xfId="0" applyFont="1" applyBorder="1" applyAlignment="1" applyProtection="1">
      <alignment horizontal="center" vertical="center" wrapText="1" readingOrder="1"/>
      <protection locked="0"/>
    </xf>
    <xf numFmtId="0" fontId="2" fillId="46" borderId="25" xfId="0" applyFont="1" applyFill="1" applyBorder="1" applyAlignment="1" applyProtection="1">
      <alignment horizontal="center" vertical="center" wrapText="1"/>
    </xf>
    <xf numFmtId="0" fontId="2" fillId="47" borderId="46" xfId="0" applyFont="1" applyFill="1" applyBorder="1" applyAlignment="1" applyProtection="1">
      <alignment horizontal="center" vertical="center" wrapText="1" readingOrder="1"/>
      <protection locked="0"/>
    </xf>
    <xf numFmtId="14" fontId="2" fillId="47" borderId="25" xfId="0" applyNumberFormat="1" applyFont="1" applyFill="1" applyBorder="1" applyAlignment="1" applyProtection="1">
      <alignment horizontal="center" vertical="center" wrapText="1" readingOrder="1"/>
      <protection locked="0"/>
    </xf>
    <xf numFmtId="0" fontId="2" fillId="47" borderId="48" xfId="0" applyFont="1" applyFill="1" applyBorder="1" applyAlignment="1" applyProtection="1">
      <alignment horizontal="center" vertical="center" wrapText="1" readingOrder="1"/>
      <protection locked="0"/>
    </xf>
    <xf numFmtId="2" fontId="2" fillId="47" borderId="25" xfId="0" applyNumberFormat="1" applyFont="1" applyFill="1" applyBorder="1" applyAlignment="1" applyProtection="1">
      <alignment horizontal="center" vertical="center" wrapText="1" readingOrder="1"/>
      <protection locked="0"/>
    </xf>
    <xf numFmtId="1" fontId="2" fillId="46" borderId="25" xfId="0" applyNumberFormat="1" applyFont="1" applyFill="1" applyBorder="1" applyAlignment="1">
      <alignment horizontal="center" vertical="center" wrapText="1"/>
    </xf>
    <xf numFmtId="2" fontId="62" fillId="46" borderId="25" xfId="0" applyNumberFormat="1" applyFont="1" applyFill="1" applyBorder="1" applyAlignment="1">
      <alignment horizontal="center" vertical="center" wrapText="1"/>
    </xf>
    <xf numFmtId="2" fontId="62" fillId="46" borderId="25" xfId="0" applyNumberFormat="1" applyFont="1" applyFill="1" applyBorder="1" applyAlignment="1">
      <alignment horizontal="center" vertical="center"/>
    </xf>
    <xf numFmtId="49" fontId="62" fillId="0" borderId="25" xfId="0" applyNumberFormat="1" applyFont="1" applyBorder="1" applyAlignment="1">
      <alignment horizontal="center" vertical="center" wrapText="1"/>
    </xf>
    <xf numFmtId="1" fontId="2" fillId="46" borderId="25" xfId="0" applyNumberFormat="1" applyFont="1" applyFill="1" applyBorder="1" applyAlignment="1">
      <alignment horizontal="center" vertical="center"/>
    </xf>
    <xf numFmtId="14" fontId="2" fillId="0" borderId="25" xfId="0" applyNumberFormat="1" applyFont="1" applyBorder="1" applyAlignment="1">
      <alignment horizontal="center" vertical="center" wrapText="1"/>
    </xf>
    <xf numFmtId="49" fontId="2" fillId="46" borderId="25" xfId="0" applyNumberFormat="1" applyFont="1" applyFill="1" applyBorder="1" applyAlignment="1">
      <alignment horizontal="center" vertical="center" wrapText="1" shrinkToFit="1"/>
    </xf>
    <xf numFmtId="0" fontId="2" fillId="46" borderId="0" xfId="0" applyFont="1" applyFill="1" applyAlignment="1">
      <alignment horizontal="center" vertical="center" wrapText="1"/>
    </xf>
    <xf numFmtId="0" fontId="2" fillId="46" borderId="25" xfId="0" applyFont="1" applyFill="1" applyBorder="1" applyAlignment="1">
      <alignment horizontal="center" vertical="center" wrapText="1" shrinkToFit="1"/>
    </xf>
    <xf numFmtId="0" fontId="62" fillId="47" borderId="25" xfId="0" applyFont="1" applyFill="1" applyBorder="1" applyAlignment="1">
      <alignment horizontal="center" vertical="center"/>
    </xf>
    <xf numFmtId="0" fontId="62" fillId="47" borderId="25" xfId="0" applyFont="1" applyFill="1" applyBorder="1" applyAlignment="1">
      <alignment horizontal="center" vertical="center" wrapText="1"/>
    </xf>
    <xf numFmtId="0" fontId="62" fillId="47" borderId="46" xfId="0" applyFont="1" applyFill="1" applyBorder="1" applyAlignment="1">
      <alignment horizontal="center" vertical="center"/>
    </xf>
    <xf numFmtId="0" fontId="2" fillId="47" borderId="25" xfId="0" applyFont="1" applyFill="1" applyBorder="1"/>
    <xf numFmtId="0" fontId="50" fillId="47" borderId="25" xfId="0" applyFont="1" applyFill="1" applyBorder="1" applyAlignment="1">
      <alignment horizontal="center" wrapText="1"/>
    </xf>
    <xf numFmtId="0" fontId="59" fillId="0" borderId="25" xfId="0" applyFont="1" applyBorder="1" applyAlignment="1">
      <alignment horizontal="center" vertical="center"/>
    </xf>
    <xf numFmtId="0" fontId="59" fillId="46" borderId="25" xfId="0" applyFont="1" applyFill="1" applyBorder="1" applyAlignment="1">
      <alignment horizontal="center" vertical="center" wrapText="1"/>
    </xf>
    <xf numFmtId="0" fontId="59" fillId="0" borderId="25" xfId="0" applyFont="1" applyBorder="1" applyAlignment="1">
      <alignment horizontal="center" vertical="center" wrapText="1"/>
    </xf>
    <xf numFmtId="0" fontId="59" fillId="46" borderId="46" xfId="0" applyFont="1" applyFill="1" applyBorder="1" applyAlignment="1">
      <alignment horizontal="center" vertical="center" wrapText="1"/>
    </xf>
    <xf numFmtId="0" fontId="69" fillId="46" borderId="25" xfId="0" applyFont="1" applyFill="1" applyBorder="1" applyAlignment="1">
      <alignment horizontal="center" vertical="center"/>
    </xf>
    <xf numFmtId="0" fontId="2" fillId="46" borderId="25" xfId="0" applyFont="1" applyFill="1" applyBorder="1" applyAlignment="1">
      <alignment horizontal="center" vertical="center" wrapText="1"/>
    </xf>
    <xf numFmtId="0" fontId="2" fillId="46" borderId="25" xfId="0" applyFont="1" applyFill="1" applyBorder="1" applyAlignment="1">
      <alignment horizontal="center" vertical="center"/>
    </xf>
    <xf numFmtId="0" fontId="2" fillId="2" borderId="25" xfId="0" applyFont="1" applyFill="1" applyBorder="1" applyAlignment="1" applyProtection="1">
      <alignment horizontal="center" vertical="center" wrapText="1" readingOrder="1"/>
      <protection locked="0"/>
    </xf>
    <xf numFmtId="0" fontId="2" fillId="2" borderId="25" xfId="0" applyFont="1" applyFill="1" applyBorder="1" applyAlignment="1" applyProtection="1">
      <alignment horizontal="center" vertical="center" readingOrder="1"/>
      <protection locked="0"/>
    </xf>
    <xf numFmtId="0" fontId="2" fillId="0" borderId="25" xfId="0" applyFont="1" applyFill="1" applyBorder="1" applyAlignment="1" applyProtection="1">
      <alignment horizontal="center" vertical="center" wrapText="1" readingOrder="1"/>
      <protection locked="0"/>
    </xf>
    <xf numFmtId="0" fontId="2" fillId="49" borderId="2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59" fillId="2" borderId="25" xfId="0" applyFont="1" applyFill="1" applyBorder="1" applyAlignment="1">
      <alignment horizontal="center" vertical="center" wrapText="1"/>
    </xf>
    <xf numFmtId="14" fontId="2" fillId="46" borderId="50" xfId="0" applyNumberFormat="1" applyFont="1" applyFill="1" applyBorder="1" applyAlignment="1">
      <alignment horizontal="center" vertical="center"/>
    </xf>
    <xf numFmtId="0" fontId="2" fillId="48" borderId="25" xfId="0" applyFont="1" applyFill="1" applyBorder="1" applyAlignment="1" applyProtection="1">
      <alignment horizontal="center" vertical="center" wrapText="1" readingOrder="1"/>
      <protection locked="0"/>
    </xf>
    <xf numFmtId="0" fontId="2" fillId="48" borderId="25" xfId="0" applyFont="1" applyFill="1" applyBorder="1" applyAlignment="1">
      <alignment horizontal="center" vertical="center" wrapText="1"/>
    </xf>
    <xf numFmtId="0" fontId="2" fillId="50" borderId="25" xfId="0" applyFont="1" applyFill="1" applyBorder="1" applyAlignment="1" applyProtection="1">
      <alignment horizontal="center" vertical="center" wrapText="1" readingOrder="1"/>
      <protection locked="0"/>
    </xf>
    <xf numFmtId="0" fontId="2" fillId="50" borderId="25" xfId="0" applyFont="1" applyFill="1" applyBorder="1" applyAlignment="1">
      <alignment horizontal="center" vertical="center" wrapText="1"/>
    </xf>
    <xf numFmtId="0" fontId="2" fillId="50" borderId="46" xfId="0" applyFont="1" applyFill="1" applyBorder="1" applyAlignment="1" applyProtection="1">
      <alignment horizontal="center" vertical="center" wrapText="1" readingOrder="1"/>
      <protection locked="0"/>
    </xf>
    <xf numFmtId="0" fontId="59" fillId="50" borderId="25" xfId="0" applyFont="1" applyFill="1" applyBorder="1" applyAlignment="1">
      <alignment horizontal="center" vertical="center"/>
    </xf>
    <xf numFmtId="2" fontId="2" fillId="50" borderId="25" xfId="0" applyNumberFormat="1" applyFont="1" applyFill="1" applyBorder="1" applyAlignment="1" applyProtection="1">
      <alignment horizontal="center" vertical="center" wrapText="1" readingOrder="1"/>
      <protection locked="0"/>
    </xf>
    <xf numFmtId="0" fontId="2" fillId="2" borderId="0" xfId="0" applyFont="1" applyFill="1"/>
    <xf numFmtId="14" fontId="52" fillId="0" borderId="48" xfId="0" applyNumberFormat="1" applyFont="1" applyFill="1" applyBorder="1" applyAlignment="1">
      <alignment horizontal="center" vertical="center"/>
    </xf>
    <xf numFmtId="0" fontId="52" fillId="0" borderId="25" xfId="0" applyFont="1" applyFill="1" applyBorder="1" applyAlignment="1">
      <alignment horizontal="center" vertical="center" wrapText="1"/>
    </xf>
    <xf numFmtId="0" fontId="59" fillId="0" borderId="6" xfId="0" applyFont="1" applyBorder="1" applyAlignment="1">
      <alignment horizontal="center" vertical="center" wrapText="1"/>
    </xf>
    <xf numFmtId="0" fontId="2" fillId="49" borderId="25" xfId="0" applyFont="1" applyFill="1" applyBorder="1" applyAlignment="1" applyProtection="1">
      <alignment horizontal="center" vertical="center" wrapText="1" readingOrder="1"/>
      <protection locked="0"/>
    </xf>
    <xf numFmtId="0" fontId="2" fillId="51" borderId="25" xfId="0" applyFont="1" applyFill="1" applyBorder="1" applyAlignment="1" applyProtection="1">
      <alignment horizontal="center" vertical="center" wrapText="1" readingOrder="1"/>
      <protection locked="0"/>
    </xf>
    <xf numFmtId="0" fontId="2" fillId="48" borderId="46" xfId="0" applyFont="1" applyFill="1" applyBorder="1" applyAlignment="1" applyProtection="1">
      <alignment horizontal="center" vertical="center" wrapText="1" readingOrder="1"/>
      <protection locked="0"/>
    </xf>
    <xf numFmtId="0" fontId="2" fillId="48" borderId="48" xfId="0" applyFont="1" applyFill="1" applyBorder="1" applyAlignment="1" applyProtection="1">
      <alignment horizontal="center" vertical="center" wrapText="1" readingOrder="1"/>
      <protection locked="0"/>
    </xf>
    <xf numFmtId="0" fontId="2" fillId="51" borderId="25" xfId="0" applyFont="1" applyFill="1" applyBorder="1" applyAlignment="1">
      <alignment horizontal="center" vertical="center" wrapText="1"/>
    </xf>
    <xf numFmtId="49" fontId="2" fillId="51" borderId="25" xfId="0" applyNumberFormat="1" applyFont="1" applyFill="1" applyBorder="1" applyAlignment="1">
      <alignment horizontal="center" vertical="center" wrapText="1"/>
    </xf>
    <xf numFmtId="0" fontId="2" fillId="46" borderId="25" xfId="0" applyFont="1" applyFill="1" applyBorder="1" applyAlignment="1">
      <alignment horizontal="center" vertical="center" wrapText="1"/>
    </xf>
    <xf numFmtId="2" fontId="2" fillId="46" borderId="25" xfId="0" applyNumberFormat="1" applyFont="1" applyFill="1" applyBorder="1" applyAlignment="1">
      <alignment horizontal="center" vertical="center" wrapText="1"/>
    </xf>
    <xf numFmtId="0" fontId="2" fillId="46" borderId="48" xfId="0" applyFont="1" applyFill="1" applyBorder="1" applyAlignment="1">
      <alignment horizontal="center" vertical="center"/>
    </xf>
    <xf numFmtId="0" fontId="2" fillId="46" borderId="25" xfId="0" applyFont="1" applyFill="1" applyBorder="1" applyAlignment="1">
      <alignment horizontal="center" vertical="center"/>
    </xf>
    <xf numFmtId="0" fontId="2" fillId="43" borderId="10" xfId="113" applyFont="1" applyFill="1" applyBorder="1" applyAlignment="1">
      <alignment horizontal="center" vertical="center" wrapText="1"/>
    </xf>
    <xf numFmtId="0" fontId="2" fillId="0" borderId="10" xfId="113"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2" fillId="41"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43" fontId="49" fillId="2" borderId="25" xfId="113" applyNumberFormat="1" applyFont="1" applyFill="1" applyBorder="1" applyAlignment="1">
      <alignment horizontal="center" vertical="center" wrapText="1"/>
    </xf>
    <xf numFmtId="0" fontId="2" fillId="0" borderId="10" xfId="0" applyFont="1" applyBorder="1" applyAlignment="1">
      <alignment horizontal="center" vertical="center" wrapText="1"/>
    </xf>
    <xf numFmtId="0" fontId="2" fillId="46" borderId="25" xfId="0" applyFont="1" applyFill="1" applyBorder="1" applyAlignment="1">
      <alignment horizontal="center" vertical="center" wrapText="1"/>
    </xf>
    <xf numFmtId="0" fontId="2" fillId="46" borderId="25" xfId="0" applyFont="1" applyFill="1" applyBorder="1" applyAlignment="1">
      <alignment horizontal="center" vertical="center"/>
    </xf>
    <xf numFmtId="0" fontId="59" fillId="0" borderId="25" xfId="0" applyFont="1" applyBorder="1" applyAlignment="1">
      <alignment horizontal="center" vertical="center" wrapText="1"/>
    </xf>
    <xf numFmtId="170" fontId="2" fillId="46" borderId="25" xfId="0" applyNumberFormat="1" applyFont="1" applyFill="1" applyBorder="1" applyAlignment="1" applyProtection="1">
      <alignment horizontal="center" vertical="center" wrapText="1" readingOrder="1"/>
      <protection locked="0"/>
    </xf>
    <xf numFmtId="173" fontId="2" fillId="48" borderId="48" xfId="0" applyNumberFormat="1" applyFont="1" applyFill="1" applyBorder="1" applyAlignment="1">
      <alignment horizontal="center" vertical="center" wrapText="1"/>
    </xf>
    <xf numFmtId="0" fontId="2" fillId="46" borderId="6" xfId="0" applyFont="1" applyFill="1" applyBorder="1" applyAlignment="1">
      <alignment horizontal="center" vertical="center" wrapText="1"/>
    </xf>
    <xf numFmtId="14" fontId="2" fillId="50" borderId="48" xfId="0" applyNumberFormat="1" applyFont="1" applyFill="1" applyBorder="1" applyAlignment="1" applyProtection="1">
      <alignment horizontal="center" vertical="center" wrapText="1" readingOrder="1"/>
      <protection locked="0"/>
    </xf>
    <xf numFmtId="14" fontId="52" fillId="46" borderId="48" xfId="0" applyNumberFormat="1" applyFont="1" applyFill="1" applyBorder="1" applyAlignment="1">
      <alignment horizontal="center" vertical="center" wrapText="1"/>
    </xf>
    <xf numFmtId="171" fontId="52" fillId="46" borderId="25" xfId="0" applyNumberFormat="1" applyFont="1" applyFill="1" applyBorder="1" applyAlignment="1">
      <alignment horizontal="center" vertical="center" wrapText="1"/>
    </xf>
    <xf numFmtId="17" fontId="52" fillId="46" borderId="25" xfId="0" applyNumberFormat="1" applyFont="1" applyFill="1" applyBorder="1" applyAlignment="1">
      <alignment horizontal="center" vertical="center" wrapText="1"/>
    </xf>
    <xf numFmtId="14" fontId="52" fillId="46" borderId="25" xfId="0" applyNumberFormat="1" applyFont="1" applyFill="1" applyBorder="1" applyAlignment="1">
      <alignment horizontal="center" vertical="center" wrapText="1"/>
    </xf>
    <xf numFmtId="0" fontId="2" fillId="47" borderId="48" xfId="0" applyFont="1" applyFill="1" applyBorder="1" applyAlignment="1">
      <alignment horizontal="center" vertical="center"/>
    </xf>
    <xf numFmtId="1" fontId="2" fillId="47" borderId="25" xfId="0" applyNumberFormat="1" applyFont="1" applyFill="1" applyBorder="1" applyAlignment="1">
      <alignment horizontal="center" vertical="center"/>
    </xf>
    <xf numFmtId="2" fontId="59" fillId="46" borderId="25" xfId="0" applyNumberFormat="1" applyFont="1" applyFill="1" applyBorder="1" applyAlignment="1">
      <alignment horizontal="center" vertical="center" wrapText="1"/>
    </xf>
    <xf numFmtId="2" fontId="2" fillId="46" borderId="25" xfId="0" applyNumberFormat="1" applyFont="1" applyFill="1" applyBorder="1" applyAlignment="1">
      <alignment horizontal="center" vertical="center"/>
    </xf>
    <xf numFmtId="2" fontId="2" fillId="46" borderId="25" xfId="0" applyNumberFormat="1" applyFont="1" applyFill="1" applyBorder="1" applyAlignment="1">
      <alignment horizontal="center" vertical="center" wrapText="1"/>
    </xf>
    <xf numFmtId="2" fontId="59" fillId="46" borderId="6" xfId="0" applyNumberFormat="1" applyFont="1" applyFill="1" applyBorder="1" applyAlignment="1">
      <alignment horizontal="center" vertical="center" wrapText="1"/>
    </xf>
    <xf numFmtId="0" fontId="2" fillId="0" borderId="25" xfId="0" applyFont="1" applyFill="1" applyBorder="1" applyAlignment="1">
      <alignment horizontal="center" vertical="center"/>
    </xf>
    <xf numFmtId="0" fontId="2" fillId="0" borderId="46" xfId="0" applyFont="1" applyFill="1" applyBorder="1" applyAlignment="1">
      <alignment horizontal="center" vertical="center"/>
    </xf>
    <xf numFmtId="0" fontId="69" fillId="0" borderId="25" xfId="0" applyFont="1" applyFill="1" applyBorder="1" applyAlignment="1">
      <alignment horizontal="center" vertical="center"/>
    </xf>
    <xf numFmtId="2" fontId="2" fillId="0" borderId="25" xfId="0" applyNumberFormat="1" applyFont="1" applyFill="1" applyBorder="1" applyAlignment="1">
      <alignment horizontal="center" vertical="center"/>
    </xf>
    <xf numFmtId="0" fontId="2" fillId="0" borderId="0" xfId="0" applyFont="1" applyFill="1"/>
    <xf numFmtId="0" fontId="4" fillId="0" borderId="0" xfId="0" applyFont="1" applyFill="1"/>
    <xf numFmtId="0" fontId="2" fillId="43" borderId="25" xfId="0" applyFont="1" applyFill="1" applyBorder="1" applyAlignment="1">
      <alignment horizontal="center" vertical="center" wrapText="1"/>
    </xf>
    <xf numFmtId="0" fontId="50" fillId="43" borderId="25" xfId="113" applyFont="1" applyFill="1" applyBorder="1" applyAlignment="1">
      <alignment wrapText="1"/>
    </xf>
    <xf numFmtId="14" fontId="2" fillId="50" borderId="48" xfId="0" applyNumberFormat="1" applyFont="1" applyFill="1" applyBorder="1" applyAlignment="1">
      <alignment horizontal="center" vertical="center"/>
    </xf>
    <xf numFmtId="2" fontId="59" fillId="50" borderId="25" xfId="0" applyNumberFormat="1" applyFont="1" applyFill="1" applyBorder="1" applyAlignment="1">
      <alignment horizontal="center" vertical="center" wrapText="1"/>
    </xf>
    <xf numFmtId="43" fontId="50" fillId="43" borderId="25" xfId="113" applyNumberFormat="1" applyFont="1" applyFill="1" applyBorder="1" applyAlignment="1">
      <alignment horizontal="center" vertical="center" wrapText="1"/>
    </xf>
    <xf numFmtId="2" fontId="2" fillId="2" borderId="0" xfId="113" applyNumberFormat="1" applyFont="1" applyFill="1" applyAlignment="1">
      <alignment horizontal="center"/>
    </xf>
    <xf numFmtId="2" fontId="50" fillId="47" borderId="25" xfId="0" applyNumberFormat="1" applyFont="1" applyFill="1" applyBorder="1" applyAlignment="1">
      <alignment horizontal="center"/>
    </xf>
    <xf numFmtId="43" fontId="49" fillId="2" borderId="25" xfId="0" applyNumberFormat="1" applyFont="1" applyFill="1" applyBorder="1" applyAlignment="1">
      <alignment horizontal="center" vertical="center" wrapText="1"/>
    </xf>
    <xf numFmtId="43" fontId="49" fillId="43" borderId="25" xfId="0" applyNumberFormat="1"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5" xfId="0" applyFont="1" applyBorder="1" applyAlignment="1">
      <alignment horizontal="center" vertical="center" wrapText="1"/>
    </xf>
    <xf numFmtId="0" fontId="59" fillId="0" borderId="25" xfId="0" applyFont="1" applyBorder="1" applyAlignment="1">
      <alignment horizontal="center" vertical="center" wrapText="1"/>
    </xf>
    <xf numFmtId="0" fontId="50" fillId="43" borderId="46" xfId="113" applyFont="1" applyFill="1" applyBorder="1" applyAlignment="1">
      <alignment horizontal="center" vertical="center" wrapText="1"/>
    </xf>
    <xf numFmtId="0" fontId="50" fillId="43" borderId="48" xfId="113" applyFont="1" applyFill="1" applyBorder="1" applyAlignment="1">
      <alignment horizontal="center" vertical="center" wrapText="1"/>
    </xf>
    <xf numFmtId="0" fontId="2" fillId="0" borderId="10" xfId="113" applyFont="1" applyFill="1" applyBorder="1" applyAlignment="1">
      <alignment horizontal="center" vertical="center" wrapText="1"/>
    </xf>
    <xf numFmtId="0" fontId="2" fillId="0" borderId="10" xfId="0" applyFont="1" applyBorder="1" applyAlignment="1">
      <alignment horizontal="center" vertical="center" wrapText="1"/>
    </xf>
    <xf numFmtId="0" fontId="2" fillId="2" borderId="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52" fillId="2" borderId="6"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2" fillId="2" borderId="11" xfId="0" applyFont="1" applyFill="1" applyBorder="1" applyAlignment="1">
      <alignment horizontal="center" vertical="center" wrapText="1"/>
    </xf>
    <xf numFmtId="0" fontId="50" fillId="44" borderId="46" xfId="0" applyFont="1" applyFill="1" applyBorder="1" applyAlignment="1">
      <alignment horizontal="center" vertical="center" wrapText="1"/>
    </xf>
    <xf numFmtId="0" fontId="50" fillId="44" borderId="4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5" xfId="0" applyFont="1" applyBorder="1" applyAlignment="1">
      <alignment horizontal="center" vertical="center" wrapText="1"/>
    </xf>
    <xf numFmtId="0" fontId="59" fillId="0" borderId="25" xfId="0" applyFont="1" applyBorder="1" applyAlignment="1">
      <alignment horizontal="center" vertical="center" wrapText="1"/>
    </xf>
    <xf numFmtId="0" fontId="59" fillId="46" borderId="29" xfId="0" applyFont="1" applyFill="1" applyBorder="1" applyAlignment="1">
      <alignment horizontal="center" vertical="center" wrapText="1"/>
    </xf>
    <xf numFmtId="0" fontId="2" fillId="0" borderId="6" xfId="113" applyFont="1" applyBorder="1" applyAlignment="1">
      <alignment horizontal="center" vertical="center" wrapText="1"/>
    </xf>
    <xf numFmtId="0" fontId="2" fillId="0" borderId="16" xfId="113" applyFont="1" applyBorder="1" applyAlignment="1">
      <alignment horizontal="center" vertical="center" wrapText="1"/>
    </xf>
    <xf numFmtId="0" fontId="2" fillId="0" borderId="11" xfId="113" applyFont="1" applyBorder="1" applyAlignment="1">
      <alignment horizontal="center" vertical="center" wrapText="1"/>
    </xf>
    <xf numFmtId="0" fontId="52" fillId="0" borderId="6" xfId="111" applyFont="1" applyBorder="1" applyAlignment="1">
      <alignment horizontal="center" vertical="center" wrapText="1"/>
    </xf>
    <xf numFmtId="0" fontId="52" fillId="0" borderId="16" xfId="111" applyFont="1" applyBorder="1" applyAlignment="1">
      <alignment horizontal="center" vertical="center" wrapText="1"/>
    </xf>
    <xf numFmtId="0" fontId="52" fillId="0" borderId="11" xfId="11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0" fontId="2" fillId="41" borderId="6" xfId="0" applyFont="1" applyFill="1" applyBorder="1" applyAlignment="1">
      <alignment horizontal="center" vertical="center" wrapText="1"/>
    </xf>
    <xf numFmtId="0" fontId="2" fillId="41" borderId="16" xfId="0" applyFont="1" applyFill="1" applyBorder="1" applyAlignment="1">
      <alignment horizontal="center" vertical="center" wrapText="1"/>
    </xf>
    <xf numFmtId="0" fontId="2" fillId="41" borderId="11" xfId="0" applyFont="1" applyFill="1" applyBorder="1" applyAlignment="1">
      <alignment horizontal="center" vertical="center" wrapText="1"/>
    </xf>
    <xf numFmtId="0" fontId="52" fillId="0" borderId="6"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11" xfId="0" applyFont="1" applyBorder="1" applyAlignment="1">
      <alignment horizontal="center" vertical="center" wrapText="1"/>
    </xf>
    <xf numFmtId="0" fontId="2" fillId="43" borderId="10" xfId="113" applyFont="1" applyFill="1" applyBorder="1" applyAlignment="1">
      <alignment horizontal="center" vertical="center" wrapText="1"/>
    </xf>
    <xf numFmtId="0" fontId="12" fillId="0" borderId="0" xfId="113" applyFont="1" applyAlignment="1">
      <alignment horizontal="center" vertical="center" wrapText="1"/>
    </xf>
    <xf numFmtId="0" fontId="47" fillId="0" borderId="0" xfId="113" applyFont="1" applyAlignment="1">
      <alignment horizontal="center" vertical="center" wrapText="1"/>
    </xf>
    <xf numFmtId="0" fontId="71" fillId="0" borderId="0" xfId="113" applyFont="1" applyBorder="1" applyAlignment="1">
      <alignment horizontal="center" vertical="top" wrapText="1"/>
    </xf>
    <xf numFmtId="0" fontId="2" fillId="43" borderId="10" xfId="113" applyFont="1" applyFill="1" applyBorder="1" applyAlignment="1">
      <alignment horizontal="center" vertical="center"/>
    </xf>
    <xf numFmtId="0" fontId="59" fillId="46" borderId="25" xfId="0" applyFont="1" applyFill="1" applyBorder="1" applyAlignment="1">
      <alignment horizontal="center" vertical="center" wrapText="1"/>
    </xf>
    <xf numFmtId="2" fontId="2" fillId="46" borderId="25" xfId="0" applyNumberFormat="1" applyFont="1" applyFill="1" applyBorder="1" applyAlignment="1">
      <alignment horizontal="center" vertical="center"/>
    </xf>
    <xf numFmtId="2" fontId="2" fillId="46" borderId="25" xfId="0" applyNumberFormat="1" applyFont="1" applyFill="1" applyBorder="1" applyAlignment="1">
      <alignment horizontal="center" vertical="center" wrapText="1"/>
    </xf>
    <xf numFmtId="0" fontId="2" fillId="46" borderId="48" xfId="0" applyFont="1" applyFill="1" applyBorder="1" applyAlignment="1">
      <alignment horizontal="center" vertical="center"/>
    </xf>
    <xf numFmtId="0" fontId="2" fillId="46" borderId="25" xfId="0" applyFont="1" applyFill="1" applyBorder="1" applyAlignment="1">
      <alignment horizontal="center" vertical="center"/>
    </xf>
    <xf numFmtId="0" fontId="59" fillId="46" borderId="46" xfId="0" applyFont="1" applyFill="1" applyBorder="1" applyAlignment="1">
      <alignment horizontal="center" vertical="center" wrapText="1"/>
    </xf>
    <xf numFmtId="0" fontId="69" fillId="46" borderId="6" xfId="0" applyFont="1" applyFill="1" applyBorder="1" applyAlignment="1">
      <alignment horizontal="center" vertical="center"/>
    </xf>
    <xf numFmtId="0" fontId="69" fillId="46" borderId="11" xfId="0" applyFont="1" applyFill="1" applyBorder="1" applyAlignment="1">
      <alignment horizontal="center" vertical="center"/>
    </xf>
    <xf numFmtId="2" fontId="2" fillId="46" borderId="6" xfId="0" applyNumberFormat="1" applyFont="1" applyFill="1" applyBorder="1" applyAlignment="1">
      <alignment horizontal="center" vertical="center"/>
    </xf>
    <xf numFmtId="2" fontId="2" fillId="46" borderId="11" xfId="0" applyNumberFormat="1" applyFont="1" applyFill="1" applyBorder="1" applyAlignment="1">
      <alignment horizontal="center" vertical="center"/>
    </xf>
    <xf numFmtId="0" fontId="50" fillId="2" borderId="46" xfId="113" applyFont="1" applyFill="1" applyBorder="1" applyAlignment="1">
      <alignment horizontal="center" vertical="center"/>
    </xf>
    <xf numFmtId="0" fontId="50" fillId="2" borderId="47" xfId="113" applyFont="1" applyFill="1" applyBorder="1" applyAlignment="1">
      <alignment horizontal="center" vertical="center"/>
    </xf>
    <xf numFmtId="0" fontId="50" fillId="2" borderId="48" xfId="113" applyFont="1" applyFill="1" applyBorder="1" applyAlignment="1">
      <alignment horizontal="center" vertical="center"/>
    </xf>
    <xf numFmtId="14" fontId="52" fillId="46" borderId="48" xfId="0" applyNumberFormat="1" applyFont="1" applyFill="1" applyBorder="1" applyAlignment="1">
      <alignment horizontal="center" vertical="center" wrapText="1"/>
    </xf>
    <xf numFmtId="0" fontId="52" fillId="46" borderId="25" xfId="0" applyFont="1" applyFill="1" applyBorder="1" applyAlignment="1">
      <alignment horizontal="center" vertical="center" wrapText="1"/>
    </xf>
    <xf numFmtId="2" fontId="59" fillId="46" borderId="6" xfId="0" applyNumberFormat="1" applyFont="1" applyFill="1" applyBorder="1" applyAlignment="1">
      <alignment horizontal="center" vertical="center" wrapText="1"/>
    </xf>
    <xf numFmtId="2" fontId="59" fillId="46" borderId="11" xfId="0" applyNumberFormat="1" applyFont="1" applyFill="1" applyBorder="1" applyAlignment="1">
      <alignment horizontal="center" vertical="center" wrapText="1"/>
    </xf>
    <xf numFmtId="0" fontId="4" fillId="0" borderId="29" xfId="1" applyFont="1" applyFill="1" applyBorder="1" applyAlignment="1">
      <alignment horizontal="center" vertical="center" wrapText="1"/>
    </xf>
    <xf numFmtId="0" fontId="4" fillId="0" borderId="16" xfId="1" applyFont="1" applyFill="1" applyBorder="1" applyAlignment="1">
      <alignment horizontal="center" vertical="center" wrapText="1"/>
    </xf>
    <xf numFmtId="0" fontId="4" fillId="0" borderId="11" xfId="1" applyFont="1" applyFill="1" applyBorder="1" applyAlignment="1">
      <alignment horizontal="center" vertical="center" wrapText="1"/>
    </xf>
    <xf numFmtId="14" fontId="4" fillId="0" borderId="29" xfId="1" applyNumberFormat="1" applyFont="1" applyFill="1" applyBorder="1" applyAlignment="1">
      <alignment horizontal="center" vertical="center" wrapText="1"/>
    </xf>
    <xf numFmtId="14" fontId="4" fillId="0" borderId="16" xfId="1" applyNumberFormat="1" applyFont="1" applyFill="1" applyBorder="1" applyAlignment="1">
      <alignment horizontal="center" vertical="center" wrapText="1"/>
    </xf>
    <xf numFmtId="14" fontId="4" fillId="0" borderId="11" xfId="1" applyNumberFormat="1" applyFont="1" applyFill="1" applyBorder="1" applyAlignment="1">
      <alignment horizontal="center" vertical="center" wrapText="1"/>
    </xf>
    <xf numFmtId="49" fontId="4" fillId="0" borderId="29" xfId="1" applyNumberFormat="1" applyFont="1" applyFill="1" applyBorder="1" applyAlignment="1">
      <alignment horizontal="center" vertical="center" wrapText="1"/>
    </xf>
    <xf numFmtId="49" fontId="4" fillId="0" borderId="16" xfId="1" applyNumberFormat="1" applyFont="1" applyFill="1" applyBorder="1" applyAlignment="1">
      <alignment horizontal="center" vertical="center" wrapText="1"/>
    </xf>
    <xf numFmtId="49" fontId="4" fillId="0" borderId="11" xfId="1" applyNumberFormat="1" applyFont="1" applyFill="1" applyBorder="1" applyAlignment="1">
      <alignment horizontal="center" vertical="center" wrapText="1"/>
    </xf>
    <xf numFmtId="0" fontId="5" fillId="0" borderId="0" xfId="1" applyFont="1" applyAlignment="1">
      <alignment horizontal="center"/>
    </xf>
    <xf numFmtId="0" fontId="4" fillId="0" borderId="23" xfId="1" applyFont="1" applyFill="1" applyBorder="1" applyAlignment="1">
      <alignment horizontal="center" vertical="center" wrapText="1"/>
    </xf>
    <xf numFmtId="0" fontId="4" fillId="0" borderId="27" xfId="1" applyFont="1" applyFill="1" applyBorder="1" applyAlignment="1">
      <alignment horizontal="center" vertical="center" wrapText="1"/>
    </xf>
    <xf numFmtId="0" fontId="4" fillId="0" borderId="28"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25" xfId="1" applyFont="1" applyFill="1" applyBorder="1" applyAlignment="1">
      <alignment horizontal="center" vertical="center" wrapText="1"/>
    </xf>
    <xf numFmtId="0" fontId="12" fillId="0" borderId="0" xfId="1" applyFont="1" applyAlignment="1">
      <alignment horizontal="center" vertical="center"/>
    </xf>
    <xf numFmtId="0" fontId="12" fillId="0" borderId="0" xfId="1" applyFont="1" applyAlignment="1">
      <alignment horizontal="center" vertical="center" wrapText="1"/>
    </xf>
    <xf numFmtId="0" fontId="47" fillId="0" borderId="1" xfId="1" applyFont="1" applyBorder="1" applyAlignment="1">
      <alignment horizontal="center" vertical="top" wrapText="1"/>
    </xf>
    <xf numFmtId="0" fontId="14" fillId="0" borderId="0" xfId="1" applyFont="1" applyBorder="1" applyAlignment="1">
      <alignment horizontal="center" vertical="top"/>
    </xf>
    <xf numFmtId="0" fontId="4" fillId="0" borderId="19" xfId="7" applyFont="1" applyFill="1" applyBorder="1" applyAlignment="1">
      <alignment horizontal="center" vertical="center" wrapText="1"/>
    </xf>
    <xf numFmtId="0" fontId="4" fillId="0" borderId="26" xfId="7" applyFont="1" applyFill="1" applyBorder="1" applyAlignment="1">
      <alignment horizontal="center" vertical="center" wrapText="1"/>
    </xf>
    <xf numFmtId="0" fontId="4" fillId="0" borderId="30" xfId="7" applyFont="1" applyFill="1" applyBorder="1" applyAlignment="1">
      <alignment horizontal="center" vertical="center" wrapText="1"/>
    </xf>
    <xf numFmtId="0" fontId="4" fillId="0" borderId="4" xfId="7" applyFont="1" applyFill="1" applyBorder="1" applyAlignment="1">
      <alignment horizontal="center" vertical="center" wrapText="1"/>
    </xf>
    <xf numFmtId="0" fontId="4" fillId="0" borderId="25" xfId="7" applyFont="1" applyFill="1" applyBorder="1" applyAlignment="1">
      <alignment horizontal="center" vertical="center" wrapText="1"/>
    </xf>
    <xf numFmtId="0" fontId="4" fillId="0" borderId="4"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4" xfId="8" applyFont="1" applyFill="1" applyBorder="1" applyAlignment="1">
      <alignment horizontal="center" vertical="center" wrapText="1"/>
    </xf>
    <xf numFmtId="0" fontId="4" fillId="0" borderId="25" xfId="8" applyFont="1" applyFill="1" applyBorder="1" applyAlignment="1">
      <alignment horizontal="center" vertical="center" wrapText="1"/>
    </xf>
    <xf numFmtId="0" fontId="4" fillId="0" borderId="30" xfId="1" applyFont="1" applyFill="1" applyBorder="1" applyAlignment="1">
      <alignment horizontal="center" vertical="center" wrapText="1"/>
    </xf>
    <xf numFmtId="0" fontId="4" fillId="0" borderId="15" xfId="1" applyFont="1" applyFill="1" applyBorder="1" applyAlignment="1">
      <alignment horizontal="center" vertical="center" wrapText="1"/>
    </xf>
    <xf numFmtId="0" fontId="4" fillId="0" borderId="17" xfId="1" applyFont="1" applyFill="1" applyBorder="1" applyAlignment="1">
      <alignment horizontal="center" vertical="center" wrapText="1"/>
    </xf>
    <xf numFmtId="0" fontId="10" fillId="0" borderId="29" xfId="1" applyFont="1" applyFill="1" applyBorder="1" applyAlignment="1">
      <alignment horizontal="center" vertical="center" wrapText="1"/>
    </xf>
    <xf numFmtId="0" fontId="10" fillId="0" borderId="16"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0" borderId="10" xfId="0" applyFont="1" applyBorder="1" applyAlignment="1">
      <alignment horizontal="left" vertical="center" wrapText="1"/>
    </xf>
    <xf numFmtId="0" fontId="4" fillId="0" borderId="0" xfId="1" applyFont="1" applyAlignment="1">
      <alignment horizontal="center" vertical="center"/>
    </xf>
    <xf numFmtId="49" fontId="4" fillId="40" borderId="0" xfId="1" applyNumberFormat="1" applyFont="1" applyFill="1" applyAlignment="1">
      <alignment horizontal="center" vertical="center" wrapText="1"/>
    </xf>
    <xf numFmtId="0" fontId="4" fillId="2" borderId="8" xfId="1" applyFont="1" applyFill="1" applyBorder="1" applyAlignment="1">
      <alignment horizontal="center" vertical="center" wrapText="1"/>
    </xf>
    <xf numFmtId="165" fontId="4" fillId="0" borderId="29" xfId="1" applyNumberFormat="1" applyFont="1" applyFill="1" applyBorder="1" applyAlignment="1">
      <alignment horizontal="right" vertical="center" wrapText="1"/>
    </xf>
    <xf numFmtId="165" fontId="1" fillId="0" borderId="16" xfId="1" applyNumberFormat="1" applyFill="1" applyBorder="1" applyAlignment="1">
      <alignment horizontal="right" vertical="center" wrapText="1"/>
    </xf>
    <xf numFmtId="165" fontId="1" fillId="0" borderId="11" xfId="1" applyNumberFormat="1" applyFill="1" applyBorder="1" applyAlignment="1">
      <alignment horizontal="right" vertical="center" wrapText="1"/>
    </xf>
    <xf numFmtId="0" fontId="4" fillId="0" borderId="30" xfId="1" applyFont="1" applyFill="1" applyBorder="1" applyAlignment="1">
      <alignment vertical="center"/>
    </xf>
    <xf numFmtId="0" fontId="4" fillId="0" borderId="15" xfId="1" applyFont="1" applyFill="1" applyBorder="1" applyAlignment="1">
      <alignment vertical="center"/>
    </xf>
    <xf numFmtId="0" fontId="4" fillId="0" borderId="17" xfId="1" applyFont="1" applyFill="1" applyBorder="1" applyAlignment="1">
      <alignment vertical="center"/>
    </xf>
    <xf numFmtId="165" fontId="9" fillId="0" borderId="29" xfId="1" applyNumberFormat="1" applyFont="1" applyFill="1" applyBorder="1" applyAlignment="1">
      <alignment horizontal="right" vertical="center" wrapText="1"/>
    </xf>
    <xf numFmtId="165" fontId="9" fillId="0" borderId="16" xfId="1" applyNumberFormat="1" applyFont="1" applyFill="1" applyBorder="1" applyAlignment="1">
      <alignment horizontal="right" vertical="center" wrapText="1"/>
    </xf>
    <xf numFmtId="165" fontId="9" fillId="0" borderId="11" xfId="1" applyNumberFormat="1" applyFont="1" applyFill="1" applyBorder="1" applyAlignment="1">
      <alignment horizontal="right" vertical="center" wrapText="1"/>
    </xf>
    <xf numFmtId="165" fontId="4" fillId="0" borderId="16" xfId="1" applyNumberFormat="1" applyFont="1" applyFill="1" applyBorder="1" applyAlignment="1">
      <alignment horizontal="right" vertical="center" wrapText="1"/>
    </xf>
    <xf numFmtId="165" fontId="4" fillId="0" borderId="11" xfId="1" applyNumberFormat="1" applyFont="1" applyFill="1" applyBorder="1" applyAlignment="1">
      <alignment horizontal="right" vertical="center" wrapText="1"/>
    </xf>
    <xf numFmtId="0" fontId="4" fillId="0" borderId="29" xfId="1" applyFont="1" applyFill="1" applyBorder="1" applyAlignment="1">
      <alignment horizontal="justify" vertical="center" wrapText="1"/>
    </xf>
    <xf numFmtId="0" fontId="4" fillId="0" borderId="16" xfId="1" applyFont="1" applyFill="1" applyBorder="1" applyAlignment="1">
      <alignment horizontal="justify" vertical="center" wrapText="1"/>
    </xf>
    <xf numFmtId="0" fontId="4" fillId="0" borderId="11" xfId="1" applyFont="1" applyFill="1" applyBorder="1" applyAlignment="1">
      <alignment horizontal="justify" vertical="center" wrapText="1"/>
    </xf>
    <xf numFmtId="14" fontId="4" fillId="0" borderId="29" xfId="1" applyNumberFormat="1" applyFont="1" applyFill="1" applyBorder="1" applyAlignment="1">
      <alignment horizontal="justify" vertical="center" wrapText="1"/>
    </xf>
    <xf numFmtId="14" fontId="4" fillId="0" borderId="16" xfId="1" applyNumberFormat="1" applyFont="1" applyFill="1" applyBorder="1" applyAlignment="1">
      <alignment horizontal="justify" vertical="center" wrapText="1"/>
    </xf>
    <xf numFmtId="14" fontId="4" fillId="0" borderId="11" xfId="1" applyNumberFormat="1" applyFont="1" applyFill="1" applyBorder="1" applyAlignment="1">
      <alignment horizontal="justify" vertical="center" wrapText="1"/>
    </xf>
    <xf numFmtId="0" fontId="5" fillId="0" borderId="0" xfId="1" applyFont="1" applyFill="1" applyBorder="1" applyAlignment="1">
      <alignment horizontal="center" vertical="center" wrapText="1"/>
    </xf>
    <xf numFmtId="0" fontId="9" fillId="0" borderId="1" xfId="1" applyFont="1" applyBorder="1" applyAlignment="1">
      <alignment horizontal="center" vertical="top" wrapText="1"/>
    </xf>
    <xf numFmtId="0" fontId="11" fillId="0" borderId="32" xfId="1" applyFont="1" applyBorder="1" applyAlignment="1">
      <alignment horizontal="center" vertical="top"/>
    </xf>
    <xf numFmtId="0" fontId="10" fillId="0" borderId="25" xfId="1" applyFont="1" applyFill="1" applyBorder="1" applyAlignment="1">
      <alignment horizontal="center" vertical="center" wrapText="1"/>
    </xf>
    <xf numFmtId="0" fontId="10" fillId="0" borderId="4" xfId="1" applyFont="1" applyFill="1" applyBorder="1" applyAlignment="1">
      <alignment horizontal="center" vertical="center"/>
    </xf>
    <xf numFmtId="0" fontId="10" fillId="0" borderId="4" xfId="1" applyFont="1" applyFill="1" applyBorder="1" applyAlignment="1">
      <alignment horizontal="center" vertical="center" wrapText="1"/>
    </xf>
    <xf numFmtId="0" fontId="10" fillId="0" borderId="25" xfId="1" applyFont="1" applyFill="1" applyBorder="1" applyAlignment="1">
      <alignment horizontal="center" vertical="center"/>
    </xf>
    <xf numFmtId="0" fontId="10" fillId="0" borderId="23" xfId="1" applyFont="1" applyFill="1" applyBorder="1" applyAlignment="1">
      <alignment horizontal="center" vertical="center" wrapText="1"/>
    </xf>
    <xf numFmtId="0" fontId="10" fillId="0" borderId="27" xfId="1" applyFont="1" applyFill="1" applyBorder="1" applyAlignment="1">
      <alignment horizontal="center" vertical="center" wrapText="1"/>
    </xf>
    <xf numFmtId="0" fontId="10" fillId="0" borderId="28" xfId="1" applyFont="1" applyFill="1" applyBorder="1" applyAlignment="1">
      <alignment horizontal="center" vertical="center" wrapText="1"/>
    </xf>
    <xf numFmtId="0" fontId="5" fillId="2" borderId="10" xfId="0" applyFont="1" applyFill="1" applyBorder="1" applyAlignment="1">
      <alignment horizontal="left"/>
    </xf>
    <xf numFmtId="0" fontId="4" fillId="2" borderId="10" xfId="1" applyFont="1" applyFill="1" applyBorder="1" applyAlignment="1">
      <alignment horizontal="center" vertical="center"/>
    </xf>
    <xf numFmtId="165" fontId="5" fillId="0" borderId="29" xfId="1" applyNumberFormat="1" applyFont="1" applyFill="1" applyBorder="1" applyAlignment="1">
      <alignment horizontal="right" vertical="center" wrapText="1"/>
    </xf>
  </cellXfs>
  <cellStyles count="118">
    <cellStyle name="20% - Акцент1 2" xfId="16"/>
    <cellStyle name="20% - Акцент1 3" xfId="17"/>
    <cellStyle name="20% - Акцент2 2" xfId="18"/>
    <cellStyle name="20% - Акцент2 3" xfId="19"/>
    <cellStyle name="20% - Акцент3 2" xfId="20"/>
    <cellStyle name="20% - Акцент3 3" xfId="21"/>
    <cellStyle name="20% - Акцент4 2" xfId="22"/>
    <cellStyle name="20% - Акцент4 3" xfId="23"/>
    <cellStyle name="20% - Акцент5 2" xfId="24"/>
    <cellStyle name="20% - Акцент5 3" xfId="25"/>
    <cellStyle name="20% - Акцент6 2" xfId="26"/>
    <cellStyle name="20% - Акцент6 3" xfId="27"/>
    <cellStyle name="40% - Акцент1 2" xfId="28"/>
    <cellStyle name="40% - Акцент1 3" xfId="29"/>
    <cellStyle name="40% - Акцент2 2" xfId="30"/>
    <cellStyle name="40% - Акцент2 3" xfId="31"/>
    <cellStyle name="40% - Акцент3 2" xfId="32"/>
    <cellStyle name="40% - Акцент3 3" xfId="33"/>
    <cellStyle name="40% - Акцент4 2" xfId="34"/>
    <cellStyle name="40% - Акцент4 3" xfId="35"/>
    <cellStyle name="40% - Акцент5 2" xfId="36"/>
    <cellStyle name="40% - Акцент5 3" xfId="37"/>
    <cellStyle name="40% - Акцент6 2" xfId="38"/>
    <cellStyle name="40% - Акцент6 3" xfId="39"/>
    <cellStyle name="60% - Акцент1 2" xfId="40"/>
    <cellStyle name="60% - Акцент1 3" xfId="41"/>
    <cellStyle name="60% - Акцент2 2" xfId="42"/>
    <cellStyle name="60% - Акцент2 3" xfId="43"/>
    <cellStyle name="60% - Акцент3 2" xfId="44"/>
    <cellStyle name="60% - Акцент3 3" xfId="45"/>
    <cellStyle name="60% - Акцент4 2" xfId="46"/>
    <cellStyle name="60% - Акцент4 3" xfId="47"/>
    <cellStyle name="60% - Акцент5 2" xfId="48"/>
    <cellStyle name="60% - Акцент5 3" xfId="49"/>
    <cellStyle name="60% - Акцент6 2" xfId="50"/>
    <cellStyle name="60% - Акцент6 3" xfId="51"/>
    <cellStyle name="Excel Built-in Normal" xfId="12"/>
    <cellStyle name="Excel Built-in Normal 2" xfId="52"/>
    <cellStyle name="TableStyleLight1" xfId="53"/>
    <cellStyle name="TableStyleLight1 2" xfId="54"/>
    <cellStyle name="Акцент1 2" xfId="55"/>
    <cellStyle name="Акцент1 3" xfId="56"/>
    <cellStyle name="Акцент2 2" xfId="57"/>
    <cellStyle name="Акцент2 3" xfId="58"/>
    <cellStyle name="Акцент3 2" xfId="59"/>
    <cellStyle name="Акцент3 3" xfId="60"/>
    <cellStyle name="Акцент4 2" xfId="61"/>
    <cellStyle name="Акцент4 3" xfId="62"/>
    <cellStyle name="Акцент5 2" xfId="63"/>
    <cellStyle name="Акцент5 3" xfId="64"/>
    <cellStyle name="Акцент6 2" xfId="65"/>
    <cellStyle name="Акцент6 3" xfId="66"/>
    <cellStyle name="Ввод  2" xfId="67"/>
    <cellStyle name="Ввод  3" xfId="68"/>
    <cellStyle name="Вывод 2" xfId="69"/>
    <cellStyle name="Вывод 3" xfId="70"/>
    <cellStyle name="Вычисление 2" xfId="71"/>
    <cellStyle name="Вычисление 3" xfId="72"/>
    <cellStyle name="Гиперссылка 2" xfId="11"/>
    <cellStyle name="Заголовок 1 2" xfId="73"/>
    <cellStyle name="Заголовок 1 3" xfId="74"/>
    <cellStyle name="Заголовок 2 2" xfId="75"/>
    <cellStyle name="Заголовок 2 3" xfId="76"/>
    <cellStyle name="Заголовок 3 2" xfId="77"/>
    <cellStyle name="Заголовок 3 3" xfId="78"/>
    <cellStyle name="Заголовок 4 2" xfId="79"/>
    <cellStyle name="Заголовок 4 3" xfId="80"/>
    <cellStyle name="Звичайний 2" xfId="7"/>
    <cellStyle name="Звичайний 2 2" xfId="8"/>
    <cellStyle name="Итог 2" xfId="81"/>
    <cellStyle name="Итог 3" xfId="82"/>
    <cellStyle name="Контрольная ячейка 2" xfId="83"/>
    <cellStyle name="Контрольная ячейка 3" xfId="84"/>
    <cellStyle name="Название 2" xfId="85"/>
    <cellStyle name="Название 3" xfId="86"/>
    <cellStyle name="Название 4" xfId="87"/>
    <cellStyle name="Нейтральный 2" xfId="88"/>
    <cellStyle name="Нейтральный 3" xfId="89"/>
    <cellStyle name="Обычный" xfId="0" builtinId="0"/>
    <cellStyle name="Обычный 2" xfId="1"/>
    <cellStyle name="Обычный 2 2" xfId="9"/>
    <cellStyle name="Обычный 2 2 2" xfId="113"/>
    <cellStyle name="Обычный 2 5" xfId="90"/>
    <cellStyle name="Обычный 2 5 2" xfId="13"/>
    <cellStyle name="Обычный 3" xfId="4"/>
    <cellStyle name="Обычный 3 2" xfId="91"/>
    <cellStyle name="Обычный 3 2 2" xfId="92"/>
    <cellStyle name="Обычный 3 3" xfId="93"/>
    <cellStyle name="Обычный 3 4" xfId="94"/>
    <cellStyle name="Обычный 4" xfId="6"/>
    <cellStyle name="Обычный 4 2" xfId="95"/>
    <cellStyle name="Обычный 4 3" xfId="96"/>
    <cellStyle name="Обычный 4 3 2" xfId="97"/>
    <cellStyle name="Обычный 5" xfId="98"/>
    <cellStyle name="Обычный 6" xfId="99"/>
    <cellStyle name="Обычный 7" xfId="112"/>
    <cellStyle name="Обычный 8" xfId="114"/>
    <cellStyle name="Плохой 2" xfId="100"/>
    <cellStyle name="Плохой 3" xfId="101"/>
    <cellStyle name="Пояснение" xfId="111" builtinId="53"/>
    <cellStyle name="Пояснение 2" xfId="3"/>
    <cellStyle name="Пояснение 3" xfId="115"/>
    <cellStyle name="Примечание 2" xfId="102"/>
    <cellStyle name="Примечание 3" xfId="103"/>
    <cellStyle name="Связанная ячейка 2" xfId="104"/>
    <cellStyle name="Текст предупреждения 2" xfId="105"/>
    <cellStyle name="Финансовый 2" xfId="2"/>
    <cellStyle name="Финансовый 2 2" xfId="15"/>
    <cellStyle name="Финансовый 3" xfId="5"/>
    <cellStyle name="Финансовый 4" xfId="10"/>
    <cellStyle name="Финансовый 5" xfId="110"/>
    <cellStyle name="Финансовый 6" xfId="116"/>
    <cellStyle name="Финансовый 7" xfId="117"/>
    <cellStyle name="Финансовый 7 2" xfId="106"/>
    <cellStyle name="Финансовый 7 2 2" xfId="107"/>
    <cellStyle name="Финансовый 7 2 3" xfId="14"/>
    <cellStyle name="Хороший 2" xfId="108"/>
    <cellStyle name="Хороший 3" xfId="109"/>
  </cellStyles>
  <dxfs count="0"/>
  <tableStyles count="0" defaultTableStyle="TableStyleMedium2" defaultPivotStyle="PivotStyleLight16"/>
  <colors>
    <mruColors>
      <color rgb="FFFF9999"/>
      <color rgb="FFFF00FF"/>
      <color rgb="FF66FF66"/>
      <color rgb="FFFF99FF"/>
      <color rgb="FFFFFF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12</xdr:col>
      <xdr:colOff>0</xdr:colOff>
      <xdr:row>6</xdr:row>
      <xdr:rowOff>0</xdr:rowOff>
    </xdr:from>
    <xdr:ext cx="184731" cy="264560"/>
    <xdr:sp macro="" textlink="">
      <xdr:nvSpPr>
        <xdr:cNvPr id="2" name="TextBox 1">
          <a:extLst>
            <a:ext uri="{FF2B5EF4-FFF2-40B4-BE49-F238E27FC236}">
              <a16:creationId xmlns:a16="http://schemas.microsoft.com/office/drawing/2014/main" xmlns="" id="{26928222-3F4D-4BA2-BBA7-EADE8A98632A}"/>
            </a:ext>
          </a:extLst>
        </xdr:cNvPr>
        <xdr:cNvSpPr txBox="1"/>
      </xdr:nvSpPr>
      <xdr:spPr>
        <a:xfrm>
          <a:off x="15382875" y="151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6</xdr:row>
      <xdr:rowOff>428625</xdr:rowOff>
    </xdr:from>
    <xdr:ext cx="184731" cy="264560"/>
    <xdr:sp macro="" textlink="">
      <xdr:nvSpPr>
        <xdr:cNvPr id="3" name="TextBox 2">
          <a:extLst>
            <a:ext uri="{FF2B5EF4-FFF2-40B4-BE49-F238E27FC236}">
              <a16:creationId xmlns:a16="http://schemas.microsoft.com/office/drawing/2014/main" xmlns="" id="{20FB31B5-D865-4B42-9C9C-C85143D1BE1A}"/>
            </a:ext>
          </a:extLst>
        </xdr:cNvPr>
        <xdr:cNvSpPr txBox="1"/>
      </xdr:nvSpPr>
      <xdr:spPr>
        <a:xfrm>
          <a:off x="153828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2159</xdr:row>
      <xdr:rowOff>428625</xdr:rowOff>
    </xdr:from>
    <xdr:ext cx="184731" cy="264560"/>
    <xdr:sp macro="" textlink="">
      <xdr:nvSpPr>
        <xdr:cNvPr id="4" name="TextBox 3">
          <a:extLst>
            <a:ext uri="{FF2B5EF4-FFF2-40B4-BE49-F238E27FC236}">
              <a16:creationId xmlns:a16="http://schemas.microsoft.com/office/drawing/2014/main" xmlns="" id="{085F89E0-F1B9-4C36-98C7-39C317F124EA}"/>
            </a:ext>
          </a:extLst>
        </xdr:cNvPr>
        <xdr:cNvSpPr txBox="1"/>
      </xdr:nvSpPr>
      <xdr:spPr>
        <a:xfrm>
          <a:off x="16049625" y="120103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0</xdr:colOff>
      <xdr:row>6</xdr:row>
      <xdr:rowOff>0</xdr:rowOff>
    </xdr:from>
    <xdr:ext cx="184731" cy="274009"/>
    <xdr:sp macro="" textlink="">
      <xdr:nvSpPr>
        <xdr:cNvPr id="5" name="TextBox 4"/>
        <xdr:cNvSpPr txBox="1"/>
      </xdr:nvSpPr>
      <xdr:spPr>
        <a:xfrm>
          <a:off x="15382875" y="15144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12</xdr:col>
      <xdr:colOff>0</xdr:colOff>
      <xdr:row>6</xdr:row>
      <xdr:rowOff>428625</xdr:rowOff>
    </xdr:from>
    <xdr:ext cx="184731" cy="274009"/>
    <xdr:sp macro="" textlink="">
      <xdr:nvSpPr>
        <xdr:cNvPr id="6" name="TextBox 5"/>
        <xdr:cNvSpPr txBox="1"/>
      </xdr:nvSpPr>
      <xdr:spPr>
        <a:xfrm>
          <a:off x="15382875" y="19431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12</xdr:col>
      <xdr:colOff>0</xdr:colOff>
      <xdr:row>2155</xdr:row>
      <xdr:rowOff>0</xdr:rowOff>
    </xdr:from>
    <xdr:ext cx="184731" cy="264560"/>
    <xdr:sp macro="" textlink="">
      <xdr:nvSpPr>
        <xdr:cNvPr id="7" name="TextBox 6"/>
        <xdr:cNvSpPr txBox="1"/>
      </xdr:nvSpPr>
      <xdr:spPr>
        <a:xfrm>
          <a:off x="16049625" y="120022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twoCellAnchor editAs="oneCell">
    <xdr:from>
      <xdr:col>12</xdr:col>
      <xdr:colOff>0</xdr:colOff>
      <xdr:row>2180</xdr:row>
      <xdr:rowOff>340200</xdr:rowOff>
    </xdr:from>
    <xdr:to>
      <xdr:col>12</xdr:col>
      <xdr:colOff>153000</xdr:colOff>
      <xdr:row>2181</xdr:row>
      <xdr:rowOff>172984</xdr:rowOff>
    </xdr:to>
    <xdr:sp macro="" textlink="">
      <xdr:nvSpPr>
        <xdr:cNvPr id="8" name="CustomShape 1"/>
        <xdr:cNvSpPr/>
      </xdr:nvSpPr>
      <xdr:spPr>
        <a:xfrm>
          <a:off x="15059025" y="13303725"/>
          <a:ext cx="153000" cy="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12</xdr:col>
      <xdr:colOff>0</xdr:colOff>
      <xdr:row>2275</xdr:row>
      <xdr:rowOff>240120</xdr:rowOff>
    </xdr:from>
    <xdr:to>
      <xdr:col>12</xdr:col>
      <xdr:colOff>157680</xdr:colOff>
      <xdr:row>2276</xdr:row>
      <xdr:rowOff>12578</xdr:rowOff>
    </xdr:to>
    <xdr:sp macro="" textlink="">
      <xdr:nvSpPr>
        <xdr:cNvPr id="9" name="CustomShape 1"/>
        <xdr:cNvSpPr/>
      </xdr:nvSpPr>
      <xdr:spPr>
        <a:xfrm>
          <a:off x="15059025" y="47026920"/>
          <a:ext cx="157680" cy="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12</xdr:col>
      <xdr:colOff>0</xdr:colOff>
      <xdr:row>2162</xdr:row>
      <xdr:rowOff>302400</xdr:rowOff>
    </xdr:from>
    <xdr:to>
      <xdr:col>12</xdr:col>
      <xdr:colOff>162360</xdr:colOff>
      <xdr:row>2163</xdr:row>
      <xdr:rowOff>106610</xdr:rowOff>
    </xdr:to>
    <xdr:sp macro="" textlink="">
      <xdr:nvSpPr>
        <xdr:cNvPr id="10" name="CustomShape 1"/>
        <xdr:cNvSpPr/>
      </xdr:nvSpPr>
      <xdr:spPr>
        <a:xfrm>
          <a:off x="15059025" y="6922275"/>
          <a:ext cx="162360" cy="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12</xdr:col>
      <xdr:colOff>0</xdr:colOff>
      <xdr:row>2350</xdr:row>
      <xdr:rowOff>8280</xdr:rowOff>
    </xdr:from>
    <xdr:to>
      <xdr:col>12</xdr:col>
      <xdr:colOff>159120</xdr:colOff>
      <xdr:row>2350</xdr:row>
      <xdr:rowOff>8280</xdr:rowOff>
    </xdr:to>
    <xdr:sp macro="" textlink="">
      <xdr:nvSpPr>
        <xdr:cNvPr id="11" name="CustomShape 1"/>
        <xdr:cNvSpPr/>
      </xdr:nvSpPr>
      <xdr:spPr>
        <a:xfrm>
          <a:off x="15059025" y="74417580"/>
          <a:ext cx="159120" cy="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9434"/>
  <sheetViews>
    <sheetView tabSelected="1" zoomScale="79" zoomScaleNormal="79" workbookViewId="0">
      <selection activeCell="D9102" sqref="D9102"/>
    </sheetView>
  </sheetViews>
  <sheetFormatPr defaultRowHeight="13.2"/>
  <cols>
    <col min="1" max="1" width="6.88671875" style="195" customWidth="1"/>
    <col min="2" max="2" width="19.6640625" style="200" customWidth="1"/>
    <col min="3" max="3" width="31.44140625" style="195" customWidth="1"/>
    <col min="4" max="4" width="41" style="212" customWidth="1"/>
    <col min="5" max="5" width="42.5546875" style="200" customWidth="1"/>
    <col min="6" max="6" width="12" style="195" customWidth="1"/>
    <col min="7" max="8" width="10.109375" style="195" customWidth="1"/>
    <col min="9" max="9" width="21.109375" style="195" customWidth="1"/>
    <col min="10" max="12" width="14.5546875" style="510" customWidth="1"/>
    <col min="13" max="242" width="9.109375" style="195"/>
    <col min="243" max="243" width="4.6640625" style="195" customWidth="1"/>
    <col min="244" max="244" width="12" style="195" customWidth="1"/>
    <col min="245" max="245" width="11.6640625" style="195" customWidth="1"/>
    <col min="246" max="246" width="10.6640625" style="195" customWidth="1"/>
    <col min="247" max="247" width="13.33203125" style="195" customWidth="1"/>
    <col min="248" max="248" width="8.5546875" style="195" customWidth="1"/>
    <col min="249" max="249" width="9.5546875" style="195" customWidth="1"/>
    <col min="250" max="250" width="11.88671875" style="195" customWidth="1"/>
    <col min="251" max="251" width="9.88671875" style="195" customWidth="1"/>
    <col min="252" max="252" width="13.109375" style="195" customWidth="1"/>
    <col min="253" max="253" width="9.109375" style="195"/>
    <col min="254" max="254" width="5.6640625" style="195" customWidth="1"/>
    <col min="255" max="255" width="10.33203125" style="195" customWidth="1"/>
    <col min="256" max="256" width="14.5546875" style="195" customWidth="1"/>
    <col min="257" max="257" width="13" style="195" customWidth="1"/>
    <col min="258" max="258" width="10.33203125" style="195" customWidth="1"/>
    <col min="259" max="259" width="11.6640625" style="195" customWidth="1"/>
    <col min="260" max="260" width="10.44140625" style="195" customWidth="1"/>
    <col min="261" max="261" width="13.88671875" style="195" customWidth="1"/>
    <col min="262" max="262" width="12.33203125" style="195" customWidth="1"/>
    <col min="263" max="263" width="13.33203125" style="195" customWidth="1"/>
    <col min="264" max="264" width="11.109375" style="195" customWidth="1"/>
    <col min="265" max="498" width="9.109375" style="195"/>
    <col min="499" max="499" width="4.6640625" style="195" customWidth="1"/>
    <col min="500" max="500" width="12" style="195" customWidth="1"/>
    <col min="501" max="501" width="11.6640625" style="195" customWidth="1"/>
    <col min="502" max="502" width="10.6640625" style="195" customWidth="1"/>
    <col min="503" max="503" width="13.33203125" style="195" customWidth="1"/>
    <col min="504" max="504" width="8.5546875" style="195" customWidth="1"/>
    <col min="505" max="505" width="9.5546875" style="195" customWidth="1"/>
    <col min="506" max="506" width="11.88671875" style="195" customWidth="1"/>
    <col min="507" max="507" width="9.88671875" style="195" customWidth="1"/>
    <col min="508" max="508" width="13.109375" style="195" customWidth="1"/>
    <col min="509" max="509" width="9.109375" style="195"/>
    <col min="510" max="510" width="5.6640625" style="195" customWidth="1"/>
    <col min="511" max="511" width="10.33203125" style="195" customWidth="1"/>
    <col min="512" max="512" width="14.5546875" style="195" customWidth="1"/>
    <col min="513" max="513" width="13" style="195" customWidth="1"/>
    <col min="514" max="514" width="10.33203125" style="195" customWidth="1"/>
    <col min="515" max="515" width="11.6640625" style="195" customWidth="1"/>
    <col min="516" max="516" width="10.44140625" style="195" customWidth="1"/>
    <col min="517" max="517" width="13.88671875" style="195" customWidth="1"/>
    <col min="518" max="518" width="12.33203125" style="195" customWidth="1"/>
    <col min="519" max="519" width="13.33203125" style="195" customWidth="1"/>
    <col min="520" max="520" width="11.109375" style="195" customWidth="1"/>
    <col min="521" max="754" width="9.109375" style="195"/>
    <col min="755" max="755" width="4.6640625" style="195" customWidth="1"/>
    <col min="756" max="756" width="12" style="195" customWidth="1"/>
    <col min="757" max="757" width="11.6640625" style="195" customWidth="1"/>
    <col min="758" max="758" width="10.6640625" style="195" customWidth="1"/>
    <col min="759" max="759" width="13.33203125" style="195" customWidth="1"/>
    <col min="760" max="760" width="8.5546875" style="195" customWidth="1"/>
    <col min="761" max="761" width="9.5546875" style="195" customWidth="1"/>
    <col min="762" max="762" width="11.88671875" style="195" customWidth="1"/>
    <col min="763" max="763" width="9.88671875" style="195" customWidth="1"/>
    <col min="764" max="764" width="13.109375" style="195" customWidth="1"/>
    <col min="765" max="765" width="9.109375" style="195"/>
    <col min="766" max="766" width="5.6640625" style="195" customWidth="1"/>
    <col min="767" max="767" width="10.33203125" style="195" customWidth="1"/>
    <col min="768" max="768" width="14.5546875" style="195" customWidth="1"/>
    <col min="769" max="769" width="13" style="195" customWidth="1"/>
    <col min="770" max="770" width="10.33203125" style="195" customWidth="1"/>
    <col min="771" max="771" width="11.6640625" style="195" customWidth="1"/>
    <col min="772" max="772" width="10.44140625" style="195" customWidth="1"/>
    <col min="773" max="773" width="13.88671875" style="195" customWidth="1"/>
    <col min="774" max="774" width="12.33203125" style="195" customWidth="1"/>
    <col min="775" max="775" width="13.33203125" style="195" customWidth="1"/>
    <col min="776" max="776" width="11.109375" style="195" customWidth="1"/>
    <col min="777" max="1010" width="9.109375" style="195"/>
    <col min="1011" max="1011" width="4.6640625" style="195" customWidth="1"/>
    <col min="1012" max="1012" width="12" style="195" customWidth="1"/>
    <col min="1013" max="1013" width="11.6640625" style="195" customWidth="1"/>
    <col min="1014" max="1014" width="10.6640625" style="195" customWidth="1"/>
    <col min="1015" max="1015" width="13.33203125" style="195" customWidth="1"/>
    <col min="1016" max="1016" width="8.5546875" style="195" customWidth="1"/>
    <col min="1017" max="1017" width="9.5546875" style="195" customWidth="1"/>
    <col min="1018" max="1018" width="11.88671875" style="195" customWidth="1"/>
    <col min="1019" max="1019" width="9.88671875" style="195" customWidth="1"/>
    <col min="1020" max="1020" width="13.109375" style="195" customWidth="1"/>
    <col min="1021" max="1021" width="9.109375" style="195"/>
    <col min="1022" max="1022" width="5.6640625" style="195" customWidth="1"/>
    <col min="1023" max="1023" width="10.33203125" style="195" customWidth="1"/>
    <col min="1024" max="1024" width="14.5546875" style="195" customWidth="1"/>
    <col min="1025" max="1025" width="13" style="195" customWidth="1"/>
    <col min="1026" max="1026" width="10.33203125" style="195" customWidth="1"/>
    <col min="1027" max="1027" width="11.6640625" style="195" customWidth="1"/>
    <col min="1028" max="1028" width="10.44140625" style="195" customWidth="1"/>
    <col min="1029" max="1029" width="13.88671875" style="195" customWidth="1"/>
    <col min="1030" max="1030" width="12.33203125" style="195" customWidth="1"/>
    <col min="1031" max="1031" width="13.33203125" style="195" customWidth="1"/>
    <col min="1032" max="1032" width="11.109375" style="195" customWidth="1"/>
    <col min="1033" max="1266" width="9.109375" style="195"/>
    <col min="1267" max="1267" width="4.6640625" style="195" customWidth="1"/>
    <col min="1268" max="1268" width="12" style="195" customWidth="1"/>
    <col min="1269" max="1269" width="11.6640625" style="195" customWidth="1"/>
    <col min="1270" max="1270" width="10.6640625" style="195" customWidth="1"/>
    <col min="1271" max="1271" width="13.33203125" style="195" customWidth="1"/>
    <col min="1272" max="1272" width="8.5546875" style="195" customWidth="1"/>
    <col min="1273" max="1273" width="9.5546875" style="195" customWidth="1"/>
    <col min="1274" max="1274" width="11.88671875" style="195" customWidth="1"/>
    <col min="1275" max="1275" width="9.88671875" style="195" customWidth="1"/>
    <col min="1276" max="1276" width="13.109375" style="195" customWidth="1"/>
    <col min="1277" max="1277" width="9.109375" style="195"/>
    <col min="1278" max="1278" width="5.6640625" style="195" customWidth="1"/>
    <col min="1279" max="1279" width="10.33203125" style="195" customWidth="1"/>
    <col min="1280" max="1280" width="14.5546875" style="195" customWidth="1"/>
    <col min="1281" max="1281" width="13" style="195" customWidth="1"/>
    <col min="1282" max="1282" width="10.33203125" style="195" customWidth="1"/>
    <col min="1283" max="1283" width="11.6640625" style="195" customWidth="1"/>
    <col min="1284" max="1284" width="10.44140625" style="195" customWidth="1"/>
    <col min="1285" max="1285" width="13.88671875" style="195" customWidth="1"/>
    <col min="1286" max="1286" width="12.33203125" style="195" customWidth="1"/>
    <col min="1287" max="1287" width="13.33203125" style="195" customWidth="1"/>
    <col min="1288" max="1288" width="11.109375" style="195" customWidth="1"/>
    <col min="1289" max="1522" width="9.109375" style="195"/>
    <col min="1523" max="1523" width="4.6640625" style="195" customWidth="1"/>
    <col min="1524" max="1524" width="12" style="195" customWidth="1"/>
    <col min="1525" max="1525" width="11.6640625" style="195" customWidth="1"/>
    <col min="1526" max="1526" width="10.6640625" style="195" customWidth="1"/>
    <col min="1527" max="1527" width="13.33203125" style="195" customWidth="1"/>
    <col min="1528" max="1528" width="8.5546875" style="195" customWidth="1"/>
    <col min="1529" max="1529" width="9.5546875" style="195" customWidth="1"/>
    <col min="1530" max="1530" width="11.88671875" style="195" customWidth="1"/>
    <col min="1531" max="1531" width="9.88671875" style="195" customWidth="1"/>
    <col min="1532" max="1532" width="13.109375" style="195" customWidth="1"/>
    <col min="1533" max="1533" width="9.109375" style="195"/>
    <col min="1534" max="1534" width="5.6640625" style="195" customWidth="1"/>
    <col min="1535" max="1535" width="10.33203125" style="195" customWidth="1"/>
    <col min="1536" max="1536" width="14.5546875" style="195" customWidth="1"/>
    <col min="1537" max="1537" width="13" style="195" customWidth="1"/>
    <col min="1538" max="1538" width="10.33203125" style="195" customWidth="1"/>
    <col min="1539" max="1539" width="11.6640625" style="195" customWidth="1"/>
    <col min="1540" max="1540" width="10.44140625" style="195" customWidth="1"/>
    <col min="1541" max="1541" width="13.88671875" style="195" customWidth="1"/>
    <col min="1542" max="1542" width="12.33203125" style="195" customWidth="1"/>
    <col min="1543" max="1543" width="13.33203125" style="195" customWidth="1"/>
    <col min="1544" max="1544" width="11.109375" style="195" customWidth="1"/>
    <col min="1545" max="1778" width="9.109375" style="195"/>
    <col min="1779" max="1779" width="4.6640625" style="195" customWidth="1"/>
    <col min="1780" max="1780" width="12" style="195" customWidth="1"/>
    <col min="1781" max="1781" width="11.6640625" style="195" customWidth="1"/>
    <col min="1782" max="1782" width="10.6640625" style="195" customWidth="1"/>
    <col min="1783" max="1783" width="13.33203125" style="195" customWidth="1"/>
    <col min="1784" max="1784" width="8.5546875" style="195" customWidth="1"/>
    <col min="1785" max="1785" width="9.5546875" style="195" customWidth="1"/>
    <col min="1786" max="1786" width="11.88671875" style="195" customWidth="1"/>
    <col min="1787" max="1787" width="9.88671875" style="195" customWidth="1"/>
    <col min="1788" max="1788" width="13.109375" style="195" customWidth="1"/>
    <col min="1789" max="1789" width="9.109375" style="195"/>
    <col min="1790" max="1790" width="5.6640625" style="195" customWidth="1"/>
    <col min="1791" max="1791" width="10.33203125" style="195" customWidth="1"/>
    <col min="1792" max="1792" width="14.5546875" style="195" customWidth="1"/>
    <col min="1793" max="1793" width="13" style="195" customWidth="1"/>
    <col min="1794" max="1794" width="10.33203125" style="195" customWidth="1"/>
    <col min="1795" max="1795" width="11.6640625" style="195" customWidth="1"/>
    <col min="1796" max="1796" width="10.44140625" style="195" customWidth="1"/>
    <col min="1797" max="1797" width="13.88671875" style="195" customWidth="1"/>
    <col min="1798" max="1798" width="12.33203125" style="195" customWidth="1"/>
    <col min="1799" max="1799" width="13.33203125" style="195" customWidth="1"/>
    <col min="1800" max="1800" width="11.109375" style="195" customWidth="1"/>
    <col min="1801" max="2034" width="9.109375" style="195"/>
    <col min="2035" max="2035" width="4.6640625" style="195" customWidth="1"/>
    <col min="2036" max="2036" width="12" style="195" customWidth="1"/>
    <col min="2037" max="2037" width="11.6640625" style="195" customWidth="1"/>
    <col min="2038" max="2038" width="10.6640625" style="195" customWidth="1"/>
    <col min="2039" max="2039" width="13.33203125" style="195" customWidth="1"/>
    <col min="2040" max="2040" width="8.5546875" style="195" customWidth="1"/>
    <col min="2041" max="2041" width="9.5546875" style="195" customWidth="1"/>
    <col min="2042" max="2042" width="11.88671875" style="195" customWidth="1"/>
    <col min="2043" max="2043" width="9.88671875" style="195" customWidth="1"/>
    <col min="2044" max="2044" width="13.109375" style="195" customWidth="1"/>
    <col min="2045" max="2045" width="9.109375" style="195"/>
    <col min="2046" max="2046" width="5.6640625" style="195" customWidth="1"/>
    <col min="2047" max="2047" width="10.33203125" style="195" customWidth="1"/>
    <col min="2048" max="2048" width="14.5546875" style="195" customWidth="1"/>
    <col min="2049" max="2049" width="13" style="195" customWidth="1"/>
    <col min="2050" max="2050" width="10.33203125" style="195" customWidth="1"/>
    <col min="2051" max="2051" width="11.6640625" style="195" customWidth="1"/>
    <col min="2052" max="2052" width="10.44140625" style="195" customWidth="1"/>
    <col min="2053" max="2053" width="13.88671875" style="195" customWidth="1"/>
    <col min="2054" max="2054" width="12.33203125" style="195" customWidth="1"/>
    <col min="2055" max="2055" width="13.33203125" style="195" customWidth="1"/>
    <col min="2056" max="2056" width="11.109375" style="195" customWidth="1"/>
    <col min="2057" max="2290" width="9.109375" style="195"/>
    <col min="2291" max="2291" width="4.6640625" style="195" customWidth="1"/>
    <col min="2292" max="2292" width="12" style="195" customWidth="1"/>
    <col min="2293" max="2293" width="11.6640625" style="195" customWidth="1"/>
    <col min="2294" max="2294" width="10.6640625" style="195" customWidth="1"/>
    <col min="2295" max="2295" width="13.33203125" style="195" customWidth="1"/>
    <col min="2296" max="2296" width="8.5546875" style="195" customWidth="1"/>
    <col min="2297" max="2297" width="9.5546875" style="195" customWidth="1"/>
    <col min="2298" max="2298" width="11.88671875" style="195" customWidth="1"/>
    <col min="2299" max="2299" width="9.88671875" style="195" customWidth="1"/>
    <col min="2300" max="2300" width="13.109375" style="195" customWidth="1"/>
    <col min="2301" max="2301" width="9.109375" style="195"/>
    <col min="2302" max="2302" width="5.6640625" style="195" customWidth="1"/>
    <col min="2303" max="2303" width="10.33203125" style="195" customWidth="1"/>
    <col min="2304" max="2304" width="14.5546875" style="195" customWidth="1"/>
    <col min="2305" max="2305" width="13" style="195" customWidth="1"/>
    <col min="2306" max="2306" width="10.33203125" style="195" customWidth="1"/>
    <col min="2307" max="2307" width="11.6640625" style="195" customWidth="1"/>
    <col min="2308" max="2308" width="10.44140625" style="195" customWidth="1"/>
    <col min="2309" max="2309" width="13.88671875" style="195" customWidth="1"/>
    <col min="2310" max="2310" width="12.33203125" style="195" customWidth="1"/>
    <col min="2311" max="2311" width="13.33203125" style="195" customWidth="1"/>
    <col min="2312" max="2312" width="11.109375" style="195" customWidth="1"/>
    <col min="2313" max="2546" width="9.109375" style="195"/>
    <col min="2547" max="2547" width="4.6640625" style="195" customWidth="1"/>
    <col min="2548" max="2548" width="12" style="195" customWidth="1"/>
    <col min="2549" max="2549" width="11.6640625" style="195" customWidth="1"/>
    <col min="2550" max="2550" width="10.6640625" style="195" customWidth="1"/>
    <col min="2551" max="2551" width="13.33203125" style="195" customWidth="1"/>
    <col min="2552" max="2552" width="8.5546875" style="195" customWidth="1"/>
    <col min="2553" max="2553" width="9.5546875" style="195" customWidth="1"/>
    <col min="2554" max="2554" width="11.88671875" style="195" customWidth="1"/>
    <col min="2555" max="2555" width="9.88671875" style="195" customWidth="1"/>
    <col min="2556" max="2556" width="13.109375" style="195" customWidth="1"/>
    <col min="2557" max="2557" width="9.109375" style="195"/>
    <col min="2558" max="2558" width="5.6640625" style="195" customWidth="1"/>
    <col min="2559" max="2559" width="10.33203125" style="195" customWidth="1"/>
    <col min="2560" max="2560" width="14.5546875" style="195" customWidth="1"/>
    <col min="2561" max="2561" width="13" style="195" customWidth="1"/>
    <col min="2562" max="2562" width="10.33203125" style="195" customWidth="1"/>
    <col min="2563" max="2563" width="11.6640625" style="195" customWidth="1"/>
    <col min="2564" max="2564" width="10.44140625" style="195" customWidth="1"/>
    <col min="2565" max="2565" width="13.88671875" style="195" customWidth="1"/>
    <col min="2566" max="2566" width="12.33203125" style="195" customWidth="1"/>
    <col min="2567" max="2567" width="13.33203125" style="195" customWidth="1"/>
    <col min="2568" max="2568" width="11.109375" style="195" customWidth="1"/>
    <col min="2569" max="2802" width="9.109375" style="195"/>
    <col min="2803" max="2803" width="4.6640625" style="195" customWidth="1"/>
    <col min="2804" max="2804" width="12" style="195" customWidth="1"/>
    <col min="2805" max="2805" width="11.6640625" style="195" customWidth="1"/>
    <col min="2806" max="2806" width="10.6640625" style="195" customWidth="1"/>
    <col min="2807" max="2807" width="13.33203125" style="195" customWidth="1"/>
    <col min="2808" max="2808" width="8.5546875" style="195" customWidth="1"/>
    <col min="2809" max="2809" width="9.5546875" style="195" customWidth="1"/>
    <col min="2810" max="2810" width="11.88671875" style="195" customWidth="1"/>
    <col min="2811" max="2811" width="9.88671875" style="195" customWidth="1"/>
    <col min="2812" max="2812" width="13.109375" style="195" customWidth="1"/>
    <col min="2813" max="2813" width="9.109375" style="195"/>
    <col min="2814" max="2814" width="5.6640625" style="195" customWidth="1"/>
    <col min="2815" max="2815" width="10.33203125" style="195" customWidth="1"/>
    <col min="2816" max="2816" width="14.5546875" style="195" customWidth="1"/>
    <col min="2817" max="2817" width="13" style="195" customWidth="1"/>
    <col min="2818" max="2818" width="10.33203125" style="195" customWidth="1"/>
    <col min="2819" max="2819" width="11.6640625" style="195" customWidth="1"/>
    <col min="2820" max="2820" width="10.44140625" style="195" customWidth="1"/>
    <col min="2821" max="2821" width="13.88671875" style="195" customWidth="1"/>
    <col min="2822" max="2822" width="12.33203125" style="195" customWidth="1"/>
    <col min="2823" max="2823" width="13.33203125" style="195" customWidth="1"/>
    <col min="2824" max="2824" width="11.109375" style="195" customWidth="1"/>
    <col min="2825" max="3058" width="9.109375" style="195"/>
    <col min="3059" max="3059" width="4.6640625" style="195" customWidth="1"/>
    <col min="3060" max="3060" width="12" style="195" customWidth="1"/>
    <col min="3061" max="3061" width="11.6640625" style="195" customWidth="1"/>
    <col min="3062" max="3062" width="10.6640625" style="195" customWidth="1"/>
    <col min="3063" max="3063" width="13.33203125" style="195" customWidth="1"/>
    <col min="3064" max="3064" width="8.5546875" style="195" customWidth="1"/>
    <col min="3065" max="3065" width="9.5546875" style="195" customWidth="1"/>
    <col min="3066" max="3066" width="11.88671875" style="195" customWidth="1"/>
    <col min="3067" max="3067" width="9.88671875" style="195" customWidth="1"/>
    <col min="3068" max="3068" width="13.109375" style="195" customWidth="1"/>
    <col min="3069" max="3069" width="9.109375" style="195"/>
    <col min="3070" max="3070" width="5.6640625" style="195" customWidth="1"/>
    <col min="3071" max="3071" width="10.33203125" style="195" customWidth="1"/>
    <col min="3072" max="3072" width="14.5546875" style="195" customWidth="1"/>
    <col min="3073" max="3073" width="13" style="195" customWidth="1"/>
    <col min="3074" max="3074" width="10.33203125" style="195" customWidth="1"/>
    <col min="3075" max="3075" width="11.6640625" style="195" customWidth="1"/>
    <col min="3076" max="3076" width="10.44140625" style="195" customWidth="1"/>
    <col min="3077" max="3077" width="13.88671875" style="195" customWidth="1"/>
    <col min="3078" max="3078" width="12.33203125" style="195" customWidth="1"/>
    <col min="3079" max="3079" width="13.33203125" style="195" customWidth="1"/>
    <col min="3080" max="3080" width="11.109375" style="195" customWidth="1"/>
    <col min="3081" max="3314" width="9.109375" style="195"/>
    <col min="3315" max="3315" width="4.6640625" style="195" customWidth="1"/>
    <col min="3316" max="3316" width="12" style="195" customWidth="1"/>
    <col min="3317" max="3317" width="11.6640625" style="195" customWidth="1"/>
    <col min="3318" max="3318" width="10.6640625" style="195" customWidth="1"/>
    <col min="3319" max="3319" width="13.33203125" style="195" customWidth="1"/>
    <col min="3320" max="3320" width="8.5546875" style="195" customWidth="1"/>
    <col min="3321" max="3321" width="9.5546875" style="195" customWidth="1"/>
    <col min="3322" max="3322" width="11.88671875" style="195" customWidth="1"/>
    <col min="3323" max="3323" width="9.88671875" style="195" customWidth="1"/>
    <col min="3324" max="3324" width="13.109375" style="195" customWidth="1"/>
    <col min="3325" max="3325" width="9.109375" style="195"/>
    <col min="3326" max="3326" width="5.6640625" style="195" customWidth="1"/>
    <col min="3327" max="3327" width="10.33203125" style="195" customWidth="1"/>
    <col min="3328" max="3328" width="14.5546875" style="195" customWidth="1"/>
    <col min="3329" max="3329" width="13" style="195" customWidth="1"/>
    <col min="3330" max="3330" width="10.33203125" style="195" customWidth="1"/>
    <col min="3331" max="3331" width="11.6640625" style="195" customWidth="1"/>
    <col min="3332" max="3332" width="10.44140625" style="195" customWidth="1"/>
    <col min="3333" max="3333" width="13.88671875" style="195" customWidth="1"/>
    <col min="3334" max="3334" width="12.33203125" style="195" customWidth="1"/>
    <col min="3335" max="3335" width="13.33203125" style="195" customWidth="1"/>
    <col min="3336" max="3336" width="11.109375" style="195" customWidth="1"/>
    <col min="3337" max="3570" width="9.109375" style="195"/>
    <col min="3571" max="3571" width="4.6640625" style="195" customWidth="1"/>
    <col min="3572" max="3572" width="12" style="195" customWidth="1"/>
    <col min="3573" max="3573" width="11.6640625" style="195" customWidth="1"/>
    <col min="3574" max="3574" width="10.6640625" style="195" customWidth="1"/>
    <col min="3575" max="3575" width="13.33203125" style="195" customWidth="1"/>
    <col min="3576" max="3576" width="8.5546875" style="195" customWidth="1"/>
    <col min="3577" max="3577" width="9.5546875" style="195" customWidth="1"/>
    <col min="3578" max="3578" width="11.88671875" style="195" customWidth="1"/>
    <col min="3579" max="3579" width="9.88671875" style="195" customWidth="1"/>
    <col min="3580" max="3580" width="13.109375" style="195" customWidth="1"/>
    <col min="3581" max="3581" width="9.109375" style="195"/>
    <col min="3582" max="3582" width="5.6640625" style="195" customWidth="1"/>
    <col min="3583" max="3583" width="10.33203125" style="195" customWidth="1"/>
    <col min="3584" max="3584" width="14.5546875" style="195" customWidth="1"/>
    <col min="3585" max="3585" width="13" style="195" customWidth="1"/>
    <col min="3586" max="3586" width="10.33203125" style="195" customWidth="1"/>
    <col min="3587" max="3587" width="11.6640625" style="195" customWidth="1"/>
    <col min="3588" max="3588" width="10.44140625" style="195" customWidth="1"/>
    <col min="3589" max="3589" width="13.88671875" style="195" customWidth="1"/>
    <col min="3590" max="3590" width="12.33203125" style="195" customWidth="1"/>
    <col min="3591" max="3591" width="13.33203125" style="195" customWidth="1"/>
    <col min="3592" max="3592" width="11.109375" style="195" customWidth="1"/>
    <col min="3593" max="3826" width="9.109375" style="195"/>
    <col min="3827" max="3827" width="4.6640625" style="195" customWidth="1"/>
    <col min="3828" max="3828" width="12" style="195" customWidth="1"/>
    <col min="3829" max="3829" width="11.6640625" style="195" customWidth="1"/>
    <col min="3830" max="3830" width="10.6640625" style="195" customWidth="1"/>
    <col min="3831" max="3831" width="13.33203125" style="195" customWidth="1"/>
    <col min="3832" max="3832" width="8.5546875" style="195" customWidth="1"/>
    <col min="3833" max="3833" width="9.5546875" style="195" customWidth="1"/>
    <col min="3834" max="3834" width="11.88671875" style="195" customWidth="1"/>
    <col min="3835" max="3835" width="9.88671875" style="195" customWidth="1"/>
    <col min="3836" max="3836" width="13.109375" style="195" customWidth="1"/>
    <col min="3837" max="3837" width="9.109375" style="195"/>
    <col min="3838" max="3838" width="5.6640625" style="195" customWidth="1"/>
    <col min="3839" max="3839" width="10.33203125" style="195" customWidth="1"/>
    <col min="3840" max="3840" width="14.5546875" style="195" customWidth="1"/>
    <col min="3841" max="3841" width="13" style="195" customWidth="1"/>
    <col min="3842" max="3842" width="10.33203125" style="195" customWidth="1"/>
    <col min="3843" max="3843" width="11.6640625" style="195" customWidth="1"/>
    <col min="3844" max="3844" width="10.44140625" style="195" customWidth="1"/>
    <col min="3845" max="3845" width="13.88671875" style="195" customWidth="1"/>
    <col min="3846" max="3846" width="12.33203125" style="195" customWidth="1"/>
    <col min="3847" max="3847" width="13.33203125" style="195" customWidth="1"/>
    <col min="3848" max="3848" width="11.109375" style="195" customWidth="1"/>
    <col min="3849" max="4082" width="9.109375" style="195"/>
    <col min="4083" max="4083" width="4.6640625" style="195" customWidth="1"/>
    <col min="4084" max="4084" width="12" style="195" customWidth="1"/>
    <col min="4085" max="4085" width="11.6640625" style="195" customWidth="1"/>
    <col min="4086" max="4086" width="10.6640625" style="195" customWidth="1"/>
    <col min="4087" max="4087" width="13.33203125" style="195" customWidth="1"/>
    <col min="4088" max="4088" width="8.5546875" style="195" customWidth="1"/>
    <col min="4089" max="4089" width="9.5546875" style="195" customWidth="1"/>
    <col min="4090" max="4090" width="11.88671875" style="195" customWidth="1"/>
    <col min="4091" max="4091" width="9.88671875" style="195" customWidth="1"/>
    <col min="4092" max="4092" width="13.109375" style="195" customWidth="1"/>
    <col min="4093" max="4093" width="9.109375" style="195"/>
    <col min="4094" max="4094" width="5.6640625" style="195" customWidth="1"/>
    <col min="4095" max="4095" width="10.33203125" style="195" customWidth="1"/>
    <col min="4096" max="4096" width="14.5546875" style="195" customWidth="1"/>
    <col min="4097" max="4097" width="13" style="195" customWidth="1"/>
    <col min="4098" max="4098" width="10.33203125" style="195" customWidth="1"/>
    <col min="4099" max="4099" width="11.6640625" style="195" customWidth="1"/>
    <col min="4100" max="4100" width="10.44140625" style="195" customWidth="1"/>
    <col min="4101" max="4101" width="13.88671875" style="195" customWidth="1"/>
    <col min="4102" max="4102" width="12.33203125" style="195" customWidth="1"/>
    <col min="4103" max="4103" width="13.33203125" style="195" customWidth="1"/>
    <col min="4104" max="4104" width="11.109375" style="195" customWidth="1"/>
    <col min="4105" max="4338" width="9.109375" style="195"/>
    <col min="4339" max="4339" width="4.6640625" style="195" customWidth="1"/>
    <col min="4340" max="4340" width="12" style="195" customWidth="1"/>
    <col min="4341" max="4341" width="11.6640625" style="195" customWidth="1"/>
    <col min="4342" max="4342" width="10.6640625" style="195" customWidth="1"/>
    <col min="4343" max="4343" width="13.33203125" style="195" customWidth="1"/>
    <col min="4344" max="4344" width="8.5546875" style="195" customWidth="1"/>
    <col min="4345" max="4345" width="9.5546875" style="195" customWidth="1"/>
    <col min="4346" max="4346" width="11.88671875" style="195" customWidth="1"/>
    <col min="4347" max="4347" width="9.88671875" style="195" customWidth="1"/>
    <col min="4348" max="4348" width="13.109375" style="195" customWidth="1"/>
    <col min="4349" max="4349" width="9.109375" style="195"/>
    <col min="4350" max="4350" width="5.6640625" style="195" customWidth="1"/>
    <col min="4351" max="4351" width="10.33203125" style="195" customWidth="1"/>
    <col min="4352" max="4352" width="14.5546875" style="195" customWidth="1"/>
    <col min="4353" max="4353" width="13" style="195" customWidth="1"/>
    <col min="4354" max="4354" width="10.33203125" style="195" customWidth="1"/>
    <col min="4355" max="4355" width="11.6640625" style="195" customWidth="1"/>
    <col min="4356" max="4356" width="10.44140625" style="195" customWidth="1"/>
    <col min="4357" max="4357" width="13.88671875" style="195" customWidth="1"/>
    <col min="4358" max="4358" width="12.33203125" style="195" customWidth="1"/>
    <col min="4359" max="4359" width="13.33203125" style="195" customWidth="1"/>
    <col min="4360" max="4360" width="11.109375" style="195" customWidth="1"/>
    <col min="4361" max="4594" width="9.109375" style="195"/>
    <col min="4595" max="4595" width="4.6640625" style="195" customWidth="1"/>
    <col min="4596" max="4596" width="12" style="195" customWidth="1"/>
    <col min="4597" max="4597" width="11.6640625" style="195" customWidth="1"/>
    <col min="4598" max="4598" width="10.6640625" style="195" customWidth="1"/>
    <col min="4599" max="4599" width="13.33203125" style="195" customWidth="1"/>
    <col min="4600" max="4600" width="8.5546875" style="195" customWidth="1"/>
    <col min="4601" max="4601" width="9.5546875" style="195" customWidth="1"/>
    <col min="4602" max="4602" width="11.88671875" style="195" customWidth="1"/>
    <col min="4603" max="4603" width="9.88671875" style="195" customWidth="1"/>
    <col min="4604" max="4604" width="13.109375" style="195" customWidth="1"/>
    <col min="4605" max="4605" width="9.109375" style="195"/>
    <col min="4606" max="4606" width="5.6640625" style="195" customWidth="1"/>
    <col min="4607" max="4607" width="10.33203125" style="195" customWidth="1"/>
    <col min="4608" max="4608" width="14.5546875" style="195" customWidth="1"/>
    <col min="4609" max="4609" width="13" style="195" customWidth="1"/>
    <col min="4610" max="4610" width="10.33203125" style="195" customWidth="1"/>
    <col min="4611" max="4611" width="11.6640625" style="195" customWidth="1"/>
    <col min="4612" max="4612" width="10.44140625" style="195" customWidth="1"/>
    <col min="4613" max="4613" width="13.88671875" style="195" customWidth="1"/>
    <col min="4614" max="4614" width="12.33203125" style="195" customWidth="1"/>
    <col min="4615" max="4615" width="13.33203125" style="195" customWidth="1"/>
    <col min="4616" max="4616" width="11.109375" style="195" customWidth="1"/>
    <col min="4617" max="4850" width="9.109375" style="195"/>
    <col min="4851" max="4851" width="4.6640625" style="195" customWidth="1"/>
    <col min="4852" max="4852" width="12" style="195" customWidth="1"/>
    <col min="4853" max="4853" width="11.6640625" style="195" customWidth="1"/>
    <col min="4854" max="4854" width="10.6640625" style="195" customWidth="1"/>
    <col min="4855" max="4855" width="13.33203125" style="195" customWidth="1"/>
    <col min="4856" max="4856" width="8.5546875" style="195" customWidth="1"/>
    <col min="4857" max="4857" width="9.5546875" style="195" customWidth="1"/>
    <col min="4858" max="4858" width="11.88671875" style="195" customWidth="1"/>
    <col min="4859" max="4859" width="9.88671875" style="195" customWidth="1"/>
    <col min="4860" max="4860" width="13.109375" style="195" customWidth="1"/>
    <col min="4861" max="4861" width="9.109375" style="195"/>
    <col min="4862" max="4862" width="5.6640625" style="195" customWidth="1"/>
    <col min="4863" max="4863" width="10.33203125" style="195" customWidth="1"/>
    <col min="4864" max="4864" width="14.5546875" style="195" customWidth="1"/>
    <col min="4865" max="4865" width="13" style="195" customWidth="1"/>
    <col min="4866" max="4866" width="10.33203125" style="195" customWidth="1"/>
    <col min="4867" max="4867" width="11.6640625" style="195" customWidth="1"/>
    <col min="4868" max="4868" width="10.44140625" style="195" customWidth="1"/>
    <col min="4869" max="4869" width="13.88671875" style="195" customWidth="1"/>
    <col min="4870" max="4870" width="12.33203125" style="195" customWidth="1"/>
    <col min="4871" max="4871" width="13.33203125" style="195" customWidth="1"/>
    <col min="4872" max="4872" width="11.109375" style="195" customWidth="1"/>
    <col min="4873" max="5106" width="9.109375" style="195"/>
    <col min="5107" max="5107" width="4.6640625" style="195" customWidth="1"/>
    <col min="5108" max="5108" width="12" style="195" customWidth="1"/>
    <col min="5109" max="5109" width="11.6640625" style="195" customWidth="1"/>
    <col min="5110" max="5110" width="10.6640625" style="195" customWidth="1"/>
    <col min="5111" max="5111" width="13.33203125" style="195" customWidth="1"/>
    <col min="5112" max="5112" width="8.5546875" style="195" customWidth="1"/>
    <col min="5113" max="5113" width="9.5546875" style="195" customWidth="1"/>
    <col min="5114" max="5114" width="11.88671875" style="195" customWidth="1"/>
    <col min="5115" max="5115" width="9.88671875" style="195" customWidth="1"/>
    <col min="5116" max="5116" width="13.109375" style="195" customWidth="1"/>
    <col min="5117" max="5117" width="9.109375" style="195"/>
    <col min="5118" max="5118" width="5.6640625" style="195" customWidth="1"/>
    <col min="5119" max="5119" width="10.33203125" style="195" customWidth="1"/>
    <col min="5120" max="5120" width="14.5546875" style="195" customWidth="1"/>
    <col min="5121" max="5121" width="13" style="195" customWidth="1"/>
    <col min="5122" max="5122" width="10.33203125" style="195" customWidth="1"/>
    <col min="5123" max="5123" width="11.6640625" style="195" customWidth="1"/>
    <col min="5124" max="5124" width="10.44140625" style="195" customWidth="1"/>
    <col min="5125" max="5125" width="13.88671875" style="195" customWidth="1"/>
    <col min="5126" max="5126" width="12.33203125" style="195" customWidth="1"/>
    <col min="5127" max="5127" width="13.33203125" style="195" customWidth="1"/>
    <col min="5128" max="5128" width="11.109375" style="195" customWidth="1"/>
    <col min="5129" max="5362" width="9.109375" style="195"/>
    <col min="5363" max="5363" width="4.6640625" style="195" customWidth="1"/>
    <col min="5364" max="5364" width="12" style="195" customWidth="1"/>
    <col min="5365" max="5365" width="11.6640625" style="195" customWidth="1"/>
    <col min="5366" max="5366" width="10.6640625" style="195" customWidth="1"/>
    <col min="5367" max="5367" width="13.33203125" style="195" customWidth="1"/>
    <col min="5368" max="5368" width="8.5546875" style="195" customWidth="1"/>
    <col min="5369" max="5369" width="9.5546875" style="195" customWidth="1"/>
    <col min="5370" max="5370" width="11.88671875" style="195" customWidth="1"/>
    <col min="5371" max="5371" width="9.88671875" style="195" customWidth="1"/>
    <col min="5372" max="5372" width="13.109375" style="195" customWidth="1"/>
    <col min="5373" max="5373" width="9.109375" style="195"/>
    <col min="5374" max="5374" width="5.6640625" style="195" customWidth="1"/>
    <col min="5375" max="5375" width="10.33203125" style="195" customWidth="1"/>
    <col min="5376" max="5376" width="14.5546875" style="195" customWidth="1"/>
    <col min="5377" max="5377" width="13" style="195" customWidth="1"/>
    <col min="5378" max="5378" width="10.33203125" style="195" customWidth="1"/>
    <col min="5379" max="5379" width="11.6640625" style="195" customWidth="1"/>
    <col min="5380" max="5380" width="10.44140625" style="195" customWidth="1"/>
    <col min="5381" max="5381" width="13.88671875" style="195" customWidth="1"/>
    <col min="5382" max="5382" width="12.33203125" style="195" customWidth="1"/>
    <col min="5383" max="5383" width="13.33203125" style="195" customWidth="1"/>
    <col min="5384" max="5384" width="11.109375" style="195" customWidth="1"/>
    <col min="5385" max="5618" width="9.109375" style="195"/>
    <col min="5619" max="5619" width="4.6640625" style="195" customWidth="1"/>
    <col min="5620" max="5620" width="12" style="195" customWidth="1"/>
    <col min="5621" max="5621" width="11.6640625" style="195" customWidth="1"/>
    <col min="5622" max="5622" width="10.6640625" style="195" customWidth="1"/>
    <col min="5623" max="5623" width="13.33203125" style="195" customWidth="1"/>
    <col min="5624" max="5624" width="8.5546875" style="195" customWidth="1"/>
    <col min="5625" max="5625" width="9.5546875" style="195" customWidth="1"/>
    <col min="5626" max="5626" width="11.88671875" style="195" customWidth="1"/>
    <col min="5627" max="5627" width="9.88671875" style="195" customWidth="1"/>
    <col min="5628" max="5628" width="13.109375" style="195" customWidth="1"/>
    <col min="5629" max="5629" width="9.109375" style="195"/>
    <col min="5630" max="5630" width="5.6640625" style="195" customWidth="1"/>
    <col min="5631" max="5631" width="10.33203125" style="195" customWidth="1"/>
    <col min="5632" max="5632" width="14.5546875" style="195" customWidth="1"/>
    <col min="5633" max="5633" width="13" style="195" customWidth="1"/>
    <col min="5634" max="5634" width="10.33203125" style="195" customWidth="1"/>
    <col min="5635" max="5635" width="11.6640625" style="195" customWidth="1"/>
    <col min="5636" max="5636" width="10.44140625" style="195" customWidth="1"/>
    <col min="5637" max="5637" width="13.88671875" style="195" customWidth="1"/>
    <col min="5638" max="5638" width="12.33203125" style="195" customWidth="1"/>
    <col min="5639" max="5639" width="13.33203125" style="195" customWidth="1"/>
    <col min="5640" max="5640" width="11.109375" style="195" customWidth="1"/>
    <col min="5641" max="5874" width="9.109375" style="195"/>
    <col min="5875" max="5875" width="4.6640625" style="195" customWidth="1"/>
    <col min="5876" max="5876" width="12" style="195" customWidth="1"/>
    <col min="5877" max="5877" width="11.6640625" style="195" customWidth="1"/>
    <col min="5878" max="5878" width="10.6640625" style="195" customWidth="1"/>
    <col min="5879" max="5879" width="13.33203125" style="195" customWidth="1"/>
    <col min="5880" max="5880" width="8.5546875" style="195" customWidth="1"/>
    <col min="5881" max="5881" width="9.5546875" style="195" customWidth="1"/>
    <col min="5882" max="5882" width="11.88671875" style="195" customWidth="1"/>
    <col min="5883" max="5883" width="9.88671875" style="195" customWidth="1"/>
    <col min="5884" max="5884" width="13.109375" style="195" customWidth="1"/>
    <col min="5885" max="5885" width="9.109375" style="195"/>
    <col min="5886" max="5886" width="5.6640625" style="195" customWidth="1"/>
    <col min="5887" max="5887" width="10.33203125" style="195" customWidth="1"/>
    <col min="5888" max="5888" width="14.5546875" style="195" customWidth="1"/>
    <col min="5889" max="5889" width="13" style="195" customWidth="1"/>
    <col min="5890" max="5890" width="10.33203125" style="195" customWidth="1"/>
    <col min="5891" max="5891" width="11.6640625" style="195" customWidth="1"/>
    <col min="5892" max="5892" width="10.44140625" style="195" customWidth="1"/>
    <col min="5893" max="5893" width="13.88671875" style="195" customWidth="1"/>
    <col min="5894" max="5894" width="12.33203125" style="195" customWidth="1"/>
    <col min="5895" max="5895" width="13.33203125" style="195" customWidth="1"/>
    <col min="5896" max="5896" width="11.109375" style="195" customWidth="1"/>
    <col min="5897" max="6130" width="9.109375" style="195"/>
    <col min="6131" max="6131" width="4.6640625" style="195" customWidth="1"/>
    <col min="6132" max="6132" width="12" style="195" customWidth="1"/>
    <col min="6133" max="6133" width="11.6640625" style="195" customWidth="1"/>
    <col min="6134" max="6134" width="10.6640625" style="195" customWidth="1"/>
    <col min="6135" max="6135" width="13.33203125" style="195" customWidth="1"/>
    <col min="6136" max="6136" width="8.5546875" style="195" customWidth="1"/>
    <col min="6137" max="6137" width="9.5546875" style="195" customWidth="1"/>
    <col min="6138" max="6138" width="11.88671875" style="195" customWidth="1"/>
    <col min="6139" max="6139" width="9.88671875" style="195" customWidth="1"/>
    <col min="6140" max="6140" width="13.109375" style="195" customWidth="1"/>
    <col min="6141" max="6141" width="9.109375" style="195"/>
    <col min="6142" max="6142" width="5.6640625" style="195" customWidth="1"/>
    <col min="6143" max="6143" width="10.33203125" style="195" customWidth="1"/>
    <col min="6144" max="6144" width="14.5546875" style="195" customWidth="1"/>
    <col min="6145" max="6145" width="13" style="195" customWidth="1"/>
    <col min="6146" max="6146" width="10.33203125" style="195" customWidth="1"/>
    <col min="6147" max="6147" width="11.6640625" style="195" customWidth="1"/>
    <col min="6148" max="6148" width="10.44140625" style="195" customWidth="1"/>
    <col min="6149" max="6149" width="13.88671875" style="195" customWidth="1"/>
    <col min="6150" max="6150" width="12.33203125" style="195" customWidth="1"/>
    <col min="6151" max="6151" width="13.33203125" style="195" customWidth="1"/>
    <col min="6152" max="6152" width="11.109375" style="195" customWidth="1"/>
    <col min="6153" max="6386" width="9.109375" style="195"/>
    <col min="6387" max="6387" width="4.6640625" style="195" customWidth="1"/>
    <col min="6388" max="6388" width="12" style="195" customWidth="1"/>
    <col min="6389" max="6389" width="11.6640625" style="195" customWidth="1"/>
    <col min="6390" max="6390" width="10.6640625" style="195" customWidth="1"/>
    <col min="6391" max="6391" width="13.33203125" style="195" customWidth="1"/>
    <col min="6392" max="6392" width="8.5546875" style="195" customWidth="1"/>
    <col min="6393" max="6393" width="9.5546875" style="195" customWidth="1"/>
    <col min="6394" max="6394" width="11.88671875" style="195" customWidth="1"/>
    <col min="6395" max="6395" width="9.88671875" style="195" customWidth="1"/>
    <col min="6396" max="6396" width="13.109375" style="195" customWidth="1"/>
    <col min="6397" max="6397" width="9.109375" style="195"/>
    <col min="6398" max="6398" width="5.6640625" style="195" customWidth="1"/>
    <col min="6399" max="6399" width="10.33203125" style="195" customWidth="1"/>
    <col min="6400" max="6400" width="14.5546875" style="195" customWidth="1"/>
    <col min="6401" max="6401" width="13" style="195" customWidth="1"/>
    <col min="6402" max="6402" width="10.33203125" style="195" customWidth="1"/>
    <col min="6403" max="6403" width="11.6640625" style="195" customWidth="1"/>
    <col min="6404" max="6404" width="10.44140625" style="195" customWidth="1"/>
    <col min="6405" max="6405" width="13.88671875" style="195" customWidth="1"/>
    <col min="6406" max="6406" width="12.33203125" style="195" customWidth="1"/>
    <col min="6407" max="6407" width="13.33203125" style="195" customWidth="1"/>
    <col min="6408" max="6408" width="11.109375" style="195" customWidth="1"/>
    <col min="6409" max="6642" width="9.109375" style="195"/>
    <col min="6643" max="6643" width="4.6640625" style="195" customWidth="1"/>
    <col min="6644" max="6644" width="12" style="195" customWidth="1"/>
    <col min="6645" max="6645" width="11.6640625" style="195" customWidth="1"/>
    <col min="6646" max="6646" width="10.6640625" style="195" customWidth="1"/>
    <col min="6647" max="6647" width="13.33203125" style="195" customWidth="1"/>
    <col min="6648" max="6648" width="8.5546875" style="195" customWidth="1"/>
    <col min="6649" max="6649" width="9.5546875" style="195" customWidth="1"/>
    <col min="6650" max="6650" width="11.88671875" style="195" customWidth="1"/>
    <col min="6651" max="6651" width="9.88671875" style="195" customWidth="1"/>
    <col min="6652" max="6652" width="13.109375" style="195" customWidth="1"/>
    <col min="6653" max="6653" width="9.109375" style="195"/>
    <col min="6654" max="6654" width="5.6640625" style="195" customWidth="1"/>
    <col min="6655" max="6655" width="10.33203125" style="195" customWidth="1"/>
    <col min="6656" max="6656" width="14.5546875" style="195" customWidth="1"/>
    <col min="6657" max="6657" width="13" style="195" customWidth="1"/>
    <col min="6658" max="6658" width="10.33203125" style="195" customWidth="1"/>
    <col min="6659" max="6659" width="11.6640625" style="195" customWidth="1"/>
    <col min="6660" max="6660" width="10.44140625" style="195" customWidth="1"/>
    <col min="6661" max="6661" width="13.88671875" style="195" customWidth="1"/>
    <col min="6662" max="6662" width="12.33203125" style="195" customWidth="1"/>
    <col min="6663" max="6663" width="13.33203125" style="195" customWidth="1"/>
    <col min="6664" max="6664" width="11.109375" style="195" customWidth="1"/>
    <col min="6665" max="6898" width="9.109375" style="195"/>
    <col min="6899" max="6899" width="4.6640625" style="195" customWidth="1"/>
    <col min="6900" max="6900" width="12" style="195" customWidth="1"/>
    <col min="6901" max="6901" width="11.6640625" style="195" customWidth="1"/>
    <col min="6902" max="6902" width="10.6640625" style="195" customWidth="1"/>
    <col min="6903" max="6903" width="13.33203125" style="195" customWidth="1"/>
    <col min="6904" max="6904" width="8.5546875" style="195" customWidth="1"/>
    <col min="6905" max="6905" width="9.5546875" style="195" customWidth="1"/>
    <col min="6906" max="6906" width="11.88671875" style="195" customWidth="1"/>
    <col min="6907" max="6907" width="9.88671875" style="195" customWidth="1"/>
    <col min="6908" max="6908" width="13.109375" style="195" customWidth="1"/>
    <col min="6909" max="6909" width="9.109375" style="195"/>
    <col min="6910" max="6910" width="5.6640625" style="195" customWidth="1"/>
    <col min="6911" max="6911" width="10.33203125" style="195" customWidth="1"/>
    <col min="6912" max="6912" width="14.5546875" style="195" customWidth="1"/>
    <col min="6913" max="6913" width="13" style="195" customWidth="1"/>
    <col min="6914" max="6914" width="10.33203125" style="195" customWidth="1"/>
    <col min="6915" max="6915" width="11.6640625" style="195" customWidth="1"/>
    <col min="6916" max="6916" width="10.44140625" style="195" customWidth="1"/>
    <col min="6917" max="6917" width="13.88671875" style="195" customWidth="1"/>
    <col min="6918" max="6918" width="12.33203125" style="195" customWidth="1"/>
    <col min="6919" max="6919" width="13.33203125" style="195" customWidth="1"/>
    <col min="6920" max="6920" width="11.109375" style="195" customWidth="1"/>
    <col min="6921" max="7154" width="9.109375" style="195"/>
    <col min="7155" max="7155" width="4.6640625" style="195" customWidth="1"/>
    <col min="7156" max="7156" width="12" style="195" customWidth="1"/>
    <col min="7157" max="7157" width="11.6640625" style="195" customWidth="1"/>
    <col min="7158" max="7158" width="10.6640625" style="195" customWidth="1"/>
    <col min="7159" max="7159" width="13.33203125" style="195" customWidth="1"/>
    <col min="7160" max="7160" width="8.5546875" style="195" customWidth="1"/>
    <col min="7161" max="7161" width="9.5546875" style="195" customWidth="1"/>
    <col min="7162" max="7162" width="11.88671875" style="195" customWidth="1"/>
    <col min="7163" max="7163" width="9.88671875" style="195" customWidth="1"/>
    <col min="7164" max="7164" width="13.109375" style="195" customWidth="1"/>
    <col min="7165" max="7165" width="9.109375" style="195"/>
    <col min="7166" max="7166" width="5.6640625" style="195" customWidth="1"/>
    <col min="7167" max="7167" width="10.33203125" style="195" customWidth="1"/>
    <col min="7168" max="7168" width="14.5546875" style="195" customWidth="1"/>
    <col min="7169" max="7169" width="13" style="195" customWidth="1"/>
    <col min="7170" max="7170" width="10.33203125" style="195" customWidth="1"/>
    <col min="7171" max="7171" width="11.6640625" style="195" customWidth="1"/>
    <col min="7172" max="7172" width="10.44140625" style="195" customWidth="1"/>
    <col min="7173" max="7173" width="13.88671875" style="195" customWidth="1"/>
    <col min="7174" max="7174" width="12.33203125" style="195" customWidth="1"/>
    <col min="7175" max="7175" width="13.33203125" style="195" customWidth="1"/>
    <col min="7176" max="7176" width="11.109375" style="195" customWidth="1"/>
    <col min="7177" max="7410" width="9.109375" style="195"/>
    <col min="7411" max="7411" width="4.6640625" style="195" customWidth="1"/>
    <col min="7412" max="7412" width="12" style="195" customWidth="1"/>
    <col min="7413" max="7413" width="11.6640625" style="195" customWidth="1"/>
    <col min="7414" max="7414" width="10.6640625" style="195" customWidth="1"/>
    <col min="7415" max="7415" width="13.33203125" style="195" customWidth="1"/>
    <col min="7416" max="7416" width="8.5546875" style="195" customWidth="1"/>
    <col min="7417" max="7417" width="9.5546875" style="195" customWidth="1"/>
    <col min="7418" max="7418" width="11.88671875" style="195" customWidth="1"/>
    <col min="7419" max="7419" width="9.88671875" style="195" customWidth="1"/>
    <col min="7420" max="7420" width="13.109375" style="195" customWidth="1"/>
    <col min="7421" max="7421" width="9.109375" style="195"/>
    <col min="7422" max="7422" width="5.6640625" style="195" customWidth="1"/>
    <col min="7423" max="7423" width="10.33203125" style="195" customWidth="1"/>
    <col min="7424" max="7424" width="14.5546875" style="195" customWidth="1"/>
    <col min="7425" max="7425" width="13" style="195" customWidth="1"/>
    <col min="7426" max="7426" width="10.33203125" style="195" customWidth="1"/>
    <col min="7427" max="7427" width="11.6640625" style="195" customWidth="1"/>
    <col min="7428" max="7428" width="10.44140625" style="195" customWidth="1"/>
    <col min="7429" max="7429" width="13.88671875" style="195" customWidth="1"/>
    <col min="7430" max="7430" width="12.33203125" style="195" customWidth="1"/>
    <col min="7431" max="7431" width="13.33203125" style="195" customWidth="1"/>
    <col min="7432" max="7432" width="11.109375" style="195" customWidth="1"/>
    <col min="7433" max="7666" width="9.109375" style="195"/>
    <col min="7667" max="7667" width="4.6640625" style="195" customWidth="1"/>
    <col min="7668" max="7668" width="12" style="195" customWidth="1"/>
    <col min="7669" max="7669" width="11.6640625" style="195" customWidth="1"/>
    <col min="7670" max="7670" width="10.6640625" style="195" customWidth="1"/>
    <col min="7671" max="7671" width="13.33203125" style="195" customWidth="1"/>
    <col min="7672" max="7672" width="8.5546875" style="195" customWidth="1"/>
    <col min="7673" max="7673" width="9.5546875" style="195" customWidth="1"/>
    <col min="7674" max="7674" width="11.88671875" style="195" customWidth="1"/>
    <col min="7675" max="7675" width="9.88671875" style="195" customWidth="1"/>
    <col min="7676" max="7676" width="13.109375" style="195" customWidth="1"/>
    <col min="7677" max="7677" width="9.109375" style="195"/>
    <col min="7678" max="7678" width="5.6640625" style="195" customWidth="1"/>
    <col min="7679" max="7679" width="10.33203125" style="195" customWidth="1"/>
    <col min="7680" max="7680" width="14.5546875" style="195" customWidth="1"/>
    <col min="7681" max="7681" width="13" style="195" customWidth="1"/>
    <col min="7682" max="7682" width="10.33203125" style="195" customWidth="1"/>
    <col min="7683" max="7683" width="11.6640625" style="195" customWidth="1"/>
    <col min="7684" max="7684" width="10.44140625" style="195" customWidth="1"/>
    <col min="7685" max="7685" width="13.88671875" style="195" customWidth="1"/>
    <col min="7686" max="7686" width="12.33203125" style="195" customWidth="1"/>
    <col min="7687" max="7687" width="13.33203125" style="195" customWidth="1"/>
    <col min="7688" max="7688" width="11.109375" style="195" customWidth="1"/>
    <col min="7689" max="7922" width="9.109375" style="195"/>
    <col min="7923" max="7923" width="4.6640625" style="195" customWidth="1"/>
    <col min="7924" max="7924" width="12" style="195" customWidth="1"/>
    <col min="7925" max="7925" width="11.6640625" style="195" customWidth="1"/>
    <col min="7926" max="7926" width="10.6640625" style="195" customWidth="1"/>
    <col min="7927" max="7927" width="13.33203125" style="195" customWidth="1"/>
    <col min="7928" max="7928" width="8.5546875" style="195" customWidth="1"/>
    <col min="7929" max="7929" width="9.5546875" style="195" customWidth="1"/>
    <col min="7930" max="7930" width="11.88671875" style="195" customWidth="1"/>
    <col min="7931" max="7931" width="9.88671875" style="195" customWidth="1"/>
    <col min="7932" max="7932" width="13.109375" style="195" customWidth="1"/>
    <col min="7933" max="7933" width="9.109375" style="195"/>
    <col min="7934" max="7934" width="5.6640625" style="195" customWidth="1"/>
    <col min="7935" max="7935" width="10.33203125" style="195" customWidth="1"/>
    <col min="7936" max="7936" width="14.5546875" style="195" customWidth="1"/>
    <col min="7937" max="7937" width="13" style="195" customWidth="1"/>
    <col min="7938" max="7938" width="10.33203125" style="195" customWidth="1"/>
    <col min="7939" max="7939" width="11.6640625" style="195" customWidth="1"/>
    <col min="7940" max="7940" width="10.44140625" style="195" customWidth="1"/>
    <col min="7941" max="7941" width="13.88671875" style="195" customWidth="1"/>
    <col min="7942" max="7942" width="12.33203125" style="195" customWidth="1"/>
    <col min="7943" max="7943" width="13.33203125" style="195" customWidth="1"/>
    <col min="7944" max="7944" width="11.109375" style="195" customWidth="1"/>
    <col min="7945" max="8178" width="9.109375" style="195"/>
    <col min="8179" max="8179" width="4.6640625" style="195" customWidth="1"/>
    <col min="8180" max="8180" width="12" style="195" customWidth="1"/>
    <col min="8181" max="8181" width="11.6640625" style="195" customWidth="1"/>
    <col min="8182" max="8182" width="10.6640625" style="195" customWidth="1"/>
    <col min="8183" max="8183" width="13.33203125" style="195" customWidth="1"/>
    <col min="8184" max="8184" width="8.5546875" style="195" customWidth="1"/>
    <col min="8185" max="8185" width="9.5546875" style="195" customWidth="1"/>
    <col min="8186" max="8186" width="11.88671875" style="195" customWidth="1"/>
    <col min="8187" max="8187" width="9.88671875" style="195" customWidth="1"/>
    <col min="8188" max="8188" width="13.109375" style="195" customWidth="1"/>
    <col min="8189" max="8189" width="9.109375" style="195"/>
    <col min="8190" max="8190" width="5.6640625" style="195" customWidth="1"/>
    <col min="8191" max="8191" width="10.33203125" style="195" customWidth="1"/>
    <col min="8192" max="8192" width="14.5546875" style="195" customWidth="1"/>
    <col min="8193" max="8193" width="13" style="195" customWidth="1"/>
    <col min="8194" max="8194" width="10.33203125" style="195" customWidth="1"/>
    <col min="8195" max="8195" width="11.6640625" style="195" customWidth="1"/>
    <col min="8196" max="8196" width="10.44140625" style="195" customWidth="1"/>
    <col min="8197" max="8197" width="13.88671875" style="195" customWidth="1"/>
    <col min="8198" max="8198" width="12.33203125" style="195" customWidth="1"/>
    <col min="8199" max="8199" width="13.33203125" style="195" customWidth="1"/>
    <col min="8200" max="8200" width="11.109375" style="195" customWidth="1"/>
    <col min="8201" max="8434" width="9.109375" style="195"/>
    <col min="8435" max="8435" width="4.6640625" style="195" customWidth="1"/>
    <col min="8436" max="8436" width="12" style="195" customWidth="1"/>
    <col min="8437" max="8437" width="11.6640625" style="195" customWidth="1"/>
    <col min="8438" max="8438" width="10.6640625" style="195" customWidth="1"/>
    <col min="8439" max="8439" width="13.33203125" style="195" customWidth="1"/>
    <col min="8440" max="8440" width="8.5546875" style="195" customWidth="1"/>
    <col min="8441" max="8441" width="9.5546875" style="195" customWidth="1"/>
    <col min="8442" max="8442" width="11.88671875" style="195" customWidth="1"/>
    <col min="8443" max="8443" width="9.88671875" style="195" customWidth="1"/>
    <col min="8444" max="8444" width="13.109375" style="195" customWidth="1"/>
    <col min="8445" max="8445" width="9.109375" style="195"/>
    <col min="8446" max="8446" width="5.6640625" style="195" customWidth="1"/>
    <col min="8447" max="8447" width="10.33203125" style="195" customWidth="1"/>
    <col min="8448" max="8448" width="14.5546875" style="195" customWidth="1"/>
    <col min="8449" max="8449" width="13" style="195" customWidth="1"/>
    <col min="8450" max="8450" width="10.33203125" style="195" customWidth="1"/>
    <col min="8451" max="8451" width="11.6640625" style="195" customWidth="1"/>
    <col min="8452" max="8452" width="10.44140625" style="195" customWidth="1"/>
    <col min="8453" max="8453" width="13.88671875" style="195" customWidth="1"/>
    <col min="8454" max="8454" width="12.33203125" style="195" customWidth="1"/>
    <col min="8455" max="8455" width="13.33203125" style="195" customWidth="1"/>
    <col min="8456" max="8456" width="11.109375" style="195" customWidth="1"/>
    <col min="8457" max="8690" width="9.109375" style="195"/>
    <col min="8691" max="8691" width="4.6640625" style="195" customWidth="1"/>
    <col min="8692" max="8692" width="12" style="195" customWidth="1"/>
    <col min="8693" max="8693" width="11.6640625" style="195" customWidth="1"/>
    <col min="8694" max="8694" width="10.6640625" style="195" customWidth="1"/>
    <col min="8695" max="8695" width="13.33203125" style="195" customWidth="1"/>
    <col min="8696" max="8696" width="8.5546875" style="195" customWidth="1"/>
    <col min="8697" max="8697" width="9.5546875" style="195" customWidth="1"/>
    <col min="8698" max="8698" width="11.88671875" style="195" customWidth="1"/>
    <col min="8699" max="8699" width="9.88671875" style="195" customWidth="1"/>
    <col min="8700" max="8700" width="13.109375" style="195" customWidth="1"/>
    <col min="8701" max="8701" width="9.109375" style="195"/>
    <col min="8702" max="8702" width="5.6640625" style="195" customWidth="1"/>
    <col min="8703" max="8703" width="10.33203125" style="195" customWidth="1"/>
    <col min="8704" max="8704" width="14.5546875" style="195" customWidth="1"/>
    <col min="8705" max="8705" width="13" style="195" customWidth="1"/>
    <col min="8706" max="8706" width="10.33203125" style="195" customWidth="1"/>
    <col min="8707" max="8707" width="11.6640625" style="195" customWidth="1"/>
    <col min="8708" max="8708" width="10.44140625" style="195" customWidth="1"/>
    <col min="8709" max="8709" width="13.88671875" style="195" customWidth="1"/>
    <col min="8710" max="8710" width="12.33203125" style="195" customWidth="1"/>
    <col min="8711" max="8711" width="13.33203125" style="195" customWidth="1"/>
    <col min="8712" max="8712" width="11.109375" style="195" customWidth="1"/>
    <col min="8713" max="8946" width="9.109375" style="195"/>
    <col min="8947" max="8947" width="4.6640625" style="195" customWidth="1"/>
    <col min="8948" max="8948" width="12" style="195" customWidth="1"/>
    <col min="8949" max="8949" width="11.6640625" style="195" customWidth="1"/>
    <col min="8950" max="8950" width="10.6640625" style="195" customWidth="1"/>
    <col min="8951" max="8951" width="13.33203125" style="195" customWidth="1"/>
    <col min="8952" max="8952" width="8.5546875" style="195" customWidth="1"/>
    <col min="8953" max="8953" width="9.5546875" style="195" customWidth="1"/>
    <col min="8954" max="8954" width="11.88671875" style="195" customWidth="1"/>
    <col min="8955" max="8955" width="9.88671875" style="195" customWidth="1"/>
    <col min="8956" max="8956" width="13.109375" style="195" customWidth="1"/>
    <col min="8957" max="8957" width="9.109375" style="195"/>
    <col min="8958" max="8958" width="5.6640625" style="195" customWidth="1"/>
    <col min="8959" max="8959" width="10.33203125" style="195" customWidth="1"/>
    <col min="8960" max="8960" width="14.5546875" style="195" customWidth="1"/>
    <col min="8961" max="8961" width="13" style="195" customWidth="1"/>
    <col min="8962" max="8962" width="10.33203125" style="195" customWidth="1"/>
    <col min="8963" max="8963" width="11.6640625" style="195" customWidth="1"/>
    <col min="8964" max="8964" width="10.44140625" style="195" customWidth="1"/>
    <col min="8965" max="8965" width="13.88671875" style="195" customWidth="1"/>
    <col min="8966" max="8966" width="12.33203125" style="195" customWidth="1"/>
    <col min="8967" max="8967" width="13.33203125" style="195" customWidth="1"/>
    <col min="8968" max="8968" width="11.109375" style="195" customWidth="1"/>
    <col min="8969" max="9202" width="9.109375" style="195"/>
    <col min="9203" max="9203" width="4.6640625" style="195" customWidth="1"/>
    <col min="9204" max="9204" width="12" style="195" customWidth="1"/>
    <col min="9205" max="9205" width="11.6640625" style="195" customWidth="1"/>
    <col min="9206" max="9206" width="10.6640625" style="195" customWidth="1"/>
    <col min="9207" max="9207" width="13.33203125" style="195" customWidth="1"/>
    <col min="9208" max="9208" width="8.5546875" style="195" customWidth="1"/>
    <col min="9209" max="9209" width="9.5546875" style="195" customWidth="1"/>
    <col min="9210" max="9210" width="11.88671875" style="195" customWidth="1"/>
    <col min="9211" max="9211" width="9.88671875" style="195" customWidth="1"/>
    <col min="9212" max="9212" width="13.109375" style="195" customWidth="1"/>
    <col min="9213" max="9213" width="9.109375" style="195"/>
    <col min="9214" max="9214" width="5.6640625" style="195" customWidth="1"/>
    <col min="9215" max="9215" width="10.33203125" style="195" customWidth="1"/>
    <col min="9216" max="9216" width="14.5546875" style="195" customWidth="1"/>
    <col min="9217" max="9217" width="13" style="195" customWidth="1"/>
    <col min="9218" max="9218" width="10.33203125" style="195" customWidth="1"/>
    <col min="9219" max="9219" width="11.6640625" style="195" customWidth="1"/>
    <col min="9220" max="9220" width="10.44140625" style="195" customWidth="1"/>
    <col min="9221" max="9221" width="13.88671875" style="195" customWidth="1"/>
    <col min="9222" max="9222" width="12.33203125" style="195" customWidth="1"/>
    <col min="9223" max="9223" width="13.33203125" style="195" customWidth="1"/>
    <col min="9224" max="9224" width="11.109375" style="195" customWidth="1"/>
    <col min="9225" max="9458" width="9.109375" style="195"/>
    <col min="9459" max="9459" width="4.6640625" style="195" customWidth="1"/>
    <col min="9460" max="9460" width="12" style="195" customWidth="1"/>
    <col min="9461" max="9461" width="11.6640625" style="195" customWidth="1"/>
    <col min="9462" max="9462" width="10.6640625" style="195" customWidth="1"/>
    <col min="9463" max="9463" width="13.33203125" style="195" customWidth="1"/>
    <col min="9464" max="9464" width="8.5546875" style="195" customWidth="1"/>
    <col min="9465" max="9465" width="9.5546875" style="195" customWidth="1"/>
    <col min="9466" max="9466" width="11.88671875" style="195" customWidth="1"/>
    <col min="9467" max="9467" width="9.88671875" style="195" customWidth="1"/>
    <col min="9468" max="9468" width="13.109375" style="195" customWidth="1"/>
    <col min="9469" max="9469" width="9.109375" style="195"/>
    <col min="9470" max="9470" width="5.6640625" style="195" customWidth="1"/>
    <col min="9471" max="9471" width="10.33203125" style="195" customWidth="1"/>
    <col min="9472" max="9472" width="14.5546875" style="195" customWidth="1"/>
    <col min="9473" max="9473" width="13" style="195" customWidth="1"/>
    <col min="9474" max="9474" width="10.33203125" style="195" customWidth="1"/>
    <col min="9475" max="9475" width="11.6640625" style="195" customWidth="1"/>
    <col min="9476" max="9476" width="10.44140625" style="195" customWidth="1"/>
    <col min="9477" max="9477" width="13.88671875" style="195" customWidth="1"/>
    <col min="9478" max="9478" width="12.33203125" style="195" customWidth="1"/>
    <col min="9479" max="9479" width="13.33203125" style="195" customWidth="1"/>
    <col min="9480" max="9480" width="11.109375" style="195" customWidth="1"/>
    <col min="9481" max="9714" width="9.109375" style="195"/>
    <col min="9715" max="9715" width="4.6640625" style="195" customWidth="1"/>
    <col min="9716" max="9716" width="12" style="195" customWidth="1"/>
    <col min="9717" max="9717" width="11.6640625" style="195" customWidth="1"/>
    <col min="9718" max="9718" width="10.6640625" style="195" customWidth="1"/>
    <col min="9719" max="9719" width="13.33203125" style="195" customWidth="1"/>
    <col min="9720" max="9720" width="8.5546875" style="195" customWidth="1"/>
    <col min="9721" max="9721" width="9.5546875" style="195" customWidth="1"/>
    <col min="9722" max="9722" width="11.88671875" style="195" customWidth="1"/>
    <col min="9723" max="9723" width="9.88671875" style="195" customWidth="1"/>
    <col min="9724" max="9724" width="13.109375" style="195" customWidth="1"/>
    <col min="9725" max="9725" width="9.109375" style="195"/>
    <col min="9726" max="9726" width="5.6640625" style="195" customWidth="1"/>
    <col min="9727" max="9727" width="10.33203125" style="195" customWidth="1"/>
    <col min="9728" max="9728" width="14.5546875" style="195" customWidth="1"/>
    <col min="9729" max="9729" width="13" style="195" customWidth="1"/>
    <col min="9730" max="9730" width="10.33203125" style="195" customWidth="1"/>
    <col min="9731" max="9731" width="11.6640625" style="195" customWidth="1"/>
    <col min="9732" max="9732" width="10.44140625" style="195" customWidth="1"/>
    <col min="9733" max="9733" width="13.88671875" style="195" customWidth="1"/>
    <col min="9734" max="9734" width="12.33203125" style="195" customWidth="1"/>
    <col min="9735" max="9735" width="13.33203125" style="195" customWidth="1"/>
    <col min="9736" max="9736" width="11.109375" style="195" customWidth="1"/>
    <col min="9737" max="9970" width="9.109375" style="195"/>
    <col min="9971" max="9971" width="4.6640625" style="195" customWidth="1"/>
    <col min="9972" max="9972" width="12" style="195" customWidth="1"/>
    <col min="9973" max="9973" width="11.6640625" style="195" customWidth="1"/>
    <col min="9974" max="9974" width="10.6640625" style="195" customWidth="1"/>
    <col min="9975" max="9975" width="13.33203125" style="195" customWidth="1"/>
    <col min="9976" max="9976" width="8.5546875" style="195" customWidth="1"/>
    <col min="9977" max="9977" width="9.5546875" style="195" customWidth="1"/>
    <col min="9978" max="9978" width="11.88671875" style="195" customWidth="1"/>
    <col min="9979" max="9979" width="9.88671875" style="195" customWidth="1"/>
    <col min="9980" max="9980" width="13.109375" style="195" customWidth="1"/>
    <col min="9981" max="9981" width="9.109375" style="195"/>
    <col min="9982" max="9982" width="5.6640625" style="195" customWidth="1"/>
    <col min="9983" max="9983" width="10.33203125" style="195" customWidth="1"/>
    <col min="9984" max="9984" width="14.5546875" style="195" customWidth="1"/>
    <col min="9985" max="9985" width="13" style="195" customWidth="1"/>
    <col min="9986" max="9986" width="10.33203125" style="195" customWidth="1"/>
    <col min="9987" max="9987" width="11.6640625" style="195" customWidth="1"/>
    <col min="9988" max="9988" width="10.44140625" style="195" customWidth="1"/>
    <col min="9989" max="9989" width="13.88671875" style="195" customWidth="1"/>
    <col min="9990" max="9990" width="12.33203125" style="195" customWidth="1"/>
    <col min="9991" max="9991" width="13.33203125" style="195" customWidth="1"/>
    <col min="9992" max="9992" width="11.109375" style="195" customWidth="1"/>
    <col min="9993" max="10226" width="9.109375" style="195"/>
    <col min="10227" max="10227" width="4.6640625" style="195" customWidth="1"/>
    <col min="10228" max="10228" width="12" style="195" customWidth="1"/>
    <col min="10229" max="10229" width="11.6640625" style="195" customWidth="1"/>
    <col min="10230" max="10230" width="10.6640625" style="195" customWidth="1"/>
    <col min="10231" max="10231" width="13.33203125" style="195" customWidth="1"/>
    <col min="10232" max="10232" width="8.5546875" style="195" customWidth="1"/>
    <col min="10233" max="10233" width="9.5546875" style="195" customWidth="1"/>
    <col min="10234" max="10234" width="11.88671875" style="195" customWidth="1"/>
    <col min="10235" max="10235" width="9.88671875" style="195" customWidth="1"/>
    <col min="10236" max="10236" width="13.109375" style="195" customWidth="1"/>
    <col min="10237" max="10237" width="9.109375" style="195"/>
    <col min="10238" max="10238" width="5.6640625" style="195" customWidth="1"/>
    <col min="10239" max="10239" width="10.33203125" style="195" customWidth="1"/>
    <col min="10240" max="10240" width="14.5546875" style="195" customWidth="1"/>
    <col min="10241" max="10241" width="13" style="195" customWidth="1"/>
    <col min="10242" max="10242" width="10.33203125" style="195" customWidth="1"/>
    <col min="10243" max="10243" width="11.6640625" style="195" customWidth="1"/>
    <col min="10244" max="10244" width="10.44140625" style="195" customWidth="1"/>
    <col min="10245" max="10245" width="13.88671875" style="195" customWidth="1"/>
    <col min="10246" max="10246" width="12.33203125" style="195" customWidth="1"/>
    <col min="10247" max="10247" width="13.33203125" style="195" customWidth="1"/>
    <col min="10248" max="10248" width="11.109375" style="195" customWidth="1"/>
    <col min="10249" max="10482" width="9.109375" style="195"/>
    <col min="10483" max="10483" width="4.6640625" style="195" customWidth="1"/>
    <col min="10484" max="10484" width="12" style="195" customWidth="1"/>
    <col min="10485" max="10485" width="11.6640625" style="195" customWidth="1"/>
    <col min="10486" max="10486" width="10.6640625" style="195" customWidth="1"/>
    <col min="10487" max="10487" width="13.33203125" style="195" customWidth="1"/>
    <col min="10488" max="10488" width="8.5546875" style="195" customWidth="1"/>
    <col min="10489" max="10489" width="9.5546875" style="195" customWidth="1"/>
    <col min="10490" max="10490" width="11.88671875" style="195" customWidth="1"/>
    <col min="10491" max="10491" width="9.88671875" style="195" customWidth="1"/>
    <col min="10492" max="10492" width="13.109375" style="195" customWidth="1"/>
    <col min="10493" max="10493" width="9.109375" style="195"/>
    <col min="10494" max="10494" width="5.6640625" style="195" customWidth="1"/>
    <col min="10495" max="10495" width="10.33203125" style="195" customWidth="1"/>
    <col min="10496" max="10496" width="14.5546875" style="195" customWidth="1"/>
    <col min="10497" max="10497" width="13" style="195" customWidth="1"/>
    <col min="10498" max="10498" width="10.33203125" style="195" customWidth="1"/>
    <col min="10499" max="10499" width="11.6640625" style="195" customWidth="1"/>
    <col min="10500" max="10500" width="10.44140625" style="195" customWidth="1"/>
    <col min="10501" max="10501" width="13.88671875" style="195" customWidth="1"/>
    <col min="10502" max="10502" width="12.33203125" style="195" customWidth="1"/>
    <col min="10503" max="10503" width="13.33203125" style="195" customWidth="1"/>
    <col min="10504" max="10504" width="11.109375" style="195" customWidth="1"/>
    <col min="10505" max="10738" width="9.109375" style="195"/>
    <col min="10739" max="10739" width="4.6640625" style="195" customWidth="1"/>
    <col min="10740" max="10740" width="12" style="195" customWidth="1"/>
    <col min="10741" max="10741" width="11.6640625" style="195" customWidth="1"/>
    <col min="10742" max="10742" width="10.6640625" style="195" customWidth="1"/>
    <col min="10743" max="10743" width="13.33203125" style="195" customWidth="1"/>
    <col min="10744" max="10744" width="8.5546875" style="195" customWidth="1"/>
    <col min="10745" max="10745" width="9.5546875" style="195" customWidth="1"/>
    <col min="10746" max="10746" width="11.88671875" style="195" customWidth="1"/>
    <col min="10747" max="10747" width="9.88671875" style="195" customWidth="1"/>
    <col min="10748" max="10748" width="13.109375" style="195" customWidth="1"/>
    <col min="10749" max="10749" width="9.109375" style="195"/>
    <col min="10750" max="10750" width="5.6640625" style="195" customWidth="1"/>
    <col min="10751" max="10751" width="10.33203125" style="195" customWidth="1"/>
    <col min="10752" max="10752" width="14.5546875" style="195" customWidth="1"/>
    <col min="10753" max="10753" width="13" style="195" customWidth="1"/>
    <col min="10754" max="10754" width="10.33203125" style="195" customWidth="1"/>
    <col min="10755" max="10755" width="11.6640625" style="195" customWidth="1"/>
    <col min="10756" max="10756" width="10.44140625" style="195" customWidth="1"/>
    <col min="10757" max="10757" width="13.88671875" style="195" customWidth="1"/>
    <col min="10758" max="10758" width="12.33203125" style="195" customWidth="1"/>
    <col min="10759" max="10759" width="13.33203125" style="195" customWidth="1"/>
    <col min="10760" max="10760" width="11.109375" style="195" customWidth="1"/>
    <col min="10761" max="10994" width="9.109375" style="195"/>
    <col min="10995" max="10995" width="4.6640625" style="195" customWidth="1"/>
    <col min="10996" max="10996" width="12" style="195" customWidth="1"/>
    <col min="10997" max="10997" width="11.6640625" style="195" customWidth="1"/>
    <col min="10998" max="10998" width="10.6640625" style="195" customWidth="1"/>
    <col min="10999" max="10999" width="13.33203125" style="195" customWidth="1"/>
    <col min="11000" max="11000" width="8.5546875" style="195" customWidth="1"/>
    <col min="11001" max="11001" width="9.5546875" style="195" customWidth="1"/>
    <col min="11002" max="11002" width="11.88671875" style="195" customWidth="1"/>
    <col min="11003" max="11003" width="9.88671875" style="195" customWidth="1"/>
    <col min="11004" max="11004" width="13.109375" style="195" customWidth="1"/>
    <col min="11005" max="11005" width="9.109375" style="195"/>
    <col min="11006" max="11006" width="5.6640625" style="195" customWidth="1"/>
    <col min="11007" max="11007" width="10.33203125" style="195" customWidth="1"/>
    <col min="11008" max="11008" width="14.5546875" style="195" customWidth="1"/>
    <col min="11009" max="11009" width="13" style="195" customWidth="1"/>
    <col min="11010" max="11010" width="10.33203125" style="195" customWidth="1"/>
    <col min="11011" max="11011" width="11.6640625" style="195" customWidth="1"/>
    <col min="11012" max="11012" width="10.44140625" style="195" customWidth="1"/>
    <col min="11013" max="11013" width="13.88671875" style="195" customWidth="1"/>
    <col min="11014" max="11014" width="12.33203125" style="195" customWidth="1"/>
    <col min="11015" max="11015" width="13.33203125" style="195" customWidth="1"/>
    <col min="11016" max="11016" width="11.109375" style="195" customWidth="1"/>
    <col min="11017" max="11250" width="9.109375" style="195"/>
    <col min="11251" max="11251" width="4.6640625" style="195" customWidth="1"/>
    <col min="11252" max="11252" width="12" style="195" customWidth="1"/>
    <col min="11253" max="11253" width="11.6640625" style="195" customWidth="1"/>
    <col min="11254" max="11254" width="10.6640625" style="195" customWidth="1"/>
    <col min="11255" max="11255" width="13.33203125" style="195" customWidth="1"/>
    <col min="11256" max="11256" width="8.5546875" style="195" customWidth="1"/>
    <col min="11257" max="11257" width="9.5546875" style="195" customWidth="1"/>
    <col min="11258" max="11258" width="11.88671875" style="195" customWidth="1"/>
    <col min="11259" max="11259" width="9.88671875" style="195" customWidth="1"/>
    <col min="11260" max="11260" width="13.109375" style="195" customWidth="1"/>
    <col min="11261" max="11261" width="9.109375" style="195"/>
    <col min="11262" max="11262" width="5.6640625" style="195" customWidth="1"/>
    <col min="11263" max="11263" width="10.33203125" style="195" customWidth="1"/>
    <col min="11264" max="11264" width="14.5546875" style="195" customWidth="1"/>
    <col min="11265" max="11265" width="13" style="195" customWidth="1"/>
    <col min="11266" max="11266" width="10.33203125" style="195" customWidth="1"/>
    <col min="11267" max="11267" width="11.6640625" style="195" customWidth="1"/>
    <col min="11268" max="11268" width="10.44140625" style="195" customWidth="1"/>
    <col min="11269" max="11269" width="13.88671875" style="195" customWidth="1"/>
    <col min="11270" max="11270" width="12.33203125" style="195" customWidth="1"/>
    <col min="11271" max="11271" width="13.33203125" style="195" customWidth="1"/>
    <col min="11272" max="11272" width="11.109375" style="195" customWidth="1"/>
    <col min="11273" max="11506" width="9.109375" style="195"/>
    <col min="11507" max="11507" width="4.6640625" style="195" customWidth="1"/>
    <col min="11508" max="11508" width="12" style="195" customWidth="1"/>
    <col min="11509" max="11509" width="11.6640625" style="195" customWidth="1"/>
    <col min="11510" max="11510" width="10.6640625" style="195" customWidth="1"/>
    <col min="11511" max="11511" width="13.33203125" style="195" customWidth="1"/>
    <col min="11512" max="11512" width="8.5546875" style="195" customWidth="1"/>
    <col min="11513" max="11513" width="9.5546875" style="195" customWidth="1"/>
    <col min="11514" max="11514" width="11.88671875" style="195" customWidth="1"/>
    <col min="11515" max="11515" width="9.88671875" style="195" customWidth="1"/>
    <col min="11516" max="11516" width="13.109375" style="195" customWidth="1"/>
    <col min="11517" max="11517" width="9.109375" style="195"/>
    <col min="11518" max="11518" width="5.6640625" style="195" customWidth="1"/>
    <col min="11519" max="11519" width="10.33203125" style="195" customWidth="1"/>
    <col min="11520" max="11520" width="14.5546875" style="195" customWidth="1"/>
    <col min="11521" max="11521" width="13" style="195" customWidth="1"/>
    <col min="11522" max="11522" width="10.33203125" style="195" customWidth="1"/>
    <col min="11523" max="11523" width="11.6640625" style="195" customWidth="1"/>
    <col min="11524" max="11524" width="10.44140625" style="195" customWidth="1"/>
    <col min="11525" max="11525" width="13.88671875" style="195" customWidth="1"/>
    <col min="11526" max="11526" width="12.33203125" style="195" customWidth="1"/>
    <col min="11527" max="11527" width="13.33203125" style="195" customWidth="1"/>
    <col min="11528" max="11528" width="11.109375" style="195" customWidth="1"/>
    <col min="11529" max="11762" width="9.109375" style="195"/>
    <col min="11763" max="11763" width="4.6640625" style="195" customWidth="1"/>
    <col min="11764" max="11764" width="12" style="195" customWidth="1"/>
    <col min="11765" max="11765" width="11.6640625" style="195" customWidth="1"/>
    <col min="11766" max="11766" width="10.6640625" style="195" customWidth="1"/>
    <col min="11767" max="11767" width="13.33203125" style="195" customWidth="1"/>
    <col min="11768" max="11768" width="8.5546875" style="195" customWidth="1"/>
    <col min="11769" max="11769" width="9.5546875" style="195" customWidth="1"/>
    <col min="11770" max="11770" width="11.88671875" style="195" customWidth="1"/>
    <col min="11771" max="11771" width="9.88671875" style="195" customWidth="1"/>
    <col min="11772" max="11772" width="13.109375" style="195" customWidth="1"/>
    <col min="11773" max="11773" width="9.109375" style="195"/>
    <col min="11774" max="11774" width="5.6640625" style="195" customWidth="1"/>
    <col min="11775" max="11775" width="10.33203125" style="195" customWidth="1"/>
    <col min="11776" max="11776" width="14.5546875" style="195" customWidth="1"/>
    <col min="11777" max="11777" width="13" style="195" customWidth="1"/>
    <col min="11778" max="11778" width="10.33203125" style="195" customWidth="1"/>
    <col min="11779" max="11779" width="11.6640625" style="195" customWidth="1"/>
    <col min="11780" max="11780" width="10.44140625" style="195" customWidth="1"/>
    <col min="11781" max="11781" width="13.88671875" style="195" customWidth="1"/>
    <col min="11782" max="11782" width="12.33203125" style="195" customWidth="1"/>
    <col min="11783" max="11783" width="13.33203125" style="195" customWidth="1"/>
    <col min="11784" max="11784" width="11.109375" style="195" customWidth="1"/>
    <col min="11785" max="12018" width="9.109375" style="195"/>
    <col min="12019" max="12019" width="4.6640625" style="195" customWidth="1"/>
    <col min="12020" max="12020" width="12" style="195" customWidth="1"/>
    <col min="12021" max="12021" width="11.6640625" style="195" customWidth="1"/>
    <col min="12022" max="12022" width="10.6640625" style="195" customWidth="1"/>
    <col min="12023" max="12023" width="13.33203125" style="195" customWidth="1"/>
    <col min="12024" max="12024" width="8.5546875" style="195" customWidth="1"/>
    <col min="12025" max="12025" width="9.5546875" style="195" customWidth="1"/>
    <col min="12026" max="12026" width="11.88671875" style="195" customWidth="1"/>
    <col min="12027" max="12027" width="9.88671875" style="195" customWidth="1"/>
    <col min="12028" max="12028" width="13.109375" style="195" customWidth="1"/>
    <col min="12029" max="12029" width="9.109375" style="195"/>
    <col min="12030" max="12030" width="5.6640625" style="195" customWidth="1"/>
    <col min="12031" max="12031" width="10.33203125" style="195" customWidth="1"/>
    <col min="12032" max="12032" width="14.5546875" style="195" customWidth="1"/>
    <col min="12033" max="12033" width="13" style="195" customWidth="1"/>
    <col min="12034" max="12034" width="10.33203125" style="195" customWidth="1"/>
    <col min="12035" max="12035" width="11.6640625" style="195" customWidth="1"/>
    <col min="12036" max="12036" width="10.44140625" style="195" customWidth="1"/>
    <col min="12037" max="12037" width="13.88671875" style="195" customWidth="1"/>
    <col min="12038" max="12038" width="12.33203125" style="195" customWidth="1"/>
    <col min="12039" max="12039" width="13.33203125" style="195" customWidth="1"/>
    <col min="12040" max="12040" width="11.109375" style="195" customWidth="1"/>
    <col min="12041" max="12274" width="9.109375" style="195"/>
    <col min="12275" max="12275" width="4.6640625" style="195" customWidth="1"/>
    <col min="12276" max="12276" width="12" style="195" customWidth="1"/>
    <col min="12277" max="12277" width="11.6640625" style="195" customWidth="1"/>
    <col min="12278" max="12278" width="10.6640625" style="195" customWidth="1"/>
    <col min="12279" max="12279" width="13.33203125" style="195" customWidth="1"/>
    <col min="12280" max="12280" width="8.5546875" style="195" customWidth="1"/>
    <col min="12281" max="12281" width="9.5546875" style="195" customWidth="1"/>
    <col min="12282" max="12282" width="11.88671875" style="195" customWidth="1"/>
    <col min="12283" max="12283" width="9.88671875" style="195" customWidth="1"/>
    <col min="12284" max="12284" width="13.109375" style="195" customWidth="1"/>
    <col min="12285" max="12285" width="9.109375" style="195"/>
    <col min="12286" max="12286" width="5.6640625" style="195" customWidth="1"/>
    <col min="12287" max="12287" width="10.33203125" style="195" customWidth="1"/>
    <col min="12288" max="12288" width="14.5546875" style="195" customWidth="1"/>
    <col min="12289" max="12289" width="13" style="195" customWidth="1"/>
    <col min="12290" max="12290" width="10.33203125" style="195" customWidth="1"/>
    <col min="12291" max="12291" width="11.6640625" style="195" customWidth="1"/>
    <col min="12292" max="12292" width="10.44140625" style="195" customWidth="1"/>
    <col min="12293" max="12293" width="13.88671875" style="195" customWidth="1"/>
    <col min="12294" max="12294" width="12.33203125" style="195" customWidth="1"/>
    <col min="12295" max="12295" width="13.33203125" style="195" customWidth="1"/>
    <col min="12296" max="12296" width="11.109375" style="195" customWidth="1"/>
    <col min="12297" max="12530" width="9.109375" style="195"/>
    <col min="12531" max="12531" width="4.6640625" style="195" customWidth="1"/>
    <col min="12532" max="12532" width="12" style="195" customWidth="1"/>
    <col min="12533" max="12533" width="11.6640625" style="195" customWidth="1"/>
    <col min="12534" max="12534" width="10.6640625" style="195" customWidth="1"/>
    <col min="12535" max="12535" width="13.33203125" style="195" customWidth="1"/>
    <col min="12536" max="12536" width="8.5546875" style="195" customWidth="1"/>
    <col min="12537" max="12537" width="9.5546875" style="195" customWidth="1"/>
    <col min="12538" max="12538" width="11.88671875" style="195" customWidth="1"/>
    <col min="12539" max="12539" width="9.88671875" style="195" customWidth="1"/>
    <col min="12540" max="12540" width="13.109375" style="195" customWidth="1"/>
    <col min="12541" max="12541" width="9.109375" style="195"/>
    <col min="12542" max="12542" width="5.6640625" style="195" customWidth="1"/>
    <col min="12543" max="12543" width="10.33203125" style="195" customWidth="1"/>
    <col min="12544" max="12544" width="14.5546875" style="195" customWidth="1"/>
    <col min="12545" max="12545" width="13" style="195" customWidth="1"/>
    <col min="12546" max="12546" width="10.33203125" style="195" customWidth="1"/>
    <col min="12547" max="12547" width="11.6640625" style="195" customWidth="1"/>
    <col min="12548" max="12548" width="10.44140625" style="195" customWidth="1"/>
    <col min="12549" max="12549" width="13.88671875" style="195" customWidth="1"/>
    <col min="12550" max="12550" width="12.33203125" style="195" customWidth="1"/>
    <col min="12551" max="12551" width="13.33203125" style="195" customWidth="1"/>
    <col min="12552" max="12552" width="11.109375" style="195" customWidth="1"/>
    <col min="12553" max="12786" width="9.109375" style="195"/>
    <col min="12787" max="12787" width="4.6640625" style="195" customWidth="1"/>
    <col min="12788" max="12788" width="12" style="195" customWidth="1"/>
    <col min="12789" max="12789" width="11.6640625" style="195" customWidth="1"/>
    <col min="12790" max="12790" width="10.6640625" style="195" customWidth="1"/>
    <col min="12791" max="12791" width="13.33203125" style="195" customWidth="1"/>
    <col min="12792" max="12792" width="8.5546875" style="195" customWidth="1"/>
    <col min="12793" max="12793" width="9.5546875" style="195" customWidth="1"/>
    <col min="12794" max="12794" width="11.88671875" style="195" customWidth="1"/>
    <col min="12795" max="12795" width="9.88671875" style="195" customWidth="1"/>
    <col min="12796" max="12796" width="13.109375" style="195" customWidth="1"/>
    <col min="12797" max="12797" width="9.109375" style="195"/>
    <col min="12798" max="12798" width="5.6640625" style="195" customWidth="1"/>
    <col min="12799" max="12799" width="10.33203125" style="195" customWidth="1"/>
    <col min="12800" max="12800" width="14.5546875" style="195" customWidth="1"/>
    <col min="12801" max="12801" width="13" style="195" customWidth="1"/>
    <col min="12802" max="12802" width="10.33203125" style="195" customWidth="1"/>
    <col min="12803" max="12803" width="11.6640625" style="195" customWidth="1"/>
    <col min="12804" max="12804" width="10.44140625" style="195" customWidth="1"/>
    <col min="12805" max="12805" width="13.88671875" style="195" customWidth="1"/>
    <col min="12806" max="12806" width="12.33203125" style="195" customWidth="1"/>
    <col min="12807" max="12807" width="13.33203125" style="195" customWidth="1"/>
    <col min="12808" max="12808" width="11.109375" style="195" customWidth="1"/>
    <col min="12809" max="13042" width="9.109375" style="195"/>
    <col min="13043" max="13043" width="4.6640625" style="195" customWidth="1"/>
    <col min="13044" max="13044" width="12" style="195" customWidth="1"/>
    <col min="13045" max="13045" width="11.6640625" style="195" customWidth="1"/>
    <col min="13046" max="13046" width="10.6640625" style="195" customWidth="1"/>
    <col min="13047" max="13047" width="13.33203125" style="195" customWidth="1"/>
    <col min="13048" max="13048" width="8.5546875" style="195" customWidth="1"/>
    <col min="13049" max="13049" width="9.5546875" style="195" customWidth="1"/>
    <col min="13050" max="13050" width="11.88671875" style="195" customWidth="1"/>
    <col min="13051" max="13051" width="9.88671875" style="195" customWidth="1"/>
    <col min="13052" max="13052" width="13.109375" style="195" customWidth="1"/>
    <col min="13053" max="13053" width="9.109375" style="195"/>
    <col min="13054" max="13054" width="5.6640625" style="195" customWidth="1"/>
    <col min="13055" max="13055" width="10.33203125" style="195" customWidth="1"/>
    <col min="13056" max="13056" width="14.5546875" style="195" customWidth="1"/>
    <col min="13057" max="13057" width="13" style="195" customWidth="1"/>
    <col min="13058" max="13058" width="10.33203125" style="195" customWidth="1"/>
    <col min="13059" max="13059" width="11.6640625" style="195" customWidth="1"/>
    <col min="13060" max="13060" width="10.44140625" style="195" customWidth="1"/>
    <col min="13061" max="13061" width="13.88671875" style="195" customWidth="1"/>
    <col min="13062" max="13062" width="12.33203125" style="195" customWidth="1"/>
    <col min="13063" max="13063" width="13.33203125" style="195" customWidth="1"/>
    <col min="13064" max="13064" width="11.109375" style="195" customWidth="1"/>
    <col min="13065" max="13298" width="9.109375" style="195"/>
    <col min="13299" max="13299" width="4.6640625" style="195" customWidth="1"/>
    <col min="13300" max="13300" width="12" style="195" customWidth="1"/>
    <col min="13301" max="13301" width="11.6640625" style="195" customWidth="1"/>
    <col min="13302" max="13302" width="10.6640625" style="195" customWidth="1"/>
    <col min="13303" max="13303" width="13.33203125" style="195" customWidth="1"/>
    <col min="13304" max="13304" width="8.5546875" style="195" customWidth="1"/>
    <col min="13305" max="13305" width="9.5546875" style="195" customWidth="1"/>
    <col min="13306" max="13306" width="11.88671875" style="195" customWidth="1"/>
    <col min="13307" max="13307" width="9.88671875" style="195" customWidth="1"/>
    <col min="13308" max="13308" width="13.109375" style="195" customWidth="1"/>
    <col min="13309" max="13309" width="9.109375" style="195"/>
    <col min="13310" max="13310" width="5.6640625" style="195" customWidth="1"/>
    <col min="13311" max="13311" width="10.33203125" style="195" customWidth="1"/>
    <col min="13312" max="13312" width="14.5546875" style="195" customWidth="1"/>
    <col min="13313" max="13313" width="13" style="195" customWidth="1"/>
    <col min="13314" max="13314" width="10.33203125" style="195" customWidth="1"/>
    <col min="13315" max="13315" width="11.6640625" style="195" customWidth="1"/>
    <col min="13316" max="13316" width="10.44140625" style="195" customWidth="1"/>
    <col min="13317" max="13317" width="13.88671875" style="195" customWidth="1"/>
    <col min="13318" max="13318" width="12.33203125" style="195" customWidth="1"/>
    <col min="13319" max="13319" width="13.33203125" style="195" customWidth="1"/>
    <col min="13320" max="13320" width="11.109375" style="195" customWidth="1"/>
    <col min="13321" max="13554" width="9.109375" style="195"/>
    <col min="13555" max="13555" width="4.6640625" style="195" customWidth="1"/>
    <col min="13556" max="13556" width="12" style="195" customWidth="1"/>
    <col min="13557" max="13557" width="11.6640625" style="195" customWidth="1"/>
    <col min="13558" max="13558" width="10.6640625" style="195" customWidth="1"/>
    <col min="13559" max="13559" width="13.33203125" style="195" customWidth="1"/>
    <col min="13560" max="13560" width="8.5546875" style="195" customWidth="1"/>
    <col min="13561" max="13561" width="9.5546875" style="195" customWidth="1"/>
    <col min="13562" max="13562" width="11.88671875" style="195" customWidth="1"/>
    <col min="13563" max="13563" width="9.88671875" style="195" customWidth="1"/>
    <col min="13564" max="13564" width="13.109375" style="195" customWidth="1"/>
    <col min="13565" max="13565" width="9.109375" style="195"/>
    <col min="13566" max="13566" width="5.6640625" style="195" customWidth="1"/>
    <col min="13567" max="13567" width="10.33203125" style="195" customWidth="1"/>
    <col min="13568" max="13568" width="14.5546875" style="195" customWidth="1"/>
    <col min="13569" max="13569" width="13" style="195" customWidth="1"/>
    <col min="13570" max="13570" width="10.33203125" style="195" customWidth="1"/>
    <col min="13571" max="13571" width="11.6640625" style="195" customWidth="1"/>
    <col min="13572" max="13572" width="10.44140625" style="195" customWidth="1"/>
    <col min="13573" max="13573" width="13.88671875" style="195" customWidth="1"/>
    <col min="13574" max="13574" width="12.33203125" style="195" customWidth="1"/>
    <col min="13575" max="13575" width="13.33203125" style="195" customWidth="1"/>
    <col min="13576" max="13576" width="11.109375" style="195" customWidth="1"/>
    <col min="13577" max="13810" width="9.109375" style="195"/>
    <col min="13811" max="13811" width="4.6640625" style="195" customWidth="1"/>
    <col min="13812" max="13812" width="12" style="195" customWidth="1"/>
    <col min="13813" max="13813" width="11.6640625" style="195" customWidth="1"/>
    <col min="13814" max="13814" width="10.6640625" style="195" customWidth="1"/>
    <col min="13815" max="13815" width="13.33203125" style="195" customWidth="1"/>
    <col min="13816" max="13816" width="8.5546875" style="195" customWidth="1"/>
    <col min="13817" max="13817" width="9.5546875" style="195" customWidth="1"/>
    <col min="13818" max="13818" width="11.88671875" style="195" customWidth="1"/>
    <col min="13819" max="13819" width="9.88671875" style="195" customWidth="1"/>
    <col min="13820" max="13820" width="13.109375" style="195" customWidth="1"/>
    <col min="13821" max="13821" width="9.109375" style="195"/>
    <col min="13822" max="13822" width="5.6640625" style="195" customWidth="1"/>
    <col min="13823" max="13823" width="10.33203125" style="195" customWidth="1"/>
    <col min="13824" max="13824" width="14.5546875" style="195" customWidth="1"/>
    <col min="13825" max="13825" width="13" style="195" customWidth="1"/>
    <col min="13826" max="13826" width="10.33203125" style="195" customWidth="1"/>
    <col min="13827" max="13827" width="11.6640625" style="195" customWidth="1"/>
    <col min="13828" max="13828" width="10.44140625" style="195" customWidth="1"/>
    <col min="13829" max="13829" width="13.88671875" style="195" customWidth="1"/>
    <col min="13830" max="13830" width="12.33203125" style="195" customWidth="1"/>
    <col min="13831" max="13831" width="13.33203125" style="195" customWidth="1"/>
    <col min="13832" max="13832" width="11.109375" style="195" customWidth="1"/>
    <col min="13833" max="14066" width="9.109375" style="195"/>
    <col min="14067" max="14067" width="4.6640625" style="195" customWidth="1"/>
    <col min="14068" max="14068" width="12" style="195" customWidth="1"/>
    <col min="14069" max="14069" width="11.6640625" style="195" customWidth="1"/>
    <col min="14070" max="14070" width="10.6640625" style="195" customWidth="1"/>
    <col min="14071" max="14071" width="13.33203125" style="195" customWidth="1"/>
    <col min="14072" max="14072" width="8.5546875" style="195" customWidth="1"/>
    <col min="14073" max="14073" width="9.5546875" style="195" customWidth="1"/>
    <col min="14074" max="14074" width="11.88671875" style="195" customWidth="1"/>
    <col min="14075" max="14075" width="9.88671875" style="195" customWidth="1"/>
    <col min="14076" max="14076" width="13.109375" style="195" customWidth="1"/>
    <col min="14077" max="14077" width="9.109375" style="195"/>
    <col min="14078" max="14078" width="5.6640625" style="195" customWidth="1"/>
    <col min="14079" max="14079" width="10.33203125" style="195" customWidth="1"/>
    <col min="14080" max="14080" width="14.5546875" style="195" customWidth="1"/>
    <col min="14081" max="14081" width="13" style="195" customWidth="1"/>
    <col min="14082" max="14082" width="10.33203125" style="195" customWidth="1"/>
    <col min="14083" max="14083" width="11.6640625" style="195" customWidth="1"/>
    <col min="14084" max="14084" width="10.44140625" style="195" customWidth="1"/>
    <col min="14085" max="14085" width="13.88671875" style="195" customWidth="1"/>
    <col min="14086" max="14086" width="12.33203125" style="195" customWidth="1"/>
    <col min="14087" max="14087" width="13.33203125" style="195" customWidth="1"/>
    <col min="14088" max="14088" width="11.109375" style="195" customWidth="1"/>
    <col min="14089" max="14322" width="9.109375" style="195"/>
    <col min="14323" max="14323" width="4.6640625" style="195" customWidth="1"/>
    <col min="14324" max="14324" width="12" style="195" customWidth="1"/>
    <col min="14325" max="14325" width="11.6640625" style="195" customWidth="1"/>
    <col min="14326" max="14326" width="10.6640625" style="195" customWidth="1"/>
    <col min="14327" max="14327" width="13.33203125" style="195" customWidth="1"/>
    <col min="14328" max="14328" width="8.5546875" style="195" customWidth="1"/>
    <col min="14329" max="14329" width="9.5546875" style="195" customWidth="1"/>
    <col min="14330" max="14330" width="11.88671875" style="195" customWidth="1"/>
    <col min="14331" max="14331" width="9.88671875" style="195" customWidth="1"/>
    <col min="14332" max="14332" width="13.109375" style="195" customWidth="1"/>
    <col min="14333" max="14333" width="9.109375" style="195"/>
    <col min="14334" max="14334" width="5.6640625" style="195" customWidth="1"/>
    <col min="14335" max="14335" width="10.33203125" style="195" customWidth="1"/>
    <col min="14336" max="14336" width="14.5546875" style="195" customWidth="1"/>
    <col min="14337" max="14337" width="13" style="195" customWidth="1"/>
    <col min="14338" max="14338" width="10.33203125" style="195" customWidth="1"/>
    <col min="14339" max="14339" width="11.6640625" style="195" customWidth="1"/>
    <col min="14340" max="14340" width="10.44140625" style="195" customWidth="1"/>
    <col min="14341" max="14341" width="13.88671875" style="195" customWidth="1"/>
    <col min="14342" max="14342" width="12.33203125" style="195" customWidth="1"/>
    <col min="14343" max="14343" width="13.33203125" style="195" customWidth="1"/>
    <col min="14344" max="14344" width="11.109375" style="195" customWidth="1"/>
    <col min="14345" max="14578" width="9.109375" style="195"/>
    <col min="14579" max="14579" width="4.6640625" style="195" customWidth="1"/>
    <col min="14580" max="14580" width="12" style="195" customWidth="1"/>
    <col min="14581" max="14581" width="11.6640625" style="195" customWidth="1"/>
    <col min="14582" max="14582" width="10.6640625" style="195" customWidth="1"/>
    <col min="14583" max="14583" width="13.33203125" style="195" customWidth="1"/>
    <col min="14584" max="14584" width="8.5546875" style="195" customWidth="1"/>
    <col min="14585" max="14585" width="9.5546875" style="195" customWidth="1"/>
    <col min="14586" max="14586" width="11.88671875" style="195" customWidth="1"/>
    <col min="14587" max="14587" width="9.88671875" style="195" customWidth="1"/>
    <col min="14588" max="14588" width="13.109375" style="195" customWidth="1"/>
    <col min="14589" max="14589" width="9.109375" style="195"/>
    <col min="14590" max="14590" width="5.6640625" style="195" customWidth="1"/>
    <col min="14591" max="14591" width="10.33203125" style="195" customWidth="1"/>
    <col min="14592" max="14592" width="14.5546875" style="195" customWidth="1"/>
    <col min="14593" max="14593" width="13" style="195" customWidth="1"/>
    <col min="14594" max="14594" width="10.33203125" style="195" customWidth="1"/>
    <col min="14595" max="14595" width="11.6640625" style="195" customWidth="1"/>
    <col min="14596" max="14596" width="10.44140625" style="195" customWidth="1"/>
    <col min="14597" max="14597" width="13.88671875" style="195" customWidth="1"/>
    <col min="14598" max="14598" width="12.33203125" style="195" customWidth="1"/>
    <col min="14599" max="14599" width="13.33203125" style="195" customWidth="1"/>
    <col min="14600" max="14600" width="11.109375" style="195" customWidth="1"/>
    <col min="14601" max="14834" width="9.109375" style="195"/>
    <col min="14835" max="14835" width="4.6640625" style="195" customWidth="1"/>
    <col min="14836" max="14836" width="12" style="195" customWidth="1"/>
    <col min="14837" max="14837" width="11.6640625" style="195" customWidth="1"/>
    <col min="14838" max="14838" width="10.6640625" style="195" customWidth="1"/>
    <col min="14839" max="14839" width="13.33203125" style="195" customWidth="1"/>
    <col min="14840" max="14840" width="8.5546875" style="195" customWidth="1"/>
    <col min="14841" max="14841" width="9.5546875" style="195" customWidth="1"/>
    <col min="14842" max="14842" width="11.88671875" style="195" customWidth="1"/>
    <col min="14843" max="14843" width="9.88671875" style="195" customWidth="1"/>
    <col min="14844" max="14844" width="13.109375" style="195" customWidth="1"/>
    <col min="14845" max="14845" width="9.109375" style="195"/>
    <col min="14846" max="14846" width="5.6640625" style="195" customWidth="1"/>
    <col min="14847" max="14847" width="10.33203125" style="195" customWidth="1"/>
    <col min="14848" max="14848" width="14.5546875" style="195" customWidth="1"/>
    <col min="14849" max="14849" width="13" style="195" customWidth="1"/>
    <col min="14850" max="14850" width="10.33203125" style="195" customWidth="1"/>
    <col min="14851" max="14851" width="11.6640625" style="195" customWidth="1"/>
    <col min="14852" max="14852" width="10.44140625" style="195" customWidth="1"/>
    <col min="14853" max="14853" width="13.88671875" style="195" customWidth="1"/>
    <col min="14854" max="14854" width="12.33203125" style="195" customWidth="1"/>
    <col min="14855" max="14855" width="13.33203125" style="195" customWidth="1"/>
    <col min="14856" max="14856" width="11.109375" style="195" customWidth="1"/>
    <col min="14857" max="15090" width="9.109375" style="195"/>
    <col min="15091" max="15091" width="4.6640625" style="195" customWidth="1"/>
    <col min="15092" max="15092" width="12" style="195" customWidth="1"/>
    <col min="15093" max="15093" width="11.6640625" style="195" customWidth="1"/>
    <col min="15094" max="15094" width="10.6640625" style="195" customWidth="1"/>
    <col min="15095" max="15095" width="13.33203125" style="195" customWidth="1"/>
    <col min="15096" max="15096" width="8.5546875" style="195" customWidth="1"/>
    <col min="15097" max="15097" width="9.5546875" style="195" customWidth="1"/>
    <col min="15098" max="15098" width="11.88671875" style="195" customWidth="1"/>
    <col min="15099" max="15099" width="9.88671875" style="195" customWidth="1"/>
    <col min="15100" max="15100" width="13.109375" style="195" customWidth="1"/>
    <col min="15101" max="15101" width="9.109375" style="195"/>
    <col min="15102" max="15102" width="5.6640625" style="195" customWidth="1"/>
    <col min="15103" max="15103" width="10.33203125" style="195" customWidth="1"/>
    <col min="15104" max="15104" width="14.5546875" style="195" customWidth="1"/>
    <col min="15105" max="15105" width="13" style="195" customWidth="1"/>
    <col min="15106" max="15106" width="10.33203125" style="195" customWidth="1"/>
    <col min="15107" max="15107" width="11.6640625" style="195" customWidth="1"/>
    <col min="15108" max="15108" width="10.44140625" style="195" customWidth="1"/>
    <col min="15109" max="15109" width="13.88671875" style="195" customWidth="1"/>
    <col min="15110" max="15110" width="12.33203125" style="195" customWidth="1"/>
    <col min="15111" max="15111" width="13.33203125" style="195" customWidth="1"/>
    <col min="15112" max="15112" width="11.109375" style="195" customWidth="1"/>
    <col min="15113" max="15346" width="9.109375" style="195"/>
    <col min="15347" max="15347" width="4.6640625" style="195" customWidth="1"/>
    <col min="15348" max="15348" width="12" style="195" customWidth="1"/>
    <col min="15349" max="15349" width="11.6640625" style="195" customWidth="1"/>
    <col min="15350" max="15350" width="10.6640625" style="195" customWidth="1"/>
    <col min="15351" max="15351" width="13.33203125" style="195" customWidth="1"/>
    <col min="15352" max="15352" width="8.5546875" style="195" customWidth="1"/>
    <col min="15353" max="15353" width="9.5546875" style="195" customWidth="1"/>
    <col min="15354" max="15354" width="11.88671875" style="195" customWidth="1"/>
    <col min="15355" max="15355" width="9.88671875" style="195" customWidth="1"/>
    <col min="15356" max="15356" width="13.109375" style="195" customWidth="1"/>
    <col min="15357" max="15357" width="9.109375" style="195"/>
    <col min="15358" max="15358" width="5.6640625" style="195" customWidth="1"/>
    <col min="15359" max="15359" width="10.33203125" style="195" customWidth="1"/>
    <col min="15360" max="15360" width="14.5546875" style="195" customWidth="1"/>
    <col min="15361" max="15361" width="13" style="195" customWidth="1"/>
    <col min="15362" max="15362" width="10.33203125" style="195" customWidth="1"/>
    <col min="15363" max="15363" width="11.6640625" style="195" customWidth="1"/>
    <col min="15364" max="15364" width="10.44140625" style="195" customWidth="1"/>
    <col min="15365" max="15365" width="13.88671875" style="195" customWidth="1"/>
    <col min="15366" max="15366" width="12.33203125" style="195" customWidth="1"/>
    <col min="15367" max="15367" width="13.33203125" style="195" customWidth="1"/>
    <col min="15368" max="15368" width="11.109375" style="195" customWidth="1"/>
    <col min="15369" max="15602" width="9.109375" style="195"/>
    <col min="15603" max="15603" width="4.6640625" style="195" customWidth="1"/>
    <col min="15604" max="15604" width="12" style="195" customWidth="1"/>
    <col min="15605" max="15605" width="11.6640625" style="195" customWidth="1"/>
    <col min="15606" max="15606" width="10.6640625" style="195" customWidth="1"/>
    <col min="15607" max="15607" width="13.33203125" style="195" customWidth="1"/>
    <col min="15608" max="15608" width="8.5546875" style="195" customWidth="1"/>
    <col min="15609" max="15609" width="9.5546875" style="195" customWidth="1"/>
    <col min="15610" max="15610" width="11.88671875" style="195" customWidth="1"/>
    <col min="15611" max="15611" width="9.88671875" style="195" customWidth="1"/>
    <col min="15612" max="15612" width="13.109375" style="195" customWidth="1"/>
    <col min="15613" max="15613" width="9.109375" style="195"/>
    <col min="15614" max="15614" width="5.6640625" style="195" customWidth="1"/>
    <col min="15615" max="15615" width="10.33203125" style="195" customWidth="1"/>
    <col min="15616" max="15616" width="14.5546875" style="195" customWidth="1"/>
    <col min="15617" max="15617" width="13" style="195" customWidth="1"/>
    <col min="15618" max="15618" width="10.33203125" style="195" customWidth="1"/>
    <col min="15619" max="15619" width="11.6640625" style="195" customWidth="1"/>
    <col min="15620" max="15620" width="10.44140625" style="195" customWidth="1"/>
    <col min="15621" max="15621" width="13.88671875" style="195" customWidth="1"/>
    <col min="15622" max="15622" width="12.33203125" style="195" customWidth="1"/>
    <col min="15623" max="15623" width="13.33203125" style="195" customWidth="1"/>
    <col min="15624" max="15624" width="11.109375" style="195" customWidth="1"/>
    <col min="15625" max="15858" width="9.109375" style="195"/>
    <col min="15859" max="15859" width="4.6640625" style="195" customWidth="1"/>
    <col min="15860" max="15860" width="12" style="195" customWidth="1"/>
    <col min="15861" max="15861" width="11.6640625" style="195" customWidth="1"/>
    <col min="15862" max="15862" width="10.6640625" style="195" customWidth="1"/>
    <col min="15863" max="15863" width="13.33203125" style="195" customWidth="1"/>
    <col min="15864" max="15864" width="8.5546875" style="195" customWidth="1"/>
    <col min="15865" max="15865" width="9.5546875" style="195" customWidth="1"/>
    <col min="15866" max="15866" width="11.88671875" style="195" customWidth="1"/>
    <col min="15867" max="15867" width="9.88671875" style="195" customWidth="1"/>
    <col min="15868" max="15868" width="13.109375" style="195" customWidth="1"/>
    <col min="15869" max="15869" width="9.109375" style="195"/>
    <col min="15870" max="15870" width="5.6640625" style="195" customWidth="1"/>
    <col min="15871" max="15871" width="10.33203125" style="195" customWidth="1"/>
    <col min="15872" max="15872" width="14.5546875" style="195" customWidth="1"/>
    <col min="15873" max="15873" width="13" style="195" customWidth="1"/>
    <col min="15874" max="15874" width="10.33203125" style="195" customWidth="1"/>
    <col min="15875" max="15875" width="11.6640625" style="195" customWidth="1"/>
    <col min="15876" max="15876" width="10.44140625" style="195" customWidth="1"/>
    <col min="15877" max="15877" width="13.88671875" style="195" customWidth="1"/>
    <col min="15878" max="15878" width="12.33203125" style="195" customWidth="1"/>
    <col min="15879" max="15879" width="13.33203125" style="195" customWidth="1"/>
    <col min="15880" max="15880" width="11.109375" style="195" customWidth="1"/>
    <col min="15881" max="16114" width="9.109375" style="195"/>
    <col min="16115" max="16115" width="4.6640625" style="195" customWidth="1"/>
    <col min="16116" max="16116" width="12" style="195" customWidth="1"/>
    <col min="16117" max="16117" width="11.6640625" style="195" customWidth="1"/>
    <col min="16118" max="16118" width="10.6640625" style="195" customWidth="1"/>
    <col min="16119" max="16119" width="13.33203125" style="195" customWidth="1"/>
    <col min="16120" max="16120" width="8.5546875" style="195" customWidth="1"/>
    <col min="16121" max="16121" width="9.5546875" style="195" customWidth="1"/>
    <col min="16122" max="16122" width="11.88671875" style="195" customWidth="1"/>
    <col min="16123" max="16123" width="9.88671875" style="195" customWidth="1"/>
    <col min="16124" max="16124" width="13.109375" style="195" customWidth="1"/>
    <col min="16125" max="16125" width="9.109375" style="195"/>
    <col min="16126" max="16126" width="5.6640625" style="195" customWidth="1"/>
    <col min="16127" max="16127" width="10.33203125" style="195" customWidth="1"/>
    <col min="16128" max="16128" width="14.5546875" style="195" customWidth="1"/>
    <col min="16129" max="16129" width="13" style="195" customWidth="1"/>
    <col min="16130" max="16130" width="10.33203125" style="195" customWidth="1"/>
    <col min="16131" max="16131" width="11.6640625" style="195" customWidth="1"/>
    <col min="16132" max="16132" width="10.44140625" style="195" customWidth="1"/>
    <col min="16133" max="16133" width="13.88671875" style="195" customWidth="1"/>
    <col min="16134" max="16134" width="12.33203125" style="195" customWidth="1"/>
    <col min="16135" max="16135" width="13.33203125" style="195" customWidth="1"/>
    <col min="16136" max="16136" width="11.109375" style="195" customWidth="1"/>
    <col min="16137" max="16384" width="9.109375" style="195"/>
  </cols>
  <sheetData>
    <row r="1" spans="1:12" ht="15.6">
      <c r="A1" s="196"/>
      <c r="B1" s="199"/>
      <c r="C1" s="196"/>
      <c r="D1" s="211"/>
      <c r="E1" s="199"/>
    </row>
    <row r="2" spans="1:12" s="270" customFormat="1" ht="17.25" customHeight="1">
      <c r="A2" s="552" t="s">
        <v>5</v>
      </c>
      <c r="B2" s="552"/>
      <c r="C2" s="552"/>
      <c r="D2" s="552"/>
      <c r="E2" s="552"/>
      <c r="F2" s="552"/>
      <c r="G2" s="552"/>
      <c r="H2" s="552"/>
      <c r="I2" s="552"/>
      <c r="J2" s="552"/>
      <c r="K2" s="552"/>
      <c r="L2" s="552"/>
    </row>
    <row r="3" spans="1:12" s="270" customFormat="1" ht="18">
      <c r="A3" s="553" t="s">
        <v>13240</v>
      </c>
      <c r="B3" s="553"/>
      <c r="C3" s="553"/>
      <c r="D3" s="553"/>
      <c r="E3" s="553"/>
      <c r="F3" s="553"/>
      <c r="G3" s="553"/>
      <c r="H3" s="553"/>
      <c r="I3" s="553"/>
      <c r="J3" s="553"/>
      <c r="K3" s="553"/>
      <c r="L3" s="553"/>
    </row>
    <row r="4" spans="1:12" s="270" customFormat="1" ht="18">
      <c r="A4" s="554"/>
      <c r="B4" s="554"/>
      <c r="C4" s="554"/>
      <c r="D4" s="554"/>
      <c r="E4" s="554"/>
      <c r="F4" s="554"/>
      <c r="G4" s="554"/>
      <c r="H4" s="554"/>
      <c r="I4" s="554"/>
      <c r="J4" s="554"/>
      <c r="K4" s="554"/>
      <c r="L4" s="554"/>
    </row>
    <row r="5" spans="1:12" ht="12.75" customHeight="1">
      <c r="A5" s="555" t="s">
        <v>7</v>
      </c>
      <c r="B5" s="551" t="s">
        <v>0</v>
      </c>
      <c r="C5" s="551" t="s">
        <v>8</v>
      </c>
      <c r="D5" s="551"/>
      <c r="E5" s="551" t="s">
        <v>447</v>
      </c>
      <c r="F5" s="551"/>
      <c r="G5" s="551"/>
      <c r="H5" s="551"/>
      <c r="I5" s="551"/>
      <c r="J5" s="551"/>
      <c r="K5" s="551"/>
      <c r="L5" s="551"/>
    </row>
    <row r="6" spans="1:12" ht="12.75" customHeight="1">
      <c r="A6" s="555"/>
      <c r="B6" s="551"/>
      <c r="C6" s="551" t="s">
        <v>9</v>
      </c>
      <c r="D6" s="551" t="s">
        <v>10</v>
      </c>
      <c r="E6" s="551" t="s">
        <v>443</v>
      </c>
      <c r="F6" s="551" t="s">
        <v>378</v>
      </c>
      <c r="G6" s="551" t="s">
        <v>1812</v>
      </c>
      <c r="H6" s="551" t="s">
        <v>444</v>
      </c>
      <c r="I6" s="551"/>
      <c r="J6" s="551" t="s">
        <v>377</v>
      </c>
      <c r="K6" s="551"/>
      <c r="L6" s="551"/>
    </row>
    <row r="7" spans="1:12" ht="82.5" customHeight="1">
      <c r="A7" s="555"/>
      <c r="B7" s="551"/>
      <c r="C7" s="551"/>
      <c r="D7" s="551"/>
      <c r="E7" s="551"/>
      <c r="F7" s="551"/>
      <c r="G7" s="551"/>
      <c r="H7" s="474" t="s">
        <v>445</v>
      </c>
      <c r="I7" s="474" t="s">
        <v>446</v>
      </c>
      <c r="J7" s="271" t="s">
        <v>1813</v>
      </c>
      <c r="K7" s="271" t="s">
        <v>11</v>
      </c>
      <c r="L7" s="271" t="s">
        <v>12</v>
      </c>
    </row>
    <row r="8" spans="1:12" ht="14.25" customHeight="1">
      <c r="A8" s="291">
        <v>1</v>
      </c>
      <c r="B8" s="290">
        <v>2</v>
      </c>
      <c r="C8" s="290">
        <v>3</v>
      </c>
      <c r="D8" s="290">
        <v>4</v>
      </c>
      <c r="E8" s="290">
        <v>5</v>
      </c>
      <c r="F8" s="290">
        <v>6</v>
      </c>
      <c r="G8" s="290">
        <v>7</v>
      </c>
      <c r="H8" s="474">
        <v>8</v>
      </c>
      <c r="I8" s="474">
        <v>9</v>
      </c>
      <c r="J8" s="280">
        <v>12</v>
      </c>
      <c r="K8" s="280">
        <v>13</v>
      </c>
      <c r="L8" s="280">
        <v>14</v>
      </c>
    </row>
    <row r="9" spans="1:12" s="197" customFormat="1" ht="26.4" customHeight="1">
      <c r="A9" s="566" t="s">
        <v>376</v>
      </c>
      <c r="B9" s="567"/>
      <c r="C9" s="567"/>
      <c r="D9" s="567"/>
      <c r="E9" s="567"/>
      <c r="F9" s="567"/>
      <c r="G9" s="567"/>
      <c r="H9" s="567"/>
      <c r="I9" s="567"/>
      <c r="J9" s="567"/>
      <c r="K9" s="567"/>
      <c r="L9" s="568"/>
    </row>
    <row r="10" spans="1:12" ht="26.4" customHeight="1">
      <c r="A10" s="207">
        <v>1</v>
      </c>
      <c r="B10" s="545" t="s">
        <v>13233</v>
      </c>
      <c r="C10" s="289" t="s">
        <v>2375</v>
      </c>
      <c r="D10" s="289" t="s">
        <v>1960</v>
      </c>
      <c r="E10" s="289" t="s">
        <v>954</v>
      </c>
      <c r="F10" s="218">
        <v>6</v>
      </c>
      <c r="G10" s="289">
        <v>2005</v>
      </c>
      <c r="H10" s="475" t="s">
        <v>1149</v>
      </c>
      <c r="I10" s="478">
        <v>2749</v>
      </c>
      <c r="J10" s="219">
        <v>225.5</v>
      </c>
      <c r="K10" s="219">
        <v>123.1</v>
      </c>
      <c r="L10" s="219">
        <f t="shared" ref="L10:L71" si="0">J10-K10</f>
        <v>102.4</v>
      </c>
    </row>
    <row r="11" spans="1:12" ht="26.4" customHeight="1">
      <c r="A11" s="207">
        <v>2</v>
      </c>
      <c r="B11" s="546"/>
      <c r="C11" s="289" t="s">
        <v>2375</v>
      </c>
      <c r="D11" s="289" t="s">
        <v>1960</v>
      </c>
      <c r="E11" s="289" t="s">
        <v>1134</v>
      </c>
      <c r="F11" s="218">
        <v>18</v>
      </c>
      <c r="G11" s="289">
        <v>1992</v>
      </c>
      <c r="H11" s="475" t="s">
        <v>1149</v>
      </c>
      <c r="I11" s="478">
        <v>121.2</v>
      </c>
      <c r="J11" s="219">
        <v>152.30000000000001</v>
      </c>
      <c r="K11" s="219">
        <v>83.7</v>
      </c>
      <c r="L11" s="219">
        <f t="shared" si="0"/>
        <v>68.600000000000009</v>
      </c>
    </row>
    <row r="12" spans="1:12" ht="26.4" customHeight="1">
      <c r="A12" s="207">
        <v>3</v>
      </c>
      <c r="B12" s="546"/>
      <c r="C12" s="289" t="s">
        <v>2375</v>
      </c>
      <c r="D12" s="289" t="s">
        <v>1960</v>
      </c>
      <c r="E12" s="289" t="s">
        <v>1133</v>
      </c>
      <c r="F12" s="218">
        <v>36</v>
      </c>
      <c r="G12" s="289">
        <v>1992</v>
      </c>
      <c r="H12" s="475" t="s">
        <v>1149</v>
      </c>
      <c r="I12" s="478">
        <v>72.900000000000006</v>
      </c>
      <c r="J12" s="219">
        <v>10.7</v>
      </c>
      <c r="K12" s="219">
        <v>1.5</v>
      </c>
      <c r="L12" s="219">
        <f t="shared" si="0"/>
        <v>9.1999999999999993</v>
      </c>
    </row>
    <row r="13" spans="1:12" ht="26.4" customHeight="1">
      <c r="A13" s="207">
        <v>4</v>
      </c>
      <c r="B13" s="546"/>
      <c r="C13" s="289" t="s">
        <v>2375</v>
      </c>
      <c r="D13" s="289" t="s">
        <v>1960</v>
      </c>
      <c r="E13" s="289" t="s">
        <v>623</v>
      </c>
      <c r="F13" s="218">
        <v>37</v>
      </c>
      <c r="G13" s="289">
        <v>1992</v>
      </c>
      <c r="H13" s="475" t="s">
        <v>1149</v>
      </c>
      <c r="I13" s="478">
        <v>99.1</v>
      </c>
      <c r="J13" s="219">
        <v>278.39999999999998</v>
      </c>
      <c r="K13" s="219">
        <v>270.10000000000002</v>
      </c>
      <c r="L13" s="219">
        <f t="shared" si="0"/>
        <v>8.2999999999999545</v>
      </c>
    </row>
    <row r="14" spans="1:12" ht="26.4" customHeight="1">
      <c r="A14" s="207">
        <v>5</v>
      </c>
      <c r="B14" s="546"/>
      <c r="C14" s="289" t="s">
        <v>2375</v>
      </c>
      <c r="D14" s="289" t="s">
        <v>1960</v>
      </c>
      <c r="E14" s="289" t="s">
        <v>1132</v>
      </c>
      <c r="F14" s="218">
        <v>38</v>
      </c>
      <c r="G14" s="289">
        <v>1992</v>
      </c>
      <c r="H14" s="475" t="s">
        <v>1149</v>
      </c>
      <c r="I14" s="478">
        <v>73.3</v>
      </c>
      <c r="J14" s="219">
        <v>146.5</v>
      </c>
      <c r="K14" s="219">
        <v>91.1</v>
      </c>
      <c r="L14" s="219">
        <f t="shared" si="0"/>
        <v>55.400000000000006</v>
      </c>
    </row>
    <row r="15" spans="1:12" ht="26.4" customHeight="1">
      <c r="A15" s="207">
        <v>6</v>
      </c>
      <c r="B15" s="546"/>
      <c r="C15" s="289" t="s">
        <v>2375</v>
      </c>
      <c r="D15" s="289" t="s">
        <v>1960</v>
      </c>
      <c r="E15" s="289" t="s">
        <v>1131</v>
      </c>
      <c r="F15" s="218">
        <v>39</v>
      </c>
      <c r="G15" s="289">
        <v>1992</v>
      </c>
      <c r="H15" s="475" t="s">
        <v>1149</v>
      </c>
      <c r="I15" s="478">
        <v>120.6</v>
      </c>
      <c r="J15" s="219">
        <v>106.2</v>
      </c>
      <c r="K15" s="219">
        <v>10.5</v>
      </c>
      <c r="L15" s="219">
        <f t="shared" si="0"/>
        <v>95.7</v>
      </c>
    </row>
    <row r="16" spans="1:12" ht="26.4" customHeight="1">
      <c r="A16" s="207">
        <v>7</v>
      </c>
      <c r="B16" s="546"/>
      <c r="C16" s="289" t="s">
        <v>2375</v>
      </c>
      <c r="D16" s="289" t="s">
        <v>1960</v>
      </c>
      <c r="E16" s="289" t="s">
        <v>1837</v>
      </c>
      <c r="F16" s="218">
        <v>44</v>
      </c>
      <c r="G16" s="289">
        <v>1998</v>
      </c>
      <c r="H16" s="475" t="s">
        <v>1149</v>
      </c>
      <c r="I16" s="478">
        <v>6.9</v>
      </c>
      <c r="J16" s="219">
        <v>25.5</v>
      </c>
      <c r="K16" s="219">
        <v>24.4</v>
      </c>
      <c r="L16" s="219">
        <f t="shared" si="0"/>
        <v>1.1000000000000014</v>
      </c>
    </row>
    <row r="17" spans="1:12" ht="26.4" customHeight="1">
      <c r="A17" s="207">
        <v>8</v>
      </c>
      <c r="B17" s="546"/>
      <c r="C17" s="289" t="s">
        <v>2375</v>
      </c>
      <c r="D17" s="289" t="s">
        <v>1960</v>
      </c>
      <c r="E17" s="289" t="s">
        <v>1130</v>
      </c>
      <c r="F17" s="218">
        <v>170</v>
      </c>
      <c r="G17" s="289">
        <v>1992</v>
      </c>
      <c r="H17" s="475" t="s">
        <v>1149</v>
      </c>
      <c r="I17" s="478">
        <v>44.7</v>
      </c>
      <c r="J17" s="219">
        <v>119.4</v>
      </c>
      <c r="K17" s="219">
        <v>119.3</v>
      </c>
      <c r="L17" s="219">
        <f t="shared" si="0"/>
        <v>0.10000000000000853</v>
      </c>
    </row>
    <row r="18" spans="1:12" ht="26.4" customHeight="1">
      <c r="A18" s="207">
        <v>9</v>
      </c>
      <c r="B18" s="546"/>
      <c r="C18" s="289" t="s">
        <v>2375</v>
      </c>
      <c r="D18" s="289" t="s">
        <v>1960</v>
      </c>
      <c r="E18" s="289" t="s">
        <v>1998</v>
      </c>
      <c r="F18" s="218">
        <v>171</v>
      </c>
      <c r="G18" s="289">
        <v>1992</v>
      </c>
      <c r="H18" s="475" t="s">
        <v>1149</v>
      </c>
      <c r="I18" s="478">
        <v>27.1</v>
      </c>
      <c r="J18" s="219">
        <v>310.5</v>
      </c>
      <c r="K18" s="219">
        <v>62.7</v>
      </c>
      <c r="L18" s="219">
        <f t="shared" si="0"/>
        <v>247.8</v>
      </c>
    </row>
    <row r="19" spans="1:12" ht="26.4" customHeight="1">
      <c r="A19" s="207">
        <v>10</v>
      </c>
      <c r="B19" s="546"/>
      <c r="C19" s="289" t="s">
        <v>2375</v>
      </c>
      <c r="D19" s="289" t="s">
        <v>1960</v>
      </c>
      <c r="E19" s="289" t="s">
        <v>1129</v>
      </c>
      <c r="F19" s="218">
        <v>176</v>
      </c>
      <c r="G19" s="289">
        <v>1992</v>
      </c>
      <c r="H19" s="475" t="s">
        <v>1149</v>
      </c>
      <c r="I19" s="478">
        <v>86.6</v>
      </c>
      <c r="J19" s="219">
        <v>842.2</v>
      </c>
      <c r="K19" s="219">
        <v>707.6</v>
      </c>
      <c r="L19" s="219">
        <f t="shared" si="0"/>
        <v>134.60000000000002</v>
      </c>
    </row>
    <row r="20" spans="1:12" ht="26.4" customHeight="1">
      <c r="A20" s="207">
        <v>11</v>
      </c>
      <c r="B20" s="546"/>
      <c r="C20" s="289" t="s">
        <v>2375</v>
      </c>
      <c r="D20" s="289" t="s">
        <v>1960</v>
      </c>
      <c r="E20" s="289" t="s">
        <v>1128</v>
      </c>
      <c r="F20" s="218">
        <v>177</v>
      </c>
      <c r="G20" s="289">
        <v>1992</v>
      </c>
      <c r="H20" s="475" t="s">
        <v>1149</v>
      </c>
      <c r="I20" s="478">
        <v>27.1</v>
      </c>
      <c r="J20" s="219">
        <v>75.3</v>
      </c>
      <c r="K20" s="219">
        <v>72.8</v>
      </c>
      <c r="L20" s="219">
        <f t="shared" si="0"/>
        <v>2.5</v>
      </c>
    </row>
    <row r="21" spans="1:12" ht="26.4" customHeight="1">
      <c r="A21" s="207">
        <v>12</v>
      </c>
      <c r="B21" s="546"/>
      <c r="C21" s="289" t="s">
        <v>2375</v>
      </c>
      <c r="D21" s="289" t="s">
        <v>1960</v>
      </c>
      <c r="E21" s="289" t="s">
        <v>1127</v>
      </c>
      <c r="F21" s="218">
        <v>182</v>
      </c>
      <c r="G21" s="289">
        <v>1992</v>
      </c>
      <c r="H21" s="475" t="s">
        <v>1149</v>
      </c>
      <c r="I21" s="478">
        <v>44.7</v>
      </c>
      <c r="J21" s="219">
        <v>32.4</v>
      </c>
      <c r="K21" s="219">
        <v>12.8</v>
      </c>
      <c r="L21" s="219">
        <f t="shared" si="0"/>
        <v>19.599999999999998</v>
      </c>
    </row>
    <row r="22" spans="1:12" ht="26.4" customHeight="1">
      <c r="A22" s="207">
        <v>13</v>
      </c>
      <c r="B22" s="546"/>
      <c r="C22" s="289" t="s">
        <v>2375</v>
      </c>
      <c r="D22" s="289" t="s">
        <v>1960</v>
      </c>
      <c r="E22" s="289" t="s">
        <v>1126</v>
      </c>
      <c r="F22" s="218">
        <v>186</v>
      </c>
      <c r="G22" s="289">
        <v>1992</v>
      </c>
      <c r="H22" s="475" t="s">
        <v>1149</v>
      </c>
      <c r="I22" s="478">
        <v>34</v>
      </c>
      <c r="J22" s="219">
        <v>107.9</v>
      </c>
      <c r="K22" s="219">
        <v>107.9</v>
      </c>
      <c r="L22" s="219">
        <f t="shared" si="0"/>
        <v>0</v>
      </c>
    </row>
    <row r="23" spans="1:12" ht="26.4" customHeight="1">
      <c r="A23" s="207">
        <v>14</v>
      </c>
      <c r="B23" s="546"/>
      <c r="C23" s="289" t="s">
        <v>2375</v>
      </c>
      <c r="D23" s="289" t="s">
        <v>1960</v>
      </c>
      <c r="E23" s="289" t="s">
        <v>1125</v>
      </c>
      <c r="F23" s="218">
        <v>187</v>
      </c>
      <c r="G23" s="289">
        <v>1992</v>
      </c>
      <c r="H23" s="475" t="s">
        <v>1149</v>
      </c>
      <c r="I23" s="478">
        <v>46.9</v>
      </c>
      <c r="J23" s="219">
        <v>158.5</v>
      </c>
      <c r="K23" s="219">
        <v>158.5</v>
      </c>
      <c r="L23" s="219">
        <f t="shared" si="0"/>
        <v>0</v>
      </c>
    </row>
    <row r="24" spans="1:12" ht="26.4" customHeight="1">
      <c r="A24" s="207">
        <v>15</v>
      </c>
      <c r="B24" s="546"/>
      <c r="C24" s="289" t="s">
        <v>2375</v>
      </c>
      <c r="D24" s="289" t="s">
        <v>1960</v>
      </c>
      <c r="E24" s="289" t="s">
        <v>1124</v>
      </c>
      <c r="F24" s="218">
        <v>188</v>
      </c>
      <c r="G24" s="289">
        <v>1992</v>
      </c>
      <c r="H24" s="475" t="s">
        <v>1149</v>
      </c>
      <c r="I24" s="478">
        <v>44.7</v>
      </c>
      <c r="J24" s="219">
        <v>152.30000000000001</v>
      </c>
      <c r="K24" s="219">
        <v>152.30000000000001</v>
      </c>
      <c r="L24" s="219">
        <f t="shared" si="0"/>
        <v>0</v>
      </c>
    </row>
    <row r="25" spans="1:12" ht="26.4" customHeight="1">
      <c r="A25" s="207">
        <v>16</v>
      </c>
      <c r="B25" s="546"/>
      <c r="C25" s="289" t="s">
        <v>2375</v>
      </c>
      <c r="D25" s="289" t="s">
        <v>1960</v>
      </c>
      <c r="E25" s="289" t="s">
        <v>1123</v>
      </c>
      <c r="F25" s="218">
        <v>189</v>
      </c>
      <c r="G25" s="289">
        <v>1992</v>
      </c>
      <c r="H25" s="475" t="s">
        <v>1149</v>
      </c>
      <c r="I25" s="478">
        <v>49.9</v>
      </c>
      <c r="J25" s="219">
        <v>167.1</v>
      </c>
      <c r="K25" s="219">
        <v>167.1</v>
      </c>
      <c r="L25" s="219">
        <f t="shared" si="0"/>
        <v>0</v>
      </c>
    </row>
    <row r="26" spans="1:12" ht="26.4" customHeight="1">
      <c r="A26" s="207">
        <v>17</v>
      </c>
      <c r="B26" s="546"/>
      <c r="C26" s="289" t="s">
        <v>2375</v>
      </c>
      <c r="D26" s="289" t="s">
        <v>1960</v>
      </c>
      <c r="E26" s="289" t="s">
        <v>1122</v>
      </c>
      <c r="F26" s="218">
        <v>190</v>
      </c>
      <c r="G26" s="289">
        <v>1992</v>
      </c>
      <c r="H26" s="475" t="s">
        <v>1149</v>
      </c>
      <c r="I26" s="478">
        <v>49.9</v>
      </c>
      <c r="J26" s="219">
        <v>167.1</v>
      </c>
      <c r="K26" s="219">
        <v>167.1</v>
      </c>
      <c r="L26" s="219">
        <f t="shared" si="0"/>
        <v>0</v>
      </c>
    </row>
    <row r="27" spans="1:12" ht="26.4" customHeight="1">
      <c r="A27" s="207">
        <v>18</v>
      </c>
      <c r="B27" s="546"/>
      <c r="C27" s="289" t="s">
        <v>2375</v>
      </c>
      <c r="D27" s="289" t="s">
        <v>1960</v>
      </c>
      <c r="E27" s="289" t="s">
        <v>1121</v>
      </c>
      <c r="F27" s="218">
        <v>191</v>
      </c>
      <c r="G27" s="289">
        <v>1992</v>
      </c>
      <c r="H27" s="475" t="s">
        <v>1149</v>
      </c>
      <c r="I27" s="478">
        <v>47.4</v>
      </c>
      <c r="J27" s="219">
        <v>47.8</v>
      </c>
      <c r="K27" s="219">
        <v>20.8</v>
      </c>
      <c r="L27" s="219">
        <f t="shared" si="0"/>
        <v>26.999999999999996</v>
      </c>
    </row>
    <row r="28" spans="1:12" ht="26.4" customHeight="1">
      <c r="A28" s="207">
        <v>19</v>
      </c>
      <c r="B28" s="546"/>
      <c r="C28" s="289" t="s">
        <v>2375</v>
      </c>
      <c r="D28" s="289" t="s">
        <v>1960</v>
      </c>
      <c r="E28" s="289" t="s">
        <v>1120</v>
      </c>
      <c r="F28" s="218">
        <v>192</v>
      </c>
      <c r="G28" s="289">
        <v>1992</v>
      </c>
      <c r="H28" s="475" t="s">
        <v>1149</v>
      </c>
      <c r="I28" s="478">
        <v>36</v>
      </c>
      <c r="J28" s="219">
        <v>47.3</v>
      </c>
      <c r="K28" s="219">
        <v>18.2</v>
      </c>
      <c r="L28" s="219">
        <f t="shared" si="0"/>
        <v>29.099999999999998</v>
      </c>
    </row>
    <row r="29" spans="1:12" ht="26.4" customHeight="1">
      <c r="A29" s="207">
        <v>20</v>
      </c>
      <c r="B29" s="546"/>
      <c r="C29" s="289" t="s">
        <v>2375</v>
      </c>
      <c r="D29" s="289" t="s">
        <v>1960</v>
      </c>
      <c r="E29" s="289" t="s">
        <v>1119</v>
      </c>
      <c r="F29" s="218">
        <v>194</v>
      </c>
      <c r="G29" s="289">
        <v>1992</v>
      </c>
      <c r="H29" s="475" t="s">
        <v>1149</v>
      </c>
      <c r="I29" s="478">
        <v>16.2</v>
      </c>
      <c r="J29" s="219">
        <v>14.5</v>
      </c>
      <c r="K29" s="219">
        <v>4.9000000000000004</v>
      </c>
      <c r="L29" s="219">
        <f t="shared" si="0"/>
        <v>9.6</v>
      </c>
    </row>
    <row r="30" spans="1:12" ht="26.4" customHeight="1">
      <c r="A30" s="207">
        <v>21</v>
      </c>
      <c r="B30" s="546"/>
      <c r="C30" s="289" t="s">
        <v>2375</v>
      </c>
      <c r="D30" s="289" t="s">
        <v>1960</v>
      </c>
      <c r="E30" s="289" t="s">
        <v>1118</v>
      </c>
      <c r="F30" s="218">
        <v>195</v>
      </c>
      <c r="G30" s="289">
        <v>1992</v>
      </c>
      <c r="H30" s="475" t="s">
        <v>1149</v>
      </c>
      <c r="I30" s="478">
        <v>16.2</v>
      </c>
      <c r="J30" s="219">
        <v>14.5</v>
      </c>
      <c r="K30" s="219">
        <v>4.9000000000000004</v>
      </c>
      <c r="L30" s="219">
        <f t="shared" si="0"/>
        <v>9.6</v>
      </c>
    </row>
    <row r="31" spans="1:12" ht="26.4" customHeight="1">
      <c r="A31" s="207">
        <v>22</v>
      </c>
      <c r="B31" s="546"/>
      <c r="C31" s="289" t="s">
        <v>2375</v>
      </c>
      <c r="D31" s="289" t="s">
        <v>1960</v>
      </c>
      <c r="E31" s="204" t="s">
        <v>2409</v>
      </c>
      <c r="F31" s="218">
        <v>196</v>
      </c>
      <c r="G31" s="289">
        <v>1992</v>
      </c>
      <c r="H31" s="475" t="s">
        <v>1149</v>
      </c>
      <c r="I31" s="478">
        <v>16.2</v>
      </c>
      <c r="J31" s="219">
        <v>13.5</v>
      </c>
      <c r="K31" s="219">
        <v>4.7</v>
      </c>
      <c r="L31" s="219">
        <f t="shared" si="0"/>
        <v>8.8000000000000007</v>
      </c>
    </row>
    <row r="32" spans="1:12" ht="26.4" customHeight="1">
      <c r="A32" s="207">
        <v>23</v>
      </c>
      <c r="B32" s="546"/>
      <c r="C32" s="289" t="s">
        <v>2375</v>
      </c>
      <c r="D32" s="289" t="s">
        <v>1960</v>
      </c>
      <c r="E32" s="289" t="s">
        <v>1117</v>
      </c>
      <c r="F32" s="218">
        <v>197</v>
      </c>
      <c r="G32" s="289">
        <v>1992</v>
      </c>
      <c r="H32" s="475" t="s">
        <v>1149</v>
      </c>
      <c r="I32" s="478">
        <v>16.2</v>
      </c>
      <c r="J32" s="219">
        <v>14.5</v>
      </c>
      <c r="K32" s="219">
        <v>4.9000000000000004</v>
      </c>
      <c r="L32" s="219">
        <f t="shared" si="0"/>
        <v>9.6</v>
      </c>
    </row>
    <row r="33" spans="1:12" ht="26.4" customHeight="1">
      <c r="A33" s="207">
        <v>24</v>
      </c>
      <c r="B33" s="546"/>
      <c r="C33" s="289" t="s">
        <v>2375</v>
      </c>
      <c r="D33" s="289" t="s">
        <v>1960</v>
      </c>
      <c r="E33" s="289" t="s">
        <v>1116</v>
      </c>
      <c r="F33" s="218">
        <v>198</v>
      </c>
      <c r="G33" s="289">
        <v>1992</v>
      </c>
      <c r="H33" s="475" t="s">
        <v>1149</v>
      </c>
      <c r="I33" s="478">
        <v>16.2</v>
      </c>
      <c r="J33" s="219">
        <v>14.5</v>
      </c>
      <c r="K33" s="219">
        <v>4.9000000000000004</v>
      </c>
      <c r="L33" s="219">
        <f t="shared" si="0"/>
        <v>9.6</v>
      </c>
    </row>
    <row r="34" spans="1:12" ht="26.4" customHeight="1">
      <c r="A34" s="207">
        <v>25</v>
      </c>
      <c r="B34" s="546"/>
      <c r="C34" s="289" t="s">
        <v>2375</v>
      </c>
      <c r="D34" s="289" t="s">
        <v>1960</v>
      </c>
      <c r="E34" s="289" t="s">
        <v>1115</v>
      </c>
      <c r="F34" s="218">
        <v>202</v>
      </c>
      <c r="G34" s="289">
        <v>1992</v>
      </c>
      <c r="H34" s="475" t="s">
        <v>1149</v>
      </c>
      <c r="I34" s="478">
        <v>15</v>
      </c>
      <c r="J34" s="219">
        <v>0.1</v>
      </c>
      <c r="K34" s="219">
        <v>0.1</v>
      </c>
      <c r="L34" s="219">
        <f t="shared" si="0"/>
        <v>0</v>
      </c>
    </row>
    <row r="35" spans="1:12" ht="26.4" customHeight="1">
      <c r="A35" s="207">
        <v>26</v>
      </c>
      <c r="B35" s="546"/>
      <c r="C35" s="289" t="s">
        <v>1154</v>
      </c>
      <c r="D35" s="289" t="s">
        <v>1350</v>
      </c>
      <c r="E35" s="289" t="s">
        <v>1114</v>
      </c>
      <c r="F35" s="218">
        <v>485</v>
      </c>
      <c r="G35" s="289">
        <v>2015</v>
      </c>
      <c r="H35" s="475" t="s">
        <v>1149</v>
      </c>
      <c r="I35" s="478">
        <v>20</v>
      </c>
      <c r="J35" s="219">
        <v>49.2</v>
      </c>
      <c r="K35" s="219">
        <v>5.9</v>
      </c>
      <c r="L35" s="219">
        <f t="shared" si="0"/>
        <v>43.300000000000004</v>
      </c>
    </row>
    <row r="36" spans="1:12" ht="26.4" customHeight="1">
      <c r="A36" s="207">
        <v>27</v>
      </c>
      <c r="B36" s="546"/>
      <c r="C36" s="289" t="s">
        <v>2376</v>
      </c>
      <c r="D36" s="289" t="s">
        <v>1351</v>
      </c>
      <c r="E36" s="289" t="s">
        <v>1113</v>
      </c>
      <c r="F36" s="218">
        <v>486</v>
      </c>
      <c r="G36" s="289">
        <v>2015</v>
      </c>
      <c r="H36" s="475" t="s">
        <v>1149</v>
      </c>
      <c r="I36" s="478">
        <v>175</v>
      </c>
      <c r="J36" s="219">
        <v>468.7</v>
      </c>
      <c r="K36" s="219">
        <v>80.900000000000006</v>
      </c>
      <c r="L36" s="219">
        <f t="shared" si="0"/>
        <v>387.79999999999995</v>
      </c>
    </row>
    <row r="37" spans="1:12" ht="26.4" customHeight="1">
      <c r="A37" s="207">
        <v>28</v>
      </c>
      <c r="B37" s="546"/>
      <c r="C37" s="289" t="s">
        <v>2376</v>
      </c>
      <c r="D37" s="289" t="s">
        <v>1351</v>
      </c>
      <c r="E37" s="289" t="s">
        <v>1155</v>
      </c>
      <c r="F37" s="218">
        <v>488</v>
      </c>
      <c r="G37" s="289">
        <v>2015</v>
      </c>
      <c r="H37" s="475" t="s">
        <v>1149</v>
      </c>
      <c r="I37" s="478">
        <v>2.25</v>
      </c>
      <c r="J37" s="219">
        <v>21.8</v>
      </c>
      <c r="K37" s="219">
        <v>5.5</v>
      </c>
      <c r="L37" s="219">
        <f t="shared" si="0"/>
        <v>16.3</v>
      </c>
    </row>
    <row r="38" spans="1:12" ht="26.4" customHeight="1">
      <c r="A38" s="207">
        <v>29</v>
      </c>
      <c r="B38" s="546"/>
      <c r="C38" s="289" t="s">
        <v>2376</v>
      </c>
      <c r="D38" s="289" t="s">
        <v>1351</v>
      </c>
      <c r="E38" s="289" t="s">
        <v>1155</v>
      </c>
      <c r="F38" s="218">
        <v>489</v>
      </c>
      <c r="G38" s="289">
        <v>2015</v>
      </c>
      <c r="H38" s="475" t="s">
        <v>1149</v>
      </c>
      <c r="I38" s="478">
        <v>2.25</v>
      </c>
      <c r="J38" s="219">
        <v>21.8</v>
      </c>
      <c r="K38" s="219">
        <v>5.5</v>
      </c>
      <c r="L38" s="219">
        <f t="shared" si="0"/>
        <v>16.3</v>
      </c>
    </row>
    <row r="39" spans="1:12" ht="26.4" customHeight="1">
      <c r="A39" s="207">
        <v>30</v>
      </c>
      <c r="B39" s="546"/>
      <c r="C39" s="289" t="s">
        <v>2376</v>
      </c>
      <c r="D39" s="289" t="s">
        <v>1351</v>
      </c>
      <c r="E39" s="289" t="s">
        <v>1155</v>
      </c>
      <c r="F39" s="218">
        <v>490</v>
      </c>
      <c r="G39" s="289">
        <v>2015</v>
      </c>
      <c r="H39" s="475" t="s">
        <v>1149</v>
      </c>
      <c r="I39" s="478">
        <v>2.25</v>
      </c>
      <c r="J39" s="219">
        <v>21.8</v>
      </c>
      <c r="K39" s="219">
        <v>5.5</v>
      </c>
      <c r="L39" s="219">
        <f t="shared" si="0"/>
        <v>16.3</v>
      </c>
    </row>
    <row r="40" spans="1:12" ht="26.4" customHeight="1">
      <c r="A40" s="207">
        <v>31</v>
      </c>
      <c r="B40" s="546"/>
      <c r="C40" s="289" t="s">
        <v>2376</v>
      </c>
      <c r="D40" s="289" t="s">
        <v>1351</v>
      </c>
      <c r="E40" s="289" t="s">
        <v>1155</v>
      </c>
      <c r="F40" s="218">
        <v>491</v>
      </c>
      <c r="G40" s="289">
        <v>2015</v>
      </c>
      <c r="H40" s="475" t="s">
        <v>1149</v>
      </c>
      <c r="I40" s="478">
        <v>2.25</v>
      </c>
      <c r="J40" s="219">
        <v>21.8</v>
      </c>
      <c r="K40" s="219">
        <v>5.5</v>
      </c>
      <c r="L40" s="219">
        <f t="shared" si="0"/>
        <v>16.3</v>
      </c>
    </row>
    <row r="41" spans="1:12" ht="26.4" customHeight="1">
      <c r="A41" s="207">
        <v>32</v>
      </c>
      <c r="B41" s="546"/>
      <c r="C41" s="289" t="s">
        <v>1154</v>
      </c>
      <c r="D41" s="289" t="s">
        <v>1350</v>
      </c>
      <c r="E41" s="289" t="s">
        <v>1112</v>
      </c>
      <c r="F41" s="218">
        <v>673</v>
      </c>
      <c r="G41" s="289">
        <v>2016</v>
      </c>
      <c r="H41" s="475" t="s">
        <v>1149</v>
      </c>
      <c r="I41" s="478">
        <v>226</v>
      </c>
      <c r="J41" s="219">
        <v>21.8</v>
      </c>
      <c r="K41" s="219">
        <v>1.3</v>
      </c>
      <c r="L41" s="219">
        <f t="shared" si="0"/>
        <v>20.5</v>
      </c>
    </row>
    <row r="42" spans="1:12" ht="26.4" customHeight="1">
      <c r="A42" s="207">
        <v>33</v>
      </c>
      <c r="B42" s="546"/>
      <c r="C42" s="289" t="s">
        <v>2377</v>
      </c>
      <c r="D42" s="289" t="s">
        <v>1960</v>
      </c>
      <c r="E42" s="289" t="s">
        <v>1111</v>
      </c>
      <c r="F42" s="218">
        <v>674</v>
      </c>
      <c r="G42" s="289">
        <v>2016</v>
      </c>
      <c r="H42" s="475" t="s">
        <v>1149</v>
      </c>
      <c r="I42" s="478">
        <v>1000</v>
      </c>
      <c r="J42" s="219">
        <v>30.4</v>
      </c>
      <c r="K42" s="219">
        <v>2.4</v>
      </c>
      <c r="L42" s="219">
        <f t="shared" si="0"/>
        <v>28</v>
      </c>
    </row>
    <row r="43" spans="1:12" ht="26.4" customHeight="1">
      <c r="A43" s="207">
        <v>34</v>
      </c>
      <c r="B43" s="546"/>
      <c r="C43" s="289" t="s">
        <v>2377</v>
      </c>
      <c r="D43" s="289" t="s">
        <v>1960</v>
      </c>
      <c r="E43" s="289" t="s">
        <v>1110</v>
      </c>
      <c r="F43" s="218">
        <v>675</v>
      </c>
      <c r="G43" s="289">
        <v>2016</v>
      </c>
      <c r="H43" s="475" t="s">
        <v>1149</v>
      </c>
      <c r="I43" s="478">
        <v>1000</v>
      </c>
      <c r="J43" s="219">
        <v>33.799999999999997</v>
      </c>
      <c r="K43" s="219">
        <v>2.6</v>
      </c>
      <c r="L43" s="219">
        <f t="shared" si="0"/>
        <v>31.199999999999996</v>
      </c>
    </row>
    <row r="44" spans="1:12" ht="26.4" customHeight="1">
      <c r="A44" s="207">
        <v>35</v>
      </c>
      <c r="B44" s="546"/>
      <c r="C44" s="289" t="s">
        <v>1154</v>
      </c>
      <c r="D44" s="289" t="s">
        <v>1350</v>
      </c>
      <c r="E44" s="289" t="s">
        <v>1109</v>
      </c>
      <c r="F44" s="218">
        <v>679</v>
      </c>
      <c r="G44" s="289">
        <v>2016</v>
      </c>
      <c r="H44" s="475" t="s">
        <v>1149</v>
      </c>
      <c r="I44" s="478">
        <v>6</v>
      </c>
      <c r="J44" s="219">
        <v>27.5</v>
      </c>
      <c r="K44" s="219">
        <v>2</v>
      </c>
      <c r="L44" s="219">
        <f t="shared" si="0"/>
        <v>25.5</v>
      </c>
    </row>
    <row r="45" spans="1:12" ht="26.4" customHeight="1">
      <c r="A45" s="207">
        <v>36</v>
      </c>
      <c r="B45" s="546"/>
      <c r="C45" s="289" t="s">
        <v>2376</v>
      </c>
      <c r="D45" s="289" t="s">
        <v>1960</v>
      </c>
      <c r="E45" s="289" t="s">
        <v>1108</v>
      </c>
      <c r="F45" s="218">
        <v>680</v>
      </c>
      <c r="G45" s="289">
        <v>2016</v>
      </c>
      <c r="H45" s="475" t="s">
        <v>1149</v>
      </c>
      <c r="I45" s="478">
        <v>7.9</v>
      </c>
      <c r="J45" s="219">
        <v>1.3</v>
      </c>
      <c r="K45" s="219">
        <v>0.1</v>
      </c>
      <c r="L45" s="219">
        <f t="shared" si="0"/>
        <v>1.2</v>
      </c>
    </row>
    <row r="46" spans="1:12" ht="26.4" customHeight="1">
      <c r="A46" s="207">
        <v>37</v>
      </c>
      <c r="B46" s="546"/>
      <c r="C46" s="289" t="s">
        <v>2376</v>
      </c>
      <c r="D46" s="289" t="s">
        <v>1960</v>
      </c>
      <c r="E46" s="289" t="s">
        <v>1107</v>
      </c>
      <c r="F46" s="218">
        <v>682</v>
      </c>
      <c r="G46" s="289">
        <v>2016</v>
      </c>
      <c r="H46" s="475" t="s">
        <v>1149</v>
      </c>
      <c r="I46" s="478">
        <v>8.1</v>
      </c>
      <c r="J46" s="219">
        <v>1.3</v>
      </c>
      <c r="K46" s="219">
        <v>0.1</v>
      </c>
      <c r="L46" s="219">
        <f t="shared" si="0"/>
        <v>1.2</v>
      </c>
    </row>
    <row r="47" spans="1:12" ht="26.4" customHeight="1">
      <c r="A47" s="207">
        <v>38</v>
      </c>
      <c r="B47" s="546"/>
      <c r="C47" s="289" t="s">
        <v>2376</v>
      </c>
      <c r="D47" s="289" t="s">
        <v>1960</v>
      </c>
      <c r="E47" s="289" t="s">
        <v>1106</v>
      </c>
      <c r="F47" s="218">
        <v>683</v>
      </c>
      <c r="G47" s="289">
        <v>2016</v>
      </c>
      <c r="H47" s="475" t="s">
        <v>1149</v>
      </c>
      <c r="I47" s="478">
        <v>13</v>
      </c>
      <c r="J47" s="219">
        <v>2</v>
      </c>
      <c r="K47" s="219">
        <v>0.2</v>
      </c>
      <c r="L47" s="219">
        <f t="shared" si="0"/>
        <v>1.8</v>
      </c>
    </row>
    <row r="48" spans="1:12" ht="26.4" customHeight="1">
      <c r="A48" s="207">
        <v>39</v>
      </c>
      <c r="B48" s="546"/>
      <c r="C48" s="289" t="s">
        <v>1154</v>
      </c>
      <c r="D48" s="289" t="s">
        <v>1350</v>
      </c>
      <c r="E48" s="289" t="s">
        <v>1105</v>
      </c>
      <c r="F48" s="218">
        <v>684</v>
      </c>
      <c r="G48" s="289">
        <v>2016</v>
      </c>
      <c r="H48" s="475" t="s">
        <v>1149</v>
      </c>
      <c r="I48" s="478">
        <v>1000</v>
      </c>
      <c r="J48" s="219">
        <v>53</v>
      </c>
      <c r="K48" s="219">
        <v>3.8</v>
      </c>
      <c r="L48" s="219">
        <f t="shared" si="0"/>
        <v>49.2</v>
      </c>
    </row>
    <row r="49" spans="1:12" ht="26.4" customHeight="1">
      <c r="A49" s="207">
        <v>40</v>
      </c>
      <c r="B49" s="546"/>
      <c r="C49" s="289" t="s">
        <v>2377</v>
      </c>
      <c r="D49" s="289" t="s">
        <v>1960</v>
      </c>
      <c r="E49" s="289" t="s">
        <v>1104</v>
      </c>
      <c r="F49" s="218">
        <v>685</v>
      </c>
      <c r="G49" s="289">
        <v>2016</v>
      </c>
      <c r="H49" s="475" t="s">
        <v>1149</v>
      </c>
      <c r="I49" s="478">
        <v>106.5</v>
      </c>
      <c r="J49" s="219">
        <v>140</v>
      </c>
      <c r="K49" s="219">
        <v>10.9</v>
      </c>
      <c r="L49" s="219">
        <f t="shared" si="0"/>
        <v>129.1</v>
      </c>
    </row>
    <row r="50" spans="1:12" ht="26.4" customHeight="1">
      <c r="A50" s="207">
        <v>41</v>
      </c>
      <c r="B50" s="546"/>
      <c r="C50" s="289" t="s">
        <v>2377</v>
      </c>
      <c r="D50" s="289" t="s">
        <v>1960</v>
      </c>
      <c r="E50" s="289" t="s">
        <v>1103</v>
      </c>
      <c r="F50" s="218">
        <v>838</v>
      </c>
      <c r="G50" s="289">
        <v>1997</v>
      </c>
      <c r="H50" s="475" t="s">
        <v>1149</v>
      </c>
      <c r="I50" s="478">
        <v>20</v>
      </c>
      <c r="J50" s="219">
        <v>10.1</v>
      </c>
      <c r="K50" s="219">
        <v>2.8</v>
      </c>
      <c r="L50" s="219">
        <f t="shared" si="0"/>
        <v>7.3</v>
      </c>
    </row>
    <row r="51" spans="1:12" ht="26.4" customHeight="1">
      <c r="A51" s="207">
        <v>42</v>
      </c>
      <c r="B51" s="546"/>
      <c r="C51" s="289" t="s">
        <v>2377</v>
      </c>
      <c r="D51" s="289" t="s">
        <v>1960</v>
      </c>
      <c r="E51" s="289" t="s">
        <v>627</v>
      </c>
      <c r="F51" s="218">
        <v>839</v>
      </c>
      <c r="G51" s="289">
        <v>1997</v>
      </c>
      <c r="H51" s="475" t="s">
        <v>1149</v>
      </c>
      <c r="I51" s="478">
        <v>25.3</v>
      </c>
      <c r="J51" s="219">
        <v>43.7</v>
      </c>
      <c r="K51" s="219">
        <v>36.799999999999997</v>
      </c>
      <c r="L51" s="219">
        <f t="shared" si="0"/>
        <v>6.9000000000000057</v>
      </c>
    </row>
    <row r="52" spans="1:12" ht="26.4" customHeight="1">
      <c r="A52" s="207">
        <v>43</v>
      </c>
      <c r="B52" s="546"/>
      <c r="C52" s="289" t="s">
        <v>2377</v>
      </c>
      <c r="D52" s="289" t="s">
        <v>1960</v>
      </c>
      <c r="E52" s="289" t="s">
        <v>648</v>
      </c>
      <c r="F52" s="218">
        <v>936</v>
      </c>
      <c r="G52" s="289">
        <v>2000</v>
      </c>
      <c r="H52" s="475" t="s">
        <v>1149</v>
      </c>
      <c r="I52" s="478">
        <v>1</v>
      </c>
      <c r="J52" s="219">
        <v>86.9</v>
      </c>
      <c r="K52" s="219">
        <v>53.7</v>
      </c>
      <c r="L52" s="219">
        <f t="shared" si="0"/>
        <v>33.200000000000003</v>
      </c>
    </row>
    <row r="53" spans="1:12" ht="26.4" customHeight="1">
      <c r="A53" s="207">
        <v>44</v>
      </c>
      <c r="B53" s="546"/>
      <c r="C53" s="289" t="s">
        <v>2377</v>
      </c>
      <c r="D53" s="289" t="s">
        <v>1960</v>
      </c>
      <c r="E53" s="289" t="s">
        <v>2410</v>
      </c>
      <c r="F53" s="218">
        <v>1043</v>
      </c>
      <c r="G53" s="289">
        <v>1993</v>
      </c>
      <c r="H53" s="475" t="s">
        <v>1149</v>
      </c>
      <c r="I53" s="478">
        <v>8</v>
      </c>
      <c r="J53" s="219">
        <v>20.8</v>
      </c>
      <c r="K53" s="219">
        <v>13.2</v>
      </c>
      <c r="L53" s="219">
        <f t="shared" si="0"/>
        <v>7.6000000000000014</v>
      </c>
    </row>
    <row r="54" spans="1:12" ht="26.4" customHeight="1">
      <c r="A54" s="207">
        <v>45</v>
      </c>
      <c r="B54" s="546"/>
      <c r="C54" s="289" t="s">
        <v>2377</v>
      </c>
      <c r="D54" s="289" t="s">
        <v>1960</v>
      </c>
      <c r="E54" s="289" t="s">
        <v>2411</v>
      </c>
      <c r="F54" s="218">
        <v>1044</v>
      </c>
      <c r="G54" s="289">
        <v>1993</v>
      </c>
      <c r="H54" s="475" t="s">
        <v>1149</v>
      </c>
      <c r="I54" s="478">
        <v>6</v>
      </c>
      <c r="J54" s="219">
        <v>57.3</v>
      </c>
      <c r="K54" s="219">
        <v>28.5</v>
      </c>
      <c r="L54" s="219">
        <f t="shared" si="0"/>
        <v>28.799999999999997</v>
      </c>
    </row>
    <row r="55" spans="1:12" ht="26.4" customHeight="1">
      <c r="A55" s="207">
        <v>46</v>
      </c>
      <c r="B55" s="546"/>
      <c r="C55" s="289" t="s">
        <v>2377</v>
      </c>
      <c r="D55" s="289" t="s">
        <v>1960</v>
      </c>
      <c r="E55" s="289" t="s">
        <v>1102</v>
      </c>
      <c r="F55" s="218">
        <v>1045</v>
      </c>
      <c r="G55" s="289">
        <v>1997</v>
      </c>
      <c r="H55" s="475" t="s">
        <v>1149</v>
      </c>
      <c r="I55" s="478">
        <v>7.3</v>
      </c>
      <c r="J55" s="219">
        <v>20.5</v>
      </c>
      <c r="K55" s="219">
        <v>12.3</v>
      </c>
      <c r="L55" s="219">
        <f t="shared" si="0"/>
        <v>8.1999999999999993</v>
      </c>
    </row>
    <row r="56" spans="1:12" ht="26.4" customHeight="1">
      <c r="A56" s="207">
        <v>47</v>
      </c>
      <c r="B56" s="546"/>
      <c r="C56" s="289" t="s">
        <v>2377</v>
      </c>
      <c r="D56" s="289" t="s">
        <v>1960</v>
      </c>
      <c r="E56" s="289" t="s">
        <v>1101</v>
      </c>
      <c r="F56" s="218">
        <v>5131</v>
      </c>
      <c r="G56" s="289">
        <v>1992</v>
      </c>
      <c r="H56" s="475" t="s">
        <v>1149</v>
      </c>
      <c r="I56" s="478">
        <v>44.7</v>
      </c>
      <c r="J56" s="219">
        <v>420.6</v>
      </c>
      <c r="K56" s="219">
        <v>219.2</v>
      </c>
      <c r="L56" s="219">
        <f t="shared" si="0"/>
        <v>201.40000000000003</v>
      </c>
    </row>
    <row r="57" spans="1:12" ht="26.4" customHeight="1">
      <c r="A57" s="207">
        <v>48</v>
      </c>
      <c r="B57" s="546"/>
      <c r="C57" s="289" t="s">
        <v>2377</v>
      </c>
      <c r="D57" s="289" t="s">
        <v>1960</v>
      </c>
      <c r="E57" s="289" t="s">
        <v>1156</v>
      </c>
      <c r="F57" s="218">
        <v>5132</v>
      </c>
      <c r="G57" s="289">
        <v>1992</v>
      </c>
      <c r="H57" s="475" t="s">
        <v>1149</v>
      </c>
      <c r="I57" s="478">
        <v>25.8</v>
      </c>
      <c r="J57" s="219">
        <v>32.9</v>
      </c>
      <c r="K57" s="219">
        <v>23.4</v>
      </c>
      <c r="L57" s="219">
        <f t="shared" si="0"/>
        <v>9.5</v>
      </c>
    </row>
    <row r="58" spans="1:12" ht="26.4" customHeight="1">
      <c r="A58" s="207">
        <v>49</v>
      </c>
      <c r="B58" s="546"/>
      <c r="C58" s="289" t="s">
        <v>2377</v>
      </c>
      <c r="D58" s="289" t="s">
        <v>1960</v>
      </c>
      <c r="E58" s="289" t="s">
        <v>1100</v>
      </c>
      <c r="F58" s="218">
        <v>5134</v>
      </c>
      <c r="G58" s="289">
        <v>1992</v>
      </c>
      <c r="H58" s="475" t="s">
        <v>1149</v>
      </c>
      <c r="I58" s="478">
        <v>42.4</v>
      </c>
      <c r="J58" s="219">
        <v>57.7</v>
      </c>
      <c r="K58" s="219">
        <v>27.4</v>
      </c>
      <c r="L58" s="219">
        <f t="shared" si="0"/>
        <v>30.300000000000004</v>
      </c>
    </row>
    <row r="59" spans="1:12" ht="26.4" customHeight="1">
      <c r="A59" s="207">
        <v>50</v>
      </c>
      <c r="B59" s="546"/>
      <c r="C59" s="289" t="s">
        <v>2377</v>
      </c>
      <c r="D59" s="289" t="s">
        <v>1960</v>
      </c>
      <c r="E59" s="289" t="s">
        <v>1099</v>
      </c>
      <c r="F59" s="218">
        <v>5136</v>
      </c>
      <c r="G59" s="289">
        <v>1992</v>
      </c>
      <c r="H59" s="475" t="s">
        <v>1149</v>
      </c>
      <c r="I59" s="478">
        <v>45.6</v>
      </c>
      <c r="J59" s="219">
        <v>43.2</v>
      </c>
      <c r="K59" s="219">
        <v>25.5</v>
      </c>
      <c r="L59" s="219">
        <f t="shared" si="0"/>
        <v>17.700000000000003</v>
      </c>
    </row>
    <row r="60" spans="1:12" ht="26.4" customHeight="1">
      <c r="A60" s="207">
        <v>51</v>
      </c>
      <c r="B60" s="546"/>
      <c r="C60" s="289" t="s">
        <v>2377</v>
      </c>
      <c r="D60" s="289" t="s">
        <v>1960</v>
      </c>
      <c r="E60" s="289" t="s">
        <v>1098</v>
      </c>
      <c r="F60" s="218">
        <v>5138</v>
      </c>
      <c r="G60" s="289">
        <v>1992</v>
      </c>
      <c r="H60" s="475" t="s">
        <v>1149</v>
      </c>
      <c r="I60" s="478">
        <v>44.7</v>
      </c>
      <c r="J60" s="219">
        <v>292.89999999999998</v>
      </c>
      <c r="K60" s="219">
        <v>66.7</v>
      </c>
      <c r="L60" s="219">
        <f t="shared" si="0"/>
        <v>226.2</v>
      </c>
    </row>
    <row r="61" spans="1:12" ht="26.4" customHeight="1">
      <c r="A61" s="207">
        <v>52</v>
      </c>
      <c r="B61" s="546"/>
      <c r="C61" s="289" t="s">
        <v>2377</v>
      </c>
      <c r="D61" s="289" t="s">
        <v>1960</v>
      </c>
      <c r="E61" s="289" t="s">
        <v>1097</v>
      </c>
      <c r="F61" s="218">
        <v>5140</v>
      </c>
      <c r="G61" s="289">
        <v>1992</v>
      </c>
      <c r="H61" s="475" t="s">
        <v>1149</v>
      </c>
      <c r="I61" s="478">
        <v>44.7</v>
      </c>
      <c r="J61" s="219">
        <v>42.9</v>
      </c>
      <c r="K61" s="219">
        <v>25</v>
      </c>
      <c r="L61" s="219">
        <f t="shared" si="0"/>
        <v>17.899999999999999</v>
      </c>
    </row>
    <row r="62" spans="1:12" ht="26.4" customHeight="1">
      <c r="A62" s="207">
        <v>53</v>
      </c>
      <c r="B62" s="546"/>
      <c r="C62" s="289" t="s">
        <v>2377</v>
      </c>
      <c r="D62" s="289" t="s">
        <v>1960</v>
      </c>
      <c r="E62" s="289" t="s">
        <v>1096</v>
      </c>
      <c r="F62" s="218">
        <v>5142</v>
      </c>
      <c r="G62" s="289">
        <v>1992</v>
      </c>
      <c r="H62" s="475" t="s">
        <v>1149</v>
      </c>
      <c r="I62" s="478">
        <v>42.6</v>
      </c>
      <c r="J62" s="219">
        <v>42</v>
      </c>
      <c r="K62" s="219">
        <v>24.1</v>
      </c>
      <c r="L62" s="219">
        <f t="shared" si="0"/>
        <v>17.899999999999999</v>
      </c>
    </row>
    <row r="63" spans="1:12" ht="26.4" customHeight="1">
      <c r="A63" s="207">
        <v>54</v>
      </c>
      <c r="B63" s="546"/>
      <c r="C63" s="289" t="s">
        <v>2377</v>
      </c>
      <c r="D63" s="289" t="s">
        <v>1960</v>
      </c>
      <c r="E63" s="289" t="s">
        <v>1095</v>
      </c>
      <c r="F63" s="218">
        <v>9012</v>
      </c>
      <c r="G63" s="289">
        <v>2015</v>
      </c>
      <c r="H63" s="475" t="s">
        <v>1149</v>
      </c>
      <c r="I63" s="478">
        <v>457.7</v>
      </c>
      <c r="J63" s="219">
        <v>566</v>
      </c>
      <c r="K63" s="219">
        <v>59.2</v>
      </c>
      <c r="L63" s="219">
        <f t="shared" si="0"/>
        <v>506.8</v>
      </c>
    </row>
    <row r="64" spans="1:12" ht="26.4" customHeight="1">
      <c r="A64" s="207">
        <v>55</v>
      </c>
      <c r="B64" s="546"/>
      <c r="C64" s="289" t="s">
        <v>2377</v>
      </c>
      <c r="D64" s="289" t="s">
        <v>1960</v>
      </c>
      <c r="E64" s="289" t="s">
        <v>1094</v>
      </c>
      <c r="F64" s="218">
        <v>9013</v>
      </c>
      <c r="G64" s="289">
        <v>2015</v>
      </c>
      <c r="H64" s="475" t="s">
        <v>1149</v>
      </c>
      <c r="I64" s="478">
        <v>261.10000000000002</v>
      </c>
      <c r="J64" s="219">
        <v>345.9</v>
      </c>
      <c r="K64" s="219">
        <v>36.200000000000003</v>
      </c>
      <c r="L64" s="219">
        <f t="shared" si="0"/>
        <v>309.7</v>
      </c>
    </row>
    <row r="65" spans="1:12" ht="26.4" customHeight="1">
      <c r="A65" s="207">
        <v>56</v>
      </c>
      <c r="B65" s="546"/>
      <c r="C65" s="289" t="s">
        <v>1154</v>
      </c>
      <c r="D65" s="289" t="s">
        <v>1350</v>
      </c>
      <c r="E65" s="289" t="s">
        <v>1093</v>
      </c>
      <c r="F65" s="218">
        <v>99082</v>
      </c>
      <c r="G65" s="289">
        <v>2005</v>
      </c>
      <c r="H65" s="475" t="s">
        <v>1149</v>
      </c>
      <c r="I65" s="478">
        <v>65.599999999999994</v>
      </c>
      <c r="J65" s="219">
        <v>10.199999999999999</v>
      </c>
      <c r="K65" s="219">
        <v>9</v>
      </c>
      <c r="L65" s="219">
        <f t="shared" si="0"/>
        <v>1.1999999999999993</v>
      </c>
    </row>
    <row r="66" spans="1:12" ht="26.4" customHeight="1">
      <c r="A66" s="207">
        <v>57</v>
      </c>
      <c r="B66" s="546"/>
      <c r="C66" s="289" t="s">
        <v>1154</v>
      </c>
      <c r="D66" s="289" t="s">
        <v>1350</v>
      </c>
      <c r="E66" s="289" t="s">
        <v>1092</v>
      </c>
      <c r="F66" s="218">
        <v>99084</v>
      </c>
      <c r="G66" s="289">
        <v>2005</v>
      </c>
      <c r="H66" s="475" t="s">
        <v>1149</v>
      </c>
      <c r="I66" s="478">
        <v>116.7</v>
      </c>
      <c r="J66" s="219">
        <v>29.8</v>
      </c>
      <c r="K66" s="219">
        <v>29.8</v>
      </c>
      <c r="L66" s="219">
        <f t="shared" si="0"/>
        <v>0</v>
      </c>
    </row>
    <row r="67" spans="1:12" ht="26.4" customHeight="1">
      <c r="A67" s="207">
        <v>58</v>
      </c>
      <c r="B67" s="546"/>
      <c r="C67" s="289" t="s">
        <v>1154</v>
      </c>
      <c r="D67" s="289" t="s">
        <v>1350</v>
      </c>
      <c r="E67" s="289" t="s">
        <v>1091</v>
      </c>
      <c r="F67" s="218">
        <v>99087</v>
      </c>
      <c r="G67" s="289">
        <v>2005</v>
      </c>
      <c r="H67" s="475" t="s">
        <v>1149</v>
      </c>
      <c r="I67" s="478">
        <v>2817</v>
      </c>
      <c r="J67" s="219">
        <v>3136.7</v>
      </c>
      <c r="K67" s="219">
        <v>1170.5999999999999</v>
      </c>
      <c r="L67" s="219">
        <f t="shared" si="0"/>
        <v>1966.1</v>
      </c>
    </row>
    <row r="68" spans="1:12" ht="26.4" customHeight="1">
      <c r="A68" s="207">
        <v>59</v>
      </c>
      <c r="B68" s="546"/>
      <c r="C68" s="289" t="s">
        <v>1154</v>
      </c>
      <c r="D68" s="289" t="s">
        <v>1350</v>
      </c>
      <c r="E68" s="289" t="s">
        <v>1090</v>
      </c>
      <c r="F68" s="218">
        <v>99156</v>
      </c>
      <c r="G68" s="289">
        <v>2008</v>
      </c>
      <c r="H68" s="475" t="s">
        <v>1149</v>
      </c>
      <c r="I68" s="478">
        <v>10</v>
      </c>
      <c r="J68" s="219">
        <v>2.8</v>
      </c>
      <c r="K68" s="219">
        <v>2.7</v>
      </c>
      <c r="L68" s="219">
        <f t="shared" si="0"/>
        <v>9.9999999999999645E-2</v>
      </c>
    </row>
    <row r="69" spans="1:12" ht="26.4" customHeight="1">
      <c r="A69" s="207">
        <v>60</v>
      </c>
      <c r="B69" s="546"/>
      <c r="C69" s="289" t="s">
        <v>1154</v>
      </c>
      <c r="D69" s="289" t="s">
        <v>1350</v>
      </c>
      <c r="E69" s="289" t="s">
        <v>1814</v>
      </c>
      <c r="F69" s="218">
        <v>99234</v>
      </c>
      <c r="G69" s="289">
        <v>2009</v>
      </c>
      <c r="H69" s="475" t="s">
        <v>1149</v>
      </c>
      <c r="I69" s="478">
        <v>1000</v>
      </c>
      <c r="J69" s="219">
        <v>138.19999999999999</v>
      </c>
      <c r="K69" s="219">
        <v>81.3</v>
      </c>
      <c r="L69" s="219">
        <f t="shared" si="0"/>
        <v>56.899999999999991</v>
      </c>
    </row>
    <row r="70" spans="1:12" ht="26.4" customHeight="1">
      <c r="A70" s="207">
        <v>61</v>
      </c>
      <c r="B70" s="546"/>
      <c r="C70" s="289" t="s">
        <v>1154</v>
      </c>
      <c r="D70" s="289" t="s">
        <v>1350</v>
      </c>
      <c r="E70" s="289" t="s">
        <v>1157</v>
      </c>
      <c r="F70" s="218">
        <v>99373</v>
      </c>
      <c r="G70" s="289">
        <v>2010</v>
      </c>
      <c r="H70" s="475" t="s">
        <v>1149</v>
      </c>
      <c r="I70" s="478">
        <v>1000</v>
      </c>
      <c r="J70" s="219">
        <v>27</v>
      </c>
      <c r="K70" s="219">
        <v>9.5</v>
      </c>
      <c r="L70" s="219">
        <f t="shared" si="0"/>
        <v>17.5</v>
      </c>
    </row>
    <row r="71" spans="1:12" ht="26.4" customHeight="1">
      <c r="A71" s="207">
        <v>62</v>
      </c>
      <c r="B71" s="547"/>
      <c r="C71" s="289" t="s">
        <v>2377</v>
      </c>
      <c r="D71" s="289" t="s">
        <v>1960</v>
      </c>
      <c r="E71" s="289" t="s">
        <v>1089</v>
      </c>
      <c r="F71" s="218">
        <v>99379</v>
      </c>
      <c r="G71" s="289">
        <v>2011</v>
      </c>
      <c r="H71" s="475" t="s">
        <v>1149</v>
      </c>
      <c r="I71" s="478">
        <v>518.6</v>
      </c>
      <c r="J71" s="219">
        <v>391.4</v>
      </c>
      <c r="K71" s="219">
        <v>357</v>
      </c>
      <c r="L71" s="219">
        <f t="shared" si="0"/>
        <v>34.399999999999977</v>
      </c>
    </row>
    <row r="72" spans="1:12" ht="26.4" customHeight="1">
      <c r="A72" s="238"/>
      <c r="B72" s="302" t="s">
        <v>2215</v>
      </c>
      <c r="C72" s="299" t="s">
        <v>3</v>
      </c>
      <c r="D72" s="205" t="s">
        <v>3</v>
      </c>
      <c r="E72" s="205" t="s">
        <v>3</v>
      </c>
      <c r="F72" s="205" t="s">
        <v>3</v>
      </c>
      <c r="G72" s="205" t="s">
        <v>3</v>
      </c>
      <c r="H72" s="205" t="s">
        <v>3</v>
      </c>
      <c r="I72" s="205" t="s">
        <v>3</v>
      </c>
      <c r="J72" s="296">
        <f>SUM(J10:J71)</f>
        <v>9980.1999999999989</v>
      </c>
      <c r="K72" s="296">
        <f>SUM(K10:K71)</f>
        <v>4842</v>
      </c>
      <c r="L72" s="296">
        <f>SUM(L10:L71)</f>
        <v>5138.1999999999989</v>
      </c>
    </row>
    <row r="73" spans="1:12" ht="26.4" customHeight="1">
      <c r="A73" s="201">
        <v>1</v>
      </c>
      <c r="B73" s="548" t="s">
        <v>982</v>
      </c>
      <c r="C73" s="202" t="s">
        <v>1054</v>
      </c>
      <c r="D73" s="201" t="s">
        <v>1352</v>
      </c>
      <c r="E73" s="201" t="s">
        <v>1088</v>
      </c>
      <c r="F73" s="201">
        <v>29702</v>
      </c>
      <c r="G73" s="201">
        <v>1967</v>
      </c>
      <c r="H73" s="475" t="s">
        <v>1149</v>
      </c>
      <c r="I73" s="201">
        <v>29.2</v>
      </c>
      <c r="J73" s="272">
        <v>9.3000000000000007</v>
      </c>
      <c r="K73" s="272">
        <v>2.1</v>
      </c>
      <c r="L73" s="272">
        <v>7.2</v>
      </c>
    </row>
    <row r="74" spans="1:12" ht="26.4" customHeight="1">
      <c r="A74" s="201">
        <v>2</v>
      </c>
      <c r="B74" s="549"/>
      <c r="C74" s="202" t="s">
        <v>1054</v>
      </c>
      <c r="D74" s="201" t="s">
        <v>1352</v>
      </c>
      <c r="E74" s="201" t="s">
        <v>1087</v>
      </c>
      <c r="F74" s="201">
        <v>29700</v>
      </c>
      <c r="G74" s="201">
        <v>1956</v>
      </c>
      <c r="H74" s="475" t="s">
        <v>1149</v>
      </c>
      <c r="I74" s="201">
        <v>447.3</v>
      </c>
      <c r="J74" s="272">
        <v>288.60000000000002</v>
      </c>
      <c r="K74" s="272">
        <v>111</v>
      </c>
      <c r="L74" s="272">
        <v>177.6</v>
      </c>
    </row>
    <row r="75" spans="1:12" ht="26.4" customHeight="1">
      <c r="A75" s="201">
        <v>3</v>
      </c>
      <c r="B75" s="549"/>
      <c r="C75" s="202" t="s">
        <v>1054</v>
      </c>
      <c r="D75" s="201" t="s">
        <v>1352</v>
      </c>
      <c r="E75" s="201" t="s">
        <v>1086</v>
      </c>
      <c r="F75" s="201">
        <v>29701</v>
      </c>
      <c r="G75" s="201">
        <v>1985</v>
      </c>
      <c r="H75" s="475" t="s">
        <v>1149</v>
      </c>
      <c r="I75" s="201">
        <v>245.3</v>
      </c>
      <c r="J75" s="272">
        <v>338.8</v>
      </c>
      <c r="K75" s="272">
        <v>91.3</v>
      </c>
      <c r="L75" s="272">
        <v>247.5</v>
      </c>
    </row>
    <row r="76" spans="1:12" ht="26.4" customHeight="1">
      <c r="A76" s="201">
        <v>4</v>
      </c>
      <c r="B76" s="549"/>
      <c r="C76" s="202" t="s">
        <v>1054</v>
      </c>
      <c r="D76" s="201" t="s">
        <v>2034</v>
      </c>
      <c r="E76" s="201" t="s">
        <v>1085</v>
      </c>
      <c r="F76" s="201" t="s">
        <v>1084</v>
      </c>
      <c r="G76" s="201">
        <v>2004</v>
      </c>
      <c r="H76" s="475" t="s">
        <v>1149</v>
      </c>
      <c r="I76" s="201">
        <v>198.8</v>
      </c>
      <c r="J76" s="272">
        <v>98.4</v>
      </c>
      <c r="K76" s="272">
        <v>19.5</v>
      </c>
      <c r="L76" s="272">
        <v>78.900000000000006</v>
      </c>
    </row>
    <row r="77" spans="1:12" ht="26.4" customHeight="1">
      <c r="A77" s="201">
        <v>5</v>
      </c>
      <c r="B77" s="549"/>
      <c r="C77" s="202" t="s">
        <v>1054</v>
      </c>
      <c r="D77" s="201" t="s">
        <v>2430</v>
      </c>
      <c r="E77" s="201" t="s">
        <v>1216</v>
      </c>
      <c r="F77" s="201" t="s">
        <v>1083</v>
      </c>
      <c r="G77" s="201">
        <v>2003</v>
      </c>
      <c r="H77" s="475" t="s">
        <v>1149</v>
      </c>
      <c r="I77" s="201">
        <v>154.1</v>
      </c>
      <c r="J77" s="272">
        <v>32.5</v>
      </c>
      <c r="K77" s="272">
        <v>7.3</v>
      </c>
      <c r="L77" s="272">
        <v>25.2</v>
      </c>
    </row>
    <row r="78" spans="1:12" ht="26.4" customHeight="1">
      <c r="A78" s="201">
        <v>6</v>
      </c>
      <c r="B78" s="549"/>
      <c r="C78" s="202" t="s">
        <v>1054</v>
      </c>
      <c r="D78" s="201" t="s">
        <v>2020</v>
      </c>
      <c r="E78" s="201" t="s">
        <v>1082</v>
      </c>
      <c r="F78" s="201" t="s">
        <v>1081</v>
      </c>
      <c r="G78" s="201">
        <v>2003</v>
      </c>
      <c r="H78" s="475" t="s">
        <v>1149</v>
      </c>
      <c r="I78" s="201">
        <v>43.5</v>
      </c>
      <c r="J78" s="272">
        <v>16.3</v>
      </c>
      <c r="K78" s="272">
        <v>3.7</v>
      </c>
      <c r="L78" s="272">
        <v>12.6</v>
      </c>
    </row>
    <row r="79" spans="1:12" ht="26.4" customHeight="1">
      <c r="A79" s="201">
        <v>7</v>
      </c>
      <c r="B79" s="549"/>
      <c r="C79" s="202" t="s">
        <v>981</v>
      </c>
      <c r="D79" s="201" t="s">
        <v>2021</v>
      </c>
      <c r="E79" s="201" t="s">
        <v>738</v>
      </c>
      <c r="F79" s="201">
        <v>1010266</v>
      </c>
      <c r="G79" s="201">
        <v>2000</v>
      </c>
      <c r="H79" s="475" t="s">
        <v>1149</v>
      </c>
      <c r="I79" s="201">
        <v>344.9</v>
      </c>
      <c r="J79" s="272">
        <v>165.8</v>
      </c>
      <c r="K79" s="272">
        <v>40.4</v>
      </c>
      <c r="L79" s="272">
        <v>125.4</v>
      </c>
    </row>
    <row r="80" spans="1:12" ht="26.4" customHeight="1">
      <c r="A80" s="201">
        <v>8</v>
      </c>
      <c r="B80" s="549"/>
      <c r="C80" s="221" t="s">
        <v>981</v>
      </c>
      <c r="D80" s="201" t="s">
        <v>2021</v>
      </c>
      <c r="E80" s="203" t="s">
        <v>448</v>
      </c>
      <c r="F80" s="203">
        <v>1010193</v>
      </c>
      <c r="G80" s="203">
        <v>1970</v>
      </c>
      <c r="H80" s="475" t="s">
        <v>1149</v>
      </c>
      <c r="I80" s="203">
        <v>500.8</v>
      </c>
      <c r="J80" s="273">
        <v>534.5</v>
      </c>
      <c r="K80" s="273">
        <v>189</v>
      </c>
      <c r="L80" s="273">
        <v>345.5</v>
      </c>
    </row>
    <row r="81" spans="1:12" ht="26.4" customHeight="1">
      <c r="A81" s="201">
        <v>9</v>
      </c>
      <c r="B81" s="549"/>
      <c r="C81" s="202" t="s">
        <v>981</v>
      </c>
      <c r="D81" s="201" t="s">
        <v>2021</v>
      </c>
      <c r="E81" s="201" t="s">
        <v>1080</v>
      </c>
      <c r="F81" s="201">
        <v>1010257</v>
      </c>
      <c r="G81" s="201">
        <v>2003</v>
      </c>
      <c r="H81" s="475" t="s">
        <v>1149</v>
      </c>
      <c r="I81" s="201">
        <v>2.9</v>
      </c>
      <c r="J81" s="272">
        <v>1.2</v>
      </c>
      <c r="K81" s="272">
        <v>1.2</v>
      </c>
      <c r="L81" s="272">
        <v>0</v>
      </c>
    </row>
    <row r="82" spans="1:12" ht="26.4" customHeight="1">
      <c r="A82" s="201">
        <v>10</v>
      </c>
      <c r="B82" s="549"/>
      <c r="C82" s="202" t="s">
        <v>981</v>
      </c>
      <c r="D82" s="201" t="s">
        <v>2021</v>
      </c>
      <c r="E82" s="201" t="s">
        <v>1079</v>
      </c>
      <c r="F82" s="201">
        <v>1010194</v>
      </c>
      <c r="G82" s="201">
        <v>1939</v>
      </c>
      <c r="H82" s="475" t="s">
        <v>1149</v>
      </c>
      <c r="I82" s="201">
        <v>10.6</v>
      </c>
      <c r="J82" s="272">
        <v>27.4</v>
      </c>
      <c r="K82" s="272">
        <v>13.5</v>
      </c>
      <c r="L82" s="272">
        <v>13.9</v>
      </c>
    </row>
    <row r="83" spans="1:12" ht="26.4" customHeight="1">
      <c r="A83" s="201">
        <v>11</v>
      </c>
      <c r="B83" s="549"/>
      <c r="C83" s="202" t="s">
        <v>981</v>
      </c>
      <c r="D83" s="201" t="s">
        <v>2021</v>
      </c>
      <c r="E83" s="201" t="s">
        <v>1078</v>
      </c>
      <c r="F83" s="201">
        <v>1010195</v>
      </c>
      <c r="G83" s="201">
        <v>1964</v>
      </c>
      <c r="H83" s="475" t="s">
        <v>1149</v>
      </c>
      <c r="I83" s="201">
        <v>56.4</v>
      </c>
      <c r="J83" s="272">
        <v>13.5</v>
      </c>
      <c r="K83" s="272">
        <v>10.9</v>
      </c>
      <c r="L83" s="272">
        <v>2.6</v>
      </c>
    </row>
    <row r="84" spans="1:12" ht="26.4" customHeight="1">
      <c r="A84" s="201">
        <v>12</v>
      </c>
      <c r="B84" s="549"/>
      <c r="C84" s="202" t="s">
        <v>981</v>
      </c>
      <c r="D84" s="201" t="s">
        <v>2021</v>
      </c>
      <c r="E84" s="201" t="s">
        <v>1217</v>
      </c>
      <c r="F84" s="201">
        <v>1010196</v>
      </c>
      <c r="G84" s="201">
        <v>1948</v>
      </c>
      <c r="H84" s="475" t="s">
        <v>1149</v>
      </c>
      <c r="I84" s="201">
        <v>97.9</v>
      </c>
      <c r="J84" s="272">
        <v>37.5</v>
      </c>
      <c r="K84" s="272">
        <v>26.5</v>
      </c>
      <c r="L84" s="272">
        <v>11</v>
      </c>
    </row>
    <row r="85" spans="1:12" ht="26.4" customHeight="1">
      <c r="A85" s="201">
        <v>13</v>
      </c>
      <c r="B85" s="549"/>
      <c r="C85" s="202" t="s">
        <v>981</v>
      </c>
      <c r="D85" s="201" t="s">
        <v>2021</v>
      </c>
      <c r="E85" s="201" t="s">
        <v>1218</v>
      </c>
      <c r="F85" s="201">
        <v>1010197</v>
      </c>
      <c r="G85" s="201">
        <v>1989</v>
      </c>
      <c r="H85" s="475" t="s">
        <v>1149</v>
      </c>
      <c r="I85" s="201">
        <v>63.8</v>
      </c>
      <c r="J85" s="272">
        <v>78.2</v>
      </c>
      <c r="K85" s="272">
        <v>30.4</v>
      </c>
      <c r="L85" s="272">
        <v>47.8</v>
      </c>
    </row>
    <row r="86" spans="1:12" ht="26.4" customHeight="1">
      <c r="A86" s="201">
        <v>14</v>
      </c>
      <c r="B86" s="549"/>
      <c r="C86" s="202" t="s">
        <v>981</v>
      </c>
      <c r="D86" s="201" t="s">
        <v>2035</v>
      </c>
      <c r="E86" s="201" t="s">
        <v>1077</v>
      </c>
      <c r="F86" s="201">
        <v>1010142</v>
      </c>
      <c r="G86" s="201">
        <v>1985</v>
      </c>
      <c r="H86" s="475" t="s">
        <v>1149</v>
      </c>
      <c r="I86" s="201">
        <v>609.5</v>
      </c>
      <c r="J86" s="272">
        <v>590.79999999999995</v>
      </c>
      <c r="K86" s="272">
        <v>308.7</v>
      </c>
      <c r="L86" s="272">
        <v>282.10000000000002</v>
      </c>
    </row>
    <row r="87" spans="1:12" ht="26.4" customHeight="1">
      <c r="A87" s="201">
        <v>15</v>
      </c>
      <c r="B87" s="549"/>
      <c r="C87" s="202" t="s">
        <v>981</v>
      </c>
      <c r="D87" s="201" t="s">
        <v>2051</v>
      </c>
      <c r="E87" s="201" t="s">
        <v>1158</v>
      </c>
      <c r="F87" s="201">
        <v>1010168</v>
      </c>
      <c r="G87" s="201">
        <v>1935</v>
      </c>
      <c r="H87" s="475" t="s">
        <v>1149</v>
      </c>
      <c r="I87" s="201">
        <v>672.8</v>
      </c>
      <c r="J87" s="272">
        <v>318.2</v>
      </c>
      <c r="K87" s="272">
        <v>153.80000000000001</v>
      </c>
      <c r="L87" s="272">
        <v>164.4</v>
      </c>
    </row>
    <row r="88" spans="1:12" ht="26.4" customHeight="1">
      <c r="A88" s="201">
        <v>16</v>
      </c>
      <c r="B88" s="549"/>
      <c r="C88" s="202" t="s">
        <v>981</v>
      </c>
      <c r="D88" s="201" t="s">
        <v>2036</v>
      </c>
      <c r="E88" s="201" t="s">
        <v>1076</v>
      </c>
      <c r="F88" s="201">
        <v>1010163</v>
      </c>
      <c r="G88" s="201">
        <v>1935</v>
      </c>
      <c r="H88" s="475" t="s">
        <v>1149</v>
      </c>
      <c r="I88" s="201">
        <v>355</v>
      </c>
      <c r="J88" s="272">
        <v>160.30000000000001</v>
      </c>
      <c r="K88" s="272">
        <v>69.599999999999994</v>
      </c>
      <c r="L88" s="272">
        <v>90.7</v>
      </c>
    </row>
    <row r="89" spans="1:12" ht="26.4" customHeight="1">
      <c r="A89" s="201">
        <v>17</v>
      </c>
      <c r="B89" s="549"/>
      <c r="C89" s="202" t="s">
        <v>981</v>
      </c>
      <c r="D89" s="201" t="s">
        <v>2037</v>
      </c>
      <c r="E89" s="201" t="s">
        <v>1075</v>
      </c>
      <c r="F89" s="201">
        <v>1010176</v>
      </c>
      <c r="G89" s="201">
        <v>1978</v>
      </c>
      <c r="H89" s="475" t="s">
        <v>1149</v>
      </c>
      <c r="I89" s="201">
        <v>896.1</v>
      </c>
      <c r="J89" s="272">
        <v>2129.1</v>
      </c>
      <c r="K89" s="272">
        <v>339.8</v>
      </c>
      <c r="L89" s="272">
        <v>1789.3</v>
      </c>
    </row>
    <row r="90" spans="1:12" ht="26.4" customHeight="1">
      <c r="A90" s="201">
        <v>18</v>
      </c>
      <c r="B90" s="549"/>
      <c r="C90" s="202" t="s">
        <v>981</v>
      </c>
      <c r="D90" s="201" t="s">
        <v>2037</v>
      </c>
      <c r="E90" s="201" t="s">
        <v>1961</v>
      </c>
      <c r="F90" s="201">
        <v>1010175</v>
      </c>
      <c r="G90" s="201">
        <v>1978</v>
      </c>
      <c r="H90" s="475" t="s">
        <v>1149</v>
      </c>
      <c r="I90" s="201">
        <v>212.3</v>
      </c>
      <c r="J90" s="272">
        <v>624.79999999999995</v>
      </c>
      <c r="K90" s="272">
        <v>191.9</v>
      </c>
      <c r="L90" s="272">
        <v>432.9</v>
      </c>
    </row>
    <row r="91" spans="1:12" ht="26.4" customHeight="1">
      <c r="A91" s="201">
        <v>19</v>
      </c>
      <c r="B91" s="549"/>
      <c r="C91" s="202" t="s">
        <v>981</v>
      </c>
      <c r="D91" s="201" t="s">
        <v>2037</v>
      </c>
      <c r="E91" s="201" t="s">
        <v>1219</v>
      </c>
      <c r="F91" s="201">
        <v>1010181</v>
      </c>
      <c r="G91" s="201">
        <v>1963</v>
      </c>
      <c r="H91" s="475" t="s">
        <v>1149</v>
      </c>
      <c r="I91" s="201">
        <v>317.60000000000002</v>
      </c>
      <c r="J91" s="272">
        <v>176.9</v>
      </c>
      <c r="K91" s="272">
        <v>59.2</v>
      </c>
      <c r="L91" s="272">
        <v>117.7</v>
      </c>
    </row>
    <row r="92" spans="1:12" ht="26.4" customHeight="1">
      <c r="A92" s="201">
        <v>20</v>
      </c>
      <c r="B92" s="549"/>
      <c r="C92" s="202" t="s">
        <v>981</v>
      </c>
      <c r="D92" s="201" t="s">
        <v>2038</v>
      </c>
      <c r="E92" s="201" t="s">
        <v>1074</v>
      </c>
      <c r="F92" s="201">
        <v>1010154</v>
      </c>
      <c r="G92" s="201">
        <v>1992</v>
      </c>
      <c r="H92" s="475" t="s">
        <v>1149</v>
      </c>
      <c r="I92" s="201">
        <v>437.5</v>
      </c>
      <c r="J92" s="272">
        <v>342</v>
      </c>
      <c r="K92" s="272">
        <v>105.3</v>
      </c>
      <c r="L92" s="272">
        <v>236.7</v>
      </c>
    </row>
    <row r="93" spans="1:12" ht="26.4" customHeight="1">
      <c r="A93" s="201">
        <v>21</v>
      </c>
      <c r="B93" s="549"/>
      <c r="C93" s="202" t="s">
        <v>981</v>
      </c>
      <c r="D93" s="201" t="s">
        <v>2039</v>
      </c>
      <c r="E93" s="201" t="s">
        <v>1073</v>
      </c>
      <c r="F93" s="201">
        <v>1010149</v>
      </c>
      <c r="G93" s="201">
        <v>1962</v>
      </c>
      <c r="H93" s="475" t="s">
        <v>1149</v>
      </c>
      <c r="I93" s="201">
        <v>216</v>
      </c>
      <c r="J93" s="272">
        <v>149</v>
      </c>
      <c r="K93" s="272">
        <v>55.8</v>
      </c>
      <c r="L93" s="272">
        <v>93.2</v>
      </c>
    </row>
    <row r="94" spans="1:12" ht="26.4" customHeight="1">
      <c r="A94" s="201">
        <v>22</v>
      </c>
      <c r="B94" s="549"/>
      <c r="C94" s="202" t="s">
        <v>981</v>
      </c>
      <c r="D94" s="201" t="s">
        <v>13322</v>
      </c>
      <c r="E94" s="201" t="s">
        <v>1072</v>
      </c>
      <c r="F94" s="201">
        <v>1010136</v>
      </c>
      <c r="G94" s="201">
        <v>1989</v>
      </c>
      <c r="H94" s="475" t="s">
        <v>1149</v>
      </c>
      <c r="I94" s="201">
        <v>251.7</v>
      </c>
      <c r="J94" s="272">
        <v>274.39999999999998</v>
      </c>
      <c r="K94" s="272">
        <v>120.6</v>
      </c>
      <c r="L94" s="272">
        <v>153.80000000000001</v>
      </c>
    </row>
    <row r="95" spans="1:12" ht="26.4" customHeight="1">
      <c r="A95" s="201">
        <v>23</v>
      </c>
      <c r="B95" s="549"/>
      <c r="C95" s="202" t="s">
        <v>981</v>
      </c>
      <c r="D95" s="201" t="s">
        <v>2040</v>
      </c>
      <c r="E95" s="201" t="s">
        <v>1071</v>
      </c>
      <c r="F95" s="201">
        <v>1010130</v>
      </c>
      <c r="G95" s="201">
        <v>1990</v>
      </c>
      <c r="H95" s="475" t="s">
        <v>1149</v>
      </c>
      <c r="I95" s="201">
        <v>216.5</v>
      </c>
      <c r="J95" s="272">
        <v>643.4</v>
      </c>
      <c r="K95" s="272">
        <v>389.8</v>
      </c>
      <c r="L95" s="272">
        <v>253.6</v>
      </c>
    </row>
    <row r="96" spans="1:12" ht="26.4" customHeight="1">
      <c r="A96" s="201">
        <v>24</v>
      </c>
      <c r="B96" s="549"/>
      <c r="C96" s="202" t="s">
        <v>981</v>
      </c>
      <c r="D96" s="201" t="s">
        <v>2041</v>
      </c>
      <c r="E96" s="201" t="s">
        <v>1220</v>
      </c>
      <c r="F96" s="201" t="s">
        <v>1070</v>
      </c>
      <c r="G96" s="201">
        <v>1972</v>
      </c>
      <c r="H96" s="475" t="s">
        <v>1149</v>
      </c>
      <c r="I96" s="201">
        <v>361.7</v>
      </c>
      <c r="J96" s="272">
        <v>285.3</v>
      </c>
      <c r="K96" s="272">
        <v>119.5</v>
      </c>
      <c r="L96" s="272">
        <v>165.8</v>
      </c>
    </row>
    <row r="97" spans="1:12" ht="26.4" customHeight="1">
      <c r="A97" s="201">
        <v>25</v>
      </c>
      <c r="B97" s="549"/>
      <c r="C97" s="202" t="s">
        <v>981</v>
      </c>
      <c r="D97" s="201" t="s">
        <v>2042</v>
      </c>
      <c r="E97" s="201" t="s">
        <v>1069</v>
      </c>
      <c r="F97" s="201" t="s">
        <v>1068</v>
      </c>
      <c r="G97" s="201">
        <v>1962</v>
      </c>
      <c r="H97" s="475" t="s">
        <v>1149</v>
      </c>
      <c r="I97" s="201">
        <v>126.5</v>
      </c>
      <c r="J97" s="272">
        <v>398.1</v>
      </c>
      <c r="K97" s="272">
        <v>293.5</v>
      </c>
      <c r="L97" s="272">
        <v>104.6</v>
      </c>
    </row>
    <row r="98" spans="1:12" ht="26.4" customHeight="1">
      <c r="A98" s="201">
        <v>26</v>
      </c>
      <c r="B98" s="549"/>
      <c r="C98" s="202" t="s">
        <v>981</v>
      </c>
      <c r="D98" s="201" t="s">
        <v>2042</v>
      </c>
      <c r="E98" s="201" t="s">
        <v>2208</v>
      </c>
      <c r="F98" s="201">
        <v>1010004</v>
      </c>
      <c r="G98" s="201">
        <v>1992</v>
      </c>
      <c r="H98" s="475" t="s">
        <v>1149</v>
      </c>
      <c r="I98" s="201">
        <v>85.9</v>
      </c>
      <c r="J98" s="272">
        <v>332</v>
      </c>
      <c r="K98" s="272">
        <v>332</v>
      </c>
      <c r="L98" s="272">
        <v>0</v>
      </c>
    </row>
    <row r="99" spans="1:12" ht="26.4" customHeight="1">
      <c r="A99" s="201">
        <v>27</v>
      </c>
      <c r="B99" s="549"/>
      <c r="C99" s="202" t="s">
        <v>981</v>
      </c>
      <c r="D99" s="201" t="s">
        <v>2043</v>
      </c>
      <c r="E99" s="201" t="s">
        <v>1067</v>
      </c>
      <c r="F99" s="201" t="s">
        <v>1066</v>
      </c>
      <c r="G99" s="201">
        <v>1974</v>
      </c>
      <c r="H99" s="475" t="s">
        <v>1149</v>
      </c>
      <c r="I99" s="201">
        <v>148.4</v>
      </c>
      <c r="J99" s="272">
        <v>296.60000000000002</v>
      </c>
      <c r="K99" s="272">
        <v>164</v>
      </c>
      <c r="L99" s="272">
        <v>132.6</v>
      </c>
    </row>
    <row r="100" spans="1:12" ht="26.4" customHeight="1">
      <c r="A100" s="201">
        <v>28</v>
      </c>
      <c r="B100" s="549"/>
      <c r="C100" s="202" t="s">
        <v>981</v>
      </c>
      <c r="D100" s="201" t="s">
        <v>2044</v>
      </c>
      <c r="E100" s="201" t="s">
        <v>1065</v>
      </c>
      <c r="F100" s="201" t="s">
        <v>1064</v>
      </c>
      <c r="G100" s="201">
        <v>1968</v>
      </c>
      <c r="H100" s="475" t="s">
        <v>1149</v>
      </c>
      <c r="I100" s="201">
        <v>57.5</v>
      </c>
      <c r="J100" s="272">
        <v>67.599999999999994</v>
      </c>
      <c r="K100" s="272">
        <v>19.2</v>
      </c>
      <c r="L100" s="272">
        <v>48.4</v>
      </c>
    </row>
    <row r="101" spans="1:12" ht="26.4" customHeight="1">
      <c r="A101" s="201">
        <v>29</v>
      </c>
      <c r="B101" s="549"/>
      <c r="C101" s="202" t="s">
        <v>981</v>
      </c>
      <c r="D101" s="201" t="s">
        <v>2045</v>
      </c>
      <c r="E101" s="201" t="s">
        <v>1063</v>
      </c>
      <c r="F101" s="201" t="s">
        <v>1062</v>
      </c>
      <c r="G101" s="201">
        <v>1995</v>
      </c>
      <c r="H101" s="475" t="s">
        <v>1149</v>
      </c>
      <c r="I101" s="201">
        <v>608.6</v>
      </c>
      <c r="J101" s="272">
        <v>633.70000000000005</v>
      </c>
      <c r="K101" s="272">
        <v>195.5</v>
      </c>
      <c r="L101" s="272">
        <v>438.2</v>
      </c>
    </row>
    <row r="102" spans="1:12" ht="26.4" customHeight="1">
      <c r="A102" s="201">
        <v>30</v>
      </c>
      <c r="B102" s="549"/>
      <c r="C102" s="202" t="s">
        <v>981</v>
      </c>
      <c r="D102" s="201" t="s">
        <v>2046</v>
      </c>
      <c r="E102" s="201" t="s">
        <v>1061</v>
      </c>
      <c r="F102" s="201">
        <v>1010270</v>
      </c>
      <c r="G102" s="201">
        <v>2004</v>
      </c>
      <c r="H102" s="475" t="s">
        <v>1149</v>
      </c>
      <c r="I102" s="201">
        <v>11.5</v>
      </c>
      <c r="J102" s="272">
        <v>7.8</v>
      </c>
      <c r="K102" s="272">
        <v>5.0999999999999996</v>
      </c>
      <c r="L102" s="272">
        <v>2.7</v>
      </c>
    </row>
    <row r="103" spans="1:12" ht="26.4" customHeight="1">
      <c r="A103" s="201">
        <v>31</v>
      </c>
      <c r="B103" s="549"/>
      <c r="C103" s="202" t="s">
        <v>981</v>
      </c>
      <c r="D103" s="201" t="s">
        <v>2047</v>
      </c>
      <c r="E103" s="201" t="s">
        <v>1060</v>
      </c>
      <c r="F103" s="201">
        <v>1010012</v>
      </c>
      <c r="G103" s="201">
        <v>1980</v>
      </c>
      <c r="H103" s="475" t="s">
        <v>1149</v>
      </c>
      <c r="I103" s="201">
        <v>30.2</v>
      </c>
      <c r="J103" s="272">
        <v>33.200000000000003</v>
      </c>
      <c r="K103" s="272">
        <v>23.3</v>
      </c>
      <c r="L103" s="272">
        <v>9.9</v>
      </c>
    </row>
    <row r="104" spans="1:12" ht="26.4" customHeight="1">
      <c r="A104" s="201">
        <v>32</v>
      </c>
      <c r="B104" s="549"/>
      <c r="C104" s="202" t="s">
        <v>981</v>
      </c>
      <c r="D104" s="201" t="s">
        <v>2048</v>
      </c>
      <c r="E104" s="201" t="s">
        <v>1844</v>
      </c>
      <c r="F104" s="201">
        <v>1010010</v>
      </c>
      <c r="G104" s="201">
        <v>1927</v>
      </c>
      <c r="H104" s="475" t="s">
        <v>1149</v>
      </c>
      <c r="I104" s="201">
        <v>427.9</v>
      </c>
      <c r="J104" s="272">
        <v>57.2</v>
      </c>
      <c r="K104" s="272">
        <v>57.2</v>
      </c>
      <c r="L104" s="272">
        <v>0</v>
      </c>
    </row>
    <row r="105" spans="1:12" ht="26.4" customHeight="1">
      <c r="A105" s="201">
        <v>33</v>
      </c>
      <c r="B105" s="549"/>
      <c r="C105" s="202" t="s">
        <v>981</v>
      </c>
      <c r="D105" s="201" t="s">
        <v>2049</v>
      </c>
      <c r="E105" s="201" t="s">
        <v>1221</v>
      </c>
      <c r="F105" s="201">
        <v>1010047</v>
      </c>
      <c r="G105" s="201">
        <v>1997</v>
      </c>
      <c r="H105" s="475" t="s">
        <v>1138</v>
      </c>
      <c r="I105" s="201">
        <v>1</v>
      </c>
      <c r="J105" s="272">
        <v>41.7</v>
      </c>
      <c r="K105" s="272">
        <v>41.7</v>
      </c>
      <c r="L105" s="272">
        <v>0</v>
      </c>
    </row>
    <row r="106" spans="1:12" ht="26.4" customHeight="1">
      <c r="A106" s="201">
        <v>34</v>
      </c>
      <c r="B106" s="549"/>
      <c r="C106" s="202" t="s">
        <v>981</v>
      </c>
      <c r="D106" s="201" t="s">
        <v>2037</v>
      </c>
      <c r="E106" s="201" t="s">
        <v>12646</v>
      </c>
      <c r="F106" s="201">
        <v>1030672</v>
      </c>
      <c r="G106" s="201">
        <v>2014</v>
      </c>
      <c r="H106" s="475" t="s">
        <v>1138</v>
      </c>
      <c r="I106" s="201">
        <v>1</v>
      </c>
      <c r="J106" s="272">
        <v>294.3</v>
      </c>
      <c r="K106" s="272">
        <v>75.599999999999994</v>
      </c>
      <c r="L106" s="272">
        <v>218.7</v>
      </c>
    </row>
    <row r="107" spans="1:12" ht="26.4" customHeight="1">
      <c r="A107" s="201">
        <v>35</v>
      </c>
      <c r="B107" s="549"/>
      <c r="C107" s="202" t="s">
        <v>981</v>
      </c>
      <c r="D107" s="201" t="s">
        <v>2037</v>
      </c>
      <c r="E107" s="201" t="s">
        <v>12647</v>
      </c>
      <c r="F107" s="201">
        <v>1010177</v>
      </c>
      <c r="G107" s="201">
        <v>1978</v>
      </c>
      <c r="H107" s="475" t="s">
        <v>1138</v>
      </c>
      <c r="I107" s="201">
        <v>1</v>
      </c>
      <c r="J107" s="272">
        <v>78</v>
      </c>
      <c r="K107" s="272">
        <v>70</v>
      </c>
      <c r="L107" s="272">
        <v>8</v>
      </c>
    </row>
    <row r="108" spans="1:12" ht="26.4" customHeight="1">
      <c r="A108" s="201">
        <v>36</v>
      </c>
      <c r="B108" s="549"/>
      <c r="C108" s="202" t="s">
        <v>981</v>
      </c>
      <c r="D108" s="201" t="s">
        <v>2049</v>
      </c>
      <c r="E108" s="201" t="s">
        <v>12648</v>
      </c>
      <c r="F108" s="201">
        <v>1010103</v>
      </c>
      <c r="G108" s="201">
        <v>1997</v>
      </c>
      <c r="H108" s="475" t="s">
        <v>1138</v>
      </c>
      <c r="I108" s="201">
        <v>1</v>
      </c>
      <c r="J108" s="272">
        <v>31.4</v>
      </c>
      <c r="K108" s="272">
        <v>27.8</v>
      </c>
      <c r="L108" s="272">
        <v>3.6</v>
      </c>
    </row>
    <row r="109" spans="1:12" ht="26.4" customHeight="1">
      <c r="A109" s="201">
        <v>37</v>
      </c>
      <c r="B109" s="549"/>
      <c r="C109" s="202" t="s">
        <v>981</v>
      </c>
      <c r="D109" s="201" t="s">
        <v>2050</v>
      </c>
      <c r="E109" s="201" t="s">
        <v>12649</v>
      </c>
      <c r="F109" s="201">
        <v>1010131</v>
      </c>
      <c r="G109" s="201">
        <v>1990</v>
      </c>
      <c r="H109" s="475" t="s">
        <v>1138</v>
      </c>
      <c r="I109" s="201">
        <v>1</v>
      </c>
      <c r="J109" s="272">
        <v>135.80000000000001</v>
      </c>
      <c r="K109" s="272">
        <v>32.9</v>
      </c>
      <c r="L109" s="272">
        <v>102.9</v>
      </c>
    </row>
    <row r="110" spans="1:12" ht="26.4" customHeight="1">
      <c r="A110" s="201">
        <v>38</v>
      </c>
      <c r="B110" s="549"/>
      <c r="C110" s="202" t="s">
        <v>981</v>
      </c>
      <c r="D110" s="201" t="s">
        <v>2045</v>
      </c>
      <c r="E110" s="201" t="s">
        <v>12650</v>
      </c>
      <c r="F110" s="201" t="s">
        <v>1059</v>
      </c>
      <c r="G110" s="201">
        <v>2010</v>
      </c>
      <c r="H110" s="475" t="s">
        <v>1138</v>
      </c>
      <c r="I110" s="201">
        <v>1</v>
      </c>
      <c r="J110" s="272">
        <v>36.4</v>
      </c>
      <c r="K110" s="272">
        <v>23.5</v>
      </c>
      <c r="L110" s="272">
        <v>12.9</v>
      </c>
    </row>
    <row r="111" spans="1:12" ht="26.4" customHeight="1">
      <c r="A111" s="201">
        <v>39</v>
      </c>
      <c r="B111" s="549"/>
      <c r="C111" s="202" t="s">
        <v>981</v>
      </c>
      <c r="D111" s="201" t="s">
        <v>2041</v>
      </c>
      <c r="E111" s="201" t="s">
        <v>12651</v>
      </c>
      <c r="F111" s="201">
        <v>1010100</v>
      </c>
      <c r="G111" s="201">
        <v>1996</v>
      </c>
      <c r="H111" s="475" t="s">
        <v>1138</v>
      </c>
      <c r="I111" s="201">
        <v>1</v>
      </c>
      <c r="J111" s="272">
        <v>14</v>
      </c>
      <c r="K111" s="272">
        <v>11.1</v>
      </c>
      <c r="L111" s="272">
        <v>2.9</v>
      </c>
    </row>
    <row r="112" spans="1:12" ht="26.4" customHeight="1">
      <c r="A112" s="201">
        <v>40</v>
      </c>
      <c r="B112" s="549"/>
      <c r="C112" s="202" t="s">
        <v>981</v>
      </c>
      <c r="D112" s="201" t="s">
        <v>2051</v>
      </c>
      <c r="E112" s="201" t="s">
        <v>12652</v>
      </c>
      <c r="F112" s="201">
        <v>1010169</v>
      </c>
      <c r="G112" s="201">
        <v>1935</v>
      </c>
      <c r="H112" s="475" t="s">
        <v>1138</v>
      </c>
      <c r="I112" s="201">
        <v>1</v>
      </c>
      <c r="J112" s="272">
        <v>128.80000000000001</v>
      </c>
      <c r="K112" s="272">
        <v>128.80000000000001</v>
      </c>
      <c r="L112" s="272">
        <v>0</v>
      </c>
    </row>
    <row r="113" spans="1:12" ht="26.4" customHeight="1">
      <c r="A113" s="201">
        <v>41</v>
      </c>
      <c r="B113" s="549"/>
      <c r="C113" s="202" t="s">
        <v>981</v>
      </c>
      <c r="D113" s="201" t="s">
        <v>2052</v>
      </c>
      <c r="E113" s="201" t="s">
        <v>12653</v>
      </c>
      <c r="F113" s="201">
        <v>1010164</v>
      </c>
      <c r="G113" s="201">
        <v>1931</v>
      </c>
      <c r="H113" s="475" t="s">
        <v>1138</v>
      </c>
      <c r="I113" s="201">
        <v>1</v>
      </c>
      <c r="J113" s="272">
        <v>105</v>
      </c>
      <c r="K113" s="272">
        <v>105</v>
      </c>
      <c r="L113" s="272">
        <v>0</v>
      </c>
    </row>
    <row r="114" spans="1:12" ht="26.4" customHeight="1">
      <c r="A114" s="201">
        <v>42</v>
      </c>
      <c r="B114" s="549"/>
      <c r="C114" s="202" t="s">
        <v>981</v>
      </c>
      <c r="D114" s="201" t="s">
        <v>2039</v>
      </c>
      <c r="E114" s="201" t="s">
        <v>12654</v>
      </c>
      <c r="F114" s="201">
        <v>1010153</v>
      </c>
      <c r="G114" s="201">
        <v>1962</v>
      </c>
      <c r="H114" s="475" t="s">
        <v>1138</v>
      </c>
      <c r="I114" s="201">
        <v>1</v>
      </c>
      <c r="J114" s="272">
        <v>44.2</v>
      </c>
      <c r="K114" s="272">
        <v>41.1</v>
      </c>
      <c r="L114" s="272">
        <v>3.1</v>
      </c>
    </row>
    <row r="115" spans="1:12" ht="26.4" customHeight="1">
      <c r="A115" s="201">
        <v>43</v>
      </c>
      <c r="B115" s="549"/>
      <c r="C115" s="202" t="s">
        <v>981</v>
      </c>
      <c r="D115" s="201" t="s">
        <v>2043</v>
      </c>
      <c r="E115" s="201" t="s">
        <v>12655</v>
      </c>
      <c r="F115" s="201">
        <v>1010101</v>
      </c>
      <c r="G115" s="201">
        <v>1996</v>
      </c>
      <c r="H115" s="475" t="s">
        <v>1138</v>
      </c>
      <c r="I115" s="201">
        <v>1</v>
      </c>
      <c r="J115" s="272">
        <v>12.7</v>
      </c>
      <c r="K115" s="272">
        <v>9.8000000000000007</v>
      </c>
      <c r="L115" s="272">
        <v>2.9</v>
      </c>
    </row>
    <row r="116" spans="1:12" ht="26.4" customHeight="1">
      <c r="A116" s="201">
        <v>44</v>
      </c>
      <c r="B116" s="549"/>
      <c r="C116" s="202" t="s">
        <v>1054</v>
      </c>
      <c r="D116" s="201" t="s">
        <v>1352</v>
      </c>
      <c r="E116" s="215" t="s">
        <v>2338</v>
      </c>
      <c r="F116" s="201">
        <v>1030573</v>
      </c>
      <c r="G116" s="201">
        <v>2013</v>
      </c>
      <c r="H116" s="475" t="s">
        <v>631</v>
      </c>
      <c r="I116" s="201">
        <v>55.38</v>
      </c>
      <c r="J116" s="272">
        <v>19.8</v>
      </c>
      <c r="K116" s="272">
        <v>4.9000000000000004</v>
      </c>
      <c r="L116" s="272">
        <v>14.9</v>
      </c>
    </row>
    <row r="117" spans="1:12" ht="26.4" customHeight="1">
      <c r="A117" s="201">
        <v>45</v>
      </c>
      <c r="B117" s="549"/>
      <c r="C117" s="202" t="s">
        <v>1054</v>
      </c>
      <c r="D117" s="201" t="s">
        <v>1352</v>
      </c>
      <c r="E117" s="215" t="s">
        <v>2338</v>
      </c>
      <c r="F117" s="201" t="s">
        <v>1058</v>
      </c>
      <c r="G117" s="201">
        <v>2013</v>
      </c>
      <c r="H117" s="475" t="s">
        <v>631</v>
      </c>
      <c r="I117" s="201">
        <v>296</v>
      </c>
      <c r="J117" s="272">
        <v>52.3</v>
      </c>
      <c r="K117" s="272">
        <v>13.8</v>
      </c>
      <c r="L117" s="272">
        <v>38.5</v>
      </c>
    </row>
    <row r="118" spans="1:12" ht="26.4" customHeight="1">
      <c r="A118" s="201">
        <v>46</v>
      </c>
      <c r="B118" s="549"/>
      <c r="C118" s="202" t="s">
        <v>1054</v>
      </c>
      <c r="D118" s="201" t="s">
        <v>1353</v>
      </c>
      <c r="E118" s="215" t="s">
        <v>2338</v>
      </c>
      <c r="F118" s="201">
        <v>1030576</v>
      </c>
      <c r="G118" s="201">
        <v>2013</v>
      </c>
      <c r="H118" s="475" t="s">
        <v>631</v>
      </c>
      <c r="I118" s="201">
        <v>146.69999999999999</v>
      </c>
      <c r="J118" s="272">
        <v>67.400000000000006</v>
      </c>
      <c r="K118" s="272">
        <v>17.3</v>
      </c>
      <c r="L118" s="272">
        <v>50.1</v>
      </c>
    </row>
    <row r="119" spans="1:12" ht="26.4" customHeight="1">
      <c r="A119" s="201">
        <v>47</v>
      </c>
      <c r="B119" s="549"/>
      <c r="C119" s="202" t="s">
        <v>1054</v>
      </c>
      <c r="D119" s="201" t="s">
        <v>1353</v>
      </c>
      <c r="E119" s="215" t="s">
        <v>2338</v>
      </c>
      <c r="F119" s="201">
        <v>1030567</v>
      </c>
      <c r="G119" s="201">
        <v>2013</v>
      </c>
      <c r="H119" s="475" t="s">
        <v>631</v>
      </c>
      <c r="I119" s="201">
        <v>184</v>
      </c>
      <c r="J119" s="272">
        <v>26.4</v>
      </c>
      <c r="K119" s="272">
        <v>7</v>
      </c>
      <c r="L119" s="272">
        <v>19.399999999999999</v>
      </c>
    </row>
    <row r="120" spans="1:12" ht="26.4" customHeight="1">
      <c r="A120" s="201">
        <v>48</v>
      </c>
      <c r="B120" s="549"/>
      <c r="C120" s="202" t="s">
        <v>1054</v>
      </c>
      <c r="D120" s="201" t="s">
        <v>1353</v>
      </c>
      <c r="E120" s="215" t="s">
        <v>2338</v>
      </c>
      <c r="F120" s="201">
        <v>1030559</v>
      </c>
      <c r="G120" s="201">
        <v>2013</v>
      </c>
      <c r="H120" s="475" t="s">
        <v>631</v>
      </c>
      <c r="I120" s="201">
        <v>301</v>
      </c>
      <c r="J120" s="272">
        <v>95.8</v>
      </c>
      <c r="K120" s="272">
        <v>26.7</v>
      </c>
      <c r="L120" s="272">
        <v>69.099999999999994</v>
      </c>
    </row>
    <row r="121" spans="1:12" ht="26.4" customHeight="1">
      <c r="A121" s="201">
        <v>49</v>
      </c>
      <c r="B121" s="549"/>
      <c r="C121" s="202" t="s">
        <v>1054</v>
      </c>
      <c r="D121" s="201" t="s">
        <v>1353</v>
      </c>
      <c r="E121" s="215" t="s">
        <v>2338</v>
      </c>
      <c r="F121" s="201">
        <v>29703</v>
      </c>
      <c r="G121" s="201">
        <v>2003</v>
      </c>
      <c r="H121" s="475" t="s">
        <v>631</v>
      </c>
      <c r="I121" s="201">
        <v>8322.33</v>
      </c>
      <c r="J121" s="272">
        <v>84.2</v>
      </c>
      <c r="K121" s="272">
        <v>41.6</v>
      </c>
      <c r="L121" s="272">
        <v>42.6</v>
      </c>
    </row>
    <row r="122" spans="1:12" ht="26.4" customHeight="1">
      <c r="A122" s="201">
        <v>50</v>
      </c>
      <c r="B122" s="549"/>
      <c r="C122" s="202" t="s">
        <v>1054</v>
      </c>
      <c r="D122" s="201" t="s">
        <v>1353</v>
      </c>
      <c r="E122" s="215" t="s">
        <v>2338</v>
      </c>
      <c r="F122" s="201">
        <v>70002</v>
      </c>
      <c r="G122" s="201">
        <v>2009</v>
      </c>
      <c r="H122" s="475" t="s">
        <v>631</v>
      </c>
      <c r="I122" s="201">
        <v>150</v>
      </c>
      <c r="J122" s="272">
        <v>49.1</v>
      </c>
      <c r="K122" s="272">
        <v>20.8</v>
      </c>
      <c r="L122" s="272">
        <v>28.3</v>
      </c>
    </row>
    <row r="123" spans="1:12" ht="26.4" customHeight="1">
      <c r="A123" s="201">
        <v>51</v>
      </c>
      <c r="B123" s="549"/>
      <c r="C123" s="202" t="s">
        <v>1054</v>
      </c>
      <c r="D123" s="201" t="s">
        <v>1353</v>
      </c>
      <c r="E123" s="215" t="s">
        <v>2338</v>
      </c>
      <c r="F123" s="201">
        <v>1030548</v>
      </c>
      <c r="G123" s="201">
        <v>2016</v>
      </c>
      <c r="H123" s="475" t="s">
        <v>631</v>
      </c>
      <c r="I123" s="201">
        <v>12</v>
      </c>
      <c r="J123" s="272">
        <v>3.5</v>
      </c>
      <c r="K123" s="272">
        <v>1.1000000000000001</v>
      </c>
      <c r="L123" s="272">
        <v>2.4</v>
      </c>
    </row>
    <row r="124" spans="1:12" ht="26.4" customHeight="1">
      <c r="A124" s="201">
        <v>52</v>
      </c>
      <c r="B124" s="549"/>
      <c r="C124" s="202" t="s">
        <v>1054</v>
      </c>
      <c r="D124" s="201" t="s">
        <v>1353</v>
      </c>
      <c r="E124" s="215" t="s">
        <v>2338</v>
      </c>
      <c r="F124" s="201">
        <v>1030547</v>
      </c>
      <c r="G124" s="201">
        <v>2012</v>
      </c>
      <c r="H124" s="475" t="s">
        <v>631</v>
      </c>
      <c r="I124" s="201">
        <v>60</v>
      </c>
      <c r="J124" s="272">
        <v>71.7</v>
      </c>
      <c r="K124" s="272">
        <v>7.1</v>
      </c>
      <c r="L124" s="272">
        <v>64.599999999999994</v>
      </c>
    </row>
    <row r="125" spans="1:12" ht="26.4" customHeight="1">
      <c r="A125" s="201">
        <v>53</v>
      </c>
      <c r="B125" s="549"/>
      <c r="C125" s="202" t="s">
        <v>1054</v>
      </c>
      <c r="D125" s="201" t="s">
        <v>1353</v>
      </c>
      <c r="E125" s="215" t="s">
        <v>2338</v>
      </c>
      <c r="F125" s="201">
        <v>56005</v>
      </c>
      <c r="G125" s="201">
        <v>2010</v>
      </c>
      <c r="H125" s="475" t="s">
        <v>631</v>
      </c>
      <c r="I125" s="201">
        <v>180</v>
      </c>
      <c r="J125" s="272">
        <v>204.9</v>
      </c>
      <c r="K125" s="272">
        <v>46.2</v>
      </c>
      <c r="L125" s="272">
        <v>158.69999999999999</v>
      </c>
    </row>
    <row r="126" spans="1:12" ht="26.4" customHeight="1">
      <c r="A126" s="201">
        <v>54</v>
      </c>
      <c r="B126" s="549"/>
      <c r="C126" s="202" t="s">
        <v>1054</v>
      </c>
      <c r="D126" s="201" t="s">
        <v>1353</v>
      </c>
      <c r="E126" s="215" t="s">
        <v>2338</v>
      </c>
      <c r="F126" s="201">
        <v>56004</v>
      </c>
      <c r="G126" s="201">
        <v>2010</v>
      </c>
      <c r="H126" s="475" t="s">
        <v>631</v>
      </c>
      <c r="I126" s="201">
        <v>240</v>
      </c>
      <c r="J126" s="272">
        <v>273.2</v>
      </c>
      <c r="K126" s="272">
        <v>61.6</v>
      </c>
      <c r="L126" s="272">
        <v>211.6</v>
      </c>
    </row>
    <row r="127" spans="1:12" ht="26.4" customHeight="1">
      <c r="A127" s="201">
        <v>55</v>
      </c>
      <c r="B127" s="549"/>
      <c r="C127" s="202" t="s">
        <v>1054</v>
      </c>
      <c r="D127" s="201" t="s">
        <v>1353</v>
      </c>
      <c r="E127" s="215" t="s">
        <v>2338</v>
      </c>
      <c r="F127" s="201" t="s">
        <v>1057</v>
      </c>
      <c r="G127" s="201">
        <v>2009</v>
      </c>
      <c r="H127" s="475" t="s">
        <v>631</v>
      </c>
      <c r="I127" s="201">
        <v>185</v>
      </c>
      <c r="J127" s="272">
        <v>58.9</v>
      </c>
      <c r="K127" s="272">
        <v>24.9</v>
      </c>
      <c r="L127" s="272">
        <v>34</v>
      </c>
    </row>
    <row r="128" spans="1:12" ht="26.4" customHeight="1">
      <c r="A128" s="201">
        <v>56</v>
      </c>
      <c r="B128" s="549"/>
      <c r="C128" s="202" t="s">
        <v>1054</v>
      </c>
      <c r="D128" s="201" t="s">
        <v>1353</v>
      </c>
      <c r="E128" s="215" t="s">
        <v>2338</v>
      </c>
      <c r="F128" s="201">
        <v>51438</v>
      </c>
      <c r="G128" s="201">
        <v>2010</v>
      </c>
      <c r="H128" s="475" t="s">
        <v>631</v>
      </c>
      <c r="I128" s="201">
        <v>6</v>
      </c>
      <c r="J128" s="272">
        <v>4.2</v>
      </c>
      <c r="K128" s="272">
        <v>1.5</v>
      </c>
      <c r="L128" s="272">
        <v>2.7</v>
      </c>
    </row>
    <row r="129" spans="1:12" ht="26.4" customHeight="1">
      <c r="A129" s="201">
        <v>57</v>
      </c>
      <c r="B129" s="549"/>
      <c r="C129" s="202" t="s">
        <v>1054</v>
      </c>
      <c r="D129" s="201" t="s">
        <v>1353</v>
      </c>
      <c r="E129" s="215" t="s">
        <v>2338</v>
      </c>
      <c r="F129" s="201" t="s">
        <v>1056</v>
      </c>
      <c r="G129" s="201">
        <v>2014</v>
      </c>
      <c r="H129" s="475" t="s">
        <v>631</v>
      </c>
      <c r="I129" s="201">
        <v>64.5</v>
      </c>
      <c r="J129" s="272">
        <v>11.7</v>
      </c>
      <c r="K129" s="272">
        <v>1.6</v>
      </c>
      <c r="L129" s="272">
        <v>10.1</v>
      </c>
    </row>
    <row r="130" spans="1:12" ht="26.4" customHeight="1">
      <c r="A130" s="201">
        <v>58</v>
      </c>
      <c r="B130" s="549"/>
      <c r="C130" s="202" t="s">
        <v>1054</v>
      </c>
      <c r="D130" s="201" t="s">
        <v>1353</v>
      </c>
      <c r="E130" s="215" t="s">
        <v>2338</v>
      </c>
      <c r="F130" s="201" t="s">
        <v>1055</v>
      </c>
      <c r="G130" s="201">
        <v>2015</v>
      </c>
      <c r="H130" s="475" t="s">
        <v>631</v>
      </c>
      <c r="I130" s="201">
        <v>50.3</v>
      </c>
      <c r="J130" s="272">
        <v>14.4</v>
      </c>
      <c r="K130" s="272">
        <v>1.9</v>
      </c>
      <c r="L130" s="272">
        <v>12.5</v>
      </c>
    </row>
    <row r="131" spans="1:12" ht="26.4" customHeight="1">
      <c r="A131" s="201">
        <v>59</v>
      </c>
      <c r="B131" s="549"/>
      <c r="C131" s="202" t="s">
        <v>1054</v>
      </c>
      <c r="D131" s="201" t="s">
        <v>2053</v>
      </c>
      <c r="E131" s="215" t="s">
        <v>2338</v>
      </c>
      <c r="F131" s="201">
        <v>93615</v>
      </c>
      <c r="G131" s="201">
        <v>2004</v>
      </c>
      <c r="H131" s="475" t="s">
        <v>631</v>
      </c>
      <c r="I131" s="201">
        <v>3266.02</v>
      </c>
      <c r="J131" s="272">
        <v>166.2</v>
      </c>
      <c r="K131" s="272">
        <v>118.7</v>
      </c>
      <c r="L131" s="272">
        <v>47.5</v>
      </c>
    </row>
    <row r="132" spans="1:12" ht="26.4" customHeight="1">
      <c r="A132" s="201">
        <v>60</v>
      </c>
      <c r="B132" s="549"/>
      <c r="C132" s="202" t="s">
        <v>1054</v>
      </c>
      <c r="D132" s="201" t="s">
        <v>2053</v>
      </c>
      <c r="E132" s="215" t="s">
        <v>2338</v>
      </c>
      <c r="F132" s="201" t="s">
        <v>1053</v>
      </c>
      <c r="G132" s="201">
        <v>2009</v>
      </c>
      <c r="H132" s="475" t="s">
        <v>631</v>
      </c>
      <c r="I132" s="201">
        <v>186</v>
      </c>
      <c r="J132" s="272">
        <v>65.400000000000006</v>
      </c>
      <c r="K132" s="272">
        <v>27.7</v>
      </c>
      <c r="L132" s="272">
        <v>37.700000000000003</v>
      </c>
    </row>
    <row r="133" spans="1:12" ht="26.4" customHeight="1">
      <c r="A133" s="201">
        <v>61</v>
      </c>
      <c r="B133" s="549"/>
      <c r="C133" s="202" t="s">
        <v>981</v>
      </c>
      <c r="D133" s="201" t="s">
        <v>2054</v>
      </c>
      <c r="E133" s="215" t="s">
        <v>2338</v>
      </c>
      <c r="F133" s="201" t="s">
        <v>1052</v>
      </c>
      <c r="G133" s="201">
        <v>1974</v>
      </c>
      <c r="H133" s="475" t="s">
        <v>631</v>
      </c>
      <c r="I133" s="201">
        <v>2570</v>
      </c>
      <c r="J133" s="272">
        <v>59.6</v>
      </c>
      <c r="K133" s="272">
        <v>50.5</v>
      </c>
      <c r="L133" s="272">
        <v>9.1</v>
      </c>
    </row>
    <row r="134" spans="1:12" ht="26.4" customHeight="1">
      <c r="A134" s="201">
        <v>62</v>
      </c>
      <c r="B134" s="549"/>
      <c r="C134" s="202" t="s">
        <v>981</v>
      </c>
      <c r="D134" s="201" t="s">
        <v>2054</v>
      </c>
      <c r="E134" s="215" t="s">
        <v>2338</v>
      </c>
      <c r="F134" s="201" t="s">
        <v>1051</v>
      </c>
      <c r="G134" s="201">
        <v>1974</v>
      </c>
      <c r="H134" s="475" t="s">
        <v>631</v>
      </c>
      <c r="I134" s="201">
        <v>3856.76</v>
      </c>
      <c r="J134" s="272">
        <v>633.70000000000005</v>
      </c>
      <c r="K134" s="272">
        <v>633.70000000000005</v>
      </c>
      <c r="L134" s="272">
        <v>0</v>
      </c>
    </row>
    <row r="135" spans="1:12" ht="26.4" customHeight="1">
      <c r="A135" s="201">
        <v>63</v>
      </c>
      <c r="B135" s="549"/>
      <c r="C135" s="202" t="s">
        <v>981</v>
      </c>
      <c r="D135" s="201" t="s">
        <v>2054</v>
      </c>
      <c r="E135" s="215" t="s">
        <v>2338</v>
      </c>
      <c r="F135" s="201" t="s">
        <v>1050</v>
      </c>
      <c r="G135" s="201">
        <v>2010</v>
      </c>
      <c r="H135" s="475" t="s">
        <v>631</v>
      </c>
      <c r="I135" s="201">
        <v>82.7</v>
      </c>
      <c r="J135" s="272">
        <v>72</v>
      </c>
      <c r="K135" s="272">
        <v>10.3</v>
      </c>
      <c r="L135" s="272">
        <v>61.7</v>
      </c>
    </row>
    <row r="136" spans="1:12" ht="26.4" customHeight="1">
      <c r="A136" s="201">
        <v>64</v>
      </c>
      <c r="B136" s="549"/>
      <c r="C136" s="202" t="s">
        <v>981</v>
      </c>
      <c r="D136" s="201" t="s">
        <v>2054</v>
      </c>
      <c r="E136" s="215" t="s">
        <v>2338</v>
      </c>
      <c r="F136" s="201" t="s">
        <v>1049</v>
      </c>
      <c r="G136" s="201">
        <v>2010</v>
      </c>
      <c r="H136" s="475" t="s">
        <v>631</v>
      </c>
      <c r="I136" s="201">
        <v>30</v>
      </c>
      <c r="J136" s="272">
        <v>3.7</v>
      </c>
      <c r="K136" s="272">
        <v>1.8</v>
      </c>
      <c r="L136" s="272">
        <v>1.9</v>
      </c>
    </row>
    <row r="137" spans="1:12" ht="26.4" customHeight="1">
      <c r="A137" s="201">
        <v>65</v>
      </c>
      <c r="B137" s="549"/>
      <c r="C137" s="202" t="s">
        <v>981</v>
      </c>
      <c r="D137" s="201" t="s">
        <v>2054</v>
      </c>
      <c r="E137" s="215" t="s">
        <v>2338</v>
      </c>
      <c r="F137" s="201" t="s">
        <v>1048</v>
      </c>
      <c r="G137" s="201">
        <v>2011</v>
      </c>
      <c r="H137" s="475" t="s">
        <v>631</v>
      </c>
      <c r="I137" s="201">
        <v>96</v>
      </c>
      <c r="J137" s="272">
        <v>63</v>
      </c>
      <c r="K137" s="272">
        <v>14.8</v>
      </c>
      <c r="L137" s="272">
        <v>48.2</v>
      </c>
    </row>
    <row r="138" spans="1:12" ht="26.4" customHeight="1">
      <c r="A138" s="201">
        <v>66</v>
      </c>
      <c r="B138" s="549"/>
      <c r="C138" s="202" t="s">
        <v>981</v>
      </c>
      <c r="D138" s="201" t="s">
        <v>2054</v>
      </c>
      <c r="E138" s="215" t="s">
        <v>2338</v>
      </c>
      <c r="F138" s="201" t="s">
        <v>1047</v>
      </c>
      <c r="G138" s="201">
        <v>2007</v>
      </c>
      <c r="H138" s="475" t="s">
        <v>631</v>
      </c>
      <c r="I138" s="201">
        <v>229.48</v>
      </c>
      <c r="J138" s="272">
        <v>94.6</v>
      </c>
      <c r="K138" s="272">
        <v>33.200000000000003</v>
      </c>
      <c r="L138" s="272">
        <v>61.4</v>
      </c>
    </row>
    <row r="139" spans="1:12" ht="26.4" customHeight="1">
      <c r="A139" s="201">
        <v>67</v>
      </c>
      <c r="B139" s="549"/>
      <c r="C139" s="202" t="s">
        <v>981</v>
      </c>
      <c r="D139" s="201" t="s">
        <v>2054</v>
      </c>
      <c r="E139" s="215" t="s">
        <v>2338</v>
      </c>
      <c r="F139" s="201" t="s">
        <v>1046</v>
      </c>
      <c r="G139" s="201">
        <v>2010</v>
      </c>
      <c r="H139" s="475" t="s">
        <v>631</v>
      </c>
      <c r="I139" s="201">
        <v>220.5</v>
      </c>
      <c r="J139" s="272">
        <v>75.3</v>
      </c>
      <c r="K139" s="272">
        <v>33.700000000000003</v>
      </c>
      <c r="L139" s="272">
        <v>41.6</v>
      </c>
    </row>
    <row r="140" spans="1:12" ht="26.4" customHeight="1">
      <c r="A140" s="201">
        <v>68</v>
      </c>
      <c r="B140" s="549"/>
      <c r="C140" s="202" t="s">
        <v>981</v>
      </c>
      <c r="D140" s="201" t="s">
        <v>2054</v>
      </c>
      <c r="E140" s="215" t="s">
        <v>2338</v>
      </c>
      <c r="F140" s="201" t="s">
        <v>1045</v>
      </c>
      <c r="G140" s="201">
        <v>2009</v>
      </c>
      <c r="H140" s="475" t="s">
        <v>631</v>
      </c>
      <c r="I140" s="201">
        <v>213.6</v>
      </c>
      <c r="J140" s="272">
        <v>143.69999999999999</v>
      </c>
      <c r="K140" s="272">
        <v>71.5</v>
      </c>
      <c r="L140" s="272">
        <v>72.2</v>
      </c>
    </row>
    <row r="141" spans="1:12" ht="26.4" customHeight="1">
      <c r="A141" s="201">
        <v>69</v>
      </c>
      <c r="B141" s="549"/>
      <c r="C141" s="202" t="s">
        <v>981</v>
      </c>
      <c r="D141" s="201" t="s">
        <v>2042</v>
      </c>
      <c r="E141" s="215" t="s">
        <v>2338</v>
      </c>
      <c r="F141" s="201" t="s">
        <v>1044</v>
      </c>
      <c r="G141" s="201">
        <v>1970</v>
      </c>
      <c r="H141" s="475" t="s">
        <v>631</v>
      </c>
      <c r="I141" s="201">
        <v>3395</v>
      </c>
      <c r="J141" s="272">
        <v>463.5</v>
      </c>
      <c r="K141" s="272">
        <v>463.5</v>
      </c>
      <c r="L141" s="272">
        <v>0</v>
      </c>
    </row>
    <row r="142" spans="1:12" ht="26.4" customHeight="1">
      <c r="A142" s="201">
        <v>70</v>
      </c>
      <c r="B142" s="549"/>
      <c r="C142" s="202" t="s">
        <v>981</v>
      </c>
      <c r="D142" s="201" t="s">
        <v>2042</v>
      </c>
      <c r="E142" s="215" t="s">
        <v>2338</v>
      </c>
      <c r="F142" s="201" t="s">
        <v>1043</v>
      </c>
      <c r="G142" s="201">
        <v>2016</v>
      </c>
      <c r="H142" s="475" t="s">
        <v>631</v>
      </c>
      <c r="I142" s="201">
        <v>174.17</v>
      </c>
      <c r="J142" s="272">
        <v>86.9</v>
      </c>
      <c r="K142" s="272">
        <v>6.8</v>
      </c>
      <c r="L142" s="272">
        <v>80.099999999999994</v>
      </c>
    </row>
    <row r="143" spans="1:12" ht="26.4" customHeight="1">
      <c r="A143" s="201">
        <v>71</v>
      </c>
      <c r="B143" s="549"/>
      <c r="C143" s="202" t="s">
        <v>981</v>
      </c>
      <c r="D143" s="201" t="s">
        <v>2043</v>
      </c>
      <c r="E143" s="215" t="s">
        <v>2338</v>
      </c>
      <c r="F143" s="201" t="s">
        <v>1042</v>
      </c>
      <c r="G143" s="201">
        <v>2009</v>
      </c>
      <c r="H143" s="475" t="s">
        <v>631</v>
      </c>
      <c r="I143" s="201">
        <v>298</v>
      </c>
      <c r="J143" s="272">
        <v>58.7</v>
      </c>
      <c r="K143" s="272">
        <v>21.3</v>
      </c>
      <c r="L143" s="272">
        <v>37.4</v>
      </c>
    </row>
    <row r="144" spans="1:12" ht="26.4" customHeight="1">
      <c r="A144" s="201">
        <v>72</v>
      </c>
      <c r="B144" s="549"/>
      <c r="C144" s="202" t="s">
        <v>981</v>
      </c>
      <c r="D144" s="201" t="s">
        <v>2043</v>
      </c>
      <c r="E144" s="215" t="s">
        <v>2338</v>
      </c>
      <c r="F144" s="201" t="s">
        <v>1041</v>
      </c>
      <c r="G144" s="201">
        <v>1968</v>
      </c>
      <c r="H144" s="475" t="s">
        <v>631</v>
      </c>
      <c r="I144" s="201">
        <v>1840</v>
      </c>
      <c r="J144" s="272">
        <v>112.1</v>
      </c>
      <c r="K144" s="272">
        <v>92.8</v>
      </c>
      <c r="L144" s="272">
        <v>19.3</v>
      </c>
    </row>
    <row r="145" spans="1:12" ht="26.4" customHeight="1">
      <c r="A145" s="201">
        <v>73</v>
      </c>
      <c r="B145" s="549"/>
      <c r="C145" s="202" t="s">
        <v>981</v>
      </c>
      <c r="D145" s="201" t="s">
        <v>2043</v>
      </c>
      <c r="E145" s="215" t="s">
        <v>2338</v>
      </c>
      <c r="F145" s="201" t="s">
        <v>1040</v>
      </c>
      <c r="G145" s="201">
        <v>1968</v>
      </c>
      <c r="H145" s="475" t="s">
        <v>631</v>
      </c>
      <c r="I145" s="201">
        <v>2860</v>
      </c>
      <c r="J145" s="272">
        <v>896.5</v>
      </c>
      <c r="K145" s="272">
        <v>813.3</v>
      </c>
      <c r="L145" s="272">
        <v>83.2</v>
      </c>
    </row>
    <row r="146" spans="1:12" ht="26.4" customHeight="1">
      <c r="A146" s="201">
        <v>74</v>
      </c>
      <c r="B146" s="549"/>
      <c r="C146" s="202" t="s">
        <v>981</v>
      </c>
      <c r="D146" s="201" t="s">
        <v>2043</v>
      </c>
      <c r="E146" s="215" t="s">
        <v>2338</v>
      </c>
      <c r="F146" s="201" t="s">
        <v>1039</v>
      </c>
      <c r="G146" s="201">
        <v>2008</v>
      </c>
      <c r="H146" s="475" t="s">
        <v>631</v>
      </c>
      <c r="I146" s="201">
        <v>84</v>
      </c>
      <c r="J146" s="272">
        <v>28.4</v>
      </c>
      <c r="K146" s="272">
        <v>15.6</v>
      </c>
      <c r="L146" s="272">
        <v>12.8</v>
      </c>
    </row>
    <row r="147" spans="1:12" ht="26.4" customHeight="1">
      <c r="A147" s="201">
        <v>75</v>
      </c>
      <c r="B147" s="549"/>
      <c r="C147" s="202" t="s">
        <v>981</v>
      </c>
      <c r="D147" s="201" t="s">
        <v>2043</v>
      </c>
      <c r="E147" s="215" t="s">
        <v>2338</v>
      </c>
      <c r="F147" s="201" t="s">
        <v>1038</v>
      </c>
      <c r="G147" s="201">
        <v>2012</v>
      </c>
      <c r="H147" s="475" t="s">
        <v>631</v>
      </c>
      <c r="I147" s="201">
        <v>516</v>
      </c>
      <c r="J147" s="272">
        <v>300.89999999999998</v>
      </c>
      <c r="K147" s="272">
        <v>93.7</v>
      </c>
      <c r="L147" s="272">
        <v>207.2</v>
      </c>
    </row>
    <row r="148" spans="1:12" ht="26.4" customHeight="1">
      <c r="A148" s="201">
        <v>76</v>
      </c>
      <c r="B148" s="549"/>
      <c r="C148" s="202" t="s">
        <v>981</v>
      </c>
      <c r="D148" s="201" t="s">
        <v>2043</v>
      </c>
      <c r="E148" s="215" t="s">
        <v>2338</v>
      </c>
      <c r="F148" s="201" t="s">
        <v>1037</v>
      </c>
      <c r="G148" s="201">
        <v>2009</v>
      </c>
      <c r="H148" s="475" t="s">
        <v>631</v>
      </c>
      <c r="I148" s="201">
        <v>137</v>
      </c>
      <c r="J148" s="272">
        <v>59.9</v>
      </c>
      <c r="K148" s="272">
        <v>30.7</v>
      </c>
      <c r="L148" s="272">
        <v>29.2</v>
      </c>
    </row>
    <row r="149" spans="1:12" ht="26.4" customHeight="1">
      <c r="A149" s="201">
        <v>77</v>
      </c>
      <c r="B149" s="549"/>
      <c r="C149" s="202" t="s">
        <v>981</v>
      </c>
      <c r="D149" s="201" t="s">
        <v>2043</v>
      </c>
      <c r="E149" s="215" t="s">
        <v>2338</v>
      </c>
      <c r="F149" s="201" t="s">
        <v>1036</v>
      </c>
      <c r="G149" s="201">
        <v>2012</v>
      </c>
      <c r="H149" s="475" t="s">
        <v>631</v>
      </c>
      <c r="I149" s="201">
        <v>515</v>
      </c>
      <c r="J149" s="272">
        <v>138.69999999999999</v>
      </c>
      <c r="K149" s="272">
        <v>22.3</v>
      </c>
      <c r="L149" s="272">
        <v>116.4</v>
      </c>
    </row>
    <row r="150" spans="1:12" ht="26.4" customHeight="1">
      <c r="A150" s="201">
        <v>78</v>
      </c>
      <c r="B150" s="549"/>
      <c r="C150" s="202" t="s">
        <v>981</v>
      </c>
      <c r="D150" s="201" t="s">
        <v>2055</v>
      </c>
      <c r="E150" s="215" t="s">
        <v>2338</v>
      </c>
      <c r="F150" s="201" t="s">
        <v>1035</v>
      </c>
      <c r="G150" s="201">
        <v>1996</v>
      </c>
      <c r="H150" s="475" t="s">
        <v>631</v>
      </c>
      <c r="I150" s="201">
        <v>356</v>
      </c>
      <c r="J150" s="272">
        <v>129.9</v>
      </c>
      <c r="K150" s="272">
        <v>129.9</v>
      </c>
      <c r="L150" s="272">
        <v>0</v>
      </c>
    </row>
    <row r="151" spans="1:12" ht="26.4" customHeight="1">
      <c r="A151" s="201">
        <v>79</v>
      </c>
      <c r="B151" s="549"/>
      <c r="C151" s="202" t="s">
        <v>981</v>
      </c>
      <c r="D151" s="201" t="s">
        <v>2056</v>
      </c>
      <c r="E151" s="215" t="s">
        <v>2338</v>
      </c>
      <c r="F151" s="201" t="s">
        <v>1034</v>
      </c>
      <c r="G151" s="201">
        <v>1996</v>
      </c>
      <c r="H151" s="475" t="s">
        <v>631</v>
      </c>
      <c r="I151" s="201">
        <v>4003.55</v>
      </c>
      <c r="J151" s="272">
        <v>510.1</v>
      </c>
      <c r="K151" s="272">
        <v>458.5</v>
      </c>
      <c r="L151" s="272">
        <v>51.6</v>
      </c>
    </row>
    <row r="152" spans="1:12" ht="26.4" customHeight="1">
      <c r="A152" s="201">
        <v>80</v>
      </c>
      <c r="B152" s="549"/>
      <c r="C152" s="202" t="s">
        <v>981</v>
      </c>
      <c r="D152" s="201" t="s">
        <v>2056</v>
      </c>
      <c r="E152" s="215" t="s">
        <v>2338</v>
      </c>
      <c r="F152" s="201" t="s">
        <v>1033</v>
      </c>
      <c r="G152" s="201">
        <v>2009</v>
      </c>
      <c r="H152" s="475" t="s">
        <v>631</v>
      </c>
      <c r="I152" s="201">
        <v>46.45</v>
      </c>
      <c r="J152" s="272">
        <v>12.1</v>
      </c>
      <c r="K152" s="272">
        <v>5.9</v>
      </c>
      <c r="L152" s="272">
        <v>6.2</v>
      </c>
    </row>
    <row r="153" spans="1:12" ht="26.4" customHeight="1">
      <c r="A153" s="201">
        <v>81</v>
      </c>
      <c r="B153" s="549"/>
      <c r="C153" s="202" t="s">
        <v>981</v>
      </c>
      <c r="D153" s="201" t="s">
        <v>2056</v>
      </c>
      <c r="E153" s="215" t="s">
        <v>2338</v>
      </c>
      <c r="F153" s="201" t="s">
        <v>1032</v>
      </c>
      <c r="G153" s="201">
        <v>1996</v>
      </c>
      <c r="H153" s="475" t="s">
        <v>631</v>
      </c>
      <c r="I153" s="201">
        <v>2400</v>
      </c>
      <c r="J153" s="272">
        <v>154.5</v>
      </c>
      <c r="K153" s="272">
        <v>110.2</v>
      </c>
      <c r="L153" s="272">
        <v>44.3</v>
      </c>
    </row>
    <row r="154" spans="1:12" ht="26.4" customHeight="1">
      <c r="A154" s="201">
        <v>82</v>
      </c>
      <c r="B154" s="549"/>
      <c r="C154" s="202" t="s">
        <v>981</v>
      </c>
      <c r="D154" s="201" t="s">
        <v>2049</v>
      </c>
      <c r="E154" s="215" t="s">
        <v>2338</v>
      </c>
      <c r="F154" s="201" t="s">
        <v>1031</v>
      </c>
      <c r="G154" s="201">
        <v>1970</v>
      </c>
      <c r="H154" s="475" t="s">
        <v>631</v>
      </c>
      <c r="I154" s="201">
        <v>1530</v>
      </c>
      <c r="J154" s="272">
        <v>294.89999999999998</v>
      </c>
      <c r="K154" s="272">
        <v>285.7</v>
      </c>
      <c r="L154" s="272">
        <v>9.1999999999999993</v>
      </c>
    </row>
    <row r="155" spans="1:12" ht="26.4" customHeight="1">
      <c r="A155" s="201">
        <v>83</v>
      </c>
      <c r="B155" s="549"/>
      <c r="C155" s="202" t="s">
        <v>981</v>
      </c>
      <c r="D155" s="201" t="s">
        <v>2057</v>
      </c>
      <c r="E155" s="215" t="s">
        <v>2338</v>
      </c>
      <c r="F155" s="201" t="s">
        <v>1030</v>
      </c>
      <c r="G155" s="201">
        <v>1984</v>
      </c>
      <c r="H155" s="475" t="s">
        <v>631</v>
      </c>
      <c r="I155" s="201">
        <v>1292</v>
      </c>
      <c r="J155" s="272">
        <v>14.6</v>
      </c>
      <c r="K155" s="272">
        <v>14.4</v>
      </c>
      <c r="L155" s="272">
        <v>0.2</v>
      </c>
    </row>
    <row r="156" spans="1:12" ht="26.4" customHeight="1">
      <c r="A156" s="201">
        <v>84</v>
      </c>
      <c r="B156" s="549"/>
      <c r="C156" s="202" t="s">
        <v>981</v>
      </c>
      <c r="D156" s="201" t="s">
        <v>2057</v>
      </c>
      <c r="E156" s="215" t="s">
        <v>2338</v>
      </c>
      <c r="F156" s="201" t="s">
        <v>1029</v>
      </c>
      <c r="G156" s="201">
        <v>2010</v>
      </c>
      <c r="H156" s="475" t="s">
        <v>631</v>
      </c>
      <c r="I156" s="201">
        <v>114.8</v>
      </c>
      <c r="J156" s="272">
        <v>67</v>
      </c>
      <c r="K156" s="272">
        <v>9.6999999999999993</v>
      </c>
      <c r="L156" s="272">
        <v>57.3</v>
      </c>
    </row>
    <row r="157" spans="1:12" ht="26.4" customHeight="1">
      <c r="A157" s="201">
        <v>85</v>
      </c>
      <c r="B157" s="549"/>
      <c r="C157" s="202" t="s">
        <v>981</v>
      </c>
      <c r="D157" s="201" t="s">
        <v>2057</v>
      </c>
      <c r="E157" s="215" t="s">
        <v>2338</v>
      </c>
      <c r="F157" s="201" t="s">
        <v>1028</v>
      </c>
      <c r="G157" s="201">
        <v>2003</v>
      </c>
      <c r="H157" s="475" t="s">
        <v>631</v>
      </c>
      <c r="I157" s="201">
        <v>803</v>
      </c>
      <c r="J157" s="272">
        <v>48.1</v>
      </c>
      <c r="K157" s="272">
        <v>48.1</v>
      </c>
      <c r="L157" s="272">
        <v>0</v>
      </c>
    </row>
    <row r="158" spans="1:12" ht="26.4" customHeight="1">
      <c r="A158" s="201">
        <v>86</v>
      </c>
      <c r="B158" s="549"/>
      <c r="C158" s="202" t="s">
        <v>981</v>
      </c>
      <c r="D158" s="201" t="s">
        <v>2057</v>
      </c>
      <c r="E158" s="215" t="s">
        <v>2338</v>
      </c>
      <c r="F158" s="201" t="s">
        <v>1027</v>
      </c>
      <c r="G158" s="201">
        <v>1984</v>
      </c>
      <c r="H158" s="475" t="s">
        <v>631</v>
      </c>
      <c r="I158" s="201">
        <v>5008</v>
      </c>
      <c r="J158" s="272">
        <v>138.9</v>
      </c>
      <c r="K158" s="272">
        <v>138.9</v>
      </c>
      <c r="L158" s="272">
        <v>0</v>
      </c>
    </row>
    <row r="159" spans="1:12" ht="26.4" customHeight="1">
      <c r="A159" s="201">
        <v>87</v>
      </c>
      <c r="B159" s="549"/>
      <c r="C159" s="202" t="s">
        <v>981</v>
      </c>
      <c r="D159" s="201" t="s">
        <v>2051</v>
      </c>
      <c r="E159" s="215" t="s">
        <v>2338</v>
      </c>
      <c r="F159" s="201" t="s">
        <v>1026</v>
      </c>
      <c r="G159" s="201">
        <v>2004</v>
      </c>
      <c r="H159" s="475" t="s">
        <v>631</v>
      </c>
      <c r="I159" s="201">
        <v>250</v>
      </c>
      <c r="J159" s="272">
        <v>34.1</v>
      </c>
      <c r="K159" s="272">
        <v>34.1</v>
      </c>
      <c r="L159" s="272">
        <v>0</v>
      </c>
    </row>
    <row r="160" spans="1:12" ht="26.4" customHeight="1">
      <c r="A160" s="201">
        <v>88</v>
      </c>
      <c r="B160" s="549"/>
      <c r="C160" s="202" t="s">
        <v>981</v>
      </c>
      <c r="D160" s="201" t="s">
        <v>2051</v>
      </c>
      <c r="E160" s="215" t="s">
        <v>2338</v>
      </c>
      <c r="F160" s="201" t="s">
        <v>1025</v>
      </c>
      <c r="G160" s="201">
        <v>2010</v>
      </c>
      <c r="H160" s="475" t="s">
        <v>631</v>
      </c>
      <c r="I160" s="201">
        <v>285.89999999999998</v>
      </c>
      <c r="J160" s="272">
        <v>278.2</v>
      </c>
      <c r="K160" s="272">
        <v>40.299999999999997</v>
      </c>
      <c r="L160" s="272">
        <v>237.9</v>
      </c>
    </row>
    <row r="161" spans="1:12" ht="26.4" customHeight="1">
      <c r="A161" s="201">
        <v>89</v>
      </c>
      <c r="B161" s="549"/>
      <c r="C161" s="202" t="s">
        <v>981</v>
      </c>
      <c r="D161" s="201" t="s">
        <v>2051</v>
      </c>
      <c r="E161" s="215" t="s">
        <v>2338</v>
      </c>
      <c r="F161" s="201" t="s">
        <v>1024</v>
      </c>
      <c r="G161" s="201">
        <v>2009</v>
      </c>
      <c r="H161" s="475" t="s">
        <v>631</v>
      </c>
      <c r="I161" s="201">
        <v>88.7</v>
      </c>
      <c r="J161" s="272">
        <v>34.799999999999997</v>
      </c>
      <c r="K161" s="272">
        <v>19</v>
      </c>
      <c r="L161" s="272">
        <v>15.8</v>
      </c>
    </row>
    <row r="162" spans="1:12" ht="26.4" customHeight="1">
      <c r="A162" s="201">
        <v>90</v>
      </c>
      <c r="B162" s="549"/>
      <c r="C162" s="202" t="s">
        <v>981</v>
      </c>
      <c r="D162" s="201" t="s">
        <v>2051</v>
      </c>
      <c r="E162" s="215" t="s">
        <v>2338</v>
      </c>
      <c r="F162" s="201" t="s">
        <v>1023</v>
      </c>
      <c r="G162" s="201">
        <v>2003</v>
      </c>
      <c r="H162" s="475" t="s">
        <v>631</v>
      </c>
      <c r="I162" s="201">
        <v>369</v>
      </c>
      <c r="J162" s="272">
        <v>36.1</v>
      </c>
      <c r="K162" s="272">
        <v>36.1</v>
      </c>
      <c r="L162" s="272">
        <v>0</v>
      </c>
    </row>
    <row r="163" spans="1:12" ht="26.4" customHeight="1">
      <c r="A163" s="201">
        <v>91</v>
      </c>
      <c r="B163" s="549"/>
      <c r="C163" s="202" t="s">
        <v>981</v>
      </c>
      <c r="D163" s="201" t="s">
        <v>2051</v>
      </c>
      <c r="E163" s="215" t="s">
        <v>2338</v>
      </c>
      <c r="F163" s="201">
        <v>1030574</v>
      </c>
      <c r="G163" s="201">
        <v>2013</v>
      </c>
      <c r="H163" s="475" t="s">
        <v>631</v>
      </c>
      <c r="I163" s="201">
        <v>79.400000000000006</v>
      </c>
      <c r="J163" s="272">
        <v>57.5</v>
      </c>
      <c r="K163" s="272">
        <v>14.6</v>
      </c>
      <c r="L163" s="272">
        <v>42.9</v>
      </c>
    </row>
    <row r="164" spans="1:12" ht="26.4" customHeight="1">
      <c r="A164" s="201">
        <v>92</v>
      </c>
      <c r="B164" s="549"/>
      <c r="C164" s="202" t="s">
        <v>981</v>
      </c>
      <c r="D164" s="201" t="s">
        <v>2051</v>
      </c>
      <c r="E164" s="215" t="s">
        <v>2338</v>
      </c>
      <c r="F164" s="201" t="s">
        <v>1022</v>
      </c>
      <c r="G164" s="201">
        <v>1935</v>
      </c>
      <c r="H164" s="475" t="s">
        <v>631</v>
      </c>
      <c r="I164" s="201">
        <v>3446</v>
      </c>
      <c r="J164" s="272">
        <v>66.2</v>
      </c>
      <c r="K164" s="272">
        <v>66.2</v>
      </c>
      <c r="L164" s="272">
        <v>0</v>
      </c>
    </row>
    <row r="165" spans="1:12" ht="26.4" customHeight="1">
      <c r="A165" s="201">
        <v>93</v>
      </c>
      <c r="B165" s="549"/>
      <c r="C165" s="202" t="s">
        <v>981</v>
      </c>
      <c r="D165" s="201" t="s">
        <v>2052</v>
      </c>
      <c r="E165" s="215" t="s">
        <v>2338</v>
      </c>
      <c r="F165" s="201" t="s">
        <v>1021</v>
      </c>
      <c r="G165" s="201">
        <v>1935</v>
      </c>
      <c r="H165" s="475" t="s">
        <v>631</v>
      </c>
      <c r="I165" s="201">
        <v>4713.3</v>
      </c>
      <c r="J165" s="272">
        <v>540.5</v>
      </c>
      <c r="K165" s="272">
        <v>371.7</v>
      </c>
      <c r="L165" s="272">
        <v>168.8</v>
      </c>
    </row>
    <row r="166" spans="1:12" ht="26.4" customHeight="1">
      <c r="A166" s="201">
        <v>94</v>
      </c>
      <c r="B166" s="549"/>
      <c r="C166" s="202" t="s">
        <v>981</v>
      </c>
      <c r="D166" s="201" t="s">
        <v>2052</v>
      </c>
      <c r="E166" s="215" t="s">
        <v>2338</v>
      </c>
      <c r="F166" s="201" t="s">
        <v>1020</v>
      </c>
      <c r="G166" s="201">
        <v>2010</v>
      </c>
      <c r="H166" s="475" t="s">
        <v>631</v>
      </c>
      <c r="I166" s="201">
        <v>60.7</v>
      </c>
      <c r="J166" s="272">
        <v>36.799999999999997</v>
      </c>
      <c r="K166" s="272">
        <v>5.4</v>
      </c>
      <c r="L166" s="272">
        <v>31.4</v>
      </c>
    </row>
    <row r="167" spans="1:12" ht="26.4" customHeight="1">
      <c r="A167" s="203">
        <v>95</v>
      </c>
      <c r="B167" s="549"/>
      <c r="C167" s="221" t="s">
        <v>981</v>
      </c>
      <c r="D167" s="201" t="s">
        <v>2052</v>
      </c>
      <c r="E167" s="215" t="s">
        <v>2338</v>
      </c>
      <c r="F167" s="203" t="s">
        <v>1019</v>
      </c>
      <c r="G167" s="203">
        <v>2017</v>
      </c>
      <c r="H167" s="475" t="s">
        <v>631</v>
      </c>
      <c r="I167" s="201">
        <v>20</v>
      </c>
      <c r="J167" s="273">
        <v>7.8</v>
      </c>
      <c r="K167" s="273">
        <v>0.1</v>
      </c>
      <c r="L167" s="273">
        <v>7.7</v>
      </c>
    </row>
    <row r="168" spans="1:12" ht="26.4" customHeight="1">
      <c r="A168" s="203">
        <v>96</v>
      </c>
      <c r="B168" s="549"/>
      <c r="C168" s="221" t="s">
        <v>981</v>
      </c>
      <c r="D168" s="201" t="s">
        <v>2052</v>
      </c>
      <c r="E168" s="215" t="s">
        <v>2338</v>
      </c>
      <c r="F168" s="203" t="s">
        <v>1018</v>
      </c>
      <c r="G168" s="203">
        <v>2017</v>
      </c>
      <c r="H168" s="475" t="s">
        <v>631</v>
      </c>
      <c r="I168" s="201">
        <v>112</v>
      </c>
      <c r="J168" s="273">
        <v>67</v>
      </c>
      <c r="K168" s="273">
        <v>0.7</v>
      </c>
      <c r="L168" s="273">
        <v>66.3</v>
      </c>
    </row>
    <row r="169" spans="1:12" ht="26.4" customHeight="1">
      <c r="A169" s="203">
        <v>97</v>
      </c>
      <c r="B169" s="549"/>
      <c r="C169" s="221" t="s">
        <v>981</v>
      </c>
      <c r="D169" s="201" t="s">
        <v>2052</v>
      </c>
      <c r="E169" s="215" t="s">
        <v>2338</v>
      </c>
      <c r="F169" s="203" t="s">
        <v>1017</v>
      </c>
      <c r="G169" s="203">
        <v>2017</v>
      </c>
      <c r="H169" s="475" t="s">
        <v>631</v>
      </c>
      <c r="I169" s="201">
        <v>95</v>
      </c>
      <c r="J169" s="273">
        <v>74.099999999999994</v>
      </c>
      <c r="K169" s="273">
        <v>0.8</v>
      </c>
      <c r="L169" s="273">
        <v>73.3</v>
      </c>
    </row>
    <row r="170" spans="1:12" ht="26.4" customHeight="1">
      <c r="A170" s="201">
        <v>98</v>
      </c>
      <c r="B170" s="549"/>
      <c r="C170" s="202" t="s">
        <v>981</v>
      </c>
      <c r="D170" s="201" t="s">
        <v>2058</v>
      </c>
      <c r="E170" s="215" t="s">
        <v>2338</v>
      </c>
      <c r="F170" s="201" t="s">
        <v>1016</v>
      </c>
      <c r="G170" s="201">
        <v>2011</v>
      </c>
      <c r="H170" s="475" t="s">
        <v>631</v>
      </c>
      <c r="I170" s="201">
        <v>42.2</v>
      </c>
      <c r="J170" s="272">
        <v>13.9</v>
      </c>
      <c r="K170" s="272">
        <v>3.3</v>
      </c>
      <c r="L170" s="272">
        <v>10.6</v>
      </c>
    </row>
    <row r="171" spans="1:12" ht="26.4" customHeight="1">
      <c r="A171" s="201">
        <v>99</v>
      </c>
      <c r="B171" s="549"/>
      <c r="C171" s="202" t="s">
        <v>981</v>
      </c>
      <c r="D171" s="201" t="s">
        <v>2058</v>
      </c>
      <c r="E171" s="215" t="s">
        <v>2338</v>
      </c>
      <c r="F171" s="201" t="s">
        <v>1015</v>
      </c>
      <c r="G171" s="201">
        <v>2009</v>
      </c>
      <c r="H171" s="475" t="s">
        <v>631</v>
      </c>
      <c r="I171" s="201">
        <v>53</v>
      </c>
      <c r="J171" s="272">
        <v>14.8</v>
      </c>
      <c r="K171" s="272">
        <v>7.2</v>
      </c>
      <c r="L171" s="272">
        <v>7.6</v>
      </c>
    </row>
    <row r="172" spans="1:12" ht="26.4" customHeight="1">
      <c r="A172" s="201">
        <v>100</v>
      </c>
      <c r="B172" s="549"/>
      <c r="C172" s="202" t="s">
        <v>981</v>
      </c>
      <c r="D172" s="201" t="s">
        <v>2058</v>
      </c>
      <c r="E172" s="215" t="s">
        <v>2338</v>
      </c>
      <c r="F172" s="201" t="s">
        <v>1014</v>
      </c>
      <c r="G172" s="201">
        <v>2009</v>
      </c>
      <c r="H172" s="475" t="s">
        <v>631</v>
      </c>
      <c r="I172" s="201">
        <v>73.8</v>
      </c>
      <c r="J172" s="272">
        <v>28.1</v>
      </c>
      <c r="K172" s="272">
        <v>13.9</v>
      </c>
      <c r="L172" s="272">
        <v>14.2</v>
      </c>
    </row>
    <row r="173" spans="1:12" ht="26.4" customHeight="1">
      <c r="A173" s="201">
        <v>101</v>
      </c>
      <c r="B173" s="549"/>
      <c r="C173" s="202" t="s">
        <v>981</v>
      </c>
      <c r="D173" s="201" t="s">
        <v>2058</v>
      </c>
      <c r="E173" s="215" t="s">
        <v>2338</v>
      </c>
      <c r="F173" s="201" t="s">
        <v>1013</v>
      </c>
      <c r="G173" s="201">
        <v>2011</v>
      </c>
      <c r="H173" s="475" t="s">
        <v>631</v>
      </c>
      <c r="I173" s="201">
        <v>120</v>
      </c>
      <c r="J173" s="272">
        <v>223.9</v>
      </c>
      <c r="K173" s="272">
        <v>28</v>
      </c>
      <c r="L173" s="272">
        <v>195.9</v>
      </c>
    </row>
    <row r="174" spans="1:12" ht="26.4" customHeight="1">
      <c r="A174" s="201">
        <v>102</v>
      </c>
      <c r="B174" s="549"/>
      <c r="C174" s="202" t="s">
        <v>981</v>
      </c>
      <c r="D174" s="201" t="s">
        <v>2058</v>
      </c>
      <c r="E174" s="215" t="s">
        <v>2338</v>
      </c>
      <c r="F174" s="201" t="s">
        <v>1012</v>
      </c>
      <c r="G174" s="201">
        <v>2009</v>
      </c>
      <c r="H174" s="475" t="s">
        <v>631</v>
      </c>
      <c r="I174" s="201">
        <v>751.6</v>
      </c>
      <c r="J174" s="272">
        <v>295.3</v>
      </c>
      <c r="K174" s="272">
        <v>159.69999999999999</v>
      </c>
      <c r="L174" s="272">
        <v>135.6</v>
      </c>
    </row>
    <row r="175" spans="1:12" ht="26.4" customHeight="1">
      <c r="A175" s="201">
        <v>103</v>
      </c>
      <c r="B175" s="549"/>
      <c r="C175" s="202" t="s">
        <v>981</v>
      </c>
      <c r="D175" s="201" t="s">
        <v>2058</v>
      </c>
      <c r="E175" s="215" t="s">
        <v>2338</v>
      </c>
      <c r="F175" s="201" t="s">
        <v>1011</v>
      </c>
      <c r="G175" s="201">
        <v>2008</v>
      </c>
      <c r="H175" s="475" t="s">
        <v>631</v>
      </c>
      <c r="I175" s="201">
        <v>421.3</v>
      </c>
      <c r="J175" s="272">
        <v>220.7</v>
      </c>
      <c r="K175" s="272">
        <v>121.3</v>
      </c>
      <c r="L175" s="272">
        <v>99.4</v>
      </c>
    </row>
    <row r="176" spans="1:12" ht="26.4" customHeight="1">
      <c r="A176" s="201">
        <v>104</v>
      </c>
      <c r="B176" s="549"/>
      <c r="C176" s="202" t="s">
        <v>981</v>
      </c>
      <c r="D176" s="201" t="s">
        <v>2058</v>
      </c>
      <c r="E176" s="215" t="s">
        <v>2338</v>
      </c>
      <c r="F176" s="201">
        <v>1010178</v>
      </c>
      <c r="G176" s="201">
        <v>1960</v>
      </c>
      <c r="H176" s="475" t="s">
        <v>631</v>
      </c>
      <c r="I176" s="201">
        <v>5219</v>
      </c>
      <c r="J176" s="272">
        <v>320.39999999999998</v>
      </c>
      <c r="K176" s="272">
        <v>135.9</v>
      </c>
      <c r="L176" s="272">
        <v>184.5</v>
      </c>
    </row>
    <row r="177" spans="1:12" ht="26.4" customHeight="1">
      <c r="A177" s="201">
        <v>105</v>
      </c>
      <c r="B177" s="549"/>
      <c r="C177" s="202" t="s">
        <v>981</v>
      </c>
      <c r="D177" s="201" t="s">
        <v>2058</v>
      </c>
      <c r="E177" s="215" t="s">
        <v>2338</v>
      </c>
      <c r="F177" s="201" t="s">
        <v>1010</v>
      </c>
      <c r="G177" s="201">
        <v>2003</v>
      </c>
      <c r="H177" s="475" t="s">
        <v>631</v>
      </c>
      <c r="I177" s="201">
        <v>214.5</v>
      </c>
      <c r="J177" s="272">
        <v>14.5</v>
      </c>
      <c r="K177" s="272">
        <v>9.5</v>
      </c>
      <c r="L177" s="272">
        <v>5</v>
      </c>
    </row>
    <row r="178" spans="1:12" ht="26.4" customHeight="1">
      <c r="A178" s="201">
        <v>106</v>
      </c>
      <c r="B178" s="549"/>
      <c r="C178" s="202" t="s">
        <v>981</v>
      </c>
      <c r="D178" s="201" t="s">
        <v>2058</v>
      </c>
      <c r="E178" s="215" t="s">
        <v>2338</v>
      </c>
      <c r="F178" s="201" t="s">
        <v>1009</v>
      </c>
      <c r="G178" s="201">
        <v>2003</v>
      </c>
      <c r="H178" s="475" t="s">
        <v>631</v>
      </c>
      <c r="I178" s="201">
        <v>32</v>
      </c>
      <c r="J178" s="272">
        <v>4.4000000000000004</v>
      </c>
      <c r="K178" s="272">
        <v>3.3</v>
      </c>
      <c r="L178" s="272">
        <v>1.1000000000000001</v>
      </c>
    </row>
    <row r="179" spans="1:12" ht="26.4" customHeight="1">
      <c r="A179" s="201">
        <v>107</v>
      </c>
      <c r="B179" s="549"/>
      <c r="C179" s="202" t="s">
        <v>981</v>
      </c>
      <c r="D179" s="201" t="s">
        <v>2058</v>
      </c>
      <c r="E179" s="215" t="s">
        <v>2338</v>
      </c>
      <c r="F179" s="201" t="s">
        <v>1008</v>
      </c>
      <c r="G179" s="201">
        <v>2013</v>
      </c>
      <c r="H179" s="475" t="s">
        <v>631</v>
      </c>
      <c r="I179" s="201">
        <v>23.4</v>
      </c>
      <c r="J179" s="272">
        <v>9.1</v>
      </c>
      <c r="K179" s="272">
        <v>2.4</v>
      </c>
      <c r="L179" s="272">
        <v>6.7</v>
      </c>
    </row>
    <row r="180" spans="1:12" ht="26.4" customHeight="1">
      <c r="A180" s="201">
        <v>108</v>
      </c>
      <c r="B180" s="549"/>
      <c r="C180" s="202" t="s">
        <v>981</v>
      </c>
      <c r="D180" s="201" t="s">
        <v>2058</v>
      </c>
      <c r="E180" s="215" t="s">
        <v>2338</v>
      </c>
      <c r="F180" s="201" t="s">
        <v>1007</v>
      </c>
      <c r="G180" s="201">
        <v>2014</v>
      </c>
      <c r="H180" s="475" t="s">
        <v>631</v>
      </c>
      <c r="I180" s="201">
        <v>133.19</v>
      </c>
      <c r="J180" s="272">
        <v>165.8</v>
      </c>
      <c r="K180" s="272">
        <v>70.2</v>
      </c>
      <c r="L180" s="272">
        <v>95.6</v>
      </c>
    </row>
    <row r="181" spans="1:12" ht="26.4" customHeight="1">
      <c r="A181" s="201">
        <v>109</v>
      </c>
      <c r="B181" s="549"/>
      <c r="C181" s="202" t="s">
        <v>981</v>
      </c>
      <c r="D181" s="201" t="s">
        <v>2058</v>
      </c>
      <c r="E181" s="215" t="s">
        <v>2338</v>
      </c>
      <c r="F181" s="201">
        <v>1000178</v>
      </c>
      <c r="G181" s="201">
        <v>1960</v>
      </c>
      <c r="H181" s="475" t="s">
        <v>631</v>
      </c>
      <c r="I181" s="201">
        <v>4303.7</v>
      </c>
      <c r="J181" s="272">
        <v>487.8</v>
      </c>
      <c r="K181" s="272">
        <v>300.5</v>
      </c>
      <c r="L181" s="272">
        <v>187.3</v>
      </c>
    </row>
    <row r="182" spans="1:12" ht="26.4" customHeight="1">
      <c r="A182" s="203">
        <v>110</v>
      </c>
      <c r="B182" s="549"/>
      <c r="C182" s="221" t="s">
        <v>981</v>
      </c>
      <c r="D182" s="201" t="s">
        <v>2058</v>
      </c>
      <c r="E182" s="215" t="s">
        <v>2338</v>
      </c>
      <c r="F182" s="203" t="s">
        <v>1006</v>
      </c>
      <c r="G182" s="203">
        <v>2017</v>
      </c>
      <c r="H182" s="475" t="s">
        <v>631</v>
      </c>
      <c r="I182" s="201">
        <v>15.91</v>
      </c>
      <c r="J182" s="273">
        <v>10.6</v>
      </c>
      <c r="K182" s="273">
        <v>0.1</v>
      </c>
      <c r="L182" s="273">
        <v>10.5</v>
      </c>
    </row>
    <row r="183" spans="1:12" ht="26.4" customHeight="1">
      <c r="A183" s="203">
        <v>111</v>
      </c>
      <c r="B183" s="549"/>
      <c r="C183" s="221" t="s">
        <v>981</v>
      </c>
      <c r="D183" s="201" t="s">
        <v>2058</v>
      </c>
      <c r="E183" s="215" t="s">
        <v>2338</v>
      </c>
      <c r="F183" s="203" t="s">
        <v>1005</v>
      </c>
      <c r="G183" s="203">
        <v>2017</v>
      </c>
      <c r="H183" s="475" t="s">
        <v>631</v>
      </c>
      <c r="I183" s="201">
        <v>237.74</v>
      </c>
      <c r="J183" s="273">
        <v>136.1</v>
      </c>
      <c r="K183" s="273">
        <v>1.4</v>
      </c>
      <c r="L183" s="273">
        <v>134.69999999999999</v>
      </c>
    </row>
    <row r="184" spans="1:12" ht="26.4" customHeight="1">
      <c r="A184" s="201">
        <v>112</v>
      </c>
      <c r="B184" s="549"/>
      <c r="C184" s="202" t="s">
        <v>981</v>
      </c>
      <c r="D184" s="201" t="s">
        <v>2058</v>
      </c>
      <c r="E184" s="215" t="s">
        <v>2338</v>
      </c>
      <c r="F184" s="201">
        <v>1030517</v>
      </c>
      <c r="G184" s="201">
        <v>2011</v>
      </c>
      <c r="H184" s="475" t="s">
        <v>631</v>
      </c>
      <c r="I184" s="201">
        <v>105</v>
      </c>
      <c r="J184" s="272">
        <v>137</v>
      </c>
      <c r="K184" s="272">
        <v>17.100000000000001</v>
      </c>
      <c r="L184" s="272">
        <v>119.9</v>
      </c>
    </row>
    <row r="185" spans="1:12" ht="26.4" customHeight="1">
      <c r="A185" s="201">
        <v>113</v>
      </c>
      <c r="B185" s="549"/>
      <c r="C185" s="202" t="s">
        <v>981</v>
      </c>
      <c r="D185" s="201" t="s">
        <v>2038</v>
      </c>
      <c r="E185" s="215" t="s">
        <v>2338</v>
      </c>
      <c r="F185" s="201" t="s">
        <v>1004</v>
      </c>
      <c r="G185" s="201">
        <v>2006</v>
      </c>
      <c r="H185" s="475" t="s">
        <v>631</v>
      </c>
      <c r="I185" s="201">
        <v>76</v>
      </c>
      <c r="J185" s="272">
        <v>454.2</v>
      </c>
      <c r="K185" s="272">
        <v>337</v>
      </c>
      <c r="L185" s="272">
        <v>117.2</v>
      </c>
    </row>
    <row r="186" spans="1:12" ht="26.4" customHeight="1">
      <c r="A186" s="201">
        <v>114</v>
      </c>
      <c r="B186" s="549"/>
      <c r="C186" s="202" t="s">
        <v>981</v>
      </c>
      <c r="D186" s="201" t="s">
        <v>2038</v>
      </c>
      <c r="E186" s="215" t="s">
        <v>2338</v>
      </c>
      <c r="F186" s="201" t="s">
        <v>1003</v>
      </c>
      <c r="G186" s="201">
        <v>2006</v>
      </c>
      <c r="H186" s="475" t="s">
        <v>631</v>
      </c>
      <c r="I186" s="201">
        <v>96</v>
      </c>
      <c r="J186" s="272">
        <v>29.8</v>
      </c>
      <c r="K186" s="272">
        <v>17</v>
      </c>
      <c r="L186" s="272">
        <v>12.8</v>
      </c>
    </row>
    <row r="187" spans="1:12" ht="26.4" customHeight="1">
      <c r="A187" s="201">
        <v>115</v>
      </c>
      <c r="B187" s="549"/>
      <c r="C187" s="202" t="s">
        <v>981</v>
      </c>
      <c r="D187" s="201" t="s">
        <v>2038</v>
      </c>
      <c r="E187" s="215" t="s">
        <v>2338</v>
      </c>
      <c r="F187" s="201" t="s">
        <v>1002</v>
      </c>
      <c r="G187" s="201">
        <v>2009</v>
      </c>
      <c r="H187" s="475" t="s">
        <v>631</v>
      </c>
      <c r="I187" s="201">
        <v>66</v>
      </c>
      <c r="J187" s="272">
        <v>27.6</v>
      </c>
      <c r="K187" s="272">
        <v>13.9</v>
      </c>
      <c r="L187" s="272">
        <v>13.7</v>
      </c>
    </row>
    <row r="188" spans="1:12" ht="26.4" customHeight="1">
      <c r="A188" s="201">
        <v>116</v>
      </c>
      <c r="B188" s="549"/>
      <c r="C188" s="202" t="s">
        <v>981</v>
      </c>
      <c r="D188" s="201" t="s">
        <v>2038</v>
      </c>
      <c r="E188" s="215" t="s">
        <v>2338</v>
      </c>
      <c r="F188" s="201" t="s">
        <v>1001</v>
      </c>
      <c r="G188" s="201">
        <v>2006</v>
      </c>
      <c r="H188" s="475" t="s">
        <v>631</v>
      </c>
      <c r="I188" s="201">
        <v>88</v>
      </c>
      <c r="J188" s="272">
        <v>97.7</v>
      </c>
      <c r="K188" s="272">
        <v>57.9</v>
      </c>
      <c r="L188" s="272">
        <v>39.799999999999997</v>
      </c>
    </row>
    <row r="189" spans="1:12" ht="26.4" customHeight="1">
      <c r="A189" s="201">
        <v>117</v>
      </c>
      <c r="B189" s="549"/>
      <c r="C189" s="202" t="s">
        <v>981</v>
      </c>
      <c r="D189" s="201" t="s">
        <v>2038</v>
      </c>
      <c r="E189" s="215" t="s">
        <v>2338</v>
      </c>
      <c r="F189" s="201" t="s">
        <v>1000</v>
      </c>
      <c r="G189" s="201">
        <v>2009</v>
      </c>
      <c r="H189" s="475" t="s">
        <v>631</v>
      </c>
      <c r="I189" s="201">
        <v>260</v>
      </c>
      <c r="J189" s="272">
        <v>144.4</v>
      </c>
      <c r="K189" s="272">
        <v>73.900000000000006</v>
      </c>
      <c r="L189" s="272">
        <v>70.5</v>
      </c>
    </row>
    <row r="190" spans="1:12" ht="26.4" customHeight="1">
      <c r="A190" s="203">
        <v>118</v>
      </c>
      <c r="B190" s="549"/>
      <c r="C190" s="221" t="s">
        <v>981</v>
      </c>
      <c r="D190" s="201" t="s">
        <v>2038</v>
      </c>
      <c r="E190" s="215" t="s">
        <v>2338</v>
      </c>
      <c r="F190" s="203" t="s">
        <v>999</v>
      </c>
      <c r="G190" s="203">
        <v>2017</v>
      </c>
      <c r="H190" s="475" t="s">
        <v>631</v>
      </c>
      <c r="I190" s="201">
        <v>175.5</v>
      </c>
      <c r="J190" s="273">
        <v>119.4</v>
      </c>
      <c r="K190" s="273">
        <v>1.2</v>
      </c>
      <c r="L190" s="273">
        <v>118.2</v>
      </c>
    </row>
    <row r="191" spans="1:12" ht="26.4" customHeight="1">
      <c r="A191" s="201">
        <v>119</v>
      </c>
      <c r="B191" s="549"/>
      <c r="C191" s="202" t="s">
        <v>981</v>
      </c>
      <c r="D191" s="201" t="s">
        <v>2038</v>
      </c>
      <c r="E191" s="215" t="s">
        <v>2338</v>
      </c>
      <c r="F191" s="201">
        <v>1030575</v>
      </c>
      <c r="G191" s="201">
        <v>2013</v>
      </c>
      <c r="H191" s="475" t="s">
        <v>631</v>
      </c>
      <c r="I191" s="201">
        <v>72.12</v>
      </c>
      <c r="J191" s="272">
        <v>41.4</v>
      </c>
      <c r="K191" s="272">
        <v>10.6</v>
      </c>
      <c r="L191" s="272">
        <v>30.8</v>
      </c>
    </row>
    <row r="192" spans="1:12" ht="26.4" customHeight="1">
      <c r="A192" s="201">
        <v>120</v>
      </c>
      <c r="B192" s="549"/>
      <c r="C192" s="202" t="s">
        <v>981</v>
      </c>
      <c r="D192" s="201" t="s">
        <v>2038</v>
      </c>
      <c r="E192" s="215" t="s">
        <v>2338</v>
      </c>
      <c r="F192" s="201" t="s">
        <v>998</v>
      </c>
      <c r="G192" s="201">
        <v>1991</v>
      </c>
      <c r="H192" s="475" t="s">
        <v>631</v>
      </c>
      <c r="I192" s="201">
        <v>2878</v>
      </c>
      <c r="J192" s="272">
        <v>35.200000000000003</v>
      </c>
      <c r="K192" s="272">
        <v>27.4</v>
      </c>
      <c r="L192" s="272">
        <v>7.8</v>
      </c>
    </row>
    <row r="193" spans="1:12" ht="26.4" customHeight="1">
      <c r="A193" s="201">
        <v>121</v>
      </c>
      <c r="B193" s="549"/>
      <c r="C193" s="202" t="s">
        <v>981</v>
      </c>
      <c r="D193" s="201" t="s">
        <v>2038</v>
      </c>
      <c r="E193" s="215" t="s">
        <v>2338</v>
      </c>
      <c r="F193" s="201" t="s">
        <v>997</v>
      </c>
      <c r="G193" s="201">
        <v>1991</v>
      </c>
      <c r="H193" s="475" t="s">
        <v>631</v>
      </c>
      <c r="I193" s="201">
        <v>5564</v>
      </c>
      <c r="J193" s="272">
        <v>121</v>
      </c>
      <c r="K193" s="272">
        <v>106.4</v>
      </c>
      <c r="L193" s="272">
        <v>14.6</v>
      </c>
    </row>
    <row r="194" spans="1:12" ht="26.4" customHeight="1">
      <c r="A194" s="201">
        <v>122</v>
      </c>
      <c r="B194" s="549"/>
      <c r="C194" s="202" t="s">
        <v>981</v>
      </c>
      <c r="D194" s="201" t="s">
        <v>2038</v>
      </c>
      <c r="E194" s="215" t="s">
        <v>2338</v>
      </c>
      <c r="F194" s="201">
        <v>1030459</v>
      </c>
      <c r="G194" s="201">
        <v>2010</v>
      </c>
      <c r="H194" s="475" t="s">
        <v>631</v>
      </c>
      <c r="I194" s="201">
        <v>68</v>
      </c>
      <c r="J194" s="272">
        <v>39.200000000000003</v>
      </c>
      <c r="K194" s="272">
        <v>5.7</v>
      </c>
      <c r="L194" s="272">
        <v>33.5</v>
      </c>
    </row>
    <row r="195" spans="1:12" ht="26.4" customHeight="1">
      <c r="A195" s="201">
        <v>123</v>
      </c>
      <c r="B195" s="549"/>
      <c r="C195" s="202" t="s">
        <v>981</v>
      </c>
      <c r="D195" s="201" t="s">
        <v>2038</v>
      </c>
      <c r="E195" s="215" t="s">
        <v>2338</v>
      </c>
      <c r="F195" s="201" t="s">
        <v>996</v>
      </c>
      <c r="G195" s="201">
        <v>2011</v>
      </c>
      <c r="H195" s="475" t="s">
        <v>631</v>
      </c>
      <c r="I195" s="201">
        <v>176</v>
      </c>
      <c r="J195" s="272">
        <v>289.10000000000002</v>
      </c>
      <c r="K195" s="272">
        <v>36.1</v>
      </c>
      <c r="L195" s="272">
        <v>253</v>
      </c>
    </row>
    <row r="196" spans="1:12" ht="26.4" customHeight="1">
      <c r="A196" s="201">
        <v>124</v>
      </c>
      <c r="B196" s="549"/>
      <c r="C196" s="202" t="s">
        <v>981</v>
      </c>
      <c r="D196" s="201" t="s">
        <v>2038</v>
      </c>
      <c r="E196" s="215" t="s">
        <v>2338</v>
      </c>
      <c r="F196" s="201">
        <v>1030702</v>
      </c>
      <c r="G196" s="201">
        <v>2016</v>
      </c>
      <c r="H196" s="475" t="s">
        <v>631</v>
      </c>
      <c r="I196" s="201">
        <v>104.1</v>
      </c>
      <c r="J196" s="272">
        <v>126.6</v>
      </c>
      <c r="K196" s="272">
        <v>9.9</v>
      </c>
      <c r="L196" s="272">
        <v>116.7</v>
      </c>
    </row>
    <row r="197" spans="1:12" ht="26.4" customHeight="1">
      <c r="A197" s="201">
        <v>125</v>
      </c>
      <c r="B197" s="549"/>
      <c r="C197" s="202" t="s">
        <v>981</v>
      </c>
      <c r="D197" s="201" t="s">
        <v>2038</v>
      </c>
      <c r="E197" s="215" t="s">
        <v>2338</v>
      </c>
      <c r="F197" s="201" t="s">
        <v>995</v>
      </c>
      <c r="G197" s="201">
        <v>2013</v>
      </c>
      <c r="H197" s="475" t="s">
        <v>631</v>
      </c>
      <c r="I197" s="201">
        <v>172.69</v>
      </c>
      <c r="J197" s="272">
        <v>81.3</v>
      </c>
      <c r="K197" s="272">
        <v>21.4</v>
      </c>
      <c r="L197" s="272">
        <v>59.9</v>
      </c>
    </row>
    <row r="198" spans="1:12" ht="26.4" customHeight="1">
      <c r="A198" s="201">
        <v>126</v>
      </c>
      <c r="B198" s="549"/>
      <c r="C198" s="202" t="s">
        <v>981</v>
      </c>
      <c r="D198" s="201" t="s">
        <v>2039</v>
      </c>
      <c r="E198" s="215" t="s">
        <v>2338</v>
      </c>
      <c r="F198" s="201">
        <v>1010150</v>
      </c>
      <c r="G198" s="201">
        <v>1962</v>
      </c>
      <c r="H198" s="475" t="s">
        <v>631</v>
      </c>
      <c r="I198" s="201">
        <v>3118</v>
      </c>
      <c r="J198" s="272">
        <f>334.2</f>
        <v>334.2</v>
      </c>
      <c r="K198" s="272">
        <f>220.7</f>
        <v>220.7</v>
      </c>
      <c r="L198" s="272">
        <f>113.5</f>
        <v>113.5</v>
      </c>
    </row>
    <row r="199" spans="1:12" ht="26.4" customHeight="1">
      <c r="A199" s="201">
        <v>127</v>
      </c>
      <c r="B199" s="549"/>
      <c r="C199" s="202" t="s">
        <v>981</v>
      </c>
      <c r="D199" s="201" t="s">
        <v>2039</v>
      </c>
      <c r="E199" s="215" t="s">
        <v>2338</v>
      </c>
      <c r="F199" s="201">
        <v>1030455</v>
      </c>
      <c r="G199" s="201">
        <v>2010</v>
      </c>
      <c r="H199" s="475" t="s">
        <v>631</v>
      </c>
      <c r="I199" s="201">
        <v>89.4</v>
      </c>
      <c r="J199" s="272">
        <v>105.9</v>
      </c>
      <c r="K199" s="272">
        <v>15.4</v>
      </c>
      <c r="L199" s="272">
        <v>90.5</v>
      </c>
    </row>
    <row r="200" spans="1:12" ht="26.4" customHeight="1">
      <c r="A200" s="201">
        <v>128</v>
      </c>
      <c r="B200" s="549"/>
      <c r="C200" s="202" t="s">
        <v>981</v>
      </c>
      <c r="D200" s="201" t="s">
        <v>2039</v>
      </c>
      <c r="E200" s="215" t="s">
        <v>2338</v>
      </c>
      <c r="F200" s="201" t="s">
        <v>994</v>
      </c>
      <c r="G200" s="201">
        <v>2011</v>
      </c>
      <c r="H200" s="475" t="s">
        <v>631</v>
      </c>
      <c r="I200" s="201">
        <v>25</v>
      </c>
      <c r="J200" s="272">
        <v>38.4</v>
      </c>
      <c r="K200" s="272">
        <v>4.8</v>
      </c>
      <c r="L200" s="272">
        <v>33.6</v>
      </c>
    </row>
    <row r="201" spans="1:12" ht="26.4" customHeight="1">
      <c r="A201" s="201">
        <v>129</v>
      </c>
      <c r="B201" s="549"/>
      <c r="C201" s="202" t="s">
        <v>981</v>
      </c>
      <c r="D201" s="201" t="s">
        <v>2039</v>
      </c>
      <c r="E201" s="215" t="s">
        <v>2338</v>
      </c>
      <c r="F201" s="201" t="s">
        <v>993</v>
      </c>
      <c r="G201" s="201">
        <v>2014</v>
      </c>
      <c r="H201" s="475" t="s">
        <v>631</v>
      </c>
      <c r="I201" s="201">
        <v>190</v>
      </c>
      <c r="J201" s="272">
        <v>107.7</v>
      </c>
      <c r="K201" s="272">
        <v>21.9</v>
      </c>
      <c r="L201" s="272">
        <v>85.8</v>
      </c>
    </row>
    <row r="202" spans="1:12" ht="26.4" customHeight="1">
      <c r="A202" s="201">
        <v>130</v>
      </c>
      <c r="B202" s="549"/>
      <c r="C202" s="202" t="s">
        <v>981</v>
      </c>
      <c r="D202" s="201" t="s">
        <v>13323</v>
      </c>
      <c r="E202" s="215" t="s">
        <v>2338</v>
      </c>
      <c r="F202" s="201" t="s">
        <v>992</v>
      </c>
      <c r="G202" s="201">
        <v>2013</v>
      </c>
      <c r="H202" s="475" t="s">
        <v>631</v>
      </c>
      <c r="I202" s="201">
        <v>192.32</v>
      </c>
      <c r="J202" s="272">
        <v>98.1</v>
      </c>
      <c r="K202" s="272">
        <v>26</v>
      </c>
      <c r="L202" s="272">
        <v>72.099999999999994</v>
      </c>
    </row>
    <row r="203" spans="1:12" ht="26.4" customHeight="1">
      <c r="A203" s="201">
        <v>131</v>
      </c>
      <c r="B203" s="549"/>
      <c r="C203" s="202" t="s">
        <v>981</v>
      </c>
      <c r="D203" s="201" t="s">
        <v>13323</v>
      </c>
      <c r="E203" s="215" t="s">
        <v>2338</v>
      </c>
      <c r="F203" s="201" t="s">
        <v>991</v>
      </c>
      <c r="G203" s="201">
        <v>1989</v>
      </c>
      <c r="H203" s="475" t="s">
        <v>631</v>
      </c>
      <c r="I203" s="201">
        <v>1316</v>
      </c>
      <c r="J203" s="272">
        <v>47.7</v>
      </c>
      <c r="K203" s="272">
        <v>21.2</v>
      </c>
      <c r="L203" s="272">
        <v>26.5</v>
      </c>
    </row>
    <row r="204" spans="1:12" ht="26.4" customHeight="1">
      <c r="A204" s="201">
        <v>132</v>
      </c>
      <c r="B204" s="549"/>
      <c r="C204" s="202" t="s">
        <v>981</v>
      </c>
      <c r="D204" s="201" t="s">
        <v>13323</v>
      </c>
      <c r="E204" s="215" t="s">
        <v>2338</v>
      </c>
      <c r="F204" s="201" t="s">
        <v>990</v>
      </c>
      <c r="G204" s="201">
        <v>1989</v>
      </c>
      <c r="H204" s="475" t="s">
        <v>631</v>
      </c>
      <c r="I204" s="201">
        <v>320</v>
      </c>
      <c r="J204" s="272">
        <v>195.7</v>
      </c>
      <c r="K204" s="272">
        <v>42.8</v>
      </c>
      <c r="L204" s="272">
        <v>152.9</v>
      </c>
    </row>
    <row r="205" spans="1:12" ht="26.4" customHeight="1">
      <c r="A205" s="201">
        <v>133</v>
      </c>
      <c r="B205" s="549"/>
      <c r="C205" s="202" t="s">
        <v>981</v>
      </c>
      <c r="D205" s="201" t="s">
        <v>13323</v>
      </c>
      <c r="E205" s="215" t="s">
        <v>2338</v>
      </c>
      <c r="F205" s="201">
        <v>1010141</v>
      </c>
      <c r="G205" s="201">
        <v>1989</v>
      </c>
      <c r="H205" s="475" t="s">
        <v>631</v>
      </c>
      <c r="I205" s="201">
        <v>1393.68</v>
      </c>
      <c r="J205" s="272">
        <v>123.3</v>
      </c>
      <c r="K205" s="272">
        <v>92.9</v>
      </c>
      <c r="L205" s="272">
        <v>30.4</v>
      </c>
    </row>
    <row r="206" spans="1:12" ht="26.4" customHeight="1">
      <c r="A206" s="201">
        <v>134</v>
      </c>
      <c r="B206" s="549"/>
      <c r="C206" s="202" t="s">
        <v>981</v>
      </c>
      <c r="D206" s="201" t="s">
        <v>13323</v>
      </c>
      <c r="E206" s="215" t="s">
        <v>2338</v>
      </c>
      <c r="F206" s="201">
        <v>1030514</v>
      </c>
      <c r="G206" s="201">
        <v>2011</v>
      </c>
      <c r="H206" s="475" t="s">
        <v>631</v>
      </c>
      <c r="I206" s="201">
        <v>31</v>
      </c>
      <c r="J206" s="272">
        <v>45.8</v>
      </c>
      <c r="K206" s="272">
        <v>5.7</v>
      </c>
      <c r="L206" s="272">
        <v>40.1</v>
      </c>
    </row>
    <row r="207" spans="1:12" ht="26.4" customHeight="1">
      <c r="A207" s="201">
        <v>135</v>
      </c>
      <c r="B207" s="549"/>
      <c r="C207" s="202" t="s">
        <v>981</v>
      </c>
      <c r="D207" s="201" t="s">
        <v>2040</v>
      </c>
      <c r="E207" s="215" t="s">
        <v>2338</v>
      </c>
      <c r="F207" s="201" t="s">
        <v>989</v>
      </c>
      <c r="G207" s="201">
        <v>1959</v>
      </c>
      <c r="H207" s="475" t="s">
        <v>631</v>
      </c>
      <c r="I207" s="201">
        <v>252</v>
      </c>
      <c r="J207" s="272">
        <v>12.8</v>
      </c>
      <c r="K207" s="272">
        <v>7.4</v>
      </c>
      <c r="L207" s="272">
        <v>5.4</v>
      </c>
    </row>
    <row r="208" spans="1:12" ht="26.4" customHeight="1">
      <c r="A208" s="201">
        <v>136</v>
      </c>
      <c r="B208" s="549"/>
      <c r="C208" s="202" t="s">
        <v>981</v>
      </c>
      <c r="D208" s="201" t="s">
        <v>2040</v>
      </c>
      <c r="E208" s="215" t="s">
        <v>2338</v>
      </c>
      <c r="F208" s="201" t="s">
        <v>988</v>
      </c>
      <c r="G208" s="201">
        <v>1959</v>
      </c>
      <c r="H208" s="475" t="s">
        <v>631</v>
      </c>
      <c r="I208" s="201">
        <v>2702</v>
      </c>
      <c r="J208" s="272">
        <v>336.3</v>
      </c>
      <c r="K208" s="272">
        <v>273.3</v>
      </c>
      <c r="L208" s="272">
        <v>63</v>
      </c>
    </row>
    <row r="209" spans="1:12" ht="26.4" customHeight="1">
      <c r="A209" s="203">
        <v>137</v>
      </c>
      <c r="B209" s="549"/>
      <c r="C209" s="221" t="s">
        <v>981</v>
      </c>
      <c r="D209" s="201" t="s">
        <v>2040</v>
      </c>
      <c r="E209" s="215" t="s">
        <v>2338</v>
      </c>
      <c r="F209" s="203" t="s">
        <v>987</v>
      </c>
      <c r="G209" s="203">
        <v>2017</v>
      </c>
      <c r="H209" s="475" t="s">
        <v>631</v>
      </c>
      <c r="I209" s="201">
        <v>60</v>
      </c>
      <c r="J209" s="273">
        <v>35.299999999999997</v>
      </c>
      <c r="K209" s="273">
        <v>0.4</v>
      </c>
      <c r="L209" s="273">
        <v>34.9</v>
      </c>
    </row>
    <row r="210" spans="1:12" ht="26.4" customHeight="1">
      <c r="A210" s="201">
        <v>138</v>
      </c>
      <c r="B210" s="549"/>
      <c r="C210" s="202" t="s">
        <v>981</v>
      </c>
      <c r="D210" s="201" t="s">
        <v>2040</v>
      </c>
      <c r="E210" s="215" t="s">
        <v>2338</v>
      </c>
      <c r="F210" s="201">
        <v>1030456</v>
      </c>
      <c r="G210" s="201">
        <v>2010</v>
      </c>
      <c r="H210" s="475" t="s">
        <v>631</v>
      </c>
      <c r="I210" s="201">
        <v>20.5</v>
      </c>
      <c r="J210" s="272">
        <v>13.3</v>
      </c>
      <c r="K210" s="272">
        <v>1.9</v>
      </c>
      <c r="L210" s="272">
        <v>11.4</v>
      </c>
    </row>
    <row r="211" spans="1:12" ht="26.4" customHeight="1">
      <c r="A211" s="201">
        <v>139</v>
      </c>
      <c r="B211" s="549"/>
      <c r="C211" s="202" t="s">
        <v>981</v>
      </c>
      <c r="D211" s="201" t="s">
        <v>2055</v>
      </c>
      <c r="E211" s="215" t="s">
        <v>1840</v>
      </c>
      <c r="F211" s="201" t="s">
        <v>986</v>
      </c>
      <c r="G211" s="201">
        <v>2008</v>
      </c>
      <c r="H211" s="475" t="s">
        <v>1138</v>
      </c>
      <c r="I211" s="201">
        <v>1</v>
      </c>
      <c r="J211" s="272">
        <v>1.8</v>
      </c>
      <c r="K211" s="272">
        <v>1.6</v>
      </c>
      <c r="L211" s="272">
        <v>0.2</v>
      </c>
    </row>
    <row r="212" spans="1:12" ht="26.4" customHeight="1">
      <c r="A212" s="201">
        <v>140</v>
      </c>
      <c r="B212" s="549"/>
      <c r="C212" s="202" t="s">
        <v>981</v>
      </c>
      <c r="D212" s="201" t="s">
        <v>13323</v>
      </c>
      <c r="E212" s="208" t="s">
        <v>13392</v>
      </c>
      <c r="F212" s="201">
        <v>1030564</v>
      </c>
      <c r="G212" s="201">
        <v>2013</v>
      </c>
      <c r="H212" s="475" t="s">
        <v>631</v>
      </c>
      <c r="I212" s="201">
        <v>141</v>
      </c>
      <c r="J212" s="272">
        <v>45.2</v>
      </c>
      <c r="K212" s="272">
        <v>4.0999999999999996</v>
      </c>
      <c r="L212" s="272">
        <v>41.1</v>
      </c>
    </row>
    <row r="213" spans="1:12" ht="26.4" customHeight="1">
      <c r="A213" s="201">
        <v>141</v>
      </c>
      <c r="B213" s="549"/>
      <c r="C213" s="202" t="s">
        <v>981</v>
      </c>
      <c r="D213" s="201" t="s">
        <v>13324</v>
      </c>
      <c r="E213" s="215" t="s">
        <v>985</v>
      </c>
      <c r="F213" s="201">
        <v>1010418</v>
      </c>
      <c r="G213" s="201">
        <v>2010</v>
      </c>
      <c r="H213" s="475" t="s">
        <v>1149</v>
      </c>
      <c r="I213" s="201">
        <v>625</v>
      </c>
      <c r="J213" s="272">
        <v>85.3</v>
      </c>
      <c r="K213" s="272">
        <v>85.3</v>
      </c>
      <c r="L213" s="272">
        <v>0</v>
      </c>
    </row>
    <row r="214" spans="1:12" ht="26.4" customHeight="1">
      <c r="A214" s="201">
        <v>142</v>
      </c>
      <c r="B214" s="549"/>
      <c r="C214" s="202" t="s">
        <v>981</v>
      </c>
      <c r="D214" s="201" t="s">
        <v>2022</v>
      </c>
      <c r="E214" s="215" t="s">
        <v>1839</v>
      </c>
      <c r="F214" s="201">
        <v>1010415</v>
      </c>
      <c r="G214" s="201">
        <v>2010</v>
      </c>
      <c r="H214" s="475" t="s">
        <v>1149</v>
      </c>
      <c r="I214" s="201">
        <v>11.7</v>
      </c>
      <c r="J214" s="272">
        <v>13.4</v>
      </c>
      <c r="K214" s="272">
        <v>9.9</v>
      </c>
      <c r="L214" s="272">
        <v>3.5</v>
      </c>
    </row>
    <row r="215" spans="1:12" ht="26.4" customHeight="1">
      <c r="A215" s="201">
        <v>143</v>
      </c>
      <c r="B215" s="549"/>
      <c r="C215" s="202" t="s">
        <v>981</v>
      </c>
      <c r="D215" s="201" t="s">
        <v>2022</v>
      </c>
      <c r="E215" s="215" t="s">
        <v>984</v>
      </c>
      <c r="F215" s="201">
        <v>1030470</v>
      </c>
      <c r="G215" s="201">
        <v>2010</v>
      </c>
      <c r="H215" s="475" t="s">
        <v>631</v>
      </c>
      <c r="I215" s="201">
        <v>336.5</v>
      </c>
      <c r="J215" s="272">
        <v>14.1</v>
      </c>
      <c r="K215" s="272">
        <v>6.4</v>
      </c>
      <c r="L215" s="272">
        <v>7.7</v>
      </c>
    </row>
    <row r="216" spans="1:12" ht="26.4" customHeight="1">
      <c r="A216" s="201">
        <v>144</v>
      </c>
      <c r="B216" s="549"/>
      <c r="C216" s="202" t="s">
        <v>981</v>
      </c>
      <c r="D216" s="201" t="s">
        <v>2037</v>
      </c>
      <c r="E216" s="215" t="s">
        <v>1222</v>
      </c>
      <c r="F216" s="201" t="s">
        <v>983</v>
      </c>
      <c r="G216" s="201">
        <v>2000</v>
      </c>
      <c r="H216" s="475" t="s">
        <v>631</v>
      </c>
      <c r="I216" s="201">
        <v>43.5</v>
      </c>
      <c r="J216" s="272">
        <v>6.8</v>
      </c>
      <c r="K216" s="272">
        <v>6.4</v>
      </c>
      <c r="L216" s="272">
        <v>0.4</v>
      </c>
    </row>
    <row r="217" spans="1:12" ht="26.4" customHeight="1">
      <c r="A217" s="201">
        <v>145</v>
      </c>
      <c r="B217" s="550"/>
      <c r="C217" s="202" t="s">
        <v>981</v>
      </c>
      <c r="D217" s="201" t="s">
        <v>2022</v>
      </c>
      <c r="E217" s="201" t="s">
        <v>1838</v>
      </c>
      <c r="F217" s="201" t="s">
        <v>980</v>
      </c>
      <c r="G217" s="201">
        <v>2000</v>
      </c>
      <c r="H217" s="475" t="s">
        <v>631</v>
      </c>
      <c r="I217" s="201">
        <v>82</v>
      </c>
      <c r="J217" s="272">
        <v>17.600000000000001</v>
      </c>
      <c r="K217" s="272">
        <v>12.6</v>
      </c>
      <c r="L217" s="272">
        <v>5</v>
      </c>
    </row>
    <row r="218" spans="1:12" s="200" customFormat="1" ht="26.4" customHeight="1">
      <c r="A218" s="238"/>
      <c r="B218" s="302" t="s">
        <v>2215</v>
      </c>
      <c r="C218" s="299" t="s">
        <v>3</v>
      </c>
      <c r="D218" s="205" t="s">
        <v>3</v>
      </c>
      <c r="E218" s="205" t="s">
        <v>3</v>
      </c>
      <c r="F218" s="205" t="s">
        <v>3</v>
      </c>
      <c r="G218" s="205" t="s">
        <v>3</v>
      </c>
      <c r="H218" s="205" t="s">
        <v>3</v>
      </c>
      <c r="I218" s="205" t="s">
        <v>3</v>
      </c>
      <c r="J218" s="293">
        <f>SUM(J73:J217)</f>
        <v>22616.199999999997</v>
      </c>
      <c r="K218" s="293">
        <f>SUM(K73:K217)</f>
        <v>11194.999999999998</v>
      </c>
      <c r="L218" s="293">
        <f>SUM(L73:L217)</f>
        <v>11421.199999999999</v>
      </c>
    </row>
    <row r="219" spans="1:12" ht="26.4" customHeight="1">
      <c r="A219" s="207">
        <v>1</v>
      </c>
      <c r="B219" s="530" t="s">
        <v>2209</v>
      </c>
      <c r="C219" s="288" t="s">
        <v>30</v>
      </c>
      <c r="D219" s="288" t="s">
        <v>1369</v>
      </c>
      <c r="E219" s="288" t="s">
        <v>448</v>
      </c>
      <c r="F219" s="288">
        <v>1030030</v>
      </c>
      <c r="G219" s="288">
        <v>1989</v>
      </c>
      <c r="H219" s="262" t="s">
        <v>1149</v>
      </c>
      <c r="I219" s="208">
        <v>479.2</v>
      </c>
      <c r="J219" s="274">
        <v>1230.5999999999999</v>
      </c>
      <c r="K219" s="274">
        <v>586.1</v>
      </c>
      <c r="L219" s="274">
        <v>644.5</v>
      </c>
    </row>
    <row r="220" spans="1:12" ht="26.4" customHeight="1">
      <c r="A220" s="207">
        <v>2</v>
      </c>
      <c r="B220" s="531"/>
      <c r="C220" s="288" t="s">
        <v>30</v>
      </c>
      <c r="D220" s="288" t="s">
        <v>1368</v>
      </c>
      <c r="E220" s="288" t="s">
        <v>979</v>
      </c>
      <c r="F220" s="288">
        <v>1030022</v>
      </c>
      <c r="G220" s="288">
        <v>1989</v>
      </c>
      <c r="H220" s="262" t="s">
        <v>1149</v>
      </c>
      <c r="I220" s="208">
        <v>138.69999999999999</v>
      </c>
      <c r="J220" s="274">
        <v>7</v>
      </c>
      <c r="K220" s="274">
        <v>7</v>
      </c>
      <c r="L220" s="274">
        <v>0</v>
      </c>
    </row>
    <row r="221" spans="1:12" ht="26.4" customHeight="1">
      <c r="A221" s="207">
        <v>3</v>
      </c>
      <c r="B221" s="531"/>
      <c r="C221" s="288" t="s">
        <v>30</v>
      </c>
      <c r="D221" s="288" t="s">
        <v>1368</v>
      </c>
      <c r="E221" s="288" t="s">
        <v>978</v>
      </c>
      <c r="F221" s="288">
        <v>1030024</v>
      </c>
      <c r="G221" s="288">
        <v>1989</v>
      </c>
      <c r="H221" s="262" t="s">
        <v>1149</v>
      </c>
      <c r="I221" s="208">
        <v>487.3</v>
      </c>
      <c r="J221" s="274">
        <v>259.39999999999998</v>
      </c>
      <c r="K221" s="274">
        <v>167.7</v>
      </c>
      <c r="L221" s="274">
        <v>91.7</v>
      </c>
    </row>
    <row r="222" spans="1:12" ht="26.4" customHeight="1">
      <c r="A222" s="207">
        <v>4</v>
      </c>
      <c r="B222" s="531"/>
      <c r="C222" s="288" t="s">
        <v>30</v>
      </c>
      <c r="D222" s="288" t="s">
        <v>1368</v>
      </c>
      <c r="E222" s="208" t="s">
        <v>2379</v>
      </c>
      <c r="F222" s="288">
        <v>1030028</v>
      </c>
      <c r="G222" s="288">
        <v>1989</v>
      </c>
      <c r="H222" s="262" t="s">
        <v>1149</v>
      </c>
      <c r="I222" s="208">
        <v>314.10000000000002</v>
      </c>
      <c r="J222" s="274">
        <v>406.3</v>
      </c>
      <c r="K222" s="274">
        <v>178.5</v>
      </c>
      <c r="L222" s="274">
        <v>227.8</v>
      </c>
    </row>
    <row r="223" spans="1:12" ht="26.4" customHeight="1">
      <c r="A223" s="207"/>
      <c r="B223" s="531"/>
      <c r="C223" s="288" t="s">
        <v>30</v>
      </c>
      <c r="D223" s="288" t="s">
        <v>2061</v>
      </c>
      <c r="E223" s="288" t="s">
        <v>978</v>
      </c>
      <c r="F223" s="288">
        <v>1030072</v>
      </c>
      <c r="G223" s="288">
        <v>1985</v>
      </c>
      <c r="H223" s="262" t="s">
        <v>1149</v>
      </c>
      <c r="I223" s="208">
        <v>72.2</v>
      </c>
      <c r="J223" s="274">
        <v>42.7</v>
      </c>
      <c r="K223" s="274">
        <v>42.7</v>
      </c>
      <c r="L223" s="274">
        <v>0</v>
      </c>
    </row>
    <row r="224" spans="1:12" ht="26.4" customHeight="1">
      <c r="A224" s="207">
        <v>5</v>
      </c>
      <c r="B224" s="531"/>
      <c r="C224" s="288" t="s">
        <v>30</v>
      </c>
      <c r="D224" s="288" t="s">
        <v>1369</v>
      </c>
      <c r="E224" s="288" t="s">
        <v>977</v>
      </c>
      <c r="F224" s="288">
        <v>1030026</v>
      </c>
      <c r="G224" s="288">
        <v>1989</v>
      </c>
      <c r="H224" s="262" t="s">
        <v>1149</v>
      </c>
      <c r="I224" s="208">
        <v>12.7</v>
      </c>
      <c r="J224" s="274">
        <v>2</v>
      </c>
      <c r="K224" s="274">
        <v>1.9</v>
      </c>
      <c r="L224" s="274">
        <v>0.1</v>
      </c>
    </row>
    <row r="225" spans="1:12" ht="26.4" customHeight="1">
      <c r="A225" s="207">
        <v>6</v>
      </c>
      <c r="B225" s="531"/>
      <c r="C225" s="288" t="s">
        <v>30</v>
      </c>
      <c r="D225" s="288" t="s">
        <v>1369</v>
      </c>
      <c r="E225" s="288" t="s">
        <v>976</v>
      </c>
      <c r="F225" s="288">
        <v>1030027</v>
      </c>
      <c r="G225" s="288">
        <v>1989</v>
      </c>
      <c r="H225" s="262" t="s">
        <v>1149</v>
      </c>
      <c r="I225" s="208">
        <v>165.6</v>
      </c>
      <c r="J225" s="274">
        <v>145.19999999999999</v>
      </c>
      <c r="K225" s="274">
        <v>145.19999999999999</v>
      </c>
      <c r="L225" s="274">
        <v>0</v>
      </c>
    </row>
    <row r="226" spans="1:12" ht="26.4" customHeight="1">
      <c r="A226" s="207">
        <v>7</v>
      </c>
      <c r="B226" s="531"/>
      <c r="C226" s="288" t="s">
        <v>30</v>
      </c>
      <c r="D226" s="288" t="s">
        <v>1368</v>
      </c>
      <c r="E226" s="288" t="s">
        <v>975</v>
      </c>
      <c r="F226" s="288">
        <v>1030471</v>
      </c>
      <c r="G226" s="288">
        <v>2005</v>
      </c>
      <c r="H226" s="262" t="s">
        <v>1149</v>
      </c>
      <c r="I226" s="208">
        <v>6.3</v>
      </c>
      <c r="J226" s="274">
        <v>14.7</v>
      </c>
      <c r="K226" s="274">
        <v>3.2</v>
      </c>
      <c r="L226" s="274">
        <v>11.5</v>
      </c>
    </row>
    <row r="227" spans="1:12" ht="26.4" customHeight="1">
      <c r="A227" s="207">
        <v>8</v>
      </c>
      <c r="B227" s="531"/>
      <c r="C227" s="288" t="s">
        <v>30</v>
      </c>
      <c r="D227" s="288" t="s">
        <v>1354</v>
      </c>
      <c r="E227" s="208" t="s">
        <v>1160</v>
      </c>
      <c r="F227" s="288">
        <v>1030419</v>
      </c>
      <c r="G227" s="288">
        <v>1938</v>
      </c>
      <c r="H227" s="262" t="s">
        <v>1149</v>
      </c>
      <c r="I227" s="208">
        <v>58.2</v>
      </c>
      <c r="J227" s="274">
        <v>225.5</v>
      </c>
      <c r="K227" s="274">
        <v>23.8</v>
      </c>
      <c r="L227" s="274">
        <v>201.7</v>
      </c>
    </row>
    <row r="228" spans="1:12" ht="26.4" customHeight="1">
      <c r="A228" s="207">
        <v>9</v>
      </c>
      <c r="B228" s="531"/>
      <c r="C228" s="288" t="s">
        <v>30</v>
      </c>
      <c r="D228" s="288" t="s">
        <v>2059</v>
      </c>
      <c r="E228" s="208" t="s">
        <v>1161</v>
      </c>
      <c r="F228" s="288">
        <v>1030420</v>
      </c>
      <c r="G228" s="288">
        <v>1938</v>
      </c>
      <c r="H228" s="262" t="s">
        <v>1149</v>
      </c>
      <c r="I228" s="208">
        <v>54.7</v>
      </c>
      <c r="J228" s="274">
        <v>423.8</v>
      </c>
      <c r="K228" s="274">
        <v>42.4</v>
      </c>
      <c r="L228" s="274">
        <v>381.4</v>
      </c>
    </row>
    <row r="229" spans="1:12" ht="26.4" customHeight="1">
      <c r="A229" s="207">
        <v>10</v>
      </c>
      <c r="B229" s="531"/>
      <c r="C229" s="288" t="s">
        <v>30</v>
      </c>
      <c r="D229" s="288" t="s">
        <v>2061</v>
      </c>
      <c r="E229" s="208" t="s">
        <v>2333</v>
      </c>
      <c r="F229" s="288">
        <v>1030056</v>
      </c>
      <c r="G229" s="288">
        <v>1982</v>
      </c>
      <c r="H229" s="262" t="s">
        <v>1149</v>
      </c>
      <c r="I229" s="208">
        <v>135</v>
      </c>
      <c r="J229" s="274">
        <v>290.10000000000002</v>
      </c>
      <c r="K229" s="274">
        <v>168.5</v>
      </c>
      <c r="L229" s="274">
        <v>121.6</v>
      </c>
    </row>
    <row r="230" spans="1:12" ht="26.4" customHeight="1">
      <c r="A230" s="207">
        <v>11</v>
      </c>
      <c r="B230" s="531"/>
      <c r="C230" s="288" t="s">
        <v>30</v>
      </c>
      <c r="D230" s="288" t="s">
        <v>2427</v>
      </c>
      <c r="E230" s="208" t="s">
        <v>2428</v>
      </c>
      <c r="F230" s="288">
        <v>1030545</v>
      </c>
      <c r="G230" s="288">
        <v>2010</v>
      </c>
      <c r="H230" s="262" t="s">
        <v>1149</v>
      </c>
      <c r="I230" s="208">
        <v>60.2</v>
      </c>
      <c r="J230" s="274">
        <v>233.9</v>
      </c>
      <c r="K230" s="274">
        <v>62.4</v>
      </c>
      <c r="L230" s="274">
        <v>171.5</v>
      </c>
    </row>
    <row r="231" spans="1:12" ht="26.4" customHeight="1">
      <c r="A231" s="207">
        <v>12</v>
      </c>
      <c r="B231" s="531"/>
      <c r="C231" s="288" t="s">
        <v>2200</v>
      </c>
      <c r="D231" s="288" t="s">
        <v>1355</v>
      </c>
      <c r="E231" s="208" t="s">
        <v>1811</v>
      </c>
      <c r="F231" s="288">
        <v>1030058</v>
      </c>
      <c r="G231" s="288">
        <v>1982</v>
      </c>
      <c r="H231" s="262" t="s">
        <v>1149</v>
      </c>
      <c r="I231" s="208">
        <v>136.9</v>
      </c>
      <c r="J231" s="274">
        <v>212.4</v>
      </c>
      <c r="K231" s="274">
        <v>96.8</v>
      </c>
      <c r="L231" s="274">
        <v>115.6</v>
      </c>
    </row>
    <row r="232" spans="1:12" ht="26.4" customHeight="1">
      <c r="A232" s="207">
        <v>13</v>
      </c>
      <c r="B232" s="531"/>
      <c r="C232" s="288" t="s">
        <v>30</v>
      </c>
      <c r="D232" s="288" t="s">
        <v>1935</v>
      </c>
      <c r="E232" s="288" t="s">
        <v>2429</v>
      </c>
      <c r="F232" s="288" t="s">
        <v>974</v>
      </c>
      <c r="G232" s="288">
        <v>2014</v>
      </c>
      <c r="H232" s="262" t="s">
        <v>1149</v>
      </c>
      <c r="I232" s="208">
        <v>51.6</v>
      </c>
      <c r="J232" s="274">
        <v>101.1</v>
      </c>
      <c r="K232" s="274">
        <v>15.2</v>
      </c>
      <c r="L232" s="274">
        <v>85.9</v>
      </c>
    </row>
    <row r="233" spans="1:12" ht="26.4" customHeight="1">
      <c r="A233" s="207">
        <v>14</v>
      </c>
      <c r="B233" s="531"/>
      <c r="C233" s="288" t="s">
        <v>30</v>
      </c>
      <c r="D233" s="288" t="s">
        <v>1356</v>
      </c>
      <c r="E233" s="288" t="s">
        <v>973</v>
      </c>
      <c r="F233" s="288" t="s">
        <v>972</v>
      </c>
      <c r="G233" s="288">
        <v>2014</v>
      </c>
      <c r="H233" s="262" t="s">
        <v>1149</v>
      </c>
      <c r="I233" s="208">
        <v>49.8</v>
      </c>
      <c r="J233" s="274">
        <v>149.6</v>
      </c>
      <c r="K233" s="274">
        <v>22.3</v>
      </c>
      <c r="L233" s="274">
        <v>127.3</v>
      </c>
    </row>
    <row r="234" spans="1:12" ht="26.4" customHeight="1">
      <c r="A234" s="207">
        <v>15</v>
      </c>
      <c r="B234" s="531"/>
      <c r="C234" s="288" t="s">
        <v>30</v>
      </c>
      <c r="D234" s="288" t="s">
        <v>1356</v>
      </c>
      <c r="E234" s="288" t="s">
        <v>971</v>
      </c>
      <c r="F234" s="288" t="s">
        <v>970</v>
      </c>
      <c r="G234" s="288">
        <v>2014</v>
      </c>
      <c r="H234" s="262" t="s">
        <v>1138</v>
      </c>
      <c r="I234" s="208">
        <v>1</v>
      </c>
      <c r="J234" s="274">
        <v>337.1</v>
      </c>
      <c r="K234" s="274">
        <v>66.3</v>
      </c>
      <c r="L234" s="274">
        <v>270.8</v>
      </c>
    </row>
    <row r="235" spans="1:12" ht="26.4" customHeight="1">
      <c r="A235" s="207">
        <v>16</v>
      </c>
      <c r="B235" s="531"/>
      <c r="C235" s="288" t="s">
        <v>30</v>
      </c>
      <c r="D235" s="288" t="s">
        <v>1356</v>
      </c>
      <c r="E235" s="288" t="s">
        <v>969</v>
      </c>
      <c r="F235" s="288" t="s">
        <v>968</v>
      </c>
      <c r="G235" s="288">
        <v>2014</v>
      </c>
      <c r="H235" s="262" t="s">
        <v>1138</v>
      </c>
      <c r="I235" s="208">
        <v>1</v>
      </c>
      <c r="J235" s="274">
        <v>39.700000000000003</v>
      </c>
      <c r="K235" s="274">
        <v>8.5</v>
      </c>
      <c r="L235" s="274">
        <v>31.2</v>
      </c>
    </row>
    <row r="236" spans="1:12" ht="26.4" customHeight="1">
      <c r="A236" s="207">
        <v>17</v>
      </c>
      <c r="B236" s="531"/>
      <c r="C236" s="288" t="s">
        <v>1787</v>
      </c>
      <c r="D236" s="288" t="s">
        <v>1357</v>
      </c>
      <c r="E236" s="288" t="s">
        <v>2441</v>
      </c>
      <c r="F236" s="288">
        <v>1030065</v>
      </c>
      <c r="G236" s="288">
        <v>1979</v>
      </c>
      <c r="H236" s="262" t="s">
        <v>1149</v>
      </c>
      <c r="I236" s="208">
        <v>67.7</v>
      </c>
      <c r="J236" s="274">
        <v>48.2</v>
      </c>
      <c r="K236" s="274">
        <v>38.4</v>
      </c>
      <c r="L236" s="274">
        <v>9.8000000000000007</v>
      </c>
    </row>
    <row r="237" spans="1:12" ht="26.4" customHeight="1">
      <c r="A237" s="207">
        <v>18</v>
      </c>
      <c r="B237" s="531"/>
      <c r="C237" s="288" t="s">
        <v>1787</v>
      </c>
      <c r="D237" s="288" t="s">
        <v>1358</v>
      </c>
      <c r="E237" s="288" t="s">
        <v>738</v>
      </c>
      <c r="F237" s="288">
        <v>1030066</v>
      </c>
      <c r="G237" s="288">
        <v>1988</v>
      </c>
      <c r="H237" s="262" t="s">
        <v>1149</v>
      </c>
      <c r="I237" s="208">
        <v>135.1</v>
      </c>
      <c r="J237" s="274">
        <v>36.5</v>
      </c>
      <c r="K237" s="274">
        <v>4.8</v>
      </c>
      <c r="L237" s="274">
        <v>31.7</v>
      </c>
    </row>
    <row r="238" spans="1:12" ht="26.4" customHeight="1">
      <c r="A238" s="207">
        <v>19</v>
      </c>
      <c r="B238" s="531"/>
      <c r="C238" s="288" t="s">
        <v>1787</v>
      </c>
      <c r="D238" s="288" t="s">
        <v>1359</v>
      </c>
      <c r="E238" s="288" t="s">
        <v>1144</v>
      </c>
      <c r="F238" s="288">
        <v>1030067</v>
      </c>
      <c r="G238" s="288">
        <v>1979</v>
      </c>
      <c r="H238" s="262" t="s">
        <v>1149</v>
      </c>
      <c r="I238" s="208">
        <v>97</v>
      </c>
      <c r="J238" s="274">
        <v>140.19999999999999</v>
      </c>
      <c r="K238" s="274">
        <v>53.5</v>
      </c>
      <c r="L238" s="274">
        <v>86.7</v>
      </c>
    </row>
    <row r="239" spans="1:12" ht="26.4" customHeight="1">
      <c r="A239" s="207">
        <v>20</v>
      </c>
      <c r="B239" s="531"/>
      <c r="C239" s="288" t="s">
        <v>1787</v>
      </c>
      <c r="D239" s="288" t="s">
        <v>1359</v>
      </c>
      <c r="E239" s="288" t="s">
        <v>1257</v>
      </c>
      <c r="F239" s="288">
        <v>1030068</v>
      </c>
      <c r="G239" s="288">
        <v>1979</v>
      </c>
      <c r="H239" s="262" t="s">
        <v>1149</v>
      </c>
      <c r="I239" s="208">
        <v>12.9</v>
      </c>
      <c r="J239" s="274">
        <v>18.7</v>
      </c>
      <c r="K239" s="274">
        <v>7.2</v>
      </c>
      <c r="L239" s="274">
        <v>11.5</v>
      </c>
    </row>
    <row r="240" spans="1:12" ht="26.4" customHeight="1">
      <c r="A240" s="207">
        <v>21</v>
      </c>
      <c r="B240" s="531"/>
      <c r="C240" s="288" t="s">
        <v>1787</v>
      </c>
      <c r="D240" s="288" t="s">
        <v>1359</v>
      </c>
      <c r="E240" s="288" t="s">
        <v>967</v>
      </c>
      <c r="F240" s="288">
        <v>1030070</v>
      </c>
      <c r="G240" s="288">
        <v>1979</v>
      </c>
      <c r="H240" s="262" t="s">
        <v>1149</v>
      </c>
      <c r="I240" s="208">
        <v>453.3</v>
      </c>
      <c r="J240" s="274">
        <v>585.20000000000005</v>
      </c>
      <c r="K240" s="274">
        <v>312.8</v>
      </c>
      <c r="L240" s="274">
        <v>272.39999999999998</v>
      </c>
    </row>
    <row r="241" spans="1:12" ht="26.4" customHeight="1">
      <c r="A241" s="207">
        <v>22</v>
      </c>
      <c r="B241" s="531"/>
      <c r="C241" s="288" t="s">
        <v>1787</v>
      </c>
      <c r="D241" s="288" t="s">
        <v>1359</v>
      </c>
      <c r="E241" s="288" t="s">
        <v>1223</v>
      </c>
      <c r="F241" s="288">
        <v>1030071</v>
      </c>
      <c r="G241" s="288">
        <v>1979</v>
      </c>
      <c r="H241" s="262" t="s">
        <v>1149</v>
      </c>
      <c r="I241" s="208">
        <v>515.6</v>
      </c>
      <c r="J241" s="274">
        <v>560.20000000000005</v>
      </c>
      <c r="K241" s="274">
        <v>273.2</v>
      </c>
      <c r="L241" s="274">
        <v>287</v>
      </c>
    </row>
    <row r="242" spans="1:12" ht="26.4" customHeight="1">
      <c r="A242" s="207">
        <v>23</v>
      </c>
      <c r="B242" s="531"/>
      <c r="C242" s="288" t="s">
        <v>1787</v>
      </c>
      <c r="D242" s="288" t="s">
        <v>1359</v>
      </c>
      <c r="E242" s="288" t="s">
        <v>966</v>
      </c>
      <c r="F242" s="288">
        <v>1030073</v>
      </c>
      <c r="G242" s="288">
        <v>1979</v>
      </c>
      <c r="H242" s="262" t="s">
        <v>1149</v>
      </c>
      <c r="I242" s="208">
        <v>116.2</v>
      </c>
      <c r="J242" s="274">
        <v>286</v>
      </c>
      <c r="K242" s="274">
        <v>113.2</v>
      </c>
      <c r="L242" s="274">
        <v>172.8</v>
      </c>
    </row>
    <row r="243" spans="1:12" ht="26.4" customHeight="1">
      <c r="A243" s="207">
        <v>24</v>
      </c>
      <c r="B243" s="531"/>
      <c r="C243" s="288" t="s">
        <v>1787</v>
      </c>
      <c r="D243" s="288" t="s">
        <v>1359</v>
      </c>
      <c r="E243" s="288" t="s">
        <v>962</v>
      </c>
      <c r="F243" s="288">
        <v>1030086</v>
      </c>
      <c r="G243" s="288">
        <v>1979</v>
      </c>
      <c r="H243" s="262" t="s">
        <v>1149</v>
      </c>
      <c r="I243" s="208">
        <v>98.2</v>
      </c>
      <c r="J243" s="274">
        <v>106.3</v>
      </c>
      <c r="K243" s="274">
        <v>79.400000000000006</v>
      </c>
      <c r="L243" s="274">
        <v>26.9</v>
      </c>
    </row>
    <row r="244" spans="1:12" ht="26.4" customHeight="1">
      <c r="A244" s="207">
        <v>25</v>
      </c>
      <c r="B244" s="531"/>
      <c r="C244" s="288" t="s">
        <v>1787</v>
      </c>
      <c r="D244" s="288" t="s">
        <v>1359</v>
      </c>
      <c r="E244" s="288" t="s">
        <v>965</v>
      </c>
      <c r="F244" s="288">
        <v>1030077</v>
      </c>
      <c r="G244" s="288">
        <v>1979</v>
      </c>
      <c r="H244" s="262" t="s">
        <v>1149</v>
      </c>
      <c r="I244" s="208">
        <v>1395</v>
      </c>
      <c r="J244" s="274">
        <v>673.4</v>
      </c>
      <c r="K244" s="274">
        <v>673.4</v>
      </c>
      <c r="L244" s="274">
        <v>0</v>
      </c>
    </row>
    <row r="245" spans="1:12" ht="26.4" customHeight="1">
      <c r="A245" s="207">
        <v>26</v>
      </c>
      <c r="B245" s="531"/>
      <c r="C245" s="288" t="s">
        <v>1787</v>
      </c>
      <c r="D245" s="288" t="s">
        <v>1359</v>
      </c>
      <c r="E245" s="288" t="s">
        <v>1224</v>
      </c>
      <c r="F245" s="288">
        <v>1030080</v>
      </c>
      <c r="G245" s="288">
        <v>1979</v>
      </c>
      <c r="H245" s="262" t="s">
        <v>1149</v>
      </c>
      <c r="I245" s="208">
        <v>3519</v>
      </c>
      <c r="J245" s="274">
        <v>293</v>
      </c>
      <c r="K245" s="274">
        <v>293</v>
      </c>
      <c r="L245" s="274">
        <v>0</v>
      </c>
    </row>
    <row r="246" spans="1:12" ht="26.4" customHeight="1">
      <c r="A246" s="207">
        <v>27</v>
      </c>
      <c r="B246" s="531"/>
      <c r="C246" s="288" t="s">
        <v>1787</v>
      </c>
      <c r="D246" s="288" t="s">
        <v>1359</v>
      </c>
      <c r="E246" s="288" t="s">
        <v>964</v>
      </c>
      <c r="F246" s="288">
        <v>1030079</v>
      </c>
      <c r="G246" s="288">
        <v>1979</v>
      </c>
      <c r="H246" s="262" t="s">
        <v>1149</v>
      </c>
      <c r="I246" s="208">
        <v>1230</v>
      </c>
      <c r="J246" s="274">
        <v>96.3</v>
      </c>
      <c r="K246" s="274">
        <v>96.3</v>
      </c>
      <c r="L246" s="274">
        <v>0</v>
      </c>
    </row>
    <row r="247" spans="1:12" ht="26.4" customHeight="1">
      <c r="A247" s="207">
        <v>28</v>
      </c>
      <c r="B247" s="531"/>
      <c r="C247" s="288" t="s">
        <v>1787</v>
      </c>
      <c r="D247" s="288" t="s">
        <v>1359</v>
      </c>
      <c r="E247" s="288" t="s">
        <v>963</v>
      </c>
      <c r="F247" s="288">
        <v>1030085</v>
      </c>
      <c r="G247" s="288">
        <v>1979</v>
      </c>
      <c r="H247" s="262" t="s">
        <v>1149</v>
      </c>
      <c r="I247" s="208">
        <v>6748</v>
      </c>
      <c r="J247" s="274">
        <v>370.7</v>
      </c>
      <c r="K247" s="274">
        <v>370.5</v>
      </c>
      <c r="L247" s="274">
        <v>0.2</v>
      </c>
    </row>
    <row r="248" spans="1:12" ht="26.4" customHeight="1">
      <c r="A248" s="207">
        <v>29</v>
      </c>
      <c r="B248" s="531"/>
      <c r="C248" s="288" t="s">
        <v>1787</v>
      </c>
      <c r="D248" s="288" t="s">
        <v>1359</v>
      </c>
      <c r="E248" s="288" t="s">
        <v>648</v>
      </c>
      <c r="F248" s="288">
        <v>1030074</v>
      </c>
      <c r="G248" s="288">
        <v>1979</v>
      </c>
      <c r="H248" s="262" t="s">
        <v>1138</v>
      </c>
      <c r="I248" s="208">
        <v>1</v>
      </c>
      <c r="J248" s="274">
        <v>166.3</v>
      </c>
      <c r="K248" s="274">
        <v>64.8</v>
      </c>
      <c r="L248" s="274">
        <v>101.5</v>
      </c>
    </row>
    <row r="249" spans="1:12" ht="26.4" customHeight="1">
      <c r="A249" s="207">
        <v>30</v>
      </c>
      <c r="B249" s="531"/>
      <c r="C249" s="288" t="s">
        <v>2201</v>
      </c>
      <c r="D249" s="288" t="s">
        <v>1360</v>
      </c>
      <c r="E249" s="288" t="s">
        <v>962</v>
      </c>
      <c r="F249" s="288">
        <v>1030049</v>
      </c>
      <c r="G249" s="288">
        <v>1989</v>
      </c>
      <c r="H249" s="262" t="s">
        <v>1149</v>
      </c>
      <c r="I249" s="208">
        <v>172.1</v>
      </c>
      <c r="J249" s="274">
        <v>220.8</v>
      </c>
      <c r="K249" s="274">
        <v>161.6</v>
      </c>
      <c r="L249" s="274">
        <v>59.2</v>
      </c>
    </row>
    <row r="250" spans="1:12" ht="26.4" customHeight="1">
      <c r="A250" s="207">
        <v>31</v>
      </c>
      <c r="B250" s="531"/>
      <c r="C250" s="288" t="s">
        <v>2201</v>
      </c>
      <c r="D250" s="288" t="s">
        <v>1360</v>
      </c>
      <c r="E250" s="288" t="s">
        <v>953</v>
      </c>
      <c r="F250" s="288">
        <v>1030029</v>
      </c>
      <c r="G250" s="288">
        <v>1979</v>
      </c>
      <c r="H250" s="262" t="s">
        <v>1149</v>
      </c>
      <c r="I250" s="208">
        <v>46.2</v>
      </c>
      <c r="J250" s="274">
        <v>22.5</v>
      </c>
      <c r="K250" s="274">
        <v>21.1</v>
      </c>
      <c r="L250" s="274">
        <v>1.4</v>
      </c>
    </row>
    <row r="251" spans="1:12" ht="26.4" customHeight="1">
      <c r="A251" s="207">
        <v>32</v>
      </c>
      <c r="B251" s="531"/>
      <c r="C251" s="288" t="s">
        <v>1787</v>
      </c>
      <c r="D251" s="288" t="s">
        <v>1357</v>
      </c>
      <c r="E251" s="288" t="s">
        <v>1962</v>
      </c>
      <c r="F251" s="288">
        <v>1030011</v>
      </c>
      <c r="G251" s="288">
        <v>1979</v>
      </c>
      <c r="H251" s="262" t="s">
        <v>1138</v>
      </c>
      <c r="I251" s="208">
        <v>1</v>
      </c>
      <c r="J251" s="274">
        <v>36.6</v>
      </c>
      <c r="K251" s="274">
        <v>35</v>
      </c>
      <c r="L251" s="274">
        <v>1.6</v>
      </c>
    </row>
    <row r="252" spans="1:12" ht="26.4" customHeight="1">
      <c r="A252" s="207">
        <v>33</v>
      </c>
      <c r="B252" s="531"/>
      <c r="C252" s="288" t="s">
        <v>1787</v>
      </c>
      <c r="D252" s="288" t="s">
        <v>1357</v>
      </c>
      <c r="E252" s="288" t="s">
        <v>1962</v>
      </c>
      <c r="F252" s="288">
        <v>1030012</v>
      </c>
      <c r="G252" s="288">
        <v>1979</v>
      </c>
      <c r="H252" s="262" t="s">
        <v>1138</v>
      </c>
      <c r="I252" s="208">
        <v>1</v>
      </c>
      <c r="J252" s="274">
        <v>36.6</v>
      </c>
      <c r="K252" s="274">
        <v>34.4</v>
      </c>
      <c r="L252" s="274">
        <v>2.2000000000000002</v>
      </c>
    </row>
    <row r="253" spans="1:12" ht="26.4" customHeight="1">
      <c r="A253" s="207">
        <v>34</v>
      </c>
      <c r="B253" s="531"/>
      <c r="C253" s="288" t="s">
        <v>2201</v>
      </c>
      <c r="D253" s="288" t="s">
        <v>1361</v>
      </c>
      <c r="E253" s="288" t="s">
        <v>1162</v>
      </c>
      <c r="F253" s="288" t="s">
        <v>961</v>
      </c>
      <c r="G253" s="288">
        <v>1979</v>
      </c>
      <c r="H253" s="262" t="s">
        <v>1149</v>
      </c>
      <c r="I253" s="208">
        <v>13.3</v>
      </c>
      <c r="J253" s="274">
        <v>13.1</v>
      </c>
      <c r="K253" s="274">
        <v>12.3</v>
      </c>
      <c r="L253" s="274">
        <v>0.8</v>
      </c>
    </row>
    <row r="254" spans="1:12" ht="26.4" customHeight="1">
      <c r="A254" s="207">
        <v>35</v>
      </c>
      <c r="B254" s="531"/>
      <c r="C254" s="288" t="s">
        <v>2202</v>
      </c>
      <c r="D254" s="288" t="s">
        <v>1361</v>
      </c>
      <c r="E254" s="288" t="s">
        <v>1163</v>
      </c>
      <c r="F254" s="288" t="s">
        <v>960</v>
      </c>
      <c r="G254" s="288">
        <v>1979</v>
      </c>
      <c r="H254" s="262" t="s">
        <v>1149</v>
      </c>
      <c r="I254" s="208">
        <v>13.3</v>
      </c>
      <c r="J254" s="274">
        <v>13.1</v>
      </c>
      <c r="K254" s="274">
        <v>12.3</v>
      </c>
      <c r="L254" s="274">
        <v>0.8</v>
      </c>
    </row>
    <row r="255" spans="1:12" ht="26.4" customHeight="1">
      <c r="A255" s="207">
        <v>36</v>
      </c>
      <c r="B255" s="531"/>
      <c r="C255" s="288" t="s">
        <v>2201</v>
      </c>
      <c r="D255" s="288" t="s">
        <v>1362</v>
      </c>
      <c r="E255" s="288" t="s">
        <v>1151</v>
      </c>
      <c r="F255" s="288" t="s">
        <v>959</v>
      </c>
      <c r="G255" s="288">
        <v>1977</v>
      </c>
      <c r="H255" s="262" t="s">
        <v>1149</v>
      </c>
      <c r="I255" s="208">
        <v>13.3</v>
      </c>
      <c r="J255" s="274">
        <v>36.6</v>
      </c>
      <c r="K255" s="274">
        <v>33.799999999999997</v>
      </c>
      <c r="L255" s="274">
        <v>2.8</v>
      </c>
    </row>
    <row r="256" spans="1:12" ht="26.4" customHeight="1">
      <c r="A256" s="207">
        <v>37</v>
      </c>
      <c r="B256" s="531"/>
      <c r="C256" s="288" t="s">
        <v>2202</v>
      </c>
      <c r="D256" s="288" t="s">
        <v>1362</v>
      </c>
      <c r="E256" s="288" t="s">
        <v>1164</v>
      </c>
      <c r="F256" s="288" t="s">
        <v>958</v>
      </c>
      <c r="G256" s="288">
        <v>1979</v>
      </c>
      <c r="H256" s="262" t="s">
        <v>1149</v>
      </c>
      <c r="I256" s="208">
        <v>13.3</v>
      </c>
      <c r="J256" s="274">
        <v>13.1</v>
      </c>
      <c r="K256" s="274">
        <v>12.3</v>
      </c>
      <c r="L256" s="274">
        <v>0.8</v>
      </c>
    </row>
    <row r="257" spans="1:12" ht="26.4" customHeight="1">
      <c r="A257" s="207">
        <v>38</v>
      </c>
      <c r="B257" s="531"/>
      <c r="C257" s="288" t="s">
        <v>2201</v>
      </c>
      <c r="D257" s="288" t="s">
        <v>1362</v>
      </c>
      <c r="E257" s="288" t="s">
        <v>1150</v>
      </c>
      <c r="F257" s="288" t="s">
        <v>957</v>
      </c>
      <c r="G257" s="288">
        <v>1977</v>
      </c>
      <c r="H257" s="262" t="s">
        <v>1149</v>
      </c>
      <c r="I257" s="208">
        <v>13.3</v>
      </c>
      <c r="J257" s="274">
        <v>36.6</v>
      </c>
      <c r="K257" s="274">
        <v>36.6</v>
      </c>
      <c r="L257" s="274">
        <v>0</v>
      </c>
    </row>
    <row r="258" spans="1:12" ht="26.4" customHeight="1">
      <c r="A258" s="207">
        <v>39</v>
      </c>
      <c r="B258" s="531"/>
      <c r="C258" s="288" t="s">
        <v>2202</v>
      </c>
      <c r="D258" s="288" t="s">
        <v>1362</v>
      </c>
      <c r="E258" s="288" t="s">
        <v>1165</v>
      </c>
      <c r="F258" s="288" t="s">
        <v>956</v>
      </c>
      <c r="G258" s="288">
        <v>1977</v>
      </c>
      <c r="H258" s="262" t="s">
        <v>1149</v>
      </c>
      <c r="I258" s="208">
        <v>13.3</v>
      </c>
      <c r="J258" s="274">
        <v>36.6</v>
      </c>
      <c r="K258" s="274">
        <v>36.6</v>
      </c>
      <c r="L258" s="274">
        <v>0</v>
      </c>
    </row>
    <row r="259" spans="1:12" ht="26.4" customHeight="1">
      <c r="A259" s="207">
        <v>40</v>
      </c>
      <c r="B259" s="531"/>
      <c r="C259" s="288" t="s">
        <v>2201</v>
      </c>
      <c r="D259" s="288" t="s">
        <v>1362</v>
      </c>
      <c r="E259" s="288" t="s">
        <v>1153</v>
      </c>
      <c r="F259" s="288" t="s">
        <v>955</v>
      </c>
      <c r="G259" s="288">
        <v>1977</v>
      </c>
      <c r="H259" s="262" t="s">
        <v>1149</v>
      </c>
      <c r="I259" s="208">
        <v>13.3</v>
      </c>
      <c r="J259" s="274">
        <v>37.1</v>
      </c>
      <c r="K259" s="274">
        <v>37.1</v>
      </c>
      <c r="L259" s="274">
        <v>0</v>
      </c>
    </row>
    <row r="260" spans="1:12" ht="26.4" customHeight="1">
      <c r="A260" s="207">
        <v>41</v>
      </c>
      <c r="B260" s="531"/>
      <c r="C260" s="288" t="s">
        <v>2202</v>
      </c>
      <c r="D260" s="288" t="s">
        <v>1362</v>
      </c>
      <c r="E260" s="288" t="s">
        <v>1152</v>
      </c>
      <c r="F260" s="288">
        <v>1030054</v>
      </c>
      <c r="G260" s="288">
        <v>1979</v>
      </c>
      <c r="H260" s="262" t="s">
        <v>1149</v>
      </c>
      <c r="I260" s="208">
        <v>10.199999999999999</v>
      </c>
      <c r="J260" s="274">
        <v>52.5</v>
      </c>
      <c r="K260" s="274">
        <v>52.5</v>
      </c>
      <c r="L260" s="274">
        <v>0</v>
      </c>
    </row>
    <row r="261" spans="1:12" ht="26.4" customHeight="1">
      <c r="A261" s="207">
        <v>42</v>
      </c>
      <c r="B261" s="531"/>
      <c r="C261" s="288" t="s">
        <v>2201</v>
      </c>
      <c r="D261" s="288" t="s">
        <v>1362</v>
      </c>
      <c r="E261" s="222" t="s">
        <v>2004</v>
      </c>
      <c r="F261" s="223">
        <v>1030464</v>
      </c>
      <c r="G261" s="224">
        <v>2005</v>
      </c>
      <c r="H261" s="262" t="s">
        <v>1138</v>
      </c>
      <c r="I261" s="208">
        <v>1</v>
      </c>
      <c r="J261" s="275">
        <v>51.3</v>
      </c>
      <c r="K261" s="276">
        <v>34.200000000000003</v>
      </c>
      <c r="L261" s="276">
        <v>17.100000000000001</v>
      </c>
    </row>
    <row r="262" spans="1:12" ht="26.4" customHeight="1">
      <c r="A262" s="207">
        <v>43</v>
      </c>
      <c r="B262" s="531"/>
      <c r="C262" s="288" t="s">
        <v>2202</v>
      </c>
      <c r="D262" s="288" t="s">
        <v>1362</v>
      </c>
      <c r="E262" s="259" t="s">
        <v>2003</v>
      </c>
      <c r="F262" s="223">
        <v>1030465</v>
      </c>
      <c r="G262" s="224">
        <v>2005</v>
      </c>
      <c r="H262" s="262" t="s">
        <v>1138</v>
      </c>
      <c r="I262" s="208">
        <v>1</v>
      </c>
      <c r="J262" s="275">
        <v>34.5</v>
      </c>
      <c r="K262" s="276">
        <v>23</v>
      </c>
      <c r="L262" s="276">
        <v>11.5</v>
      </c>
    </row>
    <row r="263" spans="1:12" ht="26.4" customHeight="1">
      <c r="A263" s="207">
        <v>44</v>
      </c>
      <c r="B263" s="531"/>
      <c r="C263" s="288" t="s">
        <v>2201</v>
      </c>
      <c r="D263" s="288" t="s">
        <v>1362</v>
      </c>
      <c r="E263" s="288" t="s">
        <v>954</v>
      </c>
      <c r="F263" s="288">
        <v>1030061</v>
      </c>
      <c r="G263" s="288">
        <v>1990</v>
      </c>
      <c r="H263" s="262" t="s">
        <v>1149</v>
      </c>
      <c r="I263" s="208">
        <v>661.4</v>
      </c>
      <c r="J263" s="274">
        <v>3.5</v>
      </c>
      <c r="K263" s="274">
        <v>3.5</v>
      </c>
      <c r="L263" s="274">
        <v>0</v>
      </c>
    </row>
    <row r="264" spans="1:12" ht="26.4" customHeight="1">
      <c r="A264" s="207">
        <v>45</v>
      </c>
      <c r="B264" s="531"/>
      <c r="C264" s="288" t="s">
        <v>2203</v>
      </c>
      <c r="D264" s="288" t="s">
        <v>2060</v>
      </c>
      <c r="E264" s="260" t="s">
        <v>1963</v>
      </c>
      <c r="F264" s="288">
        <v>1030055</v>
      </c>
      <c r="G264" s="288">
        <v>1990</v>
      </c>
      <c r="H264" s="262" t="s">
        <v>1149</v>
      </c>
      <c r="I264" s="208">
        <v>40.4</v>
      </c>
      <c r="J264" s="274">
        <v>22.6</v>
      </c>
      <c r="K264" s="274">
        <v>22.6</v>
      </c>
      <c r="L264" s="274">
        <v>0</v>
      </c>
    </row>
    <row r="265" spans="1:12" ht="26.4" customHeight="1">
      <c r="A265" s="207">
        <v>46</v>
      </c>
      <c r="B265" s="531"/>
      <c r="C265" s="288" t="s">
        <v>2203</v>
      </c>
      <c r="D265" s="288" t="s">
        <v>2060</v>
      </c>
      <c r="E265" s="288" t="s">
        <v>953</v>
      </c>
      <c r="F265" s="288">
        <v>1030034</v>
      </c>
      <c r="G265" s="288">
        <v>1991</v>
      </c>
      <c r="H265" s="262" t="s">
        <v>1149</v>
      </c>
      <c r="I265" s="208">
        <v>46.7</v>
      </c>
      <c r="J265" s="274">
        <v>41.7</v>
      </c>
      <c r="K265" s="274">
        <v>40.299999999999997</v>
      </c>
      <c r="L265" s="274">
        <v>1.4</v>
      </c>
    </row>
    <row r="266" spans="1:12" ht="26.4" customHeight="1">
      <c r="A266" s="207">
        <v>47</v>
      </c>
      <c r="B266" s="531"/>
      <c r="C266" s="288" t="s">
        <v>2203</v>
      </c>
      <c r="D266" s="288" t="s">
        <v>2060</v>
      </c>
      <c r="E266" s="288" t="s">
        <v>1148</v>
      </c>
      <c r="F266" s="288">
        <v>1030033</v>
      </c>
      <c r="G266" s="288">
        <v>1991</v>
      </c>
      <c r="H266" s="262" t="s">
        <v>1149</v>
      </c>
      <c r="I266" s="208">
        <v>69.400000000000006</v>
      </c>
      <c r="J266" s="274">
        <v>89.4</v>
      </c>
      <c r="K266" s="274">
        <v>89.1</v>
      </c>
      <c r="L266" s="274">
        <v>0.3</v>
      </c>
    </row>
    <row r="267" spans="1:12" ht="26.4" customHeight="1">
      <c r="A267" s="207">
        <v>48</v>
      </c>
      <c r="B267" s="531"/>
      <c r="C267" s="288" t="s">
        <v>2203</v>
      </c>
      <c r="D267" s="288" t="s">
        <v>2060</v>
      </c>
      <c r="E267" s="288" t="s">
        <v>1137</v>
      </c>
      <c r="F267" s="288">
        <v>1030032</v>
      </c>
      <c r="G267" s="288">
        <v>1991</v>
      </c>
      <c r="H267" s="262" t="s">
        <v>1149</v>
      </c>
      <c r="I267" s="208">
        <v>47.7</v>
      </c>
      <c r="J267" s="274">
        <v>67.8</v>
      </c>
      <c r="K267" s="274">
        <v>66.599999999999994</v>
      </c>
      <c r="L267" s="274">
        <v>1.2</v>
      </c>
    </row>
    <row r="268" spans="1:12" ht="26.4" customHeight="1">
      <c r="A268" s="207">
        <v>49</v>
      </c>
      <c r="B268" s="531"/>
      <c r="C268" s="288" t="s">
        <v>2203</v>
      </c>
      <c r="D268" s="288" t="s">
        <v>2060</v>
      </c>
      <c r="E268" s="288" t="s">
        <v>952</v>
      </c>
      <c r="F268" s="288">
        <v>1030035</v>
      </c>
      <c r="G268" s="288">
        <v>1979</v>
      </c>
      <c r="H268" s="262" t="s">
        <v>1149</v>
      </c>
      <c r="I268" s="208">
        <v>102.6</v>
      </c>
      <c r="J268" s="274">
        <v>191.7</v>
      </c>
      <c r="K268" s="274">
        <v>71.900000000000006</v>
      </c>
      <c r="L268" s="274">
        <v>119.8</v>
      </c>
    </row>
    <row r="269" spans="1:12" ht="26.4" customHeight="1">
      <c r="A269" s="207">
        <v>50</v>
      </c>
      <c r="B269" s="531"/>
      <c r="C269" s="288" t="s">
        <v>2201</v>
      </c>
      <c r="D269" s="288" t="s">
        <v>1360</v>
      </c>
      <c r="E269" s="288" t="s">
        <v>480</v>
      </c>
      <c r="F269" s="288" t="s">
        <v>951</v>
      </c>
      <c r="G269" s="288">
        <v>1989</v>
      </c>
      <c r="H269" s="262" t="s">
        <v>1136</v>
      </c>
      <c r="I269" s="208">
        <v>1000</v>
      </c>
      <c r="J269" s="274">
        <v>118.3</v>
      </c>
      <c r="K269" s="274">
        <v>114</v>
      </c>
      <c r="L269" s="274">
        <v>4.3</v>
      </c>
    </row>
    <row r="270" spans="1:12" ht="26.4" customHeight="1">
      <c r="A270" s="207">
        <v>51</v>
      </c>
      <c r="B270" s="531"/>
      <c r="C270" s="288" t="s">
        <v>2201</v>
      </c>
      <c r="D270" s="288" t="s">
        <v>1360</v>
      </c>
      <c r="E270" s="288" t="s">
        <v>480</v>
      </c>
      <c r="F270" s="288" t="s">
        <v>950</v>
      </c>
      <c r="G270" s="288">
        <v>1989</v>
      </c>
      <c r="H270" s="262" t="s">
        <v>1136</v>
      </c>
      <c r="I270" s="208">
        <v>1000</v>
      </c>
      <c r="J270" s="274">
        <v>118.3</v>
      </c>
      <c r="K270" s="274">
        <v>114</v>
      </c>
      <c r="L270" s="274">
        <v>4.3</v>
      </c>
    </row>
    <row r="271" spans="1:12" ht="26.4" customHeight="1">
      <c r="A271" s="207">
        <v>52</v>
      </c>
      <c r="B271" s="531"/>
      <c r="C271" s="288" t="s">
        <v>2203</v>
      </c>
      <c r="D271" s="288" t="s">
        <v>2060</v>
      </c>
      <c r="E271" s="288" t="s">
        <v>480</v>
      </c>
      <c r="F271" s="288">
        <v>1030053</v>
      </c>
      <c r="G271" s="288">
        <v>1990</v>
      </c>
      <c r="H271" s="262" t="s">
        <v>1136</v>
      </c>
      <c r="I271" s="208">
        <v>3000</v>
      </c>
      <c r="J271" s="274">
        <v>330.8</v>
      </c>
      <c r="K271" s="274">
        <v>330.8</v>
      </c>
      <c r="L271" s="274">
        <v>0</v>
      </c>
    </row>
    <row r="272" spans="1:12" ht="26.4" customHeight="1">
      <c r="A272" s="207">
        <v>53</v>
      </c>
      <c r="B272" s="531"/>
      <c r="C272" s="288" t="s">
        <v>2203</v>
      </c>
      <c r="D272" s="288" t="s">
        <v>2060</v>
      </c>
      <c r="E272" s="288" t="s">
        <v>480</v>
      </c>
      <c r="F272" s="288" t="s">
        <v>949</v>
      </c>
      <c r="G272" s="288">
        <v>1989</v>
      </c>
      <c r="H272" s="262" t="s">
        <v>1136</v>
      </c>
      <c r="I272" s="208">
        <v>1000</v>
      </c>
      <c r="J272" s="274">
        <v>96.6</v>
      </c>
      <c r="K272" s="274">
        <v>86.4</v>
      </c>
      <c r="L272" s="274">
        <v>10.199999999999999</v>
      </c>
    </row>
    <row r="273" spans="1:12" ht="26.4" customHeight="1">
      <c r="A273" s="207">
        <v>54</v>
      </c>
      <c r="B273" s="531"/>
      <c r="C273" s="288" t="s">
        <v>2204</v>
      </c>
      <c r="D273" s="288" t="s">
        <v>2060</v>
      </c>
      <c r="E273" s="288" t="s">
        <v>480</v>
      </c>
      <c r="F273" s="288" t="s">
        <v>948</v>
      </c>
      <c r="G273" s="288">
        <v>1989</v>
      </c>
      <c r="H273" s="262" t="s">
        <v>1136</v>
      </c>
      <c r="I273" s="208">
        <v>1000</v>
      </c>
      <c r="J273" s="274">
        <v>94.6</v>
      </c>
      <c r="K273" s="274">
        <v>84.5</v>
      </c>
      <c r="L273" s="274">
        <v>10.1</v>
      </c>
    </row>
    <row r="274" spans="1:12" ht="26.4" customHeight="1">
      <c r="A274" s="207">
        <v>55</v>
      </c>
      <c r="B274" s="531"/>
      <c r="C274" s="288" t="s">
        <v>30</v>
      </c>
      <c r="D274" s="288" t="s">
        <v>1363</v>
      </c>
      <c r="E274" s="288" t="s">
        <v>947</v>
      </c>
      <c r="F274" s="288">
        <v>1030007</v>
      </c>
      <c r="G274" s="288">
        <v>1991</v>
      </c>
      <c r="H274" s="262" t="s">
        <v>1149</v>
      </c>
      <c r="I274" s="208">
        <v>355.3</v>
      </c>
      <c r="J274" s="274">
        <v>1583.9</v>
      </c>
      <c r="K274" s="274">
        <v>1324.8</v>
      </c>
      <c r="L274" s="274">
        <v>259.10000000000002</v>
      </c>
    </row>
    <row r="275" spans="1:12" ht="26.4" customHeight="1">
      <c r="A275" s="207">
        <v>56</v>
      </c>
      <c r="B275" s="531"/>
      <c r="C275" s="288" t="s">
        <v>30</v>
      </c>
      <c r="D275" s="288" t="s">
        <v>1364</v>
      </c>
      <c r="E275" s="288" t="s">
        <v>449</v>
      </c>
      <c r="F275" s="288">
        <v>1030010</v>
      </c>
      <c r="G275" s="288">
        <v>1935</v>
      </c>
      <c r="H275" s="262" t="s">
        <v>1149</v>
      </c>
      <c r="I275" s="208">
        <v>130.19999999999999</v>
      </c>
      <c r="J275" s="274">
        <v>96.1</v>
      </c>
      <c r="K275" s="274">
        <v>82.4</v>
      </c>
      <c r="L275" s="274">
        <v>13.7</v>
      </c>
    </row>
    <row r="276" spans="1:12" ht="26.4" customHeight="1">
      <c r="A276" s="207">
        <v>57</v>
      </c>
      <c r="B276" s="531"/>
      <c r="C276" s="288" t="s">
        <v>30</v>
      </c>
      <c r="D276" s="288" t="s">
        <v>939</v>
      </c>
      <c r="E276" s="288" t="s">
        <v>648</v>
      </c>
      <c r="F276" s="288">
        <v>1030087</v>
      </c>
      <c r="G276" s="288">
        <v>1998</v>
      </c>
      <c r="H276" s="262" t="s">
        <v>1138</v>
      </c>
      <c r="I276" s="208">
        <v>1</v>
      </c>
      <c r="J276" s="274">
        <v>30</v>
      </c>
      <c r="K276" s="274">
        <v>26.5</v>
      </c>
      <c r="L276" s="274">
        <v>3.5</v>
      </c>
    </row>
    <row r="277" spans="1:12" ht="26.4" customHeight="1">
      <c r="A277" s="207">
        <v>58</v>
      </c>
      <c r="B277" s="531"/>
      <c r="C277" s="288" t="s">
        <v>2205</v>
      </c>
      <c r="D277" s="288" t="s">
        <v>3</v>
      </c>
      <c r="E277" s="288" t="s">
        <v>1841</v>
      </c>
      <c r="F277" s="288">
        <v>1030117</v>
      </c>
      <c r="G277" s="288">
        <v>1982</v>
      </c>
      <c r="H277" s="262" t="s">
        <v>722</v>
      </c>
      <c r="I277" s="208">
        <v>3</v>
      </c>
      <c r="J277" s="274">
        <v>190.8</v>
      </c>
      <c r="K277" s="274">
        <v>189.1</v>
      </c>
      <c r="L277" s="274">
        <v>1.7</v>
      </c>
    </row>
    <row r="278" spans="1:12" ht="26.4" customHeight="1">
      <c r="A278" s="207">
        <v>59</v>
      </c>
      <c r="B278" s="531"/>
      <c r="C278" s="288" t="s">
        <v>1788</v>
      </c>
      <c r="D278" s="288" t="s">
        <v>1357</v>
      </c>
      <c r="E278" s="288" t="s">
        <v>946</v>
      </c>
      <c r="F278" s="288">
        <v>1030083</v>
      </c>
      <c r="G278" s="288">
        <v>1979</v>
      </c>
      <c r="H278" s="262" t="s">
        <v>1149</v>
      </c>
      <c r="I278" s="208">
        <v>2202</v>
      </c>
      <c r="J278" s="274">
        <v>150.69999999999999</v>
      </c>
      <c r="K278" s="274">
        <v>150.6</v>
      </c>
      <c r="L278" s="274">
        <v>0.1</v>
      </c>
    </row>
    <row r="279" spans="1:12" ht="26.4" customHeight="1">
      <c r="A279" s="207">
        <v>60</v>
      </c>
      <c r="B279" s="531"/>
      <c r="C279" s="288" t="s">
        <v>2202</v>
      </c>
      <c r="D279" s="288" t="s">
        <v>1361</v>
      </c>
      <c r="E279" s="288" t="s">
        <v>1873</v>
      </c>
      <c r="F279" s="288">
        <v>1030052</v>
      </c>
      <c r="G279" s="288">
        <v>1989</v>
      </c>
      <c r="H279" s="262" t="s">
        <v>722</v>
      </c>
      <c r="I279" s="208">
        <v>0.4</v>
      </c>
      <c r="J279" s="274">
        <v>67.5</v>
      </c>
      <c r="K279" s="274">
        <v>67.5</v>
      </c>
      <c r="L279" s="274">
        <v>0</v>
      </c>
    </row>
    <row r="280" spans="1:12" ht="26.4" customHeight="1">
      <c r="A280" s="207">
        <v>61</v>
      </c>
      <c r="B280" s="531"/>
      <c r="C280" s="288" t="s">
        <v>2203</v>
      </c>
      <c r="D280" s="288" t="s">
        <v>2060</v>
      </c>
      <c r="E280" s="288" t="s">
        <v>1874</v>
      </c>
      <c r="F280" s="288">
        <v>1030051</v>
      </c>
      <c r="G280" s="288">
        <v>1977</v>
      </c>
      <c r="H280" s="262" t="s">
        <v>722</v>
      </c>
      <c r="I280" s="208">
        <v>1</v>
      </c>
      <c r="J280" s="274">
        <v>98.1</v>
      </c>
      <c r="K280" s="274">
        <v>98.1</v>
      </c>
      <c r="L280" s="274">
        <v>0</v>
      </c>
    </row>
    <row r="281" spans="1:12" ht="26.4" customHeight="1">
      <c r="A281" s="207">
        <v>62</v>
      </c>
      <c r="B281" s="531"/>
      <c r="C281" s="288" t="s">
        <v>30</v>
      </c>
      <c r="D281" s="288" t="s">
        <v>1159</v>
      </c>
      <c r="E281" s="224" t="s">
        <v>945</v>
      </c>
      <c r="F281" s="224">
        <v>1030544</v>
      </c>
      <c r="G281" s="224">
        <v>2009</v>
      </c>
      <c r="H281" s="262" t="s">
        <v>1138</v>
      </c>
      <c r="I281" s="208">
        <v>1</v>
      </c>
      <c r="J281" s="276">
        <v>109.5</v>
      </c>
      <c r="K281" s="276">
        <v>43.8</v>
      </c>
      <c r="L281" s="276">
        <v>65.7</v>
      </c>
    </row>
    <row r="282" spans="1:12" ht="26.4" customHeight="1">
      <c r="A282" s="207">
        <v>63</v>
      </c>
      <c r="B282" s="531"/>
      <c r="C282" s="288" t="s">
        <v>2203</v>
      </c>
      <c r="D282" s="288" t="s">
        <v>2060</v>
      </c>
      <c r="E282" s="288" t="s">
        <v>1875</v>
      </c>
      <c r="F282" s="224">
        <v>1030039</v>
      </c>
      <c r="G282" s="224">
        <v>1990</v>
      </c>
      <c r="H282" s="262" t="s">
        <v>631</v>
      </c>
      <c r="I282" s="208">
        <v>60</v>
      </c>
      <c r="J282" s="276">
        <v>11.7</v>
      </c>
      <c r="K282" s="276">
        <v>11.7</v>
      </c>
      <c r="L282" s="276">
        <v>0</v>
      </c>
    </row>
    <row r="283" spans="1:12" ht="26.4" customHeight="1">
      <c r="A283" s="207">
        <v>64</v>
      </c>
      <c r="B283" s="531"/>
      <c r="C283" s="288" t="s">
        <v>2204</v>
      </c>
      <c r="D283" s="288" t="s">
        <v>1365</v>
      </c>
      <c r="E283" s="288" t="s">
        <v>1876</v>
      </c>
      <c r="F283" s="224">
        <v>1030040</v>
      </c>
      <c r="G283" s="224">
        <v>1990</v>
      </c>
      <c r="H283" s="262" t="s">
        <v>631</v>
      </c>
      <c r="I283" s="208">
        <v>1500</v>
      </c>
      <c r="J283" s="276">
        <v>28.9</v>
      </c>
      <c r="K283" s="276">
        <v>28.9</v>
      </c>
      <c r="L283" s="276">
        <v>0</v>
      </c>
    </row>
    <row r="284" spans="1:12" ht="26.4" customHeight="1">
      <c r="A284" s="207">
        <v>65</v>
      </c>
      <c r="B284" s="531"/>
      <c r="C284" s="288" t="s">
        <v>2204</v>
      </c>
      <c r="D284" s="288" t="s">
        <v>2060</v>
      </c>
      <c r="E284" s="288" t="s">
        <v>1877</v>
      </c>
      <c r="F284" s="224">
        <v>1030043</v>
      </c>
      <c r="G284" s="224">
        <v>1990</v>
      </c>
      <c r="H284" s="262" t="s">
        <v>631</v>
      </c>
      <c r="I284" s="208">
        <v>50</v>
      </c>
      <c r="J284" s="276">
        <v>20.2</v>
      </c>
      <c r="K284" s="276">
        <v>20.2</v>
      </c>
      <c r="L284" s="276">
        <v>0</v>
      </c>
    </row>
    <row r="285" spans="1:12" ht="26.4" customHeight="1">
      <c r="A285" s="207">
        <v>66</v>
      </c>
      <c r="B285" s="531"/>
      <c r="C285" s="288" t="s">
        <v>2204</v>
      </c>
      <c r="D285" s="288" t="s">
        <v>2060</v>
      </c>
      <c r="E285" s="288" t="s">
        <v>1964</v>
      </c>
      <c r="F285" s="224">
        <v>1030062</v>
      </c>
      <c r="G285" s="224">
        <v>1990</v>
      </c>
      <c r="H285" s="262" t="s">
        <v>1138</v>
      </c>
      <c r="I285" s="208">
        <v>1</v>
      </c>
      <c r="J285" s="276">
        <v>81.599999999999994</v>
      </c>
      <c r="K285" s="276">
        <v>79</v>
      </c>
      <c r="L285" s="276">
        <v>2.6</v>
      </c>
    </row>
    <row r="286" spans="1:12" ht="26.4" customHeight="1">
      <c r="A286" s="207">
        <v>67</v>
      </c>
      <c r="B286" s="531"/>
      <c r="C286" s="288" t="s">
        <v>2204</v>
      </c>
      <c r="D286" s="288" t="s">
        <v>2060</v>
      </c>
      <c r="E286" s="288" t="s">
        <v>1878</v>
      </c>
      <c r="F286" s="224">
        <v>1030063</v>
      </c>
      <c r="G286" s="224">
        <v>1990</v>
      </c>
      <c r="H286" s="262" t="s">
        <v>1138</v>
      </c>
      <c r="I286" s="208">
        <v>1</v>
      </c>
      <c r="J286" s="276">
        <v>32.9</v>
      </c>
      <c r="K286" s="276">
        <v>32.200000000000003</v>
      </c>
      <c r="L286" s="276">
        <v>0.7</v>
      </c>
    </row>
    <row r="287" spans="1:12" ht="26.4" customHeight="1">
      <c r="A287" s="207">
        <v>68</v>
      </c>
      <c r="B287" s="531"/>
      <c r="C287" s="288" t="s">
        <v>30</v>
      </c>
      <c r="D287" s="288" t="s">
        <v>1366</v>
      </c>
      <c r="E287" s="288" t="s">
        <v>1876</v>
      </c>
      <c r="F287" s="224">
        <v>1030064</v>
      </c>
      <c r="G287" s="224">
        <v>1979</v>
      </c>
      <c r="H287" s="262" t="s">
        <v>631</v>
      </c>
      <c r="I287" s="208">
        <v>300</v>
      </c>
      <c r="J287" s="276">
        <v>5.8</v>
      </c>
      <c r="K287" s="276">
        <v>5.8</v>
      </c>
      <c r="L287" s="276">
        <v>0</v>
      </c>
    </row>
    <row r="288" spans="1:12" ht="26.4" customHeight="1">
      <c r="A288" s="207">
        <v>69</v>
      </c>
      <c r="B288" s="531"/>
      <c r="C288" s="288" t="s">
        <v>30</v>
      </c>
      <c r="D288" s="288" t="s">
        <v>1367</v>
      </c>
      <c r="E288" s="288" t="s">
        <v>2216</v>
      </c>
      <c r="F288" s="224">
        <v>1030109</v>
      </c>
      <c r="G288" s="224">
        <v>1979</v>
      </c>
      <c r="H288" s="262" t="s">
        <v>631</v>
      </c>
      <c r="I288" s="208">
        <v>380</v>
      </c>
      <c r="J288" s="276">
        <v>9.9</v>
      </c>
      <c r="K288" s="276">
        <v>9.9</v>
      </c>
      <c r="L288" s="276">
        <v>0</v>
      </c>
    </row>
    <row r="289" spans="1:12" ht="26.4" customHeight="1">
      <c r="A289" s="207">
        <v>70</v>
      </c>
      <c r="B289" s="531"/>
      <c r="C289" s="288" t="s">
        <v>1787</v>
      </c>
      <c r="D289" s="288" t="s">
        <v>1357</v>
      </c>
      <c r="E289" s="288" t="s">
        <v>944</v>
      </c>
      <c r="F289" s="224">
        <v>1030075</v>
      </c>
      <c r="G289" s="224">
        <v>1979</v>
      </c>
      <c r="H289" s="262" t="s">
        <v>1138</v>
      </c>
      <c r="I289" s="208">
        <v>1</v>
      </c>
      <c r="J289" s="276">
        <v>1.4</v>
      </c>
      <c r="K289" s="275">
        <v>1.4</v>
      </c>
      <c r="L289" s="276">
        <v>0</v>
      </c>
    </row>
    <row r="290" spans="1:12" ht="26.4" customHeight="1">
      <c r="A290" s="207">
        <v>71</v>
      </c>
      <c r="B290" s="531"/>
      <c r="C290" s="288" t="s">
        <v>1787</v>
      </c>
      <c r="D290" s="288" t="s">
        <v>1357</v>
      </c>
      <c r="E290" s="288" t="s">
        <v>943</v>
      </c>
      <c r="F290" s="224">
        <v>1030076</v>
      </c>
      <c r="G290" s="224">
        <v>1979</v>
      </c>
      <c r="H290" s="262" t="s">
        <v>1138</v>
      </c>
      <c r="I290" s="208">
        <v>1</v>
      </c>
      <c r="J290" s="276">
        <v>11.6</v>
      </c>
      <c r="K290" s="276">
        <v>11.6</v>
      </c>
      <c r="L290" s="276">
        <v>0</v>
      </c>
    </row>
    <row r="291" spans="1:12" ht="26.4" customHeight="1">
      <c r="A291" s="207">
        <v>72</v>
      </c>
      <c r="B291" s="531"/>
      <c r="C291" s="288" t="s">
        <v>1787</v>
      </c>
      <c r="D291" s="288" t="s">
        <v>1359</v>
      </c>
      <c r="E291" s="288" t="s">
        <v>942</v>
      </c>
      <c r="F291" s="224">
        <v>1030078</v>
      </c>
      <c r="G291" s="224">
        <v>1979</v>
      </c>
      <c r="H291" s="262" t="s">
        <v>1138</v>
      </c>
      <c r="I291" s="208">
        <v>1</v>
      </c>
      <c r="J291" s="276">
        <v>22.6</v>
      </c>
      <c r="K291" s="276">
        <v>19.2</v>
      </c>
      <c r="L291" s="276">
        <v>3.4</v>
      </c>
    </row>
    <row r="292" spans="1:12" ht="26.4" customHeight="1">
      <c r="A292" s="207">
        <v>73</v>
      </c>
      <c r="B292" s="531"/>
      <c r="C292" s="288" t="s">
        <v>1787</v>
      </c>
      <c r="D292" s="288" t="s">
        <v>1359</v>
      </c>
      <c r="E292" s="288" t="s">
        <v>1143</v>
      </c>
      <c r="F292" s="224">
        <v>1030081</v>
      </c>
      <c r="G292" s="224">
        <v>1979</v>
      </c>
      <c r="H292" s="262" t="s">
        <v>1138</v>
      </c>
      <c r="I292" s="208">
        <v>1</v>
      </c>
      <c r="J292" s="276">
        <v>20.8</v>
      </c>
      <c r="K292" s="275">
        <v>20.8</v>
      </c>
      <c r="L292" s="276">
        <v>0</v>
      </c>
    </row>
    <row r="293" spans="1:12" ht="26.4" customHeight="1">
      <c r="A293" s="207">
        <v>74</v>
      </c>
      <c r="B293" s="531"/>
      <c r="C293" s="288" t="s">
        <v>1787</v>
      </c>
      <c r="D293" s="288" t="s">
        <v>1359</v>
      </c>
      <c r="E293" s="288" t="s">
        <v>941</v>
      </c>
      <c r="F293" s="224">
        <v>1030082</v>
      </c>
      <c r="G293" s="224">
        <v>1979</v>
      </c>
      <c r="H293" s="262" t="s">
        <v>1138</v>
      </c>
      <c r="I293" s="208">
        <v>1</v>
      </c>
      <c r="J293" s="276">
        <v>13.6</v>
      </c>
      <c r="K293" s="276">
        <v>11.1</v>
      </c>
      <c r="L293" s="276">
        <v>2.5</v>
      </c>
    </row>
    <row r="294" spans="1:12" ht="26.4" customHeight="1">
      <c r="A294" s="207">
        <v>75</v>
      </c>
      <c r="B294" s="531"/>
      <c r="C294" s="288" t="s">
        <v>30</v>
      </c>
      <c r="D294" s="288" t="s">
        <v>939</v>
      </c>
      <c r="E294" s="288" t="s">
        <v>940</v>
      </c>
      <c r="F294" s="224">
        <v>1030088</v>
      </c>
      <c r="G294" s="224">
        <v>1998</v>
      </c>
      <c r="H294" s="262" t="s">
        <v>1138</v>
      </c>
      <c r="I294" s="208">
        <v>1</v>
      </c>
      <c r="J294" s="276">
        <v>16.7</v>
      </c>
      <c r="K294" s="276">
        <v>14.8</v>
      </c>
      <c r="L294" s="276">
        <v>1.9</v>
      </c>
    </row>
    <row r="295" spans="1:12" ht="26.4" customHeight="1">
      <c r="A295" s="207">
        <v>76</v>
      </c>
      <c r="B295" s="531"/>
      <c r="C295" s="288" t="s">
        <v>30</v>
      </c>
      <c r="D295" s="288" t="s">
        <v>939</v>
      </c>
      <c r="E295" s="288" t="s">
        <v>1225</v>
      </c>
      <c r="F295" s="224">
        <v>1030089</v>
      </c>
      <c r="G295" s="224">
        <v>1998</v>
      </c>
      <c r="H295" s="262" t="s">
        <v>631</v>
      </c>
      <c r="I295" s="208">
        <v>500</v>
      </c>
      <c r="J295" s="276">
        <v>14.2</v>
      </c>
      <c r="K295" s="276">
        <v>12.6</v>
      </c>
      <c r="L295" s="276">
        <v>1.6</v>
      </c>
    </row>
    <row r="296" spans="1:12" ht="26.4" customHeight="1">
      <c r="A296" s="207">
        <v>77</v>
      </c>
      <c r="B296" s="531"/>
      <c r="C296" s="288" t="s">
        <v>30</v>
      </c>
      <c r="D296" s="288" t="s">
        <v>939</v>
      </c>
      <c r="E296" s="288" t="s">
        <v>1226</v>
      </c>
      <c r="F296" s="224">
        <v>1030090</v>
      </c>
      <c r="G296" s="224">
        <v>1998</v>
      </c>
      <c r="H296" s="262" t="s">
        <v>1138</v>
      </c>
      <c r="I296" s="208">
        <v>1</v>
      </c>
      <c r="J296" s="276">
        <v>13.5</v>
      </c>
      <c r="K296" s="276">
        <v>11.9</v>
      </c>
      <c r="L296" s="276">
        <v>1.6</v>
      </c>
    </row>
    <row r="297" spans="1:12" ht="26.4" customHeight="1">
      <c r="A297" s="207">
        <v>78</v>
      </c>
      <c r="B297" s="531"/>
      <c r="C297" s="288" t="s">
        <v>30</v>
      </c>
      <c r="D297" s="288" t="s">
        <v>939</v>
      </c>
      <c r="E297" s="288" t="s">
        <v>1227</v>
      </c>
      <c r="F297" s="224">
        <v>1030091</v>
      </c>
      <c r="G297" s="224">
        <v>1998</v>
      </c>
      <c r="H297" s="262" t="s">
        <v>631</v>
      </c>
      <c r="I297" s="208">
        <v>380</v>
      </c>
      <c r="J297" s="276">
        <v>11.5</v>
      </c>
      <c r="K297" s="276">
        <v>10.199999999999999</v>
      </c>
      <c r="L297" s="276">
        <v>1.3</v>
      </c>
    </row>
    <row r="298" spans="1:12" ht="26.4" customHeight="1">
      <c r="A298" s="207">
        <v>79</v>
      </c>
      <c r="B298" s="531"/>
      <c r="C298" s="288" t="s">
        <v>30</v>
      </c>
      <c r="D298" s="288" t="s">
        <v>939</v>
      </c>
      <c r="E298" s="288" t="s">
        <v>1228</v>
      </c>
      <c r="F298" s="224">
        <v>1030092</v>
      </c>
      <c r="G298" s="224">
        <v>1998</v>
      </c>
      <c r="H298" s="262" t="s">
        <v>1138</v>
      </c>
      <c r="I298" s="208">
        <v>1</v>
      </c>
      <c r="J298" s="276">
        <v>12.6</v>
      </c>
      <c r="K298" s="276">
        <v>11.1</v>
      </c>
      <c r="L298" s="276">
        <v>1.5</v>
      </c>
    </row>
    <row r="299" spans="1:12" ht="26.4" customHeight="1">
      <c r="A299" s="207">
        <v>80</v>
      </c>
      <c r="B299" s="531"/>
      <c r="C299" s="288" t="s">
        <v>30</v>
      </c>
      <c r="D299" s="288" t="s">
        <v>939</v>
      </c>
      <c r="E299" s="288" t="s">
        <v>1239</v>
      </c>
      <c r="F299" s="224">
        <v>1030093</v>
      </c>
      <c r="G299" s="224">
        <v>1998</v>
      </c>
      <c r="H299" s="262" t="s">
        <v>631</v>
      </c>
      <c r="I299" s="208">
        <v>350</v>
      </c>
      <c r="J299" s="276">
        <v>11.4</v>
      </c>
      <c r="K299" s="276">
        <v>9.6</v>
      </c>
      <c r="L299" s="276">
        <v>1.8</v>
      </c>
    </row>
    <row r="300" spans="1:12" ht="26.4" customHeight="1">
      <c r="A300" s="207">
        <v>81</v>
      </c>
      <c r="B300" s="531"/>
      <c r="C300" s="288" t="s">
        <v>30</v>
      </c>
      <c r="D300" s="288" t="s">
        <v>939</v>
      </c>
      <c r="E300" s="288" t="s">
        <v>1228</v>
      </c>
      <c r="F300" s="224">
        <v>1030094</v>
      </c>
      <c r="G300" s="224">
        <v>1998</v>
      </c>
      <c r="H300" s="262" t="s">
        <v>631</v>
      </c>
      <c r="I300" s="208">
        <v>10</v>
      </c>
      <c r="J300" s="276">
        <v>13.1</v>
      </c>
      <c r="K300" s="276">
        <v>11.6</v>
      </c>
      <c r="L300" s="276">
        <v>1.5</v>
      </c>
    </row>
    <row r="301" spans="1:12" ht="26.4" customHeight="1">
      <c r="A301" s="207">
        <v>82</v>
      </c>
      <c r="B301" s="531"/>
      <c r="C301" s="288" t="s">
        <v>30</v>
      </c>
      <c r="D301" s="288" t="s">
        <v>939</v>
      </c>
      <c r="E301" s="288" t="s">
        <v>1229</v>
      </c>
      <c r="F301" s="224">
        <v>1030095</v>
      </c>
      <c r="G301" s="224">
        <v>1998</v>
      </c>
      <c r="H301" s="262" t="s">
        <v>631</v>
      </c>
      <c r="I301" s="208">
        <v>350</v>
      </c>
      <c r="J301" s="276">
        <v>11.6</v>
      </c>
      <c r="K301" s="276">
        <v>7.4</v>
      </c>
      <c r="L301" s="276">
        <v>4.2</v>
      </c>
    </row>
    <row r="302" spans="1:12" ht="26.4" customHeight="1">
      <c r="A302" s="207">
        <v>83</v>
      </c>
      <c r="B302" s="531"/>
      <c r="C302" s="288" t="s">
        <v>30</v>
      </c>
      <c r="D302" s="288" t="s">
        <v>939</v>
      </c>
      <c r="E302" s="288" t="s">
        <v>1231</v>
      </c>
      <c r="F302" s="224">
        <v>1030096</v>
      </c>
      <c r="G302" s="224">
        <v>1998</v>
      </c>
      <c r="H302" s="262" t="s">
        <v>631</v>
      </c>
      <c r="I302" s="208">
        <v>35</v>
      </c>
      <c r="J302" s="276">
        <v>9.6</v>
      </c>
      <c r="K302" s="276">
        <v>8.5</v>
      </c>
      <c r="L302" s="276">
        <v>1.1000000000000001</v>
      </c>
    </row>
    <row r="303" spans="1:12" ht="26.4" customHeight="1">
      <c r="A303" s="207">
        <v>84</v>
      </c>
      <c r="B303" s="531"/>
      <c r="C303" s="288" t="s">
        <v>30</v>
      </c>
      <c r="D303" s="288" t="s">
        <v>939</v>
      </c>
      <c r="E303" s="288" t="s">
        <v>1230</v>
      </c>
      <c r="F303" s="224">
        <v>1030097</v>
      </c>
      <c r="G303" s="224">
        <v>1998</v>
      </c>
      <c r="H303" s="262" t="s">
        <v>631</v>
      </c>
      <c r="I303" s="208">
        <v>300</v>
      </c>
      <c r="J303" s="276">
        <v>10.7</v>
      </c>
      <c r="K303" s="276">
        <v>10.7</v>
      </c>
      <c r="L303" s="276">
        <v>0</v>
      </c>
    </row>
    <row r="304" spans="1:12" ht="26.4" customHeight="1">
      <c r="A304" s="207">
        <v>85</v>
      </c>
      <c r="B304" s="531"/>
      <c r="C304" s="288" t="s">
        <v>30</v>
      </c>
      <c r="D304" s="288" t="s">
        <v>939</v>
      </c>
      <c r="E304" s="288" t="s">
        <v>2218</v>
      </c>
      <c r="F304" s="224">
        <v>1030098</v>
      </c>
      <c r="G304" s="224">
        <v>1998</v>
      </c>
      <c r="H304" s="262" t="s">
        <v>631</v>
      </c>
      <c r="I304" s="208">
        <v>50</v>
      </c>
      <c r="J304" s="276">
        <v>12.8</v>
      </c>
      <c r="K304" s="276">
        <v>11.3</v>
      </c>
      <c r="L304" s="276">
        <v>1.5</v>
      </c>
    </row>
    <row r="305" spans="1:12" ht="26.4" customHeight="1">
      <c r="A305" s="207">
        <v>86</v>
      </c>
      <c r="B305" s="531"/>
      <c r="C305" s="288" t="s">
        <v>30</v>
      </c>
      <c r="D305" s="288" t="s">
        <v>939</v>
      </c>
      <c r="E305" s="288" t="s">
        <v>2217</v>
      </c>
      <c r="F305" s="224">
        <v>1030099</v>
      </c>
      <c r="G305" s="224">
        <v>1998</v>
      </c>
      <c r="H305" s="262" t="s">
        <v>631</v>
      </c>
      <c r="I305" s="208">
        <v>300</v>
      </c>
      <c r="J305" s="276">
        <v>12.5</v>
      </c>
      <c r="K305" s="276">
        <v>10.199999999999999</v>
      </c>
      <c r="L305" s="276">
        <v>2.2999999999999998</v>
      </c>
    </row>
    <row r="306" spans="1:12" ht="26.4" customHeight="1">
      <c r="A306" s="207">
        <v>87</v>
      </c>
      <c r="B306" s="531"/>
      <c r="C306" s="288" t="s">
        <v>1788</v>
      </c>
      <c r="D306" s="288" t="s">
        <v>1357</v>
      </c>
      <c r="E306" s="288" t="s">
        <v>1965</v>
      </c>
      <c r="F306" s="224">
        <v>1030100</v>
      </c>
      <c r="G306" s="224">
        <v>1979</v>
      </c>
      <c r="H306" s="262" t="s">
        <v>631</v>
      </c>
      <c r="I306" s="208">
        <v>3174</v>
      </c>
      <c r="J306" s="276">
        <v>142.1</v>
      </c>
      <c r="K306" s="275">
        <v>142.1</v>
      </c>
      <c r="L306" s="276">
        <v>0</v>
      </c>
    </row>
    <row r="307" spans="1:12" ht="26.4" customHeight="1">
      <c r="A307" s="207">
        <v>88</v>
      </c>
      <c r="B307" s="531"/>
      <c r="C307" s="288" t="s">
        <v>1788</v>
      </c>
      <c r="D307" s="288" t="s">
        <v>1357</v>
      </c>
      <c r="E307" s="288" t="s">
        <v>1879</v>
      </c>
      <c r="F307" s="224">
        <v>1030102</v>
      </c>
      <c r="G307" s="224">
        <v>1979</v>
      </c>
      <c r="H307" s="262" t="s">
        <v>631</v>
      </c>
      <c r="I307" s="208">
        <v>4500</v>
      </c>
      <c r="J307" s="276">
        <v>220.2</v>
      </c>
      <c r="K307" s="276">
        <v>220.2</v>
      </c>
      <c r="L307" s="276">
        <v>0</v>
      </c>
    </row>
    <row r="308" spans="1:12" ht="26.4" customHeight="1">
      <c r="A308" s="207">
        <v>89</v>
      </c>
      <c r="B308" s="531"/>
      <c r="C308" s="288" t="s">
        <v>1788</v>
      </c>
      <c r="D308" s="288" t="s">
        <v>1359</v>
      </c>
      <c r="E308" s="288" t="s">
        <v>1880</v>
      </c>
      <c r="F308" s="224">
        <v>1030103</v>
      </c>
      <c r="G308" s="224">
        <v>1979</v>
      </c>
      <c r="H308" s="262" t="s">
        <v>631</v>
      </c>
      <c r="I308" s="208">
        <v>1144</v>
      </c>
      <c r="J308" s="276">
        <v>20.100000000000001</v>
      </c>
      <c r="K308" s="275">
        <v>20.100000000000001</v>
      </c>
      <c r="L308" s="276">
        <v>0</v>
      </c>
    </row>
    <row r="309" spans="1:12" ht="26.4" customHeight="1">
      <c r="A309" s="207">
        <v>90</v>
      </c>
      <c r="B309" s="531"/>
      <c r="C309" s="288" t="s">
        <v>1788</v>
      </c>
      <c r="D309" s="288" t="s">
        <v>1359</v>
      </c>
      <c r="E309" s="288" t="s">
        <v>1881</v>
      </c>
      <c r="F309" s="224">
        <v>1030104</v>
      </c>
      <c r="G309" s="224">
        <v>1979</v>
      </c>
      <c r="H309" s="262" t="s">
        <v>631</v>
      </c>
      <c r="I309" s="208">
        <v>1570</v>
      </c>
      <c r="J309" s="276">
        <v>38.9</v>
      </c>
      <c r="K309" s="276">
        <v>38.9</v>
      </c>
      <c r="L309" s="276">
        <v>0</v>
      </c>
    </row>
    <row r="310" spans="1:12" ht="26.4" customHeight="1">
      <c r="A310" s="207">
        <v>91</v>
      </c>
      <c r="B310" s="531"/>
      <c r="C310" s="288" t="s">
        <v>1788</v>
      </c>
      <c r="D310" s="288" t="s">
        <v>1359</v>
      </c>
      <c r="E310" s="288" t="s">
        <v>1882</v>
      </c>
      <c r="F310" s="224">
        <v>1030105</v>
      </c>
      <c r="G310" s="224">
        <v>1979</v>
      </c>
      <c r="H310" s="262" t="s">
        <v>631</v>
      </c>
      <c r="I310" s="208">
        <v>3100</v>
      </c>
      <c r="J310" s="276">
        <v>10</v>
      </c>
      <c r="K310" s="275">
        <v>10</v>
      </c>
      <c r="L310" s="276">
        <v>0</v>
      </c>
    </row>
    <row r="311" spans="1:12" ht="26.4" customHeight="1">
      <c r="A311" s="207">
        <v>92</v>
      </c>
      <c r="B311" s="531"/>
      <c r="C311" s="288" t="s">
        <v>1788</v>
      </c>
      <c r="D311" s="288" t="s">
        <v>1359</v>
      </c>
      <c r="E311" s="288" t="s">
        <v>1966</v>
      </c>
      <c r="F311" s="224">
        <v>1030106</v>
      </c>
      <c r="G311" s="224">
        <v>1979</v>
      </c>
      <c r="H311" s="262" t="s">
        <v>631</v>
      </c>
      <c r="I311" s="208">
        <v>1500</v>
      </c>
      <c r="J311" s="276">
        <v>25</v>
      </c>
      <c r="K311" s="275">
        <v>25</v>
      </c>
      <c r="L311" s="276">
        <v>0</v>
      </c>
    </row>
    <row r="312" spans="1:12" ht="26.4" customHeight="1">
      <c r="A312" s="207">
        <v>93</v>
      </c>
      <c r="B312" s="531"/>
      <c r="C312" s="288" t="s">
        <v>1788</v>
      </c>
      <c r="D312" s="288" t="s">
        <v>1359</v>
      </c>
      <c r="E312" s="288" t="s">
        <v>1883</v>
      </c>
      <c r="F312" s="224">
        <v>1030107</v>
      </c>
      <c r="G312" s="224">
        <v>1979</v>
      </c>
      <c r="H312" s="262" t="s">
        <v>631</v>
      </c>
      <c r="I312" s="208">
        <v>1570</v>
      </c>
      <c r="J312" s="276">
        <v>15.3</v>
      </c>
      <c r="K312" s="275">
        <v>15.3</v>
      </c>
      <c r="L312" s="276">
        <v>0</v>
      </c>
    </row>
    <row r="313" spans="1:12" ht="26.4" customHeight="1">
      <c r="A313" s="207">
        <v>94</v>
      </c>
      <c r="B313" s="531"/>
      <c r="C313" s="288" t="s">
        <v>1788</v>
      </c>
      <c r="D313" s="288" t="s">
        <v>1359</v>
      </c>
      <c r="E313" s="288" t="s">
        <v>1967</v>
      </c>
      <c r="F313" s="224">
        <v>1030108</v>
      </c>
      <c r="G313" s="224">
        <v>1979</v>
      </c>
      <c r="H313" s="262" t="s">
        <v>631</v>
      </c>
      <c r="I313" s="208">
        <v>5800</v>
      </c>
      <c r="J313" s="276">
        <v>55.8</v>
      </c>
      <c r="K313" s="276">
        <v>54.1</v>
      </c>
      <c r="L313" s="276">
        <v>1.7</v>
      </c>
    </row>
    <row r="314" spans="1:12" ht="26.4" customHeight="1">
      <c r="A314" s="207">
        <v>95</v>
      </c>
      <c r="B314" s="531"/>
      <c r="C314" s="288" t="s">
        <v>30</v>
      </c>
      <c r="D314" s="288" t="s">
        <v>1369</v>
      </c>
      <c r="E314" s="288" t="s">
        <v>938</v>
      </c>
      <c r="F314" s="224">
        <v>1030110</v>
      </c>
      <c r="G314" s="224">
        <v>1979</v>
      </c>
      <c r="H314" s="262" t="s">
        <v>631</v>
      </c>
      <c r="I314" s="208">
        <v>300</v>
      </c>
      <c r="J314" s="276">
        <v>9.1</v>
      </c>
      <c r="K314" s="276">
        <v>9.1</v>
      </c>
      <c r="L314" s="276">
        <v>0</v>
      </c>
    </row>
    <row r="315" spans="1:12" ht="26.4" customHeight="1">
      <c r="A315" s="207">
        <v>96</v>
      </c>
      <c r="B315" s="531"/>
      <c r="C315" s="288" t="s">
        <v>1788</v>
      </c>
      <c r="D315" s="288" t="s">
        <v>1359</v>
      </c>
      <c r="E315" s="288" t="s">
        <v>1884</v>
      </c>
      <c r="F315" s="224">
        <v>1030111</v>
      </c>
      <c r="G315" s="224">
        <v>1979</v>
      </c>
      <c r="H315" s="262" t="s">
        <v>631</v>
      </c>
      <c r="I315" s="208">
        <v>440</v>
      </c>
      <c r="J315" s="276">
        <v>36.4</v>
      </c>
      <c r="K315" s="275">
        <v>36.4</v>
      </c>
      <c r="L315" s="276">
        <v>0</v>
      </c>
    </row>
    <row r="316" spans="1:12" ht="26.4" customHeight="1">
      <c r="A316" s="207">
        <v>97</v>
      </c>
      <c r="B316" s="531"/>
      <c r="C316" s="288" t="s">
        <v>30</v>
      </c>
      <c r="D316" s="288" t="s">
        <v>1369</v>
      </c>
      <c r="E316" s="288" t="s">
        <v>937</v>
      </c>
      <c r="F316" s="224">
        <v>1030112</v>
      </c>
      <c r="G316" s="224">
        <v>1982</v>
      </c>
      <c r="H316" s="262" t="s">
        <v>631</v>
      </c>
      <c r="I316" s="208">
        <v>1020</v>
      </c>
      <c r="J316" s="276">
        <v>58.9</v>
      </c>
      <c r="K316" s="276">
        <v>58.9</v>
      </c>
      <c r="L316" s="276">
        <v>0</v>
      </c>
    </row>
    <row r="317" spans="1:12" ht="26.4" customHeight="1">
      <c r="A317" s="207">
        <v>98</v>
      </c>
      <c r="B317" s="531"/>
      <c r="C317" s="288" t="s">
        <v>1787</v>
      </c>
      <c r="D317" s="288" t="s">
        <v>1359</v>
      </c>
      <c r="E317" s="288" t="s">
        <v>1968</v>
      </c>
      <c r="F317" s="224">
        <v>1030113</v>
      </c>
      <c r="G317" s="224">
        <v>1982</v>
      </c>
      <c r="H317" s="262" t="s">
        <v>631</v>
      </c>
      <c r="I317" s="208">
        <v>30</v>
      </c>
      <c r="J317" s="276">
        <v>1.1000000000000001</v>
      </c>
      <c r="K317" s="275">
        <v>1.1000000000000001</v>
      </c>
      <c r="L317" s="276">
        <v>0</v>
      </c>
    </row>
    <row r="318" spans="1:12" ht="26.4" customHeight="1">
      <c r="A318" s="207">
        <v>99</v>
      </c>
      <c r="B318" s="531"/>
      <c r="C318" s="288" t="s">
        <v>30</v>
      </c>
      <c r="D318" s="288" t="s">
        <v>1368</v>
      </c>
      <c r="E318" s="288" t="s">
        <v>1167</v>
      </c>
      <c r="F318" s="224">
        <v>1030114</v>
      </c>
      <c r="G318" s="224">
        <v>1982</v>
      </c>
      <c r="H318" s="262" t="s">
        <v>631</v>
      </c>
      <c r="I318" s="208">
        <v>8308</v>
      </c>
      <c r="J318" s="276">
        <v>327.7</v>
      </c>
      <c r="K318" s="276">
        <v>171.1</v>
      </c>
      <c r="L318" s="276">
        <v>156.6</v>
      </c>
    </row>
    <row r="319" spans="1:12" ht="26.4" customHeight="1">
      <c r="A319" s="207">
        <v>100</v>
      </c>
      <c r="B319" s="531"/>
      <c r="C319" s="288" t="s">
        <v>1788</v>
      </c>
      <c r="D319" s="288" t="s">
        <v>1359</v>
      </c>
      <c r="E319" s="208" t="s">
        <v>937</v>
      </c>
      <c r="F319" s="224">
        <v>1030115</v>
      </c>
      <c r="G319" s="224">
        <v>1982</v>
      </c>
      <c r="H319" s="262" t="s">
        <v>631</v>
      </c>
      <c r="I319" s="208">
        <v>602</v>
      </c>
      <c r="J319" s="276">
        <v>19.899999999999999</v>
      </c>
      <c r="K319" s="275">
        <v>19.899999999999999</v>
      </c>
      <c r="L319" s="276">
        <v>0</v>
      </c>
    </row>
    <row r="320" spans="1:12" ht="26.4" customHeight="1">
      <c r="A320" s="207">
        <v>101</v>
      </c>
      <c r="B320" s="531"/>
      <c r="C320" s="288" t="s">
        <v>30</v>
      </c>
      <c r="D320" s="288" t="s">
        <v>1369</v>
      </c>
      <c r="E320" s="288" t="s">
        <v>1232</v>
      </c>
      <c r="F320" s="224">
        <v>1030116</v>
      </c>
      <c r="G320" s="224">
        <v>1982</v>
      </c>
      <c r="H320" s="262" t="s">
        <v>631</v>
      </c>
      <c r="I320" s="208">
        <v>4500</v>
      </c>
      <c r="J320" s="276">
        <v>63.6</v>
      </c>
      <c r="K320" s="276">
        <v>63.6</v>
      </c>
      <c r="L320" s="276">
        <v>0</v>
      </c>
    </row>
    <row r="321" spans="1:12" ht="26.4" customHeight="1">
      <c r="A321" s="207">
        <v>102</v>
      </c>
      <c r="B321" s="531"/>
      <c r="C321" s="288" t="s">
        <v>2201</v>
      </c>
      <c r="D321" s="288" t="s">
        <v>1361</v>
      </c>
      <c r="E321" s="208" t="s">
        <v>2339</v>
      </c>
      <c r="F321" s="224">
        <v>1030118</v>
      </c>
      <c r="G321" s="224">
        <v>1982</v>
      </c>
      <c r="H321" s="262" t="s">
        <v>631</v>
      </c>
      <c r="I321" s="208">
        <v>167</v>
      </c>
      <c r="J321" s="276">
        <v>7.6</v>
      </c>
      <c r="K321" s="275">
        <v>7.6</v>
      </c>
      <c r="L321" s="276">
        <v>0</v>
      </c>
    </row>
    <row r="322" spans="1:12" ht="26.4" customHeight="1">
      <c r="A322" s="207">
        <v>103</v>
      </c>
      <c r="B322" s="531"/>
      <c r="C322" s="288" t="s">
        <v>30</v>
      </c>
      <c r="D322" s="288" t="s">
        <v>2061</v>
      </c>
      <c r="E322" s="288" t="s">
        <v>1240</v>
      </c>
      <c r="F322" s="224">
        <v>1030119</v>
      </c>
      <c r="G322" s="224">
        <v>1989</v>
      </c>
      <c r="H322" s="262" t="s">
        <v>631</v>
      </c>
      <c r="I322" s="208">
        <v>300</v>
      </c>
      <c r="J322" s="276">
        <v>5.6</v>
      </c>
      <c r="K322" s="276">
        <v>5.6</v>
      </c>
      <c r="L322" s="276">
        <v>0</v>
      </c>
    </row>
    <row r="323" spans="1:12" ht="26.4" customHeight="1">
      <c r="A323" s="207">
        <v>104</v>
      </c>
      <c r="B323" s="531"/>
      <c r="C323" s="288" t="s">
        <v>30</v>
      </c>
      <c r="D323" s="288" t="s">
        <v>1368</v>
      </c>
      <c r="E323" s="288" t="s">
        <v>1166</v>
      </c>
      <c r="F323" s="224">
        <v>1030120</v>
      </c>
      <c r="G323" s="224">
        <v>1977</v>
      </c>
      <c r="H323" s="262" t="s">
        <v>631</v>
      </c>
      <c r="I323" s="208">
        <v>10000</v>
      </c>
      <c r="J323" s="276">
        <v>2510.6</v>
      </c>
      <c r="K323" s="276">
        <v>585.5</v>
      </c>
      <c r="L323" s="276">
        <v>1925.1</v>
      </c>
    </row>
    <row r="324" spans="1:12" ht="26.4" customHeight="1">
      <c r="A324" s="207">
        <v>105</v>
      </c>
      <c r="B324" s="531"/>
      <c r="C324" s="288" t="s">
        <v>30</v>
      </c>
      <c r="D324" s="288" t="s">
        <v>1368</v>
      </c>
      <c r="E324" s="288" t="s">
        <v>1233</v>
      </c>
      <c r="F324" s="224">
        <v>1030121</v>
      </c>
      <c r="G324" s="224">
        <v>1978</v>
      </c>
      <c r="H324" s="262" t="s">
        <v>631</v>
      </c>
      <c r="I324" s="208">
        <v>5018</v>
      </c>
      <c r="J324" s="276">
        <v>160.9</v>
      </c>
      <c r="K324" s="276">
        <v>148.30000000000001</v>
      </c>
      <c r="L324" s="276">
        <v>12.6</v>
      </c>
    </row>
    <row r="325" spans="1:12" ht="26.4" customHeight="1">
      <c r="A325" s="207">
        <v>106</v>
      </c>
      <c r="B325" s="531"/>
      <c r="C325" s="288" t="s">
        <v>30</v>
      </c>
      <c r="D325" s="288" t="s">
        <v>1368</v>
      </c>
      <c r="E325" s="288" t="s">
        <v>1999</v>
      </c>
      <c r="F325" s="224">
        <v>1030122</v>
      </c>
      <c r="G325" s="224">
        <v>1977</v>
      </c>
      <c r="H325" s="262" t="s">
        <v>631</v>
      </c>
      <c r="I325" s="208">
        <v>5000</v>
      </c>
      <c r="J325" s="276">
        <v>114.7</v>
      </c>
      <c r="K325" s="276">
        <v>112.7</v>
      </c>
      <c r="L325" s="276">
        <v>2</v>
      </c>
    </row>
    <row r="326" spans="1:12" ht="26.4" customHeight="1">
      <c r="A326" s="207">
        <v>107</v>
      </c>
      <c r="B326" s="531"/>
      <c r="C326" s="288" t="s">
        <v>30</v>
      </c>
      <c r="D326" s="288" t="s">
        <v>1368</v>
      </c>
      <c r="E326" s="288" t="s">
        <v>1969</v>
      </c>
      <c r="F326" s="224">
        <v>1030123</v>
      </c>
      <c r="G326" s="224">
        <v>1990</v>
      </c>
      <c r="H326" s="262" t="s">
        <v>1138</v>
      </c>
      <c r="I326" s="208">
        <v>1</v>
      </c>
      <c r="J326" s="276">
        <v>64.900000000000006</v>
      </c>
      <c r="K326" s="276">
        <v>63</v>
      </c>
      <c r="L326" s="276">
        <v>1.9</v>
      </c>
    </row>
    <row r="327" spans="1:12" ht="26.4" customHeight="1">
      <c r="A327" s="207">
        <v>108</v>
      </c>
      <c r="B327" s="531"/>
      <c r="C327" s="288" t="s">
        <v>2203</v>
      </c>
      <c r="D327" s="288" t="s">
        <v>2062</v>
      </c>
      <c r="E327" s="288" t="s">
        <v>1843</v>
      </c>
      <c r="F327" s="224">
        <v>1030124</v>
      </c>
      <c r="G327" s="224">
        <v>1986</v>
      </c>
      <c r="H327" s="262" t="s">
        <v>631</v>
      </c>
      <c r="I327" s="208">
        <v>2000</v>
      </c>
      <c r="J327" s="276">
        <v>149.9</v>
      </c>
      <c r="K327" s="275">
        <v>149.9</v>
      </c>
      <c r="L327" s="276">
        <v>0</v>
      </c>
    </row>
    <row r="328" spans="1:12" ht="26.4" customHeight="1">
      <c r="A328" s="207">
        <v>109</v>
      </c>
      <c r="B328" s="531"/>
      <c r="C328" s="288" t="s">
        <v>30</v>
      </c>
      <c r="D328" s="288" t="s">
        <v>1368</v>
      </c>
      <c r="E328" s="288" t="s">
        <v>1234</v>
      </c>
      <c r="F328" s="224">
        <v>1030125</v>
      </c>
      <c r="G328" s="224">
        <v>1989</v>
      </c>
      <c r="H328" s="262" t="s">
        <v>631</v>
      </c>
      <c r="I328" s="208">
        <v>5000</v>
      </c>
      <c r="J328" s="276">
        <v>378.6</v>
      </c>
      <c r="K328" s="276">
        <v>377.4</v>
      </c>
      <c r="L328" s="276">
        <v>1.2</v>
      </c>
    </row>
    <row r="329" spans="1:12" ht="26.4" customHeight="1">
      <c r="A329" s="207">
        <v>110</v>
      </c>
      <c r="B329" s="531"/>
      <c r="C329" s="288" t="s">
        <v>30</v>
      </c>
      <c r="D329" s="288" t="s">
        <v>2064</v>
      </c>
      <c r="E329" s="288" t="s">
        <v>1842</v>
      </c>
      <c r="F329" s="224">
        <v>1030129</v>
      </c>
      <c r="G329" s="224">
        <v>1990</v>
      </c>
      <c r="H329" s="262" t="s">
        <v>631</v>
      </c>
      <c r="I329" s="208">
        <v>1000</v>
      </c>
      <c r="J329" s="276">
        <v>25.8</v>
      </c>
      <c r="K329" s="275">
        <v>25.8</v>
      </c>
      <c r="L329" s="276">
        <v>0</v>
      </c>
    </row>
    <row r="330" spans="1:12" ht="26.4" customHeight="1">
      <c r="A330" s="207">
        <v>111</v>
      </c>
      <c r="B330" s="531"/>
      <c r="C330" s="288" t="s">
        <v>2201</v>
      </c>
      <c r="D330" s="288" t="s">
        <v>1370</v>
      </c>
      <c r="E330" s="287" t="s">
        <v>2340</v>
      </c>
      <c r="F330" s="224">
        <v>1030130</v>
      </c>
      <c r="G330" s="224">
        <v>1989</v>
      </c>
      <c r="H330" s="262" t="s">
        <v>631</v>
      </c>
      <c r="I330" s="208">
        <v>5000</v>
      </c>
      <c r="J330" s="276">
        <v>17.3</v>
      </c>
      <c r="K330" s="275">
        <v>17.3</v>
      </c>
      <c r="L330" s="276">
        <v>0</v>
      </c>
    </row>
    <row r="331" spans="1:12" ht="26.4" customHeight="1">
      <c r="A331" s="207">
        <v>112</v>
      </c>
      <c r="B331" s="531"/>
      <c r="C331" s="288" t="s">
        <v>2202</v>
      </c>
      <c r="D331" s="288" t="s">
        <v>1370</v>
      </c>
      <c r="E331" s="287" t="s">
        <v>2341</v>
      </c>
      <c r="F331" s="224">
        <v>1030131</v>
      </c>
      <c r="G331" s="224">
        <v>1989</v>
      </c>
      <c r="H331" s="262" t="s">
        <v>631</v>
      </c>
      <c r="I331" s="208">
        <v>200</v>
      </c>
      <c r="J331" s="276">
        <v>3.9</v>
      </c>
      <c r="K331" s="275">
        <v>3.9</v>
      </c>
      <c r="L331" s="276">
        <v>0</v>
      </c>
    </row>
    <row r="332" spans="1:12" s="197" customFormat="1" ht="26.4" customHeight="1">
      <c r="A332" s="207">
        <v>113</v>
      </c>
      <c r="B332" s="531"/>
      <c r="C332" s="208" t="s">
        <v>2201</v>
      </c>
      <c r="D332" s="288" t="s">
        <v>1362</v>
      </c>
      <c r="E332" s="287" t="s">
        <v>2342</v>
      </c>
      <c r="F332" s="209" t="s">
        <v>936</v>
      </c>
      <c r="G332" s="209">
        <v>1989</v>
      </c>
      <c r="H332" s="262" t="s">
        <v>631</v>
      </c>
      <c r="I332" s="208">
        <v>353</v>
      </c>
      <c r="J332" s="276">
        <v>19.8</v>
      </c>
      <c r="K332" s="275">
        <v>19.8</v>
      </c>
      <c r="L332" s="276">
        <v>0</v>
      </c>
    </row>
    <row r="333" spans="1:12" ht="26.4" customHeight="1">
      <c r="A333" s="207">
        <v>114</v>
      </c>
      <c r="B333" s="531"/>
      <c r="C333" s="208" t="s">
        <v>2201</v>
      </c>
      <c r="D333" s="288" t="s">
        <v>1362</v>
      </c>
      <c r="E333" s="287" t="s">
        <v>2343</v>
      </c>
      <c r="F333" s="282">
        <v>1030134</v>
      </c>
      <c r="G333" s="282">
        <v>1989</v>
      </c>
      <c r="H333" s="261" t="s">
        <v>631</v>
      </c>
      <c r="I333" s="287">
        <v>18</v>
      </c>
      <c r="J333" s="276">
        <v>9.1</v>
      </c>
      <c r="K333" s="275">
        <v>9.1</v>
      </c>
      <c r="L333" s="276">
        <v>0</v>
      </c>
    </row>
    <row r="334" spans="1:12" ht="26.4" customHeight="1">
      <c r="A334" s="207">
        <v>115</v>
      </c>
      <c r="B334" s="531"/>
      <c r="C334" s="208" t="s">
        <v>2201</v>
      </c>
      <c r="D334" s="288" t="s">
        <v>1362</v>
      </c>
      <c r="E334" s="288" t="s">
        <v>2006</v>
      </c>
      <c r="F334" s="224">
        <v>1030135</v>
      </c>
      <c r="G334" s="224">
        <v>1990</v>
      </c>
      <c r="H334" s="475" t="s">
        <v>631</v>
      </c>
      <c r="I334" s="477">
        <v>353</v>
      </c>
      <c r="J334" s="276">
        <v>30.4</v>
      </c>
      <c r="K334" s="276">
        <v>29.7</v>
      </c>
      <c r="L334" s="276">
        <v>0.7</v>
      </c>
    </row>
    <row r="335" spans="1:12" ht="26.4" customHeight="1">
      <c r="A335" s="207">
        <v>116</v>
      </c>
      <c r="B335" s="531"/>
      <c r="C335" s="288" t="s">
        <v>2204</v>
      </c>
      <c r="D335" s="288" t="s">
        <v>2063</v>
      </c>
      <c r="E335" s="287" t="s">
        <v>2344</v>
      </c>
      <c r="F335" s="224">
        <v>1030136</v>
      </c>
      <c r="G335" s="224">
        <v>1990</v>
      </c>
      <c r="H335" s="475" t="s">
        <v>631</v>
      </c>
      <c r="I335" s="477">
        <v>255</v>
      </c>
      <c r="J335" s="276">
        <v>19.3</v>
      </c>
      <c r="K335" s="275">
        <v>19.3</v>
      </c>
      <c r="L335" s="276">
        <v>0</v>
      </c>
    </row>
    <row r="336" spans="1:12" ht="26.4" customHeight="1">
      <c r="A336" s="207">
        <v>117</v>
      </c>
      <c r="B336" s="531"/>
      <c r="C336" s="288" t="s">
        <v>30</v>
      </c>
      <c r="D336" s="288" t="s">
        <v>1815</v>
      </c>
      <c r="E336" s="288" t="s">
        <v>935</v>
      </c>
      <c r="F336" s="224">
        <v>1030334</v>
      </c>
      <c r="G336" s="224">
        <v>1998</v>
      </c>
      <c r="H336" s="475" t="s">
        <v>1138</v>
      </c>
      <c r="I336" s="477">
        <v>1</v>
      </c>
      <c r="J336" s="276">
        <v>98.6</v>
      </c>
      <c r="K336" s="276">
        <v>60.3</v>
      </c>
      <c r="L336" s="276">
        <v>38.299999999999997</v>
      </c>
    </row>
    <row r="337" spans="1:12" ht="26.4" customHeight="1">
      <c r="A337" s="207">
        <v>118</v>
      </c>
      <c r="B337" s="531"/>
      <c r="C337" s="288" t="s">
        <v>30</v>
      </c>
      <c r="D337" s="288" t="s">
        <v>934</v>
      </c>
      <c r="E337" s="288" t="s">
        <v>1235</v>
      </c>
      <c r="F337" s="224">
        <v>1030329</v>
      </c>
      <c r="G337" s="224">
        <v>1999</v>
      </c>
      <c r="H337" s="475" t="s">
        <v>631</v>
      </c>
      <c r="I337" s="477">
        <v>1100</v>
      </c>
      <c r="J337" s="276">
        <v>47.4</v>
      </c>
      <c r="K337" s="276">
        <v>37.299999999999997</v>
      </c>
      <c r="L337" s="276">
        <v>10.1</v>
      </c>
    </row>
    <row r="338" spans="1:12" ht="26.4" customHeight="1">
      <c r="A338" s="207">
        <v>119</v>
      </c>
      <c r="B338" s="531"/>
      <c r="C338" s="288" t="s">
        <v>30</v>
      </c>
      <c r="D338" s="288" t="s">
        <v>933</v>
      </c>
      <c r="E338" s="288" t="s">
        <v>1236</v>
      </c>
      <c r="F338" s="224">
        <v>1030421</v>
      </c>
      <c r="G338" s="224">
        <v>1938</v>
      </c>
      <c r="H338" s="475" t="s">
        <v>631</v>
      </c>
      <c r="I338" s="477">
        <v>6000</v>
      </c>
      <c r="J338" s="276">
        <v>147.5</v>
      </c>
      <c r="K338" s="276">
        <v>143.5</v>
      </c>
      <c r="L338" s="276">
        <v>4</v>
      </c>
    </row>
    <row r="339" spans="1:12" ht="26.4" customHeight="1">
      <c r="A339" s="207">
        <v>120</v>
      </c>
      <c r="B339" s="531"/>
      <c r="C339" s="288" t="s">
        <v>30</v>
      </c>
      <c r="D339" s="288" t="s">
        <v>2065</v>
      </c>
      <c r="E339" s="288" t="s">
        <v>932</v>
      </c>
      <c r="F339" s="224">
        <v>1030430</v>
      </c>
      <c r="G339" s="224">
        <v>1964</v>
      </c>
      <c r="H339" s="475" t="s">
        <v>631</v>
      </c>
      <c r="I339" s="477">
        <v>4200</v>
      </c>
      <c r="J339" s="276">
        <v>5.3</v>
      </c>
      <c r="K339" s="276">
        <v>5.3</v>
      </c>
      <c r="L339" s="276">
        <v>0</v>
      </c>
    </row>
    <row r="340" spans="1:12" ht="26.4" customHeight="1">
      <c r="A340" s="207">
        <v>121</v>
      </c>
      <c r="B340" s="531"/>
      <c r="C340" s="288" t="s">
        <v>2206</v>
      </c>
      <c r="D340" s="288" t="s">
        <v>1816</v>
      </c>
      <c r="E340" s="287" t="s">
        <v>13007</v>
      </c>
      <c r="F340" s="224">
        <v>1030431</v>
      </c>
      <c r="G340" s="224">
        <v>1980</v>
      </c>
      <c r="H340" s="475" t="s">
        <v>631</v>
      </c>
      <c r="I340" s="477">
        <v>1900</v>
      </c>
      <c r="J340" s="276">
        <v>60.4</v>
      </c>
      <c r="K340" s="275">
        <v>60.4</v>
      </c>
      <c r="L340" s="276">
        <v>0</v>
      </c>
    </row>
    <row r="341" spans="1:12" ht="26.4" customHeight="1">
      <c r="A341" s="207">
        <v>122</v>
      </c>
      <c r="B341" s="531"/>
      <c r="C341" s="288" t="s">
        <v>30</v>
      </c>
      <c r="D341" s="288" t="s">
        <v>2065</v>
      </c>
      <c r="E341" s="288" t="s">
        <v>1885</v>
      </c>
      <c r="F341" s="224">
        <v>1030432</v>
      </c>
      <c r="G341" s="224">
        <v>1973</v>
      </c>
      <c r="H341" s="475" t="s">
        <v>631</v>
      </c>
      <c r="I341" s="477">
        <v>4100</v>
      </c>
      <c r="J341" s="276">
        <v>6.8</v>
      </c>
      <c r="K341" s="276">
        <v>6.8</v>
      </c>
      <c r="L341" s="276">
        <v>0</v>
      </c>
    </row>
    <row r="342" spans="1:12" ht="26.4" customHeight="1">
      <c r="A342" s="207">
        <v>123</v>
      </c>
      <c r="B342" s="531"/>
      <c r="C342" s="288" t="s">
        <v>1788</v>
      </c>
      <c r="D342" s="288" t="s">
        <v>1359</v>
      </c>
      <c r="E342" s="288" t="s">
        <v>931</v>
      </c>
      <c r="F342" s="224">
        <v>1030140</v>
      </c>
      <c r="G342" s="224">
        <v>1979</v>
      </c>
      <c r="H342" s="475" t="s">
        <v>1138</v>
      </c>
      <c r="I342" s="477">
        <v>1</v>
      </c>
      <c r="J342" s="276">
        <v>4.7</v>
      </c>
      <c r="K342" s="276">
        <v>4.7</v>
      </c>
      <c r="L342" s="276">
        <v>0</v>
      </c>
    </row>
    <row r="343" spans="1:12" ht="26.4" customHeight="1">
      <c r="A343" s="207">
        <v>124</v>
      </c>
      <c r="B343" s="531"/>
      <c r="C343" s="288" t="s">
        <v>30</v>
      </c>
      <c r="D343" s="288" t="s">
        <v>2066</v>
      </c>
      <c r="E343" s="288" t="s">
        <v>930</v>
      </c>
      <c r="F343" s="224">
        <v>1030553</v>
      </c>
      <c r="G343" s="224">
        <v>2012</v>
      </c>
      <c r="H343" s="475" t="s">
        <v>631</v>
      </c>
      <c r="I343" s="477">
        <v>2000</v>
      </c>
      <c r="J343" s="276">
        <v>219</v>
      </c>
      <c r="K343" s="276">
        <v>39.200000000000003</v>
      </c>
      <c r="L343" s="276">
        <v>179.8</v>
      </c>
    </row>
    <row r="344" spans="1:12" ht="26.4" customHeight="1">
      <c r="A344" s="207">
        <v>125</v>
      </c>
      <c r="B344" s="531"/>
      <c r="C344" s="288" t="s">
        <v>30</v>
      </c>
      <c r="D344" s="288" t="s">
        <v>2007</v>
      </c>
      <c r="E344" s="288" t="s">
        <v>1886</v>
      </c>
      <c r="F344" s="224">
        <v>1030561</v>
      </c>
      <c r="G344" s="224">
        <v>2013</v>
      </c>
      <c r="H344" s="475" t="s">
        <v>631</v>
      </c>
      <c r="I344" s="477">
        <v>524</v>
      </c>
      <c r="J344" s="276">
        <v>1070.7</v>
      </c>
      <c r="K344" s="276">
        <v>199.7</v>
      </c>
      <c r="L344" s="276">
        <v>871</v>
      </c>
    </row>
    <row r="345" spans="1:12" ht="26.4">
      <c r="A345" s="207">
        <v>126</v>
      </c>
      <c r="B345" s="531"/>
      <c r="C345" s="288" t="s">
        <v>30</v>
      </c>
      <c r="D345" s="288" t="s">
        <v>2008</v>
      </c>
      <c r="E345" s="287" t="s">
        <v>2381</v>
      </c>
      <c r="F345" s="224">
        <v>1030562</v>
      </c>
      <c r="G345" s="224">
        <v>2013</v>
      </c>
      <c r="H345" s="475" t="s">
        <v>631</v>
      </c>
      <c r="I345" s="477">
        <v>840</v>
      </c>
      <c r="J345" s="276">
        <v>1452.2</v>
      </c>
      <c r="K345" s="276">
        <v>271.10000000000002</v>
      </c>
      <c r="L345" s="276">
        <v>1181.0999999999999</v>
      </c>
    </row>
    <row r="346" spans="1:12" ht="26.4" customHeight="1">
      <c r="A346" s="207">
        <v>127</v>
      </c>
      <c r="B346" s="531"/>
      <c r="C346" s="288" t="s">
        <v>30</v>
      </c>
      <c r="D346" s="288" t="s">
        <v>3</v>
      </c>
      <c r="E346" s="208" t="s">
        <v>2380</v>
      </c>
      <c r="F346" s="224">
        <v>1030563</v>
      </c>
      <c r="G346" s="224">
        <v>2013</v>
      </c>
      <c r="H346" s="475" t="s">
        <v>631</v>
      </c>
      <c r="I346" s="477">
        <v>4262.7</v>
      </c>
      <c r="J346" s="276">
        <v>10783.8</v>
      </c>
      <c r="K346" s="276">
        <v>2013.2</v>
      </c>
      <c r="L346" s="276">
        <v>8770.6</v>
      </c>
    </row>
    <row r="347" spans="1:12" ht="26.4" customHeight="1">
      <c r="A347" s="207">
        <v>128</v>
      </c>
      <c r="B347" s="531"/>
      <c r="C347" s="288" t="s">
        <v>30</v>
      </c>
      <c r="D347" s="288" t="s">
        <v>1815</v>
      </c>
      <c r="E347" s="288" t="s">
        <v>1887</v>
      </c>
      <c r="F347" s="224">
        <v>1030606</v>
      </c>
      <c r="G347" s="224">
        <v>2016</v>
      </c>
      <c r="H347" s="475" t="s">
        <v>631</v>
      </c>
      <c r="I347" s="477">
        <v>204</v>
      </c>
      <c r="J347" s="276">
        <v>3514.4</v>
      </c>
      <c r="K347" s="276">
        <v>439.3</v>
      </c>
      <c r="L347" s="276">
        <v>3075.1</v>
      </c>
    </row>
    <row r="348" spans="1:12" ht="26.4" customHeight="1">
      <c r="A348" s="207">
        <v>129</v>
      </c>
      <c r="B348" s="531"/>
      <c r="C348" s="288" t="s">
        <v>2202</v>
      </c>
      <c r="D348" s="288" t="s">
        <v>1360</v>
      </c>
      <c r="E348" s="288" t="s">
        <v>2005</v>
      </c>
      <c r="F348" s="224">
        <v>1030607</v>
      </c>
      <c r="G348" s="224">
        <v>1989</v>
      </c>
      <c r="H348" s="475" t="s">
        <v>631</v>
      </c>
      <c r="I348" s="477">
        <v>950</v>
      </c>
      <c r="J348" s="276">
        <v>31</v>
      </c>
      <c r="K348" s="276">
        <v>6.3</v>
      </c>
      <c r="L348" s="276">
        <v>24.7</v>
      </c>
    </row>
    <row r="349" spans="1:12" ht="26.4" customHeight="1">
      <c r="A349" s="207">
        <v>130</v>
      </c>
      <c r="B349" s="531"/>
      <c r="C349" s="288" t="s">
        <v>2202</v>
      </c>
      <c r="D349" s="288" t="s">
        <v>1362</v>
      </c>
      <c r="E349" s="288" t="s">
        <v>2431</v>
      </c>
      <c r="F349" s="224">
        <v>1030608</v>
      </c>
      <c r="G349" s="224">
        <v>1989</v>
      </c>
      <c r="H349" s="475" t="s">
        <v>631</v>
      </c>
      <c r="I349" s="477">
        <v>8350</v>
      </c>
      <c r="J349" s="276">
        <v>272.7</v>
      </c>
      <c r="K349" s="276">
        <v>56.1</v>
      </c>
      <c r="L349" s="276">
        <v>216.6</v>
      </c>
    </row>
    <row r="350" spans="1:12" ht="26.4" customHeight="1">
      <c r="A350" s="207">
        <v>131</v>
      </c>
      <c r="B350" s="532"/>
      <c r="C350" s="288" t="s">
        <v>30</v>
      </c>
      <c r="D350" s="288" t="s">
        <v>1371</v>
      </c>
      <c r="E350" s="288" t="s">
        <v>1146</v>
      </c>
      <c r="F350" s="224">
        <v>1030413</v>
      </c>
      <c r="G350" s="224">
        <v>1986</v>
      </c>
      <c r="H350" s="263" t="s">
        <v>631</v>
      </c>
      <c r="I350" s="476">
        <v>1212</v>
      </c>
      <c r="J350" s="276">
        <v>53.1</v>
      </c>
      <c r="K350" s="276">
        <v>26.5</v>
      </c>
      <c r="L350" s="276">
        <v>26.6</v>
      </c>
    </row>
    <row r="351" spans="1:12" ht="26.4" customHeight="1">
      <c r="A351" s="238"/>
      <c r="B351" s="303" t="s">
        <v>2215</v>
      </c>
      <c r="C351" s="303" t="s">
        <v>3</v>
      </c>
      <c r="D351" s="303" t="s">
        <v>3</v>
      </c>
      <c r="E351" s="303" t="s">
        <v>3</v>
      </c>
      <c r="F351" s="303" t="s">
        <v>3</v>
      </c>
      <c r="G351" s="303" t="s">
        <v>3</v>
      </c>
      <c r="H351" s="303" t="s">
        <v>3</v>
      </c>
      <c r="I351" s="303" t="s">
        <v>3</v>
      </c>
      <c r="J351" s="293">
        <f>SUM(J219:J350)</f>
        <v>34386.300000000003</v>
      </c>
      <c r="K351" s="293">
        <f>SUM(K219:K350)</f>
        <v>13780.400000000001</v>
      </c>
      <c r="L351" s="293">
        <f>SUM(L219:L350)</f>
        <v>20605.899999999998</v>
      </c>
    </row>
    <row r="352" spans="1:12" ht="26.4" customHeight="1">
      <c r="A352" s="206">
        <v>1</v>
      </c>
      <c r="B352" s="539" t="s">
        <v>13234</v>
      </c>
      <c r="C352" s="225" t="s">
        <v>1789</v>
      </c>
      <c r="D352" s="225" t="s">
        <v>2067</v>
      </c>
      <c r="E352" s="201" t="s">
        <v>1135</v>
      </c>
      <c r="F352" s="226">
        <v>380</v>
      </c>
      <c r="G352" s="201">
        <v>1971</v>
      </c>
      <c r="H352" s="475" t="s">
        <v>1149</v>
      </c>
      <c r="I352" s="225">
        <v>887</v>
      </c>
      <c r="J352" s="227">
        <f>(86446.12+14697.78+14697.78)/1000</f>
        <v>115.84168</v>
      </c>
      <c r="K352" s="227">
        <f>62705.46/1000</f>
        <v>62.705460000000002</v>
      </c>
      <c r="L352" s="227">
        <f>53136.22/1000</f>
        <v>53.136220000000002</v>
      </c>
    </row>
    <row r="353" spans="1:12" ht="26.4" customHeight="1">
      <c r="A353" s="206">
        <v>2</v>
      </c>
      <c r="B353" s="540"/>
      <c r="C353" s="225" t="s">
        <v>1789</v>
      </c>
      <c r="D353" s="225" t="s">
        <v>2067</v>
      </c>
      <c r="E353" s="201" t="s">
        <v>929</v>
      </c>
      <c r="F353" s="226">
        <v>670</v>
      </c>
      <c r="G353" s="201">
        <v>1988</v>
      </c>
      <c r="H353" s="475" t="s">
        <v>1138</v>
      </c>
      <c r="I353" s="225">
        <v>1</v>
      </c>
      <c r="J353" s="227">
        <f>(18723.31+11019+11019.03)/1000</f>
        <v>40.761340000000004</v>
      </c>
      <c r="K353" s="227">
        <f>33358.12/1000</f>
        <v>33.35812</v>
      </c>
      <c r="L353" s="227">
        <f>7403.22/1000</f>
        <v>7.4032200000000001</v>
      </c>
    </row>
    <row r="354" spans="1:12" ht="26.4" customHeight="1">
      <c r="A354" s="206">
        <v>3</v>
      </c>
      <c r="B354" s="540"/>
      <c r="C354" s="225" t="s">
        <v>1169</v>
      </c>
      <c r="D354" s="225" t="s">
        <v>1372</v>
      </c>
      <c r="E354" s="201" t="s">
        <v>2412</v>
      </c>
      <c r="F354" s="226">
        <v>1</v>
      </c>
      <c r="G354" s="201">
        <v>1966</v>
      </c>
      <c r="H354" s="475" t="s">
        <v>1149</v>
      </c>
      <c r="I354" s="225">
        <v>473.36</v>
      </c>
      <c r="J354" s="227">
        <f>301703.73/1000</f>
        <v>301.70373000000001</v>
      </c>
      <c r="K354" s="227">
        <f>160987.3/1000</f>
        <v>160.98729999999998</v>
      </c>
      <c r="L354" s="227">
        <f>140716.43/1000</f>
        <v>140.71643</v>
      </c>
    </row>
    <row r="355" spans="1:12" ht="26.4" customHeight="1">
      <c r="A355" s="206">
        <v>4</v>
      </c>
      <c r="B355" s="540"/>
      <c r="C355" s="225" t="s">
        <v>1169</v>
      </c>
      <c r="D355" s="225" t="s">
        <v>1373</v>
      </c>
      <c r="E355" s="201" t="s">
        <v>1170</v>
      </c>
      <c r="F355" s="226">
        <v>1316</v>
      </c>
      <c r="G355" s="201">
        <v>2005</v>
      </c>
      <c r="H355" s="475" t="s">
        <v>1138</v>
      </c>
      <c r="I355" s="283">
        <v>1</v>
      </c>
      <c r="J355" s="227">
        <f>127772/1000</f>
        <v>127.77200000000001</v>
      </c>
      <c r="K355" s="227">
        <f>49668.32/1000</f>
        <v>49.668320000000001</v>
      </c>
      <c r="L355" s="227">
        <f>78103.68/1000</f>
        <v>78.103679999999997</v>
      </c>
    </row>
    <row r="356" spans="1:12" ht="26.4">
      <c r="A356" s="206">
        <v>5</v>
      </c>
      <c r="B356" s="540"/>
      <c r="C356" s="225" t="s">
        <v>1169</v>
      </c>
      <c r="D356" s="225" t="s">
        <v>1374</v>
      </c>
      <c r="E356" s="201" t="s">
        <v>2219</v>
      </c>
      <c r="F356" s="226">
        <v>4001</v>
      </c>
      <c r="G356" s="201">
        <v>1972</v>
      </c>
      <c r="H356" s="475" t="s">
        <v>1138</v>
      </c>
      <c r="I356" s="283">
        <v>1</v>
      </c>
      <c r="J356" s="227">
        <f>587835.64/1000</f>
        <v>587.83564000000001</v>
      </c>
      <c r="K356" s="227">
        <f>164605.06/1000</f>
        <v>164.60506000000001</v>
      </c>
      <c r="L356" s="227">
        <f>423230.58/1000</f>
        <v>423.23058000000003</v>
      </c>
    </row>
    <row r="357" spans="1:12" ht="26.4" customHeight="1">
      <c r="A357" s="206">
        <v>6</v>
      </c>
      <c r="B357" s="540"/>
      <c r="C357" s="225" t="s">
        <v>1169</v>
      </c>
      <c r="D357" s="225" t="s">
        <v>1970</v>
      </c>
      <c r="E357" s="201" t="s">
        <v>1909</v>
      </c>
      <c r="F357" s="226">
        <v>4083</v>
      </c>
      <c r="G357" s="201">
        <v>1994</v>
      </c>
      <c r="H357" s="475" t="s">
        <v>1138</v>
      </c>
      <c r="I357" s="283">
        <v>1</v>
      </c>
      <c r="J357" s="227">
        <f>(9586.52+87.39)/1000</f>
        <v>9.6739099999999993</v>
      </c>
      <c r="K357" s="227">
        <f>7170.22/1000</f>
        <v>7.1702200000000005</v>
      </c>
      <c r="L357" s="227">
        <f>2503.69/1000</f>
        <v>2.5036900000000002</v>
      </c>
    </row>
    <row r="358" spans="1:12" ht="26.4" customHeight="1">
      <c r="A358" s="206">
        <v>7</v>
      </c>
      <c r="B358" s="540"/>
      <c r="C358" s="225" t="s">
        <v>1169</v>
      </c>
      <c r="D358" s="225" t="s">
        <v>1375</v>
      </c>
      <c r="E358" s="201" t="s">
        <v>2220</v>
      </c>
      <c r="F358" s="226">
        <v>4089</v>
      </c>
      <c r="G358" s="201">
        <v>1991</v>
      </c>
      <c r="H358" s="475" t="s">
        <v>1149</v>
      </c>
      <c r="I358" s="225">
        <v>240.64</v>
      </c>
      <c r="J358" s="227">
        <f>362575.65/1000</f>
        <v>362.57565</v>
      </c>
      <c r="K358" s="227">
        <f>167605.26/1000</f>
        <v>167.60526000000002</v>
      </c>
      <c r="L358" s="227">
        <f>194970.39/1000</f>
        <v>194.97039000000001</v>
      </c>
    </row>
    <row r="359" spans="1:12" ht="26.4" customHeight="1">
      <c r="A359" s="206">
        <v>8</v>
      </c>
      <c r="B359" s="540"/>
      <c r="C359" s="225" t="s">
        <v>1169</v>
      </c>
      <c r="D359" s="225" t="s">
        <v>1376</v>
      </c>
      <c r="E359" s="201" t="s">
        <v>1171</v>
      </c>
      <c r="F359" s="226">
        <v>76</v>
      </c>
      <c r="G359" s="201">
        <v>1957</v>
      </c>
      <c r="H359" s="475" t="s">
        <v>1149</v>
      </c>
      <c r="I359" s="225">
        <v>371</v>
      </c>
      <c r="J359" s="227">
        <f>189149.33/1000</f>
        <v>189.14932999999999</v>
      </c>
      <c r="K359" s="227">
        <f>126467.76/1000</f>
        <v>126.46776</v>
      </c>
      <c r="L359" s="227">
        <f>62681.57/1000</f>
        <v>62.681570000000001</v>
      </c>
    </row>
    <row r="360" spans="1:12" ht="26.4">
      <c r="A360" s="206">
        <v>9</v>
      </c>
      <c r="B360" s="540"/>
      <c r="C360" s="225" t="s">
        <v>1169</v>
      </c>
      <c r="D360" s="225" t="s">
        <v>12940</v>
      </c>
      <c r="E360" s="201" t="s">
        <v>2432</v>
      </c>
      <c r="F360" s="226">
        <v>4003</v>
      </c>
      <c r="G360" s="201">
        <v>1972</v>
      </c>
      <c r="H360" s="475" t="s">
        <v>1138</v>
      </c>
      <c r="I360" s="283">
        <v>1</v>
      </c>
      <c r="J360" s="227">
        <f>197329.62/1000</f>
        <v>197.32962000000001</v>
      </c>
      <c r="K360" s="227">
        <f>118829.49/1000</f>
        <v>118.82949000000001</v>
      </c>
      <c r="L360" s="227">
        <f>78500.13/1000</f>
        <v>78.500129999999999</v>
      </c>
    </row>
    <row r="361" spans="1:12" ht="26.4" customHeight="1">
      <c r="A361" s="206">
        <v>10</v>
      </c>
      <c r="B361" s="540"/>
      <c r="C361" s="225" t="s">
        <v>1790</v>
      </c>
      <c r="D361" s="225" t="s">
        <v>2433</v>
      </c>
      <c r="E361" s="201" t="s">
        <v>2434</v>
      </c>
      <c r="F361" s="226">
        <v>445</v>
      </c>
      <c r="G361" s="201">
        <v>1930</v>
      </c>
      <c r="H361" s="475" t="s">
        <v>1149</v>
      </c>
      <c r="I361" s="225">
        <v>181</v>
      </c>
      <c r="J361" s="227">
        <f>3948.75/1000</f>
        <v>3.94875</v>
      </c>
      <c r="K361" s="227">
        <f>3590.02/1000</f>
        <v>3.59002</v>
      </c>
      <c r="L361" s="227">
        <f>358.73/1000</f>
        <v>0.35872999999999999</v>
      </c>
    </row>
    <row r="362" spans="1:12" ht="26.4" customHeight="1">
      <c r="A362" s="206">
        <v>11</v>
      </c>
      <c r="B362" s="540"/>
      <c r="C362" s="225" t="s">
        <v>1790</v>
      </c>
      <c r="D362" s="225" t="s">
        <v>1971</v>
      </c>
      <c r="E362" s="201" t="s">
        <v>1915</v>
      </c>
      <c r="F362" s="226">
        <v>4006</v>
      </c>
      <c r="G362" s="201">
        <v>1970</v>
      </c>
      <c r="H362" s="475" t="s">
        <v>1138</v>
      </c>
      <c r="I362" s="283">
        <v>1</v>
      </c>
      <c r="J362" s="227">
        <f>23982.24/1000</f>
        <v>23.982240000000001</v>
      </c>
      <c r="K362" s="227">
        <f>18574.51/1000</f>
        <v>18.57451</v>
      </c>
      <c r="L362" s="227">
        <f>5407.73/1000</f>
        <v>5.4077299999999999</v>
      </c>
    </row>
    <row r="363" spans="1:12" ht="26.4" customHeight="1">
      <c r="A363" s="206">
        <v>12</v>
      </c>
      <c r="B363" s="540"/>
      <c r="C363" s="225" t="s">
        <v>1790</v>
      </c>
      <c r="D363" s="225" t="s">
        <v>1972</v>
      </c>
      <c r="E363" s="288" t="s">
        <v>1916</v>
      </c>
      <c r="F363" s="226">
        <v>4010</v>
      </c>
      <c r="G363" s="201">
        <v>1955</v>
      </c>
      <c r="H363" s="475" t="s">
        <v>1138</v>
      </c>
      <c r="I363" s="283">
        <v>1</v>
      </c>
      <c r="J363" s="227">
        <f>24717.48/1000</f>
        <v>24.717479999999998</v>
      </c>
      <c r="K363" s="227">
        <f>20057.99/1000</f>
        <v>20.05799</v>
      </c>
      <c r="L363" s="227">
        <f>4659.49/1000</f>
        <v>4.6594899999999999</v>
      </c>
    </row>
    <row r="364" spans="1:12" ht="26.4" customHeight="1">
      <c r="A364" s="206">
        <v>13</v>
      </c>
      <c r="B364" s="540"/>
      <c r="C364" s="225" t="s">
        <v>1790</v>
      </c>
      <c r="D364" s="225" t="s">
        <v>2068</v>
      </c>
      <c r="E364" s="201" t="s">
        <v>1297</v>
      </c>
      <c r="F364" s="226">
        <v>264</v>
      </c>
      <c r="G364" s="201">
        <v>1956</v>
      </c>
      <c r="H364" s="475" t="s">
        <v>1149</v>
      </c>
      <c r="I364" s="225">
        <v>438</v>
      </c>
      <c r="J364" s="227">
        <f>228473.99/1000</f>
        <v>228.47398999999999</v>
      </c>
      <c r="K364" s="227">
        <f>115602.86/1000</f>
        <v>115.60286000000001</v>
      </c>
      <c r="L364" s="227">
        <f>112871.13/1000</f>
        <v>112.87113000000001</v>
      </c>
    </row>
    <row r="365" spans="1:12" ht="26.4" customHeight="1">
      <c r="A365" s="206">
        <v>14</v>
      </c>
      <c r="B365" s="540"/>
      <c r="C365" s="225" t="s">
        <v>1790</v>
      </c>
      <c r="D365" s="225" t="s">
        <v>2068</v>
      </c>
      <c r="E365" s="201" t="s">
        <v>928</v>
      </c>
      <c r="F365" s="226">
        <v>1385</v>
      </c>
      <c r="G365" s="201">
        <v>2006</v>
      </c>
      <c r="H365" s="475" t="s">
        <v>1138</v>
      </c>
      <c r="I365" s="225">
        <v>1</v>
      </c>
      <c r="J365" s="227">
        <f>83.33/1000</f>
        <v>8.3330000000000001E-2</v>
      </c>
      <c r="K365" s="227">
        <f>31.22/1000</f>
        <v>3.1219999999999998E-2</v>
      </c>
      <c r="L365" s="227">
        <f>52.11/1000</f>
        <v>5.2109999999999997E-2</v>
      </c>
    </row>
    <row r="366" spans="1:12" ht="26.4">
      <c r="A366" s="206">
        <v>15</v>
      </c>
      <c r="B366" s="540"/>
      <c r="C366" s="225" t="s">
        <v>1790</v>
      </c>
      <c r="D366" s="225" t="s">
        <v>12941</v>
      </c>
      <c r="E366" s="201" t="s">
        <v>1916</v>
      </c>
      <c r="F366" s="226">
        <v>4008</v>
      </c>
      <c r="G366" s="201">
        <v>1955</v>
      </c>
      <c r="H366" s="475" t="s">
        <v>1138</v>
      </c>
      <c r="I366" s="283">
        <v>1</v>
      </c>
      <c r="J366" s="227">
        <f>277973.84/1000</f>
        <v>277.97384000000005</v>
      </c>
      <c r="K366" s="227">
        <f>187398.42/1000</f>
        <v>187.39842000000002</v>
      </c>
      <c r="L366" s="227">
        <f>90575.42/1000</f>
        <v>90.575419999999994</v>
      </c>
    </row>
    <row r="367" spans="1:12" ht="26.4" customHeight="1">
      <c r="A367" s="206">
        <v>16</v>
      </c>
      <c r="B367" s="540"/>
      <c r="C367" s="225" t="s">
        <v>1789</v>
      </c>
      <c r="D367" s="228" t="s">
        <v>2023</v>
      </c>
      <c r="E367" s="201" t="s">
        <v>2413</v>
      </c>
      <c r="F367" s="226">
        <v>328</v>
      </c>
      <c r="G367" s="201">
        <v>1970</v>
      </c>
      <c r="H367" s="475" t="s">
        <v>1149</v>
      </c>
      <c r="I367" s="225">
        <v>588</v>
      </c>
      <c r="J367" s="227">
        <f>574801.86/1000</f>
        <v>574.80186000000003</v>
      </c>
      <c r="K367" s="227">
        <f>160279.55/1000</f>
        <v>160.27955</v>
      </c>
      <c r="L367" s="227">
        <f>414522.31/1000</f>
        <v>414.52231</v>
      </c>
    </row>
    <row r="368" spans="1:12" ht="26.4" customHeight="1">
      <c r="A368" s="206">
        <v>17</v>
      </c>
      <c r="B368" s="540"/>
      <c r="C368" s="225" t="s">
        <v>1789</v>
      </c>
      <c r="D368" s="228" t="s">
        <v>2023</v>
      </c>
      <c r="E368" s="201" t="s">
        <v>1172</v>
      </c>
      <c r="F368" s="226">
        <v>1384</v>
      </c>
      <c r="G368" s="201">
        <v>2006</v>
      </c>
      <c r="H368" s="475" t="s">
        <v>1138</v>
      </c>
      <c r="I368" s="225">
        <v>1</v>
      </c>
      <c r="J368" s="227">
        <f>83.33/1000</f>
        <v>8.3330000000000001E-2</v>
      </c>
      <c r="K368" s="227">
        <f>31.22/1000</f>
        <v>3.1219999999999998E-2</v>
      </c>
      <c r="L368" s="227">
        <f>52.11/1000</f>
        <v>5.2109999999999997E-2</v>
      </c>
    </row>
    <row r="369" spans="1:12" ht="26.4" customHeight="1">
      <c r="A369" s="206">
        <v>18</v>
      </c>
      <c r="B369" s="540"/>
      <c r="C369" s="225" t="s">
        <v>1789</v>
      </c>
      <c r="D369" s="225" t="s">
        <v>12656</v>
      </c>
      <c r="E369" s="288" t="s">
        <v>2000</v>
      </c>
      <c r="F369" s="226">
        <v>4004</v>
      </c>
      <c r="G369" s="201">
        <v>1970</v>
      </c>
      <c r="H369" s="475" t="s">
        <v>1138</v>
      </c>
      <c r="I369" s="225">
        <v>1</v>
      </c>
      <c r="J369" s="227">
        <f>101787.65/1000</f>
        <v>101.78765</v>
      </c>
      <c r="K369" s="227">
        <f>96537.97/1000</f>
        <v>96.537970000000001</v>
      </c>
      <c r="L369" s="227">
        <f>5249.68/1000</f>
        <v>5.2496800000000006</v>
      </c>
    </row>
    <row r="370" spans="1:12" ht="26.4" customHeight="1">
      <c r="A370" s="206">
        <v>19</v>
      </c>
      <c r="B370" s="540"/>
      <c r="C370" s="225" t="s">
        <v>1789</v>
      </c>
      <c r="D370" s="225" t="s">
        <v>1377</v>
      </c>
      <c r="E370" s="201" t="s">
        <v>1973</v>
      </c>
      <c r="F370" s="226">
        <v>4021</v>
      </c>
      <c r="G370" s="201">
        <v>1984</v>
      </c>
      <c r="H370" s="475" t="s">
        <v>1138</v>
      </c>
      <c r="I370" s="283">
        <v>1</v>
      </c>
      <c r="J370" s="227">
        <f>124365.33/1000</f>
        <v>124.36533</v>
      </c>
      <c r="K370" s="227">
        <f>73627.64/1000</f>
        <v>73.62764</v>
      </c>
      <c r="L370" s="227">
        <f>50737.69/1000</f>
        <v>50.737690000000001</v>
      </c>
    </row>
    <row r="371" spans="1:12" ht="26.4" customHeight="1">
      <c r="A371" s="206">
        <v>20</v>
      </c>
      <c r="B371" s="540"/>
      <c r="C371" s="225" t="s">
        <v>1789</v>
      </c>
      <c r="D371" s="225" t="s">
        <v>1910</v>
      </c>
      <c r="E371" s="201" t="s">
        <v>2414</v>
      </c>
      <c r="F371" s="226">
        <v>4056</v>
      </c>
      <c r="G371" s="201">
        <v>1990</v>
      </c>
      <c r="H371" s="475" t="s">
        <v>1138</v>
      </c>
      <c r="I371" s="283">
        <v>1</v>
      </c>
      <c r="J371" s="227">
        <f>21163.05/1000</f>
        <v>21.163049999999998</v>
      </c>
      <c r="K371" s="227">
        <f>17270.02/1000</f>
        <v>17.270019999999999</v>
      </c>
      <c r="L371" s="227">
        <f>3893.03/1000</f>
        <v>3.89303</v>
      </c>
    </row>
    <row r="372" spans="1:12" ht="26.4" customHeight="1">
      <c r="A372" s="206">
        <v>21</v>
      </c>
      <c r="B372" s="540"/>
      <c r="C372" s="225" t="s">
        <v>1789</v>
      </c>
      <c r="D372" s="225" t="s">
        <v>1378</v>
      </c>
      <c r="E372" s="201" t="s">
        <v>1911</v>
      </c>
      <c r="F372" s="226">
        <v>19458</v>
      </c>
      <c r="G372" s="201">
        <v>2015</v>
      </c>
      <c r="H372" s="475" t="s">
        <v>631</v>
      </c>
      <c r="I372" s="225">
        <v>828.78</v>
      </c>
      <c r="J372" s="227">
        <f>1384808.47/1000</f>
        <v>1384.8084699999999</v>
      </c>
      <c r="K372" s="227">
        <f>181961.66/1000</f>
        <v>181.96165999999999</v>
      </c>
      <c r="L372" s="227">
        <f>1202846.81/1000</f>
        <v>1202.84681</v>
      </c>
    </row>
    <row r="373" spans="1:12" ht="26.4" customHeight="1">
      <c r="A373" s="206">
        <v>22</v>
      </c>
      <c r="B373" s="540"/>
      <c r="C373" s="225" t="s">
        <v>1169</v>
      </c>
      <c r="D373" s="225" t="s">
        <v>2069</v>
      </c>
      <c r="E373" s="201" t="s">
        <v>1173</v>
      </c>
      <c r="F373" s="226">
        <v>1029</v>
      </c>
      <c r="G373" s="201">
        <v>1997</v>
      </c>
      <c r="H373" s="475" t="s">
        <v>1149</v>
      </c>
      <c r="I373" s="225">
        <v>350</v>
      </c>
      <c r="J373" s="227">
        <f>150017.99/1000</f>
        <v>150.01799</v>
      </c>
      <c r="K373" s="227">
        <f>77931.71/1000</f>
        <v>77.93171000000001</v>
      </c>
      <c r="L373" s="227">
        <f>72086.28/1000</f>
        <v>72.086280000000002</v>
      </c>
    </row>
    <row r="374" spans="1:12" ht="26.4" customHeight="1">
      <c r="A374" s="206">
        <v>23</v>
      </c>
      <c r="B374" s="540"/>
      <c r="C374" s="225" t="s">
        <v>1169</v>
      </c>
      <c r="D374" s="225" t="s">
        <v>2069</v>
      </c>
      <c r="E374" s="201" t="s">
        <v>927</v>
      </c>
      <c r="F374" s="226">
        <v>1030</v>
      </c>
      <c r="G374" s="201">
        <v>1997</v>
      </c>
      <c r="H374" s="475" t="s">
        <v>1138</v>
      </c>
      <c r="I374" s="225">
        <v>1</v>
      </c>
      <c r="J374" s="227">
        <f>21136.7/1000</f>
        <v>21.136700000000001</v>
      </c>
      <c r="K374" s="227">
        <f>19339.81/1000</f>
        <v>19.33981</v>
      </c>
      <c r="L374" s="227">
        <f>1796.89/1000</f>
        <v>1.7968900000000001</v>
      </c>
    </row>
    <row r="375" spans="1:12" ht="26.4" customHeight="1">
      <c r="A375" s="206">
        <v>24</v>
      </c>
      <c r="B375" s="540"/>
      <c r="C375" s="225" t="s">
        <v>1169</v>
      </c>
      <c r="D375" s="225" t="s">
        <v>13406</v>
      </c>
      <c r="E375" s="201" t="s">
        <v>1912</v>
      </c>
      <c r="F375" s="226">
        <v>4014</v>
      </c>
      <c r="G375" s="201">
        <v>1949</v>
      </c>
      <c r="H375" s="475" t="s">
        <v>1138</v>
      </c>
      <c r="I375" s="283">
        <v>1</v>
      </c>
      <c r="J375" s="227">
        <f>25269.38/1000</f>
        <v>25.269380000000002</v>
      </c>
      <c r="K375" s="227">
        <f>24515.81/1000</f>
        <v>24.515810000000002</v>
      </c>
      <c r="L375" s="227">
        <f>753.57/1000</f>
        <v>0.75357000000000007</v>
      </c>
    </row>
    <row r="376" spans="1:12" ht="39.6">
      <c r="A376" s="206">
        <v>25</v>
      </c>
      <c r="B376" s="540"/>
      <c r="C376" s="225" t="s">
        <v>1169</v>
      </c>
      <c r="D376" s="225" t="s">
        <v>2435</v>
      </c>
      <c r="E376" s="201" t="s">
        <v>1912</v>
      </c>
      <c r="F376" s="226">
        <v>4071</v>
      </c>
      <c r="G376" s="201">
        <v>1994</v>
      </c>
      <c r="H376" s="475" t="s">
        <v>1138</v>
      </c>
      <c r="I376" s="283">
        <v>1</v>
      </c>
      <c r="J376" s="227">
        <f>3567.63/1000</f>
        <v>3.5676300000000003</v>
      </c>
      <c r="K376" s="227">
        <f>2681.83/1000</f>
        <v>2.6818299999999997</v>
      </c>
      <c r="L376" s="227">
        <f>885.8/1000</f>
        <v>0.88579999999999992</v>
      </c>
    </row>
    <row r="377" spans="1:12" ht="26.4" customHeight="1">
      <c r="A377" s="206">
        <v>26</v>
      </c>
      <c r="B377" s="540"/>
      <c r="C377" s="225" t="s">
        <v>1169</v>
      </c>
      <c r="D377" s="225" t="s">
        <v>1379</v>
      </c>
      <c r="E377" s="201" t="s">
        <v>1913</v>
      </c>
      <c r="F377" s="226">
        <v>4078</v>
      </c>
      <c r="G377" s="201">
        <v>1997</v>
      </c>
      <c r="H377" s="475" t="s">
        <v>1138</v>
      </c>
      <c r="I377" s="283">
        <v>1</v>
      </c>
      <c r="J377" s="227">
        <f>(101187.87+34992.32)/1000</f>
        <v>136.18019000000001</v>
      </c>
      <c r="K377" s="227">
        <f>59580.36/1000</f>
        <v>59.580359999999999</v>
      </c>
      <c r="L377" s="227">
        <f>76599.83/1000</f>
        <v>76.599829999999997</v>
      </c>
    </row>
    <row r="378" spans="1:12" ht="26.4" customHeight="1">
      <c r="A378" s="206">
        <v>27</v>
      </c>
      <c r="B378" s="540"/>
      <c r="C378" s="225" t="s">
        <v>1169</v>
      </c>
      <c r="D378" s="225" t="s">
        <v>2070</v>
      </c>
      <c r="E378" s="201" t="s">
        <v>1914</v>
      </c>
      <c r="F378" s="226">
        <v>133</v>
      </c>
      <c r="G378" s="201">
        <v>1984</v>
      </c>
      <c r="H378" s="475" t="s">
        <v>1149</v>
      </c>
      <c r="I378" s="225">
        <v>612</v>
      </c>
      <c r="J378" s="227">
        <f>1079199.59/1000</f>
        <v>1079.1995900000002</v>
      </c>
      <c r="K378" s="227">
        <f>489446.55/1000</f>
        <v>489.44655</v>
      </c>
      <c r="L378" s="227">
        <f>589753.04/1000</f>
        <v>589.75304000000006</v>
      </c>
    </row>
    <row r="379" spans="1:12" ht="26.4" customHeight="1">
      <c r="A379" s="206">
        <v>28</v>
      </c>
      <c r="B379" s="540"/>
      <c r="C379" s="225" t="s">
        <v>1169</v>
      </c>
      <c r="D379" s="225" t="s">
        <v>2070</v>
      </c>
      <c r="E379" s="201" t="s">
        <v>1914</v>
      </c>
      <c r="F379" s="226">
        <v>227</v>
      </c>
      <c r="G379" s="201">
        <v>1984</v>
      </c>
      <c r="H379" s="475" t="s">
        <v>1138</v>
      </c>
      <c r="I379" s="225">
        <v>1</v>
      </c>
      <c r="J379" s="227">
        <f>113022.89/1000</f>
        <v>113.02289</v>
      </c>
      <c r="K379" s="227">
        <f>88547.74/1000</f>
        <v>88.547740000000005</v>
      </c>
      <c r="L379" s="227">
        <f>24475.15/1000</f>
        <v>24.475150000000003</v>
      </c>
    </row>
    <row r="380" spans="1:12" ht="26.4" customHeight="1">
      <c r="A380" s="206">
        <v>29</v>
      </c>
      <c r="B380" s="540"/>
      <c r="C380" s="225" t="s">
        <v>1169</v>
      </c>
      <c r="D380" s="225" t="s">
        <v>4291</v>
      </c>
      <c r="E380" s="201" t="s">
        <v>1912</v>
      </c>
      <c r="F380" s="226">
        <v>1017</v>
      </c>
      <c r="G380" s="201">
        <v>1996</v>
      </c>
      <c r="H380" s="475" t="s">
        <v>1138</v>
      </c>
      <c r="I380" s="283">
        <v>1</v>
      </c>
      <c r="J380" s="227">
        <f>(53602.58+21.45+11635.05)/1000</f>
        <v>65.259079999999997</v>
      </c>
      <c r="K380" s="227">
        <f>62123.32/1000</f>
        <v>62.12332</v>
      </c>
      <c r="L380" s="227">
        <f>3135.76/1000</f>
        <v>3.1357600000000003</v>
      </c>
    </row>
    <row r="381" spans="1:12" ht="39.6">
      <c r="A381" s="206">
        <v>30</v>
      </c>
      <c r="B381" s="540"/>
      <c r="C381" s="225" t="s">
        <v>1169</v>
      </c>
      <c r="D381" s="225" t="s">
        <v>1380</v>
      </c>
      <c r="E381" s="201" t="s">
        <v>1913</v>
      </c>
      <c r="F381" s="226">
        <v>4027</v>
      </c>
      <c r="G381" s="201">
        <v>1984</v>
      </c>
      <c r="H381" s="475" t="s">
        <v>1138</v>
      </c>
      <c r="I381" s="283">
        <v>1</v>
      </c>
      <c r="J381" s="227">
        <f>347884.67/1000</f>
        <v>347.88466999999997</v>
      </c>
      <c r="K381" s="227">
        <f>140307.16/1000</f>
        <v>140.30716000000001</v>
      </c>
      <c r="L381" s="227">
        <f>207577.51/1000</f>
        <v>207.57751000000002</v>
      </c>
    </row>
    <row r="382" spans="1:12" ht="26.4">
      <c r="A382" s="206">
        <v>31</v>
      </c>
      <c r="B382" s="540"/>
      <c r="C382" s="225" t="s">
        <v>1169</v>
      </c>
      <c r="D382" s="225" t="s">
        <v>12942</v>
      </c>
      <c r="E382" s="201" t="s">
        <v>1915</v>
      </c>
      <c r="F382" s="226">
        <v>4051</v>
      </c>
      <c r="G382" s="201">
        <v>1990</v>
      </c>
      <c r="H382" s="475" t="s">
        <v>1138</v>
      </c>
      <c r="I382" s="283">
        <v>1</v>
      </c>
      <c r="J382" s="227">
        <f>(23543.34+25342.63+160172.01+21250.44)/1000</f>
        <v>230.30842000000001</v>
      </c>
      <c r="K382" s="227">
        <f>137786.58/1000</f>
        <v>137.78657999999999</v>
      </c>
      <c r="L382" s="227">
        <f>92521.84/1000</f>
        <v>92.521839999999997</v>
      </c>
    </row>
    <row r="383" spans="1:12" ht="26.4" customHeight="1">
      <c r="A383" s="206">
        <v>32</v>
      </c>
      <c r="B383" s="540"/>
      <c r="C383" s="225" t="s">
        <v>1169</v>
      </c>
      <c r="D383" s="225" t="s">
        <v>1381</v>
      </c>
      <c r="E383" s="201" t="s">
        <v>1915</v>
      </c>
      <c r="F383" s="226">
        <v>19425</v>
      </c>
      <c r="G383" s="201">
        <v>2014</v>
      </c>
      <c r="H383" s="475" t="s">
        <v>1138</v>
      </c>
      <c r="I383" s="283">
        <v>1</v>
      </c>
      <c r="J383" s="227">
        <f>57877.2/1000</f>
        <v>57.877199999999995</v>
      </c>
      <c r="K383" s="227">
        <f>17845.47/1000</f>
        <v>17.845470000000002</v>
      </c>
      <c r="L383" s="227">
        <f>40031.73/1000</f>
        <v>40.031730000000003</v>
      </c>
    </row>
    <row r="384" spans="1:12" ht="26.4" customHeight="1">
      <c r="A384" s="206">
        <v>33</v>
      </c>
      <c r="B384" s="540"/>
      <c r="C384" s="225" t="s">
        <v>1169</v>
      </c>
      <c r="D384" s="225" t="s">
        <v>1382</v>
      </c>
      <c r="E384" s="201" t="s">
        <v>1915</v>
      </c>
      <c r="F384" s="226">
        <v>19530</v>
      </c>
      <c r="G384" s="201">
        <v>2014</v>
      </c>
      <c r="H384" s="475" t="s">
        <v>1138</v>
      </c>
      <c r="I384" s="283">
        <v>1</v>
      </c>
      <c r="J384" s="227">
        <f>321143.35/1000</f>
        <v>321.14335</v>
      </c>
      <c r="K384" s="227">
        <f>52934.56/1000</f>
        <v>52.934559999999998</v>
      </c>
      <c r="L384" s="227">
        <f>268208.79/1000</f>
        <v>268.20878999999996</v>
      </c>
    </row>
    <row r="385" spans="1:12" ht="26.4" customHeight="1">
      <c r="A385" s="206">
        <v>34</v>
      </c>
      <c r="B385" s="540"/>
      <c r="C385" s="225" t="s">
        <v>1791</v>
      </c>
      <c r="D385" s="225" t="s">
        <v>2071</v>
      </c>
      <c r="E385" s="201" t="s">
        <v>922</v>
      </c>
      <c r="F385" s="226">
        <v>1836</v>
      </c>
      <c r="G385" s="201">
        <v>2012</v>
      </c>
      <c r="H385" s="475" t="s">
        <v>1168</v>
      </c>
      <c r="I385" s="283">
        <v>634</v>
      </c>
      <c r="J385" s="227">
        <f>3411372.11/1000</f>
        <v>3411.3721099999998</v>
      </c>
      <c r="K385" s="227">
        <f>463148.64/1000</f>
        <v>463.14864</v>
      </c>
      <c r="L385" s="227">
        <v>2948.22</v>
      </c>
    </row>
    <row r="386" spans="1:12" ht="52.8">
      <c r="A386" s="206">
        <v>35</v>
      </c>
      <c r="B386" s="540"/>
      <c r="C386" s="225" t="s">
        <v>1791</v>
      </c>
      <c r="D386" s="225" t="s">
        <v>13393</v>
      </c>
      <c r="E386" s="201" t="s">
        <v>1915</v>
      </c>
      <c r="F386" s="226">
        <v>1837</v>
      </c>
      <c r="G386" s="201">
        <v>2012</v>
      </c>
      <c r="H386" s="475" t="s">
        <v>1138</v>
      </c>
      <c r="I386" s="283">
        <v>1</v>
      </c>
      <c r="J386" s="227">
        <f>2682560/1000</f>
        <v>2682.56</v>
      </c>
      <c r="K386" s="227">
        <f>645818.38/1000</f>
        <v>645.81838000000005</v>
      </c>
      <c r="L386" s="227">
        <f>2036741.62/1000</f>
        <v>2036.74162</v>
      </c>
    </row>
    <row r="387" spans="1:12" ht="26.4">
      <c r="A387" s="206">
        <v>36</v>
      </c>
      <c r="B387" s="540"/>
      <c r="C387" s="225" t="s">
        <v>1791</v>
      </c>
      <c r="D387" s="225" t="s">
        <v>12943</v>
      </c>
      <c r="E387" s="201" t="s">
        <v>1915</v>
      </c>
      <c r="F387" s="226">
        <v>1842</v>
      </c>
      <c r="G387" s="201">
        <v>2012</v>
      </c>
      <c r="H387" s="475" t="s">
        <v>1138</v>
      </c>
      <c r="I387" s="283">
        <v>1</v>
      </c>
      <c r="J387" s="227">
        <f>(28217+1+1161+651+973+5603)/1000</f>
        <v>36.606000000000002</v>
      </c>
      <c r="K387" s="227">
        <f>20439.02/1000</f>
        <v>20.439019999999999</v>
      </c>
      <c r="L387" s="227">
        <f>16166.98/1000</f>
        <v>16.166979999999999</v>
      </c>
    </row>
    <row r="388" spans="1:12" ht="26.4" customHeight="1">
      <c r="A388" s="206">
        <v>37</v>
      </c>
      <c r="B388" s="540"/>
      <c r="C388" s="225" t="s">
        <v>1169</v>
      </c>
      <c r="D388" s="225" t="s">
        <v>2072</v>
      </c>
      <c r="E388" s="201" t="s">
        <v>926</v>
      </c>
      <c r="F388" s="226">
        <v>66</v>
      </c>
      <c r="G388" s="201">
        <v>1966</v>
      </c>
      <c r="H388" s="475" t="s">
        <v>1149</v>
      </c>
      <c r="I388" s="283">
        <v>217</v>
      </c>
      <c r="J388" s="227">
        <f>156965.24/1000</f>
        <v>156.96523999999999</v>
      </c>
      <c r="K388" s="227">
        <f>102196.06/1000</f>
        <v>102.19606</v>
      </c>
      <c r="L388" s="227">
        <f>54769.18/1000</f>
        <v>54.769179999999999</v>
      </c>
    </row>
    <row r="389" spans="1:12" ht="26.4">
      <c r="A389" s="206">
        <v>38</v>
      </c>
      <c r="B389" s="540"/>
      <c r="C389" s="225" t="s">
        <v>1169</v>
      </c>
      <c r="D389" s="225" t="s">
        <v>2436</v>
      </c>
      <c r="E389" s="201" t="s">
        <v>2442</v>
      </c>
      <c r="F389" s="226">
        <v>4016</v>
      </c>
      <c r="G389" s="201">
        <v>1951</v>
      </c>
      <c r="H389" s="475" t="s">
        <v>1138</v>
      </c>
      <c r="I389" s="283">
        <v>1</v>
      </c>
      <c r="J389" s="227">
        <f>148049.58/1000</f>
        <v>148.04957999999999</v>
      </c>
      <c r="K389" s="227">
        <f>97206.39/1000</f>
        <v>97.206389999999999</v>
      </c>
      <c r="L389" s="227">
        <f>50843.19/1000</f>
        <v>50.84319</v>
      </c>
    </row>
    <row r="390" spans="1:12" ht="26.4" customHeight="1">
      <c r="A390" s="206">
        <v>39</v>
      </c>
      <c r="B390" s="540"/>
      <c r="C390" s="225" t="s">
        <v>1169</v>
      </c>
      <c r="D390" s="225" t="s">
        <v>1383</v>
      </c>
      <c r="E390" s="201" t="s">
        <v>1912</v>
      </c>
      <c r="F390" s="226">
        <v>4061</v>
      </c>
      <c r="G390" s="201">
        <v>1992</v>
      </c>
      <c r="H390" s="475" t="s">
        <v>1138</v>
      </c>
      <c r="I390" s="283">
        <v>1</v>
      </c>
      <c r="J390" s="227">
        <f>366226.31/1000</f>
        <v>366.22631000000001</v>
      </c>
      <c r="K390" s="227">
        <f>236340.58/1000</f>
        <v>236.34057999999999</v>
      </c>
      <c r="L390" s="227">
        <f>129885.73/1000</f>
        <v>129.88573</v>
      </c>
    </row>
    <row r="391" spans="1:12" ht="26.4" customHeight="1">
      <c r="A391" s="206">
        <v>40</v>
      </c>
      <c r="B391" s="540"/>
      <c r="C391" s="225" t="s">
        <v>1169</v>
      </c>
      <c r="D391" s="225" t="s">
        <v>2073</v>
      </c>
      <c r="E391" s="201" t="s">
        <v>2447</v>
      </c>
      <c r="F391" s="226">
        <v>573</v>
      </c>
      <c r="G391" s="201">
        <v>1984</v>
      </c>
      <c r="H391" s="475" t="s">
        <v>1149</v>
      </c>
      <c r="I391" s="225">
        <v>499</v>
      </c>
      <c r="J391" s="227">
        <f>765541.3/1000</f>
        <v>765.54130000000009</v>
      </c>
      <c r="K391" s="227">
        <f>302971.97/1000</f>
        <v>302.97197</v>
      </c>
      <c r="L391" s="227">
        <f>462569.33/1000</f>
        <v>462.56933000000004</v>
      </c>
    </row>
    <row r="392" spans="1:12" ht="26.4" customHeight="1">
      <c r="A392" s="206">
        <v>41</v>
      </c>
      <c r="B392" s="540"/>
      <c r="C392" s="225" t="s">
        <v>1169</v>
      </c>
      <c r="D392" s="225" t="s">
        <v>2073</v>
      </c>
      <c r="E392" s="201" t="s">
        <v>2445</v>
      </c>
      <c r="F392" s="226">
        <v>635</v>
      </c>
      <c r="G392" s="201">
        <v>1984</v>
      </c>
      <c r="H392" s="475" t="s">
        <v>1149</v>
      </c>
      <c r="I392" s="225">
        <v>173</v>
      </c>
      <c r="J392" s="227">
        <f>139539.41/1000</f>
        <v>139.53941</v>
      </c>
      <c r="K392" s="227">
        <f>105995.81/1000</f>
        <v>105.99580999999999</v>
      </c>
      <c r="L392" s="227">
        <f>33543.6/1000</f>
        <v>33.543599999999998</v>
      </c>
    </row>
    <row r="393" spans="1:12" ht="26.4" customHeight="1">
      <c r="A393" s="206">
        <v>42</v>
      </c>
      <c r="B393" s="540"/>
      <c r="C393" s="225" t="s">
        <v>1169</v>
      </c>
      <c r="D393" s="225" t="s">
        <v>2074</v>
      </c>
      <c r="E393" s="201" t="s">
        <v>2446</v>
      </c>
      <c r="F393" s="226">
        <v>653</v>
      </c>
      <c r="G393" s="201">
        <v>1987</v>
      </c>
      <c r="H393" s="475" t="s">
        <v>1149</v>
      </c>
      <c r="I393" s="225">
        <v>161</v>
      </c>
      <c r="J393" s="227">
        <f>90541.98/1000</f>
        <v>90.541979999999995</v>
      </c>
      <c r="K393" s="227">
        <f>67742.8/1000</f>
        <v>67.742800000000003</v>
      </c>
      <c r="L393" s="227">
        <f>22799.18/1000</f>
        <v>22.79918</v>
      </c>
    </row>
    <row r="394" spans="1:12" ht="26.4" customHeight="1">
      <c r="A394" s="206">
        <v>43</v>
      </c>
      <c r="B394" s="540"/>
      <c r="C394" s="225" t="s">
        <v>1169</v>
      </c>
      <c r="D394" s="225" t="s">
        <v>1384</v>
      </c>
      <c r="E394" s="201" t="s">
        <v>2437</v>
      </c>
      <c r="F394" s="226">
        <v>1142</v>
      </c>
      <c r="G394" s="201">
        <v>1977</v>
      </c>
      <c r="H394" s="475" t="s">
        <v>1138</v>
      </c>
      <c r="I394" s="283">
        <v>1</v>
      </c>
      <c r="J394" s="227">
        <f>2527.2/1000</f>
        <v>2.5271999999999997</v>
      </c>
      <c r="K394" s="227">
        <f>2342.45/1000</f>
        <v>2.3424499999999999</v>
      </c>
      <c r="L394" s="227">
        <f>184.75/1000</f>
        <v>0.18475</v>
      </c>
    </row>
    <row r="395" spans="1:12" ht="26.4" customHeight="1">
      <c r="A395" s="206">
        <v>44</v>
      </c>
      <c r="B395" s="540"/>
      <c r="C395" s="225" t="s">
        <v>1169</v>
      </c>
      <c r="D395" s="225" t="s">
        <v>2073</v>
      </c>
      <c r="E395" s="201" t="s">
        <v>2444</v>
      </c>
      <c r="F395" s="226">
        <v>1299</v>
      </c>
      <c r="G395" s="201">
        <v>2004</v>
      </c>
      <c r="H395" s="475" t="s">
        <v>1138</v>
      </c>
      <c r="I395" s="283">
        <v>1</v>
      </c>
      <c r="J395" s="227">
        <f>52892.7/1000</f>
        <v>52.892699999999998</v>
      </c>
      <c r="K395" s="227">
        <f>16302.99/1000</f>
        <v>16.302990000000001</v>
      </c>
      <c r="L395" s="227">
        <f>36589.71/1000</f>
        <v>36.589709999999997</v>
      </c>
    </row>
    <row r="396" spans="1:12" ht="26.4" customHeight="1">
      <c r="A396" s="206">
        <v>45</v>
      </c>
      <c r="B396" s="540"/>
      <c r="C396" s="225" t="s">
        <v>1169</v>
      </c>
      <c r="D396" s="225" t="s">
        <v>2075</v>
      </c>
      <c r="E396" s="201" t="s">
        <v>2443</v>
      </c>
      <c r="F396" s="226">
        <v>4023</v>
      </c>
      <c r="G396" s="201">
        <v>1986</v>
      </c>
      <c r="H396" s="475" t="s">
        <v>1138</v>
      </c>
      <c r="I396" s="283">
        <v>1</v>
      </c>
      <c r="J396" s="227">
        <f>294873.89/1000</f>
        <v>294.87389000000002</v>
      </c>
      <c r="K396" s="227">
        <f>156101.95/1000</f>
        <v>156.10195000000002</v>
      </c>
      <c r="L396" s="227">
        <f>138771.94/1000</f>
        <v>138.77194</v>
      </c>
    </row>
    <row r="397" spans="1:12" ht="26.4">
      <c r="A397" s="206">
        <v>46</v>
      </c>
      <c r="B397" s="540"/>
      <c r="C397" s="225" t="s">
        <v>1169</v>
      </c>
      <c r="D397" s="225" t="s">
        <v>12657</v>
      </c>
      <c r="E397" s="201" t="s">
        <v>1917</v>
      </c>
      <c r="F397" s="226">
        <v>4037</v>
      </c>
      <c r="G397" s="201">
        <v>1987</v>
      </c>
      <c r="H397" s="475" t="s">
        <v>1138</v>
      </c>
      <c r="I397" s="283">
        <v>1</v>
      </c>
      <c r="J397" s="227">
        <f>60303.48/1000</f>
        <v>60.30348</v>
      </c>
      <c r="K397" s="227">
        <f>52861.88/1000</f>
        <v>52.861879999999999</v>
      </c>
      <c r="L397" s="227">
        <f>7441.6/1000</f>
        <v>7.4416000000000002</v>
      </c>
    </row>
    <row r="398" spans="1:12" ht="26.4" customHeight="1">
      <c r="A398" s="206">
        <v>47</v>
      </c>
      <c r="B398" s="540"/>
      <c r="C398" s="225" t="s">
        <v>1169</v>
      </c>
      <c r="D398" s="225" t="s">
        <v>1936</v>
      </c>
      <c r="E398" s="201" t="s">
        <v>1917</v>
      </c>
      <c r="F398" s="226">
        <v>4038</v>
      </c>
      <c r="G398" s="201">
        <v>1988</v>
      </c>
      <c r="H398" s="475" t="s">
        <v>1138</v>
      </c>
      <c r="I398" s="283">
        <v>1</v>
      </c>
      <c r="J398" s="227">
        <f>(16835.18+35282.13)/1000</f>
        <v>52.117309999999996</v>
      </c>
      <c r="K398" s="227">
        <f>42769.03/1000</f>
        <v>42.769030000000001</v>
      </c>
      <c r="L398" s="227">
        <f>9348.28/1000</f>
        <v>9.3482800000000008</v>
      </c>
    </row>
    <row r="399" spans="1:12" ht="26.4" customHeight="1">
      <c r="A399" s="206">
        <v>48</v>
      </c>
      <c r="B399" s="540"/>
      <c r="C399" s="225" t="s">
        <v>1169</v>
      </c>
      <c r="D399" s="225" t="s">
        <v>1387</v>
      </c>
      <c r="E399" s="201" t="s">
        <v>1917</v>
      </c>
      <c r="F399" s="226">
        <v>4054</v>
      </c>
      <c r="G399" s="201">
        <v>1990</v>
      </c>
      <c r="H399" s="475" t="s">
        <v>1138</v>
      </c>
      <c r="I399" s="283">
        <v>1</v>
      </c>
      <c r="J399" s="227">
        <f>(12084.79+38975.1)/1000</f>
        <v>51.059890000000003</v>
      </c>
      <c r="K399" s="227">
        <f>22583.23/1000</f>
        <v>22.58323</v>
      </c>
      <c r="L399" s="227">
        <f>28476.66/1000</f>
        <v>28.476659999999999</v>
      </c>
    </row>
    <row r="400" spans="1:12" ht="26.4" customHeight="1">
      <c r="A400" s="206">
        <v>49</v>
      </c>
      <c r="B400" s="540"/>
      <c r="C400" s="225" t="s">
        <v>1169</v>
      </c>
      <c r="D400" s="225" t="s">
        <v>2001</v>
      </c>
      <c r="E400" s="201" t="s">
        <v>1917</v>
      </c>
      <c r="F400" s="226">
        <v>4063</v>
      </c>
      <c r="G400" s="201">
        <v>1992</v>
      </c>
      <c r="H400" s="475" t="s">
        <v>1138</v>
      </c>
      <c r="I400" s="283">
        <v>1</v>
      </c>
      <c r="J400" s="227">
        <f>(2826.84+228677.78)/1000</f>
        <v>231.50461999999999</v>
      </c>
      <c r="K400" s="227">
        <f>85292.76/1000</f>
        <v>85.292760000000001</v>
      </c>
      <c r="L400" s="227">
        <f>146211.86/1000</f>
        <v>146.21185999999997</v>
      </c>
    </row>
    <row r="401" spans="1:12" ht="26.4" customHeight="1">
      <c r="A401" s="206">
        <v>50</v>
      </c>
      <c r="B401" s="540"/>
      <c r="C401" s="225" t="s">
        <v>1789</v>
      </c>
      <c r="D401" s="225" t="s">
        <v>1386</v>
      </c>
      <c r="E401" s="201" t="s">
        <v>2448</v>
      </c>
      <c r="F401" s="226">
        <v>427</v>
      </c>
      <c r="G401" s="201">
        <v>1980</v>
      </c>
      <c r="H401" s="475" t="s">
        <v>1149</v>
      </c>
      <c r="I401" s="283">
        <v>873</v>
      </c>
      <c r="J401" s="227">
        <f>223580.25/1000</f>
        <v>223.58025000000001</v>
      </c>
      <c r="K401" s="227">
        <f>166950.25/1000</f>
        <v>166.95025000000001</v>
      </c>
      <c r="L401" s="227">
        <f>56630/1000</f>
        <v>56.63</v>
      </c>
    </row>
    <row r="402" spans="1:12" ht="26.4" customHeight="1">
      <c r="A402" s="206">
        <v>51</v>
      </c>
      <c r="B402" s="540"/>
      <c r="C402" s="225" t="s">
        <v>1789</v>
      </c>
      <c r="D402" s="225" t="s">
        <v>1388</v>
      </c>
      <c r="E402" s="201" t="s">
        <v>1974</v>
      </c>
      <c r="F402" s="226">
        <v>813</v>
      </c>
      <c r="G402" s="201">
        <v>1989</v>
      </c>
      <c r="H402" s="475" t="s">
        <v>1149</v>
      </c>
      <c r="I402" s="283">
        <v>274</v>
      </c>
      <c r="J402" s="227">
        <f>1460544.4/1000</f>
        <v>1460.5444</v>
      </c>
      <c r="K402" s="227">
        <f>833903.21/1000</f>
        <v>833.90320999999994</v>
      </c>
      <c r="L402" s="227">
        <f>626641.19/1000</f>
        <v>626.64118999999994</v>
      </c>
    </row>
    <row r="403" spans="1:12" ht="26.4" customHeight="1">
      <c r="A403" s="206">
        <v>52</v>
      </c>
      <c r="B403" s="540"/>
      <c r="C403" s="225" t="s">
        <v>1789</v>
      </c>
      <c r="D403" s="225" t="s">
        <v>1389</v>
      </c>
      <c r="E403" s="201" t="s">
        <v>1939</v>
      </c>
      <c r="F403" s="226">
        <v>4005</v>
      </c>
      <c r="G403" s="201">
        <v>1979</v>
      </c>
      <c r="H403" s="475" t="s">
        <v>1138</v>
      </c>
      <c r="I403" s="283">
        <v>1</v>
      </c>
      <c r="J403" s="227">
        <f>61100.19/1000</f>
        <v>61.100190000000005</v>
      </c>
      <c r="K403" s="227">
        <f>55310.94/1000</f>
        <v>55.310940000000002</v>
      </c>
      <c r="L403" s="227">
        <f>5789.25/1000</f>
        <v>5.78925</v>
      </c>
    </row>
    <row r="404" spans="1:12" ht="26.4" customHeight="1">
      <c r="A404" s="206">
        <v>53</v>
      </c>
      <c r="B404" s="540"/>
      <c r="C404" s="225" t="s">
        <v>1789</v>
      </c>
      <c r="D404" s="225" t="s">
        <v>1390</v>
      </c>
      <c r="E404" s="201" t="s">
        <v>1939</v>
      </c>
      <c r="F404" s="226">
        <v>4011</v>
      </c>
      <c r="G404" s="201">
        <v>1956</v>
      </c>
      <c r="H404" s="475" t="s">
        <v>1138</v>
      </c>
      <c r="I404" s="283">
        <v>1</v>
      </c>
      <c r="J404" s="227">
        <f>43874.71/1000</f>
        <v>43.87471</v>
      </c>
      <c r="K404" s="227">
        <f>40670.48/1000</f>
        <v>40.670480000000005</v>
      </c>
      <c r="L404" s="227">
        <f>3204.23/1000</f>
        <v>3.2042299999999999</v>
      </c>
    </row>
    <row r="405" spans="1:12" ht="26.4" customHeight="1">
      <c r="A405" s="206">
        <v>54</v>
      </c>
      <c r="B405" s="540"/>
      <c r="C405" s="225" t="s">
        <v>1789</v>
      </c>
      <c r="D405" s="225" t="s">
        <v>1391</v>
      </c>
      <c r="E405" s="201" t="s">
        <v>1939</v>
      </c>
      <c r="F405" s="226">
        <v>4020</v>
      </c>
      <c r="G405" s="201">
        <v>1983</v>
      </c>
      <c r="H405" s="475" t="s">
        <v>1138</v>
      </c>
      <c r="I405" s="283">
        <v>1</v>
      </c>
      <c r="J405" s="227">
        <f>5365.35/1000</f>
        <v>5.3653500000000003</v>
      </c>
      <c r="K405" s="227">
        <f>4232.3/1000</f>
        <v>4.2323000000000004</v>
      </c>
      <c r="L405" s="227">
        <f>1133.05/1000</f>
        <v>1.1330499999999999</v>
      </c>
    </row>
    <row r="406" spans="1:12" ht="26.4" customHeight="1">
      <c r="A406" s="206">
        <v>55</v>
      </c>
      <c r="B406" s="540"/>
      <c r="C406" s="225" t="s">
        <v>1789</v>
      </c>
      <c r="D406" s="225" t="s">
        <v>1937</v>
      </c>
      <c r="E406" s="201" t="s">
        <v>1939</v>
      </c>
      <c r="F406" s="226">
        <v>4022</v>
      </c>
      <c r="G406" s="201">
        <v>1984</v>
      </c>
      <c r="H406" s="475" t="s">
        <v>1138</v>
      </c>
      <c r="I406" s="283">
        <v>1</v>
      </c>
      <c r="J406" s="227">
        <f>51617.25/1000</f>
        <v>51.617249999999999</v>
      </c>
      <c r="K406" s="227">
        <f>45216.2/1000</f>
        <v>45.216200000000001</v>
      </c>
      <c r="L406" s="227">
        <f>6401.05/1000</f>
        <v>6.4010500000000006</v>
      </c>
    </row>
    <row r="407" spans="1:12" ht="26.4" customHeight="1">
      <c r="A407" s="206">
        <v>56</v>
      </c>
      <c r="B407" s="540"/>
      <c r="C407" s="225" t="s">
        <v>1789</v>
      </c>
      <c r="D407" s="225" t="s">
        <v>1938</v>
      </c>
      <c r="E407" s="201" t="s">
        <v>1939</v>
      </c>
      <c r="F407" s="226">
        <v>4048</v>
      </c>
      <c r="G407" s="201">
        <v>1989</v>
      </c>
      <c r="H407" s="475" t="s">
        <v>1138</v>
      </c>
      <c r="I407" s="283">
        <v>1</v>
      </c>
      <c r="J407" s="227">
        <f>124586.47/1000</f>
        <v>124.58647000000001</v>
      </c>
      <c r="K407" s="227">
        <f>102639.02/1000</f>
        <v>102.63902</v>
      </c>
      <c r="L407" s="227">
        <f>21947.45/1000</f>
        <v>21.94745</v>
      </c>
    </row>
    <row r="408" spans="1:12" ht="26.4" customHeight="1">
      <c r="A408" s="206">
        <v>57</v>
      </c>
      <c r="B408" s="540"/>
      <c r="C408" s="225" t="s">
        <v>1789</v>
      </c>
      <c r="D408" s="225" t="s">
        <v>1392</v>
      </c>
      <c r="E408" s="201" t="s">
        <v>1939</v>
      </c>
      <c r="F408" s="226">
        <v>4049</v>
      </c>
      <c r="G408" s="201">
        <v>1989</v>
      </c>
      <c r="H408" s="475" t="s">
        <v>1138</v>
      </c>
      <c r="I408" s="283">
        <v>1</v>
      </c>
      <c r="J408" s="227">
        <f>184077.75/1000</f>
        <v>184.07775000000001</v>
      </c>
      <c r="K408" s="227">
        <f>94514.15/1000</f>
        <v>94.514150000000001</v>
      </c>
      <c r="L408" s="227">
        <f>89563.6/1000</f>
        <v>89.563600000000008</v>
      </c>
    </row>
    <row r="409" spans="1:12" ht="26.4" customHeight="1">
      <c r="A409" s="206">
        <v>58</v>
      </c>
      <c r="B409" s="540"/>
      <c r="C409" s="225" t="s">
        <v>1789</v>
      </c>
      <c r="D409" s="225" t="s">
        <v>1940</v>
      </c>
      <c r="E409" s="201" t="s">
        <v>1237</v>
      </c>
      <c r="F409" s="226">
        <v>4050</v>
      </c>
      <c r="G409" s="201">
        <v>1989</v>
      </c>
      <c r="H409" s="475" t="s">
        <v>1138</v>
      </c>
      <c r="I409" s="283">
        <v>1</v>
      </c>
      <c r="J409" s="227">
        <f>9636.53/1000</f>
        <v>9.6365300000000005</v>
      </c>
      <c r="K409" s="227">
        <f>7884/1000</f>
        <v>7.8840000000000003</v>
      </c>
      <c r="L409" s="227">
        <f>1752.53/1000</f>
        <v>1.7525299999999999</v>
      </c>
    </row>
    <row r="410" spans="1:12" ht="26.4" customHeight="1">
      <c r="A410" s="206">
        <v>59</v>
      </c>
      <c r="B410" s="540"/>
      <c r="C410" s="225" t="s">
        <v>1789</v>
      </c>
      <c r="D410" s="225" t="s">
        <v>1941</v>
      </c>
      <c r="E410" s="201" t="s">
        <v>1939</v>
      </c>
      <c r="F410" s="226">
        <v>4053</v>
      </c>
      <c r="G410" s="201">
        <v>1990</v>
      </c>
      <c r="H410" s="475" t="s">
        <v>1138</v>
      </c>
      <c r="I410" s="283">
        <v>1</v>
      </c>
      <c r="J410" s="227">
        <f>22032.82/1000</f>
        <v>22.032820000000001</v>
      </c>
      <c r="K410" s="227">
        <f>17949.35/1000</f>
        <v>17.949349999999999</v>
      </c>
      <c r="L410" s="227">
        <f>4083.47/1000</f>
        <v>4.0834700000000002</v>
      </c>
    </row>
    <row r="411" spans="1:12" ht="26.4" customHeight="1">
      <c r="A411" s="206">
        <v>60</v>
      </c>
      <c r="B411" s="540"/>
      <c r="C411" s="225" t="s">
        <v>1789</v>
      </c>
      <c r="D411" s="225" t="s">
        <v>1942</v>
      </c>
      <c r="E411" s="201" t="s">
        <v>1939</v>
      </c>
      <c r="F411" s="226">
        <v>4058</v>
      </c>
      <c r="G411" s="201">
        <v>1990</v>
      </c>
      <c r="H411" s="475" t="s">
        <v>1138</v>
      </c>
      <c r="I411" s="283">
        <v>1</v>
      </c>
      <c r="J411" s="227">
        <f>7378.43/1000</f>
        <v>7.3784300000000007</v>
      </c>
      <c r="K411" s="227">
        <f>5769.83/1000</f>
        <v>5.7698299999999998</v>
      </c>
      <c r="L411" s="227">
        <f>1608.6/1000</f>
        <v>1.6085999999999998</v>
      </c>
    </row>
    <row r="412" spans="1:12" ht="26.4" customHeight="1">
      <c r="A412" s="206">
        <v>61</v>
      </c>
      <c r="B412" s="540"/>
      <c r="C412" s="225" t="s">
        <v>1789</v>
      </c>
      <c r="D412" s="225" t="s">
        <v>1943</v>
      </c>
      <c r="E412" s="201" t="s">
        <v>1939</v>
      </c>
      <c r="F412" s="226">
        <v>4067</v>
      </c>
      <c r="G412" s="201">
        <v>1993</v>
      </c>
      <c r="H412" s="475" t="s">
        <v>1138</v>
      </c>
      <c r="I412" s="283">
        <v>1</v>
      </c>
      <c r="J412" s="227">
        <f>5250.48/1000</f>
        <v>5.2504799999999996</v>
      </c>
      <c r="K412" s="227">
        <f>3947.31/1000</f>
        <v>3.9473099999999999</v>
      </c>
      <c r="L412" s="227">
        <f>1303.17/1000</f>
        <v>1.3031700000000002</v>
      </c>
    </row>
    <row r="413" spans="1:12" ht="26.4" customHeight="1">
      <c r="A413" s="206">
        <v>62</v>
      </c>
      <c r="B413" s="540"/>
      <c r="C413" s="225" t="s">
        <v>1789</v>
      </c>
      <c r="D413" s="225" t="s">
        <v>1393</v>
      </c>
      <c r="E413" s="201" t="s">
        <v>1939</v>
      </c>
      <c r="F413" s="226">
        <v>4073</v>
      </c>
      <c r="G413" s="201">
        <v>1995</v>
      </c>
      <c r="H413" s="475" t="s">
        <v>1138</v>
      </c>
      <c r="I413" s="283">
        <v>1</v>
      </c>
      <c r="J413" s="227">
        <f>282385.58/1000</f>
        <v>282.38558</v>
      </c>
      <c r="K413" s="227">
        <f>218457.14/1000</f>
        <v>218.45714000000001</v>
      </c>
      <c r="L413" s="227">
        <f>63928.44/1000</f>
        <v>63.928440000000002</v>
      </c>
    </row>
    <row r="414" spans="1:12" ht="26.4" customHeight="1">
      <c r="A414" s="206">
        <v>63</v>
      </c>
      <c r="B414" s="540"/>
      <c r="C414" s="225" t="s">
        <v>1169</v>
      </c>
      <c r="D414" s="225" t="s">
        <v>1394</v>
      </c>
      <c r="E414" s="201" t="s">
        <v>465</v>
      </c>
      <c r="F414" s="226">
        <v>1143</v>
      </c>
      <c r="G414" s="201">
        <v>1964</v>
      </c>
      <c r="H414" s="475" t="s">
        <v>1149</v>
      </c>
      <c r="I414" s="283">
        <v>393.1</v>
      </c>
      <c r="J414" s="227">
        <f>859449.59/1000</f>
        <v>859.44958999999994</v>
      </c>
      <c r="K414" s="227">
        <f>338873.91/1000</f>
        <v>338.87390999999997</v>
      </c>
      <c r="L414" s="227">
        <f>520575.68/1000</f>
        <v>520.57568000000003</v>
      </c>
    </row>
    <row r="415" spans="1:12" ht="26.4" customHeight="1">
      <c r="A415" s="206">
        <v>64</v>
      </c>
      <c r="B415" s="540"/>
      <c r="C415" s="225" t="s">
        <v>1169</v>
      </c>
      <c r="D415" s="225" t="s">
        <v>2076</v>
      </c>
      <c r="E415" s="201" t="s">
        <v>925</v>
      </c>
      <c r="F415" s="226">
        <v>674</v>
      </c>
      <c r="G415" s="201">
        <v>1988</v>
      </c>
      <c r="H415" s="475" t="s">
        <v>1149</v>
      </c>
      <c r="I415" s="283">
        <v>201</v>
      </c>
      <c r="J415" s="227">
        <f>152047.89/1000</f>
        <v>152.04789000000002</v>
      </c>
      <c r="K415" s="227">
        <f>48917.59/1000</f>
        <v>48.917589999999997</v>
      </c>
      <c r="L415" s="227">
        <f>103130.3/1000</f>
        <v>103.13030000000001</v>
      </c>
    </row>
    <row r="416" spans="1:12" ht="26.4" customHeight="1">
      <c r="A416" s="206">
        <v>65</v>
      </c>
      <c r="B416" s="540"/>
      <c r="C416" s="225" t="s">
        <v>1169</v>
      </c>
      <c r="D416" s="225" t="s">
        <v>1395</v>
      </c>
      <c r="E416" s="201" t="s">
        <v>1174</v>
      </c>
      <c r="F416" s="226">
        <v>4034</v>
      </c>
      <c r="G416" s="201">
        <v>1987</v>
      </c>
      <c r="H416" s="475" t="s">
        <v>1138</v>
      </c>
      <c r="I416" s="283">
        <v>1</v>
      </c>
      <c r="J416" s="227">
        <f>172855.2/1000</f>
        <v>172.85520000000002</v>
      </c>
      <c r="K416" s="227">
        <f>85517.39/1000</f>
        <v>85.517390000000006</v>
      </c>
      <c r="L416" s="227">
        <f>87337.81/1000</f>
        <v>87.337810000000005</v>
      </c>
    </row>
    <row r="417" spans="1:12" ht="26.4" customHeight="1">
      <c r="A417" s="206">
        <v>66</v>
      </c>
      <c r="B417" s="540"/>
      <c r="C417" s="225" t="s">
        <v>1169</v>
      </c>
      <c r="D417" s="225" t="s">
        <v>2077</v>
      </c>
      <c r="E417" s="201" t="s">
        <v>924</v>
      </c>
      <c r="F417" s="226">
        <v>31</v>
      </c>
      <c r="G417" s="201">
        <v>1964</v>
      </c>
      <c r="H417" s="475" t="s">
        <v>1149</v>
      </c>
      <c r="I417" s="283">
        <v>400.14</v>
      </c>
      <c r="J417" s="227">
        <f>277774.14/1000</f>
        <v>277.77413999999999</v>
      </c>
      <c r="K417" s="227">
        <f>157677.26/1000</f>
        <v>157.67726000000002</v>
      </c>
      <c r="L417" s="227">
        <f>120096.88/1000</f>
        <v>120.09688</v>
      </c>
    </row>
    <row r="418" spans="1:12" ht="26.4" customHeight="1">
      <c r="A418" s="206">
        <v>67</v>
      </c>
      <c r="B418" s="540"/>
      <c r="C418" s="225" t="s">
        <v>1169</v>
      </c>
      <c r="D418" s="225" t="s">
        <v>2077</v>
      </c>
      <c r="E418" s="201" t="s">
        <v>1175</v>
      </c>
      <c r="F418" s="226">
        <v>1261</v>
      </c>
      <c r="G418" s="201">
        <v>2003</v>
      </c>
      <c r="H418" s="475" t="s">
        <v>1149</v>
      </c>
      <c r="I418" s="283">
        <v>94.86</v>
      </c>
      <c r="J418" s="227">
        <f>9559/1000</f>
        <v>9.5589999999999993</v>
      </c>
      <c r="K418" s="227">
        <f>5662.05/1000</f>
        <v>5.6620499999999998</v>
      </c>
      <c r="L418" s="227">
        <f>3896.95/1000</f>
        <v>3.8969499999999999</v>
      </c>
    </row>
    <row r="419" spans="1:12" ht="26.4" customHeight="1">
      <c r="A419" s="206">
        <v>68</v>
      </c>
      <c r="B419" s="540"/>
      <c r="C419" s="225" t="s">
        <v>1169</v>
      </c>
      <c r="D419" s="225" t="s">
        <v>1396</v>
      </c>
      <c r="E419" s="201" t="s">
        <v>2438</v>
      </c>
      <c r="F419" s="226">
        <v>1317</v>
      </c>
      <c r="G419" s="201">
        <v>2005</v>
      </c>
      <c r="H419" s="475" t="s">
        <v>1138</v>
      </c>
      <c r="I419" s="283">
        <v>1</v>
      </c>
      <c r="J419" s="227">
        <f>86721.42/1000</f>
        <v>86.721419999999995</v>
      </c>
      <c r="K419" s="227">
        <f>45465.27/1000</f>
        <v>45.465269999999997</v>
      </c>
      <c r="L419" s="227">
        <f>41256.15/1000</f>
        <v>41.256149999999998</v>
      </c>
    </row>
    <row r="420" spans="1:12" ht="26.4" customHeight="1">
      <c r="A420" s="206">
        <v>69</v>
      </c>
      <c r="B420" s="540"/>
      <c r="C420" s="225" t="s">
        <v>1169</v>
      </c>
      <c r="D420" s="225" t="s">
        <v>2078</v>
      </c>
      <c r="E420" s="201" t="s">
        <v>632</v>
      </c>
      <c r="F420" s="226">
        <v>1758</v>
      </c>
      <c r="G420" s="201">
        <v>2011</v>
      </c>
      <c r="H420" s="475" t="s">
        <v>1138</v>
      </c>
      <c r="I420" s="283">
        <v>1</v>
      </c>
      <c r="J420" s="227">
        <f>7020.3/1000</f>
        <v>7.0202999999999998</v>
      </c>
      <c r="K420" s="227">
        <f>900.9/1000</f>
        <v>0.90089999999999992</v>
      </c>
      <c r="L420" s="227">
        <f>6119.4/1000</f>
        <v>6.1193999999999997</v>
      </c>
    </row>
    <row r="421" spans="1:12" ht="26.4">
      <c r="A421" s="206">
        <v>70</v>
      </c>
      <c r="B421" s="540"/>
      <c r="C421" s="225" t="s">
        <v>1169</v>
      </c>
      <c r="D421" s="225" t="s">
        <v>12944</v>
      </c>
      <c r="E421" s="201" t="s">
        <v>1176</v>
      </c>
      <c r="F421" s="226">
        <v>4002</v>
      </c>
      <c r="G421" s="201">
        <v>1972</v>
      </c>
      <c r="H421" s="475" t="s">
        <v>1138</v>
      </c>
      <c r="I421" s="283">
        <v>1</v>
      </c>
      <c r="J421" s="227">
        <f>203865.25/1000</f>
        <v>203.86525</v>
      </c>
      <c r="K421" s="227">
        <f>167392.22/1000</f>
        <v>167.39222000000001</v>
      </c>
      <c r="L421" s="227">
        <f>36473.03/1000</f>
        <v>36.473030000000001</v>
      </c>
    </row>
    <row r="422" spans="1:12" ht="26.4" customHeight="1">
      <c r="A422" s="206">
        <v>71</v>
      </c>
      <c r="B422" s="540"/>
      <c r="C422" s="225" t="s">
        <v>1169</v>
      </c>
      <c r="D422" s="225" t="s">
        <v>1398</v>
      </c>
      <c r="E422" s="201" t="s">
        <v>923</v>
      </c>
      <c r="F422" s="226">
        <v>11836</v>
      </c>
      <c r="G422" s="201">
        <v>1989</v>
      </c>
      <c r="H422" s="475" t="s">
        <v>1149</v>
      </c>
      <c r="I422" s="283">
        <v>233</v>
      </c>
      <c r="J422" s="227">
        <f>137053.04/1000</f>
        <v>137.05304000000001</v>
      </c>
      <c r="K422" s="227">
        <f>62102.64/1000</f>
        <v>62.102640000000001</v>
      </c>
      <c r="L422" s="227">
        <f>74950.4/1000</f>
        <v>74.950399999999988</v>
      </c>
    </row>
    <row r="423" spans="1:12" ht="26.4" customHeight="1">
      <c r="A423" s="206">
        <v>72</v>
      </c>
      <c r="B423" s="540"/>
      <c r="C423" s="225" t="s">
        <v>1169</v>
      </c>
      <c r="D423" s="225" t="s">
        <v>1397</v>
      </c>
      <c r="E423" s="201" t="s">
        <v>2351</v>
      </c>
      <c r="F423" s="226">
        <v>19424</v>
      </c>
      <c r="G423" s="201">
        <v>2014</v>
      </c>
      <c r="H423" s="475" t="s">
        <v>1138</v>
      </c>
      <c r="I423" s="283">
        <v>1</v>
      </c>
      <c r="J423" s="227">
        <f>134666.74/1000</f>
        <v>134.66674</v>
      </c>
      <c r="K423" s="227">
        <f>41522.14/1000</f>
        <v>41.52214</v>
      </c>
      <c r="L423" s="227">
        <f>93144.6/1000</f>
        <v>93.144600000000011</v>
      </c>
    </row>
    <row r="424" spans="1:12" ht="26.4" customHeight="1">
      <c r="A424" s="206">
        <v>73</v>
      </c>
      <c r="B424" s="540"/>
      <c r="C424" s="225" t="s">
        <v>1169</v>
      </c>
      <c r="D424" s="225" t="s">
        <v>2079</v>
      </c>
      <c r="E424" s="201" t="s">
        <v>921</v>
      </c>
      <c r="F424" s="226">
        <v>19453</v>
      </c>
      <c r="G424" s="201">
        <v>2015</v>
      </c>
      <c r="H424" s="475" t="s">
        <v>1138</v>
      </c>
      <c r="I424" s="283">
        <v>1</v>
      </c>
      <c r="J424" s="227">
        <f>241753.1/1000</f>
        <v>241.75310000000002</v>
      </c>
      <c r="K424" s="227">
        <f>33437.9/1000</f>
        <v>33.437899999999999</v>
      </c>
      <c r="L424" s="227">
        <f>208315.2/1000</f>
        <v>208.3152</v>
      </c>
    </row>
    <row r="425" spans="1:12" ht="26.4" customHeight="1">
      <c r="A425" s="206">
        <v>74</v>
      </c>
      <c r="B425" s="540"/>
      <c r="C425" s="225" t="s">
        <v>1169</v>
      </c>
      <c r="D425" s="225" t="s">
        <v>2080</v>
      </c>
      <c r="E425" s="288" t="s">
        <v>2415</v>
      </c>
      <c r="F425" s="226">
        <v>111</v>
      </c>
      <c r="G425" s="201">
        <v>1962</v>
      </c>
      <c r="H425" s="475" t="s">
        <v>1149</v>
      </c>
      <c r="I425" s="283">
        <v>310</v>
      </c>
      <c r="J425" s="227">
        <f>263610.7/1000</f>
        <v>263.61070000000001</v>
      </c>
      <c r="K425" s="227">
        <f>150763.51/1000</f>
        <v>150.76351</v>
      </c>
      <c r="L425" s="227">
        <f>112847.19/1000</f>
        <v>112.84719</v>
      </c>
    </row>
    <row r="426" spans="1:12" ht="26.4" customHeight="1">
      <c r="A426" s="206">
        <v>75</v>
      </c>
      <c r="B426" s="540"/>
      <c r="C426" s="225" t="s">
        <v>1169</v>
      </c>
      <c r="D426" s="225" t="s">
        <v>1399</v>
      </c>
      <c r="E426" s="288" t="s">
        <v>2416</v>
      </c>
      <c r="F426" s="226">
        <v>4013</v>
      </c>
      <c r="G426" s="201">
        <v>1949</v>
      </c>
      <c r="H426" s="475" t="s">
        <v>1138</v>
      </c>
      <c r="I426" s="283">
        <v>1</v>
      </c>
      <c r="J426" s="227">
        <f>81226.5/1000</f>
        <v>81.226500000000001</v>
      </c>
      <c r="K426" s="227">
        <f>73971.08/1000</f>
        <v>73.971080000000001</v>
      </c>
      <c r="L426" s="227">
        <f>7255.42/1000</f>
        <v>7.25542</v>
      </c>
    </row>
    <row r="427" spans="1:12" ht="26.4" customHeight="1">
      <c r="A427" s="206">
        <v>76</v>
      </c>
      <c r="B427" s="540"/>
      <c r="C427" s="225" t="s">
        <v>1169</v>
      </c>
      <c r="D427" s="225" t="s">
        <v>2024</v>
      </c>
      <c r="E427" s="288" t="s">
        <v>2417</v>
      </c>
      <c r="F427" s="226">
        <v>149</v>
      </c>
      <c r="G427" s="201">
        <v>1966</v>
      </c>
      <c r="H427" s="475" t="s">
        <v>1149</v>
      </c>
      <c r="I427" s="283">
        <v>606</v>
      </c>
      <c r="J427" s="227">
        <f>516985.97/1000</f>
        <v>516.98596999999995</v>
      </c>
      <c r="K427" s="227">
        <f>249538.92/1000</f>
        <v>249.53892000000002</v>
      </c>
      <c r="L427" s="227">
        <f>267447.05/1000</f>
        <v>267.44704999999999</v>
      </c>
    </row>
    <row r="428" spans="1:12" ht="26.4" customHeight="1">
      <c r="A428" s="206">
        <v>77</v>
      </c>
      <c r="B428" s="540"/>
      <c r="C428" s="225" t="s">
        <v>1169</v>
      </c>
      <c r="D428" s="225" t="s">
        <v>1400</v>
      </c>
      <c r="E428" s="288" t="s">
        <v>1918</v>
      </c>
      <c r="F428" s="226">
        <v>4012</v>
      </c>
      <c r="G428" s="201">
        <v>1976</v>
      </c>
      <c r="H428" s="475" t="s">
        <v>1138</v>
      </c>
      <c r="I428" s="283">
        <v>1</v>
      </c>
      <c r="J428" s="227">
        <f>52296.22/1000</f>
        <v>52.296219999999998</v>
      </c>
      <c r="K428" s="227">
        <f>49070.64/1000</f>
        <v>49.070639999999997</v>
      </c>
      <c r="L428" s="227">
        <f>3225.58/1000</f>
        <v>3.2255799999999999</v>
      </c>
    </row>
    <row r="429" spans="1:12" ht="26.4" customHeight="1">
      <c r="A429" s="206">
        <v>78</v>
      </c>
      <c r="B429" s="540"/>
      <c r="C429" s="225" t="s">
        <v>1169</v>
      </c>
      <c r="D429" s="225" t="s">
        <v>2009</v>
      </c>
      <c r="E429" s="201" t="s">
        <v>1912</v>
      </c>
      <c r="F429" s="226">
        <v>4017</v>
      </c>
      <c r="G429" s="201">
        <v>1951</v>
      </c>
      <c r="H429" s="475" t="s">
        <v>1138</v>
      </c>
      <c r="I429" s="283">
        <v>1</v>
      </c>
      <c r="J429" s="227">
        <f>107690.16/1000</f>
        <v>107.69016000000001</v>
      </c>
      <c r="K429" s="227">
        <f>80422.69/1000</f>
        <v>80.422690000000003</v>
      </c>
      <c r="L429" s="227">
        <f>27267.47/1000</f>
        <v>27.267469999999999</v>
      </c>
    </row>
    <row r="430" spans="1:12" ht="26.4" customHeight="1">
      <c r="A430" s="206">
        <v>79</v>
      </c>
      <c r="B430" s="540"/>
      <c r="C430" s="225" t="s">
        <v>1169</v>
      </c>
      <c r="D430" s="225" t="s">
        <v>2025</v>
      </c>
      <c r="E430" s="201" t="s">
        <v>922</v>
      </c>
      <c r="F430" s="226">
        <v>11138</v>
      </c>
      <c r="G430" s="229">
        <v>1951</v>
      </c>
      <c r="H430" s="475" t="s">
        <v>1149</v>
      </c>
      <c r="I430" s="283">
        <v>143</v>
      </c>
      <c r="J430" s="227">
        <f>82869.94/1000</f>
        <v>82.86994</v>
      </c>
      <c r="K430" s="227">
        <f>42908.81/1000</f>
        <v>42.908809999999995</v>
      </c>
      <c r="L430" s="227">
        <f>39961.13/1000</f>
        <v>39.961129999999997</v>
      </c>
    </row>
    <row r="431" spans="1:12" ht="26.4" customHeight="1">
      <c r="A431" s="206">
        <v>80</v>
      </c>
      <c r="B431" s="540"/>
      <c r="C431" s="225" t="s">
        <v>1169</v>
      </c>
      <c r="D431" s="225" t="s">
        <v>2210</v>
      </c>
      <c r="E431" s="201" t="s">
        <v>1975</v>
      </c>
      <c r="F431" s="226">
        <v>459</v>
      </c>
      <c r="G431" s="229">
        <v>1984</v>
      </c>
      <c r="H431" s="475" t="s">
        <v>1149</v>
      </c>
      <c r="I431" s="283">
        <v>495.53</v>
      </c>
      <c r="J431" s="227">
        <f>859953.22/1000</f>
        <v>859.95321999999999</v>
      </c>
      <c r="K431" s="227">
        <f>387469.2/1000</f>
        <v>387.4692</v>
      </c>
      <c r="L431" s="227">
        <f>472484.02/1000</f>
        <v>472.48402000000004</v>
      </c>
    </row>
    <row r="432" spans="1:12" ht="26.4" customHeight="1">
      <c r="A432" s="206">
        <v>81</v>
      </c>
      <c r="B432" s="540"/>
      <c r="C432" s="225" t="s">
        <v>1169</v>
      </c>
      <c r="D432" s="225" t="s">
        <v>2210</v>
      </c>
      <c r="E432" s="201" t="s">
        <v>1976</v>
      </c>
      <c r="F432" s="226">
        <v>568</v>
      </c>
      <c r="G432" s="229">
        <v>1984</v>
      </c>
      <c r="H432" s="475" t="s">
        <v>1149</v>
      </c>
      <c r="I432" s="283">
        <v>336.47</v>
      </c>
      <c r="J432" s="227">
        <f>112261.65/1000</f>
        <v>112.26164999999999</v>
      </c>
      <c r="K432" s="227">
        <f>88323.48/1000</f>
        <v>88.323479999999989</v>
      </c>
      <c r="L432" s="227">
        <f>23938.17/1000</f>
        <v>23.93817</v>
      </c>
    </row>
    <row r="433" spans="1:12" ht="26.4" customHeight="1">
      <c r="A433" s="206">
        <v>82</v>
      </c>
      <c r="B433" s="540"/>
      <c r="C433" s="225" t="s">
        <v>1169</v>
      </c>
      <c r="D433" s="225" t="s">
        <v>1401</v>
      </c>
      <c r="E433" s="201" t="s">
        <v>1977</v>
      </c>
      <c r="F433" s="226">
        <v>1018</v>
      </c>
      <c r="G433" s="229">
        <v>1996</v>
      </c>
      <c r="H433" s="475" t="s">
        <v>1138</v>
      </c>
      <c r="I433" s="283">
        <v>1</v>
      </c>
      <c r="J433" s="227">
        <f>1835.44/1000</f>
        <v>1.83544</v>
      </c>
      <c r="K433" s="227">
        <f>1701.16/1000</f>
        <v>1.70116</v>
      </c>
      <c r="L433" s="227">
        <f>134.28/1000</f>
        <v>0.13428000000000001</v>
      </c>
    </row>
    <row r="434" spans="1:12" ht="26.4" customHeight="1">
      <c r="A434" s="206">
        <v>83</v>
      </c>
      <c r="B434" s="540"/>
      <c r="C434" s="225" t="s">
        <v>1169</v>
      </c>
      <c r="D434" s="225" t="s">
        <v>2081</v>
      </c>
      <c r="E434" s="201" t="s">
        <v>1976</v>
      </c>
      <c r="F434" s="226">
        <v>1424</v>
      </c>
      <c r="G434" s="229">
        <v>1989</v>
      </c>
      <c r="H434" s="475" t="s">
        <v>1149</v>
      </c>
      <c r="I434" s="283">
        <v>176</v>
      </c>
      <c r="J434" s="227">
        <f>110936.63/1000</f>
        <v>110.93663000000001</v>
      </c>
      <c r="K434" s="227">
        <f>81241/1000</f>
        <v>81.241</v>
      </c>
      <c r="L434" s="227">
        <f>29695.63/1000</f>
        <v>29.695630000000001</v>
      </c>
    </row>
    <row r="435" spans="1:12" ht="26.4" customHeight="1">
      <c r="A435" s="206">
        <v>84</v>
      </c>
      <c r="B435" s="540"/>
      <c r="C435" s="225" t="s">
        <v>1169</v>
      </c>
      <c r="D435" s="225" t="s">
        <v>1402</v>
      </c>
      <c r="E435" s="201" t="s">
        <v>2439</v>
      </c>
      <c r="F435" s="226">
        <v>4042</v>
      </c>
      <c r="G435" s="201">
        <v>1988</v>
      </c>
      <c r="H435" s="475" t="s">
        <v>1138</v>
      </c>
      <c r="I435" s="283">
        <v>1</v>
      </c>
      <c r="J435" s="227">
        <f>(26804.83+9541.08)/1000</f>
        <v>36.345910000000003</v>
      </c>
      <c r="K435" s="227">
        <f>26786.85/1000</f>
        <v>26.786849999999998</v>
      </c>
      <c r="L435" s="227">
        <f>9559.06/1000</f>
        <v>9.5590599999999988</v>
      </c>
    </row>
    <row r="436" spans="1:12" ht="26.4" customHeight="1">
      <c r="A436" s="206">
        <v>85</v>
      </c>
      <c r="B436" s="540"/>
      <c r="C436" s="225" t="s">
        <v>1169</v>
      </c>
      <c r="D436" s="225" t="s">
        <v>1385</v>
      </c>
      <c r="E436" s="201" t="s">
        <v>2418</v>
      </c>
      <c r="F436" s="226">
        <v>4060</v>
      </c>
      <c r="G436" s="201">
        <v>1997</v>
      </c>
      <c r="H436" s="475" t="s">
        <v>1138</v>
      </c>
      <c r="I436" s="283">
        <v>1</v>
      </c>
      <c r="J436" s="227">
        <f>234366/1000</f>
        <v>234.36600000000001</v>
      </c>
      <c r="K436" s="227">
        <f>185379.31/1000</f>
        <v>185.37931</v>
      </c>
      <c r="L436" s="227">
        <f>48986.69/1000</f>
        <v>48.986690000000003</v>
      </c>
    </row>
    <row r="437" spans="1:12" ht="26.4" customHeight="1">
      <c r="A437" s="206">
        <v>86</v>
      </c>
      <c r="B437" s="540"/>
      <c r="C437" s="225" t="s">
        <v>1169</v>
      </c>
      <c r="D437" s="225" t="s">
        <v>1403</v>
      </c>
      <c r="E437" s="201" t="s">
        <v>2419</v>
      </c>
      <c r="F437" s="226">
        <v>4064</v>
      </c>
      <c r="G437" s="226">
        <v>1992</v>
      </c>
      <c r="H437" s="475" t="s">
        <v>1138</v>
      </c>
      <c r="I437" s="283">
        <v>1</v>
      </c>
      <c r="J437" s="227">
        <f>122607.54/1000</f>
        <v>122.60754</v>
      </c>
      <c r="K437" s="227">
        <f>38844.85/1000</f>
        <v>38.844850000000001</v>
      </c>
      <c r="L437" s="227">
        <f>83762.69/1000</f>
        <v>83.762690000000006</v>
      </c>
    </row>
    <row r="438" spans="1:12" ht="39" customHeight="1">
      <c r="A438" s="206">
        <v>87</v>
      </c>
      <c r="B438" s="540"/>
      <c r="C438" s="225" t="s">
        <v>1169</v>
      </c>
      <c r="D438" s="225" t="s">
        <v>13394</v>
      </c>
      <c r="E438" s="201" t="s">
        <v>2420</v>
      </c>
      <c r="F438" s="226">
        <v>4079</v>
      </c>
      <c r="G438" s="230">
        <v>1997</v>
      </c>
      <c r="H438" s="475" t="s">
        <v>1138</v>
      </c>
      <c r="I438" s="283">
        <v>1</v>
      </c>
      <c r="J438" s="227">
        <f>183219.82/1000</f>
        <v>183.21982</v>
      </c>
      <c r="K438" s="227">
        <f>131630.12/1000</f>
        <v>131.63012000000001</v>
      </c>
      <c r="L438" s="227">
        <f>51589.7/1000</f>
        <v>51.589700000000001</v>
      </c>
    </row>
    <row r="439" spans="1:12" ht="26.4" customHeight="1">
      <c r="A439" s="206">
        <v>88</v>
      </c>
      <c r="B439" s="540"/>
      <c r="C439" s="225" t="s">
        <v>1169</v>
      </c>
      <c r="D439" s="225" t="s">
        <v>2082</v>
      </c>
      <c r="E439" s="201" t="s">
        <v>1177</v>
      </c>
      <c r="F439" s="226">
        <v>232</v>
      </c>
      <c r="G439" s="231">
        <v>1970</v>
      </c>
      <c r="H439" s="475" t="s">
        <v>1149</v>
      </c>
      <c r="I439" s="283">
        <v>185</v>
      </c>
      <c r="J439" s="227">
        <f>13111.43/1000</f>
        <v>13.11143</v>
      </c>
      <c r="K439" s="227">
        <f>11329.9/1000</f>
        <v>11.3299</v>
      </c>
      <c r="L439" s="227">
        <f>1781.53/1000</f>
        <v>1.7815300000000001</v>
      </c>
    </row>
    <row r="440" spans="1:12" ht="26.4" customHeight="1">
      <c r="A440" s="206">
        <v>89</v>
      </c>
      <c r="B440" s="540"/>
      <c r="C440" s="225" t="s">
        <v>1169</v>
      </c>
      <c r="D440" s="225" t="s">
        <v>1404</v>
      </c>
      <c r="E440" s="201" t="s">
        <v>1810</v>
      </c>
      <c r="F440" s="226">
        <v>4015</v>
      </c>
      <c r="G440" s="231">
        <v>1970</v>
      </c>
      <c r="H440" s="475" t="s">
        <v>1138</v>
      </c>
      <c r="I440" s="283">
        <v>1</v>
      </c>
      <c r="J440" s="227">
        <f>(34841.63+21225.05)/1000</f>
        <v>56.066679999999991</v>
      </c>
      <c r="K440" s="227">
        <f>48258.02/1000</f>
        <v>48.258019999999995</v>
      </c>
      <c r="L440" s="227">
        <f>7808.66/1000</f>
        <v>7.8086599999999997</v>
      </c>
    </row>
    <row r="441" spans="1:12" ht="26.4" customHeight="1">
      <c r="A441" s="206">
        <v>90</v>
      </c>
      <c r="B441" s="540"/>
      <c r="C441" s="225" t="s">
        <v>1169</v>
      </c>
      <c r="D441" s="225" t="s">
        <v>2083</v>
      </c>
      <c r="E441" s="201" t="s">
        <v>2421</v>
      </c>
      <c r="F441" s="226">
        <v>191</v>
      </c>
      <c r="G441" s="231">
        <v>1983</v>
      </c>
      <c r="H441" s="475" t="s">
        <v>1149</v>
      </c>
      <c r="I441" s="283">
        <v>460</v>
      </c>
      <c r="J441" s="227">
        <f>1182076.55/1000</f>
        <v>1182.07655</v>
      </c>
      <c r="K441" s="227">
        <f>638887.59/1000</f>
        <v>638.88758999999993</v>
      </c>
      <c r="L441" s="227">
        <f>543188.96/1000</f>
        <v>543.18895999999995</v>
      </c>
    </row>
    <row r="442" spans="1:12" ht="26.4" customHeight="1">
      <c r="A442" s="206">
        <v>91</v>
      </c>
      <c r="B442" s="540"/>
      <c r="C442" s="225" t="s">
        <v>1169</v>
      </c>
      <c r="D442" s="225" t="s">
        <v>2083</v>
      </c>
      <c r="E442" s="201" t="s">
        <v>2422</v>
      </c>
      <c r="F442" s="226">
        <v>317</v>
      </c>
      <c r="G442" s="231">
        <v>1983</v>
      </c>
      <c r="H442" s="475" t="s">
        <v>1149</v>
      </c>
      <c r="I442" s="283">
        <v>257</v>
      </c>
      <c r="J442" s="227">
        <f>118165.4/1000</f>
        <v>118.16539999999999</v>
      </c>
      <c r="K442" s="227">
        <f>93303.24/1000</f>
        <v>93.303240000000002</v>
      </c>
      <c r="L442" s="227">
        <f>24862.16/1000</f>
        <v>24.862159999999999</v>
      </c>
    </row>
    <row r="443" spans="1:12" ht="26.4" customHeight="1">
      <c r="A443" s="217">
        <v>92</v>
      </c>
      <c r="B443" s="540"/>
      <c r="C443" s="232" t="s">
        <v>1169</v>
      </c>
      <c r="D443" s="225" t="s">
        <v>2083</v>
      </c>
      <c r="E443" s="231" t="s">
        <v>921</v>
      </c>
      <c r="F443" s="233">
        <v>1651</v>
      </c>
      <c r="G443" s="231">
        <v>2010</v>
      </c>
      <c r="H443" s="264" t="s">
        <v>1138</v>
      </c>
      <c r="I443" s="284">
        <v>1</v>
      </c>
      <c r="J443" s="277">
        <f>112587.43/1000</f>
        <v>112.58743</v>
      </c>
      <c r="K443" s="277">
        <f>42500.51/1000</f>
        <v>42.500510000000006</v>
      </c>
      <c r="L443" s="277">
        <f>70086.92/1000</f>
        <v>70.086919999999992</v>
      </c>
    </row>
    <row r="444" spans="1:12" ht="26.4">
      <c r="A444" s="217">
        <v>93</v>
      </c>
      <c r="B444" s="540"/>
      <c r="C444" s="232" t="s">
        <v>1169</v>
      </c>
      <c r="D444" s="232" t="s">
        <v>12848</v>
      </c>
      <c r="E444" s="231" t="s">
        <v>2440</v>
      </c>
      <c r="F444" s="233">
        <v>4019</v>
      </c>
      <c r="G444" s="231">
        <v>1983</v>
      </c>
      <c r="H444" s="264" t="s">
        <v>1138</v>
      </c>
      <c r="I444" s="284">
        <v>1</v>
      </c>
      <c r="J444" s="277">
        <f>257395.45/1000</f>
        <v>257.39545000000004</v>
      </c>
      <c r="K444" s="277">
        <f>200337.47/1000</f>
        <v>200.33747</v>
      </c>
      <c r="L444" s="277">
        <f>57057.98/1000</f>
        <v>57.057980000000001</v>
      </c>
    </row>
    <row r="445" spans="1:12" ht="26.4">
      <c r="A445" s="217">
        <v>94</v>
      </c>
      <c r="B445" s="541"/>
      <c r="C445" s="232" t="s">
        <v>1169</v>
      </c>
      <c r="D445" s="232" t="s">
        <v>12848</v>
      </c>
      <c r="E445" s="231" t="s">
        <v>2423</v>
      </c>
      <c r="F445" s="233">
        <v>4035</v>
      </c>
      <c r="G445" s="231">
        <v>1987</v>
      </c>
      <c r="H445" s="264" t="s">
        <v>1138</v>
      </c>
      <c r="I445" s="284">
        <v>1</v>
      </c>
      <c r="J445" s="277">
        <f>830721.49/1000</f>
        <v>830.72149000000002</v>
      </c>
      <c r="K445" s="277">
        <f>619404.84/1000</f>
        <v>619.40483999999992</v>
      </c>
      <c r="L445" s="277">
        <f>211316.65/1000</f>
        <v>211.31664999999998</v>
      </c>
    </row>
    <row r="446" spans="1:12" ht="26.4" customHeight="1">
      <c r="A446" s="294"/>
      <c r="B446" s="304" t="s">
        <v>2215</v>
      </c>
      <c r="C446" s="304" t="s">
        <v>3</v>
      </c>
      <c r="D446" s="304" t="s">
        <v>3</v>
      </c>
      <c r="E446" s="304" t="s">
        <v>3</v>
      </c>
      <c r="F446" s="304" t="s">
        <v>3</v>
      </c>
      <c r="G446" s="304" t="s">
        <v>3</v>
      </c>
      <c r="H446" s="304" t="s">
        <v>3</v>
      </c>
      <c r="I446" s="304" t="s">
        <v>3</v>
      </c>
      <c r="J446" s="295">
        <f>SUM(J352:J445)</f>
        <v>25892.906340000012</v>
      </c>
      <c r="K446" s="295">
        <f>SUM(K352:K445)</f>
        <v>11186.501549999999</v>
      </c>
      <c r="L446" s="295">
        <f>SUM(L352:L445)</f>
        <v>14706.401319999999</v>
      </c>
    </row>
    <row r="447" spans="1:12" ht="26.4" customHeight="1">
      <c r="A447" s="207">
        <v>1</v>
      </c>
      <c r="B447" s="542" t="s">
        <v>13235</v>
      </c>
      <c r="C447" s="289" t="s">
        <v>214</v>
      </c>
      <c r="D447" s="288" t="s">
        <v>1405</v>
      </c>
      <c r="E447" s="288" t="s">
        <v>920</v>
      </c>
      <c r="F447" s="288">
        <v>2439</v>
      </c>
      <c r="G447" s="235">
        <v>1976</v>
      </c>
      <c r="H447" s="262" t="s">
        <v>1149</v>
      </c>
      <c r="I447" s="208">
        <v>538</v>
      </c>
      <c r="J447" s="276">
        <v>852.90860999999995</v>
      </c>
      <c r="K447" s="274">
        <v>380.08667000000003</v>
      </c>
      <c r="L447" s="276">
        <v>472.82193999999998</v>
      </c>
    </row>
    <row r="448" spans="1:12" ht="26.4" customHeight="1">
      <c r="A448" s="207">
        <v>2</v>
      </c>
      <c r="B448" s="543"/>
      <c r="C448" s="289" t="s">
        <v>214</v>
      </c>
      <c r="D448" s="288" t="s">
        <v>1405</v>
      </c>
      <c r="E448" s="288" t="s">
        <v>919</v>
      </c>
      <c r="F448" s="224">
        <v>2441</v>
      </c>
      <c r="G448" s="235" t="s">
        <v>1528</v>
      </c>
      <c r="H448" s="262" t="s">
        <v>1138</v>
      </c>
      <c r="I448" s="208">
        <v>1</v>
      </c>
      <c r="J448" s="276">
        <v>1.22983</v>
      </c>
      <c r="K448" s="276">
        <v>1.1713199999999999</v>
      </c>
      <c r="L448" s="276">
        <v>5.851E-2</v>
      </c>
    </row>
    <row r="449" spans="1:12" ht="26.4" customHeight="1">
      <c r="A449" s="207">
        <v>3</v>
      </c>
      <c r="B449" s="543"/>
      <c r="C449" s="289" t="s">
        <v>214</v>
      </c>
      <c r="D449" s="288" t="s">
        <v>1405</v>
      </c>
      <c r="E449" s="288" t="s">
        <v>919</v>
      </c>
      <c r="F449" s="224">
        <v>2442</v>
      </c>
      <c r="G449" s="235" t="s">
        <v>1528</v>
      </c>
      <c r="H449" s="262" t="s">
        <v>1138</v>
      </c>
      <c r="I449" s="208">
        <v>1</v>
      </c>
      <c r="J449" s="276">
        <v>1.1298299999999999</v>
      </c>
      <c r="K449" s="276">
        <v>1.10243</v>
      </c>
      <c r="L449" s="276">
        <v>2.7400000000000001E-2</v>
      </c>
    </row>
    <row r="450" spans="1:12" ht="26.4" customHeight="1">
      <c r="A450" s="207">
        <v>4</v>
      </c>
      <c r="B450" s="543"/>
      <c r="C450" s="289" t="s">
        <v>214</v>
      </c>
      <c r="D450" s="288" t="s">
        <v>1405</v>
      </c>
      <c r="E450" s="288" t="s">
        <v>919</v>
      </c>
      <c r="F450" s="224">
        <v>2443</v>
      </c>
      <c r="G450" s="235" t="s">
        <v>1528</v>
      </c>
      <c r="H450" s="262" t="s">
        <v>1138</v>
      </c>
      <c r="I450" s="208">
        <v>1</v>
      </c>
      <c r="J450" s="276">
        <v>1.1298299999999999</v>
      </c>
      <c r="K450" s="276">
        <v>1.10243</v>
      </c>
      <c r="L450" s="276">
        <v>2.7400000000000001E-2</v>
      </c>
    </row>
    <row r="451" spans="1:12" ht="26.4" customHeight="1">
      <c r="A451" s="207">
        <v>5</v>
      </c>
      <c r="B451" s="543"/>
      <c r="C451" s="289" t="s">
        <v>214</v>
      </c>
      <c r="D451" s="288" t="s">
        <v>1405</v>
      </c>
      <c r="E451" s="288" t="s">
        <v>919</v>
      </c>
      <c r="F451" s="224">
        <v>2444</v>
      </c>
      <c r="G451" s="235" t="s">
        <v>1528</v>
      </c>
      <c r="H451" s="262" t="s">
        <v>1138</v>
      </c>
      <c r="I451" s="208">
        <v>1</v>
      </c>
      <c r="J451" s="276">
        <v>1.1298299999999999</v>
      </c>
      <c r="K451" s="276">
        <v>1.10243</v>
      </c>
      <c r="L451" s="276">
        <v>2.7400000000000001E-2</v>
      </c>
    </row>
    <row r="452" spans="1:12" ht="26.4" customHeight="1">
      <c r="A452" s="207">
        <v>6</v>
      </c>
      <c r="B452" s="543"/>
      <c r="C452" s="289" t="s">
        <v>214</v>
      </c>
      <c r="D452" s="288" t="s">
        <v>1405</v>
      </c>
      <c r="E452" s="288" t="s">
        <v>919</v>
      </c>
      <c r="F452" s="224">
        <v>2445</v>
      </c>
      <c r="G452" s="235" t="s">
        <v>1528</v>
      </c>
      <c r="H452" s="262" t="s">
        <v>1138</v>
      </c>
      <c r="I452" s="208">
        <v>1</v>
      </c>
      <c r="J452" s="276">
        <v>1.1298299999999999</v>
      </c>
      <c r="K452" s="276">
        <v>1.10243</v>
      </c>
      <c r="L452" s="276">
        <v>2.7400000000000001E-2</v>
      </c>
    </row>
    <row r="453" spans="1:12" ht="26.4" customHeight="1">
      <c r="A453" s="207">
        <v>7</v>
      </c>
      <c r="B453" s="543"/>
      <c r="C453" s="289" t="s">
        <v>214</v>
      </c>
      <c r="D453" s="288" t="s">
        <v>1405</v>
      </c>
      <c r="E453" s="288" t="s">
        <v>919</v>
      </c>
      <c r="F453" s="224">
        <v>2446</v>
      </c>
      <c r="G453" s="235" t="s">
        <v>1528</v>
      </c>
      <c r="H453" s="262" t="s">
        <v>1138</v>
      </c>
      <c r="I453" s="208">
        <v>1</v>
      </c>
      <c r="J453" s="276">
        <v>1.1298299999999999</v>
      </c>
      <c r="K453" s="276">
        <v>1.10243</v>
      </c>
      <c r="L453" s="276">
        <v>2.7400000000000001E-2</v>
      </c>
    </row>
    <row r="454" spans="1:12" ht="26.4" customHeight="1">
      <c r="A454" s="207">
        <v>8</v>
      </c>
      <c r="B454" s="543"/>
      <c r="C454" s="289" t="s">
        <v>214</v>
      </c>
      <c r="D454" s="288" t="s">
        <v>1405</v>
      </c>
      <c r="E454" s="288" t="s">
        <v>919</v>
      </c>
      <c r="F454" s="224">
        <v>2447</v>
      </c>
      <c r="G454" s="235" t="s">
        <v>1528</v>
      </c>
      <c r="H454" s="262" t="s">
        <v>1138</v>
      </c>
      <c r="I454" s="208">
        <v>1</v>
      </c>
      <c r="J454" s="276">
        <v>1.1298299999999999</v>
      </c>
      <c r="K454" s="276">
        <v>1.10243</v>
      </c>
      <c r="L454" s="276">
        <v>2.7400000000000001E-2</v>
      </c>
    </row>
    <row r="455" spans="1:12" ht="26.4" customHeight="1">
      <c r="A455" s="207">
        <v>9</v>
      </c>
      <c r="B455" s="543"/>
      <c r="C455" s="289" t="s">
        <v>214</v>
      </c>
      <c r="D455" s="288" t="s">
        <v>1405</v>
      </c>
      <c r="E455" s="288" t="s">
        <v>919</v>
      </c>
      <c r="F455" s="224">
        <v>2448</v>
      </c>
      <c r="G455" s="235" t="s">
        <v>1528</v>
      </c>
      <c r="H455" s="262" t="s">
        <v>1138</v>
      </c>
      <c r="I455" s="208">
        <v>1</v>
      </c>
      <c r="J455" s="276">
        <v>1.1298299999999999</v>
      </c>
      <c r="K455" s="276">
        <v>1.10243</v>
      </c>
      <c r="L455" s="276">
        <v>2.7400000000000001E-2</v>
      </c>
    </row>
    <row r="456" spans="1:12" ht="26.4" customHeight="1">
      <c r="A456" s="207">
        <v>10</v>
      </c>
      <c r="B456" s="543"/>
      <c r="C456" s="289" t="s">
        <v>214</v>
      </c>
      <c r="D456" s="288" t="s">
        <v>1405</v>
      </c>
      <c r="E456" s="288" t="s">
        <v>919</v>
      </c>
      <c r="F456" s="224">
        <v>2449</v>
      </c>
      <c r="G456" s="235" t="s">
        <v>1528</v>
      </c>
      <c r="H456" s="262" t="s">
        <v>1138</v>
      </c>
      <c r="I456" s="208">
        <v>1</v>
      </c>
      <c r="J456" s="276">
        <v>1.1298299999999999</v>
      </c>
      <c r="K456" s="276">
        <v>1.10243</v>
      </c>
      <c r="L456" s="276">
        <v>2.7400000000000001E-2</v>
      </c>
    </row>
    <row r="457" spans="1:12" ht="26.4" customHeight="1">
      <c r="A457" s="207">
        <v>11</v>
      </c>
      <c r="B457" s="543"/>
      <c r="C457" s="289" t="s">
        <v>214</v>
      </c>
      <c r="D457" s="288" t="s">
        <v>1405</v>
      </c>
      <c r="E457" s="288" t="s">
        <v>919</v>
      </c>
      <c r="F457" s="224">
        <v>2450</v>
      </c>
      <c r="G457" s="235" t="s">
        <v>1528</v>
      </c>
      <c r="H457" s="262" t="s">
        <v>1138</v>
      </c>
      <c r="I457" s="208">
        <v>1</v>
      </c>
      <c r="J457" s="276">
        <v>1.1298299999999999</v>
      </c>
      <c r="K457" s="276">
        <v>1.10243</v>
      </c>
      <c r="L457" s="276">
        <v>2.7400000000000001E-2</v>
      </c>
    </row>
    <row r="458" spans="1:12" ht="26.4" customHeight="1">
      <c r="A458" s="207">
        <v>12</v>
      </c>
      <c r="B458" s="543"/>
      <c r="C458" s="289" t="s">
        <v>214</v>
      </c>
      <c r="D458" s="288" t="s">
        <v>1405</v>
      </c>
      <c r="E458" s="288" t="s">
        <v>919</v>
      </c>
      <c r="F458" s="224">
        <v>2451</v>
      </c>
      <c r="G458" s="235" t="s">
        <v>1528</v>
      </c>
      <c r="H458" s="262" t="s">
        <v>1138</v>
      </c>
      <c r="I458" s="208">
        <v>1</v>
      </c>
      <c r="J458" s="276">
        <v>1.1298299999999999</v>
      </c>
      <c r="K458" s="276">
        <v>1.10243</v>
      </c>
      <c r="L458" s="276">
        <v>2.7400000000000001E-2</v>
      </c>
    </row>
    <row r="459" spans="1:12" ht="26.4" customHeight="1">
      <c r="A459" s="207">
        <v>13</v>
      </c>
      <c r="B459" s="543"/>
      <c r="C459" s="289" t="s">
        <v>214</v>
      </c>
      <c r="D459" s="288" t="s">
        <v>1405</v>
      </c>
      <c r="E459" s="288" t="s">
        <v>919</v>
      </c>
      <c r="F459" s="224">
        <v>2452</v>
      </c>
      <c r="G459" s="235" t="s">
        <v>1528</v>
      </c>
      <c r="H459" s="262" t="s">
        <v>1138</v>
      </c>
      <c r="I459" s="208">
        <v>1</v>
      </c>
      <c r="J459" s="276">
        <v>1.1298299999999999</v>
      </c>
      <c r="K459" s="276">
        <v>1.10243</v>
      </c>
      <c r="L459" s="276">
        <v>2.7400000000000001E-2</v>
      </c>
    </row>
    <row r="460" spans="1:12" ht="26.4" customHeight="1">
      <c r="A460" s="207">
        <v>14</v>
      </c>
      <c r="B460" s="543"/>
      <c r="C460" s="289" t="s">
        <v>214</v>
      </c>
      <c r="D460" s="288" t="s">
        <v>1405</v>
      </c>
      <c r="E460" s="288" t="s">
        <v>919</v>
      </c>
      <c r="F460" s="224">
        <v>2453</v>
      </c>
      <c r="G460" s="235" t="s">
        <v>1528</v>
      </c>
      <c r="H460" s="262" t="s">
        <v>1138</v>
      </c>
      <c r="I460" s="208">
        <v>1</v>
      </c>
      <c r="J460" s="276">
        <v>1.1298299999999999</v>
      </c>
      <c r="K460" s="276">
        <v>1.10243</v>
      </c>
      <c r="L460" s="276">
        <v>2.7400000000000001E-2</v>
      </c>
    </row>
    <row r="461" spans="1:12" ht="26.4" customHeight="1">
      <c r="A461" s="207">
        <v>15</v>
      </c>
      <c r="B461" s="543"/>
      <c r="C461" s="289" t="s">
        <v>214</v>
      </c>
      <c r="D461" s="288" t="s">
        <v>1405</v>
      </c>
      <c r="E461" s="288" t="s">
        <v>919</v>
      </c>
      <c r="F461" s="224">
        <v>2454</v>
      </c>
      <c r="G461" s="235" t="s">
        <v>1528</v>
      </c>
      <c r="H461" s="262" t="s">
        <v>1138</v>
      </c>
      <c r="I461" s="208">
        <v>1</v>
      </c>
      <c r="J461" s="276">
        <v>1.1298299999999999</v>
      </c>
      <c r="K461" s="276">
        <v>1.10243</v>
      </c>
      <c r="L461" s="276">
        <v>2.7400000000000001E-2</v>
      </c>
    </row>
    <row r="462" spans="1:12" ht="26.4" customHeight="1">
      <c r="A462" s="207">
        <v>16</v>
      </c>
      <c r="B462" s="543"/>
      <c r="C462" s="289" t="s">
        <v>214</v>
      </c>
      <c r="D462" s="288" t="s">
        <v>1405</v>
      </c>
      <c r="E462" s="288" t="s">
        <v>919</v>
      </c>
      <c r="F462" s="224">
        <v>2455</v>
      </c>
      <c r="G462" s="235" t="s">
        <v>1528</v>
      </c>
      <c r="H462" s="262" t="s">
        <v>1138</v>
      </c>
      <c r="I462" s="208">
        <v>1</v>
      </c>
      <c r="J462" s="276">
        <v>1.1298299999999999</v>
      </c>
      <c r="K462" s="276">
        <v>1.10243</v>
      </c>
      <c r="L462" s="276">
        <v>2.7400000000000001E-2</v>
      </c>
    </row>
    <row r="463" spans="1:12" ht="26.4" customHeight="1">
      <c r="A463" s="207">
        <v>17</v>
      </c>
      <c r="B463" s="543"/>
      <c r="C463" s="289" t="s">
        <v>214</v>
      </c>
      <c r="D463" s="288" t="s">
        <v>1405</v>
      </c>
      <c r="E463" s="288" t="s">
        <v>919</v>
      </c>
      <c r="F463" s="224">
        <v>2456</v>
      </c>
      <c r="G463" s="235" t="s">
        <v>1528</v>
      </c>
      <c r="H463" s="262" t="s">
        <v>1138</v>
      </c>
      <c r="I463" s="208">
        <v>1</v>
      </c>
      <c r="J463" s="276">
        <v>1.1298299999999999</v>
      </c>
      <c r="K463" s="276">
        <v>1.10243</v>
      </c>
      <c r="L463" s="276">
        <v>2.7400000000000001E-2</v>
      </c>
    </row>
    <row r="464" spans="1:12" ht="26.4" customHeight="1">
      <c r="A464" s="207">
        <v>18</v>
      </c>
      <c r="B464" s="543"/>
      <c r="C464" s="289" t="s">
        <v>214</v>
      </c>
      <c r="D464" s="288" t="s">
        <v>1405</v>
      </c>
      <c r="E464" s="288" t="s">
        <v>919</v>
      </c>
      <c r="F464" s="224">
        <v>2457</v>
      </c>
      <c r="G464" s="235" t="s">
        <v>1528</v>
      </c>
      <c r="H464" s="262" t="s">
        <v>1138</v>
      </c>
      <c r="I464" s="208">
        <v>1</v>
      </c>
      <c r="J464" s="276">
        <v>1.1298299999999999</v>
      </c>
      <c r="K464" s="276">
        <v>1.10243</v>
      </c>
      <c r="L464" s="276">
        <v>2.7400000000000001E-2</v>
      </c>
    </row>
    <row r="465" spans="1:12" ht="26.4" customHeight="1">
      <c r="A465" s="207">
        <v>19</v>
      </c>
      <c r="B465" s="543"/>
      <c r="C465" s="289" t="s">
        <v>214</v>
      </c>
      <c r="D465" s="288" t="s">
        <v>1405</v>
      </c>
      <c r="E465" s="288" t="s">
        <v>919</v>
      </c>
      <c r="F465" s="224">
        <v>2458</v>
      </c>
      <c r="G465" s="235" t="s">
        <v>1528</v>
      </c>
      <c r="H465" s="262" t="s">
        <v>1138</v>
      </c>
      <c r="I465" s="208">
        <v>1</v>
      </c>
      <c r="J465" s="276">
        <v>1.1298299999999999</v>
      </c>
      <c r="K465" s="276">
        <v>1.10243</v>
      </c>
      <c r="L465" s="276">
        <v>2.7400000000000001E-2</v>
      </c>
    </row>
    <row r="466" spans="1:12" ht="26.4" customHeight="1">
      <c r="A466" s="207">
        <v>20</v>
      </c>
      <c r="B466" s="543"/>
      <c r="C466" s="289" t="s">
        <v>214</v>
      </c>
      <c r="D466" s="288" t="s">
        <v>1405</v>
      </c>
      <c r="E466" s="288" t="s">
        <v>919</v>
      </c>
      <c r="F466" s="224">
        <v>2459</v>
      </c>
      <c r="G466" s="235" t="s">
        <v>1529</v>
      </c>
      <c r="H466" s="262" t="s">
        <v>1138</v>
      </c>
      <c r="I466" s="208">
        <v>1</v>
      </c>
      <c r="J466" s="276">
        <v>1.1298299999999999</v>
      </c>
      <c r="K466" s="276">
        <v>1.10243</v>
      </c>
      <c r="L466" s="276">
        <v>2.7400000000000001E-2</v>
      </c>
    </row>
    <row r="467" spans="1:12" ht="26.4" customHeight="1">
      <c r="A467" s="207">
        <v>21</v>
      </c>
      <c r="B467" s="543"/>
      <c r="C467" s="289" t="s">
        <v>214</v>
      </c>
      <c r="D467" s="288" t="s">
        <v>1405</v>
      </c>
      <c r="E467" s="288" t="s">
        <v>919</v>
      </c>
      <c r="F467" s="224">
        <v>2460</v>
      </c>
      <c r="G467" s="235" t="s">
        <v>1530</v>
      </c>
      <c r="H467" s="262" t="s">
        <v>1138</v>
      </c>
      <c r="I467" s="208">
        <v>1</v>
      </c>
      <c r="J467" s="276">
        <v>1.1298299999999999</v>
      </c>
      <c r="K467" s="276">
        <v>1.10243</v>
      </c>
      <c r="L467" s="276">
        <v>2.7400000000000001E-2</v>
      </c>
    </row>
    <row r="468" spans="1:12" ht="26.4" customHeight="1">
      <c r="A468" s="207">
        <v>22</v>
      </c>
      <c r="B468" s="543"/>
      <c r="C468" s="289" t="s">
        <v>214</v>
      </c>
      <c r="D468" s="288" t="s">
        <v>1405</v>
      </c>
      <c r="E468" s="288" t="s">
        <v>919</v>
      </c>
      <c r="F468" s="224">
        <v>2461</v>
      </c>
      <c r="G468" s="235" t="s">
        <v>1531</v>
      </c>
      <c r="H468" s="262" t="s">
        <v>1138</v>
      </c>
      <c r="I468" s="208">
        <v>1</v>
      </c>
      <c r="J468" s="276">
        <v>1.1298299999999999</v>
      </c>
      <c r="K468" s="276">
        <v>1.10243</v>
      </c>
      <c r="L468" s="276">
        <v>2.7400000000000001E-2</v>
      </c>
    </row>
    <row r="469" spans="1:12" ht="26.4" customHeight="1">
      <c r="A469" s="207">
        <v>23</v>
      </c>
      <c r="B469" s="543"/>
      <c r="C469" s="289" t="s">
        <v>214</v>
      </c>
      <c r="D469" s="288" t="s">
        <v>1405</v>
      </c>
      <c r="E469" s="288" t="s">
        <v>919</v>
      </c>
      <c r="F469" s="224">
        <v>2462</v>
      </c>
      <c r="G469" s="235" t="s">
        <v>1532</v>
      </c>
      <c r="H469" s="262" t="s">
        <v>1138</v>
      </c>
      <c r="I469" s="208">
        <v>1</v>
      </c>
      <c r="J469" s="276">
        <v>1.1298299999999999</v>
      </c>
      <c r="K469" s="276">
        <v>1.10243</v>
      </c>
      <c r="L469" s="276">
        <v>2.7400000000000001E-2</v>
      </c>
    </row>
    <row r="470" spans="1:12" ht="26.4" customHeight="1">
      <c r="A470" s="207">
        <v>24</v>
      </c>
      <c r="B470" s="543"/>
      <c r="C470" s="289" t="s">
        <v>214</v>
      </c>
      <c r="D470" s="288" t="s">
        <v>1405</v>
      </c>
      <c r="E470" s="288" t="s">
        <v>1845</v>
      </c>
      <c r="F470" s="224">
        <v>2440</v>
      </c>
      <c r="G470" s="236" t="s">
        <v>1533</v>
      </c>
      <c r="H470" s="262" t="s">
        <v>631</v>
      </c>
      <c r="I470" s="479">
        <v>5519.7</v>
      </c>
      <c r="J470" s="276">
        <v>2937.4226100000001</v>
      </c>
      <c r="K470" s="276">
        <v>628.62914999999998</v>
      </c>
      <c r="L470" s="276">
        <v>2308.7934599999999</v>
      </c>
    </row>
    <row r="471" spans="1:12" ht="26.4" customHeight="1">
      <c r="A471" s="207">
        <v>25</v>
      </c>
      <c r="B471" s="543"/>
      <c r="C471" s="289" t="s">
        <v>214</v>
      </c>
      <c r="D471" s="288" t="s">
        <v>1405</v>
      </c>
      <c r="E471" s="288" t="s">
        <v>1845</v>
      </c>
      <c r="F471" s="224">
        <v>2500</v>
      </c>
      <c r="G471" s="236" t="s">
        <v>1139</v>
      </c>
      <c r="H471" s="262" t="s">
        <v>631</v>
      </c>
      <c r="I471" s="479">
        <v>1666</v>
      </c>
      <c r="J471" s="276">
        <v>454.42412000000002</v>
      </c>
      <c r="K471" s="276">
        <v>146.33353</v>
      </c>
      <c r="L471" s="276">
        <v>308.09059000000002</v>
      </c>
    </row>
    <row r="472" spans="1:12" ht="26.4" customHeight="1">
      <c r="A472" s="207">
        <v>26</v>
      </c>
      <c r="B472" s="543"/>
      <c r="C472" s="289" t="s">
        <v>214</v>
      </c>
      <c r="D472" s="288" t="s">
        <v>1405</v>
      </c>
      <c r="E472" s="288" t="s">
        <v>1845</v>
      </c>
      <c r="F472" s="224">
        <v>2506</v>
      </c>
      <c r="G472" s="236" t="s">
        <v>1534</v>
      </c>
      <c r="H472" s="262" t="s">
        <v>631</v>
      </c>
      <c r="I472" s="479">
        <v>49.6</v>
      </c>
      <c r="J472" s="276">
        <v>89.797330000000002</v>
      </c>
      <c r="K472" s="276">
        <v>74.6708</v>
      </c>
      <c r="L472" s="276">
        <v>15.126530000000001</v>
      </c>
    </row>
    <row r="473" spans="1:12" ht="26.4" customHeight="1">
      <c r="A473" s="207">
        <v>27</v>
      </c>
      <c r="B473" s="543"/>
      <c r="C473" s="289" t="s">
        <v>214</v>
      </c>
      <c r="D473" s="288" t="s">
        <v>1405</v>
      </c>
      <c r="E473" s="288" t="s">
        <v>1845</v>
      </c>
      <c r="F473" s="224">
        <v>2518</v>
      </c>
      <c r="G473" s="236" t="s">
        <v>1535</v>
      </c>
      <c r="H473" s="262" t="s">
        <v>631</v>
      </c>
      <c r="I473" s="479">
        <v>1289.4000000000001</v>
      </c>
      <c r="J473" s="276">
        <v>107.46684999999999</v>
      </c>
      <c r="K473" s="276">
        <v>80.232870000000005</v>
      </c>
      <c r="L473" s="276">
        <v>27.233979999999999</v>
      </c>
    </row>
    <row r="474" spans="1:12" ht="26.4" customHeight="1">
      <c r="A474" s="207">
        <v>28</v>
      </c>
      <c r="B474" s="543"/>
      <c r="C474" s="289" t="s">
        <v>214</v>
      </c>
      <c r="D474" s="288" t="s">
        <v>1405</v>
      </c>
      <c r="E474" s="288" t="s">
        <v>1846</v>
      </c>
      <c r="F474" s="224">
        <v>122</v>
      </c>
      <c r="G474" s="236" t="s">
        <v>1536</v>
      </c>
      <c r="H474" s="262" t="s">
        <v>631</v>
      </c>
      <c r="I474" s="479">
        <v>901.1</v>
      </c>
      <c r="J474" s="276">
        <v>41.901000000000003</v>
      </c>
      <c r="K474" s="276">
        <v>16.131499999999999</v>
      </c>
      <c r="L474" s="276">
        <v>25.769500000000001</v>
      </c>
    </row>
    <row r="475" spans="1:12" ht="26.4" customHeight="1">
      <c r="A475" s="207">
        <v>29</v>
      </c>
      <c r="B475" s="543"/>
      <c r="C475" s="289" t="s">
        <v>214</v>
      </c>
      <c r="D475" s="288" t="s">
        <v>1405</v>
      </c>
      <c r="E475" s="288" t="s">
        <v>1845</v>
      </c>
      <c r="F475" s="224">
        <v>3720</v>
      </c>
      <c r="G475" s="236" t="s">
        <v>1537</v>
      </c>
      <c r="H475" s="262" t="s">
        <v>631</v>
      </c>
      <c r="I475" s="479">
        <v>275</v>
      </c>
      <c r="J475" s="276">
        <v>8.3190000000000008</v>
      </c>
      <c r="K475" s="276">
        <v>5.7004799999999998</v>
      </c>
      <c r="L475" s="276">
        <v>2.6185200000000002</v>
      </c>
    </row>
    <row r="476" spans="1:12" ht="26.4" customHeight="1">
      <c r="A476" s="207">
        <v>30</v>
      </c>
      <c r="B476" s="543"/>
      <c r="C476" s="289" t="s">
        <v>214</v>
      </c>
      <c r="D476" s="288" t="s">
        <v>1405</v>
      </c>
      <c r="E476" s="288" t="s">
        <v>1845</v>
      </c>
      <c r="F476" s="288">
        <v>3996</v>
      </c>
      <c r="G476" s="236" t="s">
        <v>1538</v>
      </c>
      <c r="H476" s="262" t="s">
        <v>631</v>
      </c>
      <c r="I476" s="479">
        <v>139.80000000000001</v>
      </c>
      <c r="J476" s="276">
        <v>42.944830000000003</v>
      </c>
      <c r="K476" s="276">
        <v>40.125300000000003</v>
      </c>
      <c r="L476" s="276">
        <v>2.8195299999999999</v>
      </c>
    </row>
    <row r="477" spans="1:12" ht="26.4" customHeight="1">
      <c r="A477" s="207">
        <v>31</v>
      </c>
      <c r="B477" s="543"/>
      <c r="C477" s="289" t="s">
        <v>214</v>
      </c>
      <c r="D477" s="288" t="s">
        <v>1405</v>
      </c>
      <c r="E477" s="288" t="s">
        <v>918</v>
      </c>
      <c r="F477" s="288">
        <v>2000</v>
      </c>
      <c r="G477" s="260">
        <v>1970</v>
      </c>
      <c r="H477" s="262" t="s">
        <v>1149</v>
      </c>
      <c r="I477" s="208">
        <v>717</v>
      </c>
      <c r="J477" s="276">
        <v>669.04709000000003</v>
      </c>
      <c r="K477" s="274">
        <v>437.37203</v>
      </c>
      <c r="L477" s="276">
        <v>231.67504</v>
      </c>
    </row>
    <row r="478" spans="1:12" ht="26.4" customHeight="1">
      <c r="A478" s="207">
        <v>32</v>
      </c>
      <c r="B478" s="543"/>
      <c r="C478" s="289" t="s">
        <v>214</v>
      </c>
      <c r="D478" s="288" t="s">
        <v>1405</v>
      </c>
      <c r="E478" s="288" t="s">
        <v>915</v>
      </c>
      <c r="F478" s="288">
        <v>2027</v>
      </c>
      <c r="G478" s="236" t="s">
        <v>1539</v>
      </c>
      <c r="H478" s="262" t="s">
        <v>1138</v>
      </c>
      <c r="I478" s="208">
        <v>1</v>
      </c>
      <c r="J478" s="276">
        <v>0.92579999999999996</v>
      </c>
      <c r="K478" s="276">
        <v>0.92579999999999996</v>
      </c>
      <c r="L478" s="276">
        <v>0</v>
      </c>
    </row>
    <row r="479" spans="1:12" ht="26.4" customHeight="1">
      <c r="A479" s="207">
        <v>33</v>
      </c>
      <c r="B479" s="543"/>
      <c r="C479" s="289" t="s">
        <v>214</v>
      </c>
      <c r="D479" s="288" t="s">
        <v>1405</v>
      </c>
      <c r="E479" s="288" t="s">
        <v>915</v>
      </c>
      <c r="F479" s="288">
        <v>2028</v>
      </c>
      <c r="G479" s="236" t="s">
        <v>1539</v>
      </c>
      <c r="H479" s="262" t="s">
        <v>1138</v>
      </c>
      <c r="I479" s="208">
        <v>1</v>
      </c>
      <c r="J479" s="276">
        <v>0.92579999999999996</v>
      </c>
      <c r="K479" s="276">
        <v>0.92579999999999996</v>
      </c>
      <c r="L479" s="276">
        <v>0</v>
      </c>
    </row>
    <row r="480" spans="1:12" ht="26.4" customHeight="1">
      <c r="A480" s="207">
        <v>34</v>
      </c>
      <c r="B480" s="543"/>
      <c r="C480" s="289" t="s">
        <v>214</v>
      </c>
      <c r="D480" s="288" t="s">
        <v>1405</v>
      </c>
      <c r="E480" s="288" t="s">
        <v>915</v>
      </c>
      <c r="F480" s="288">
        <v>2029</v>
      </c>
      <c r="G480" s="236" t="s">
        <v>1539</v>
      </c>
      <c r="H480" s="262" t="s">
        <v>1138</v>
      </c>
      <c r="I480" s="208">
        <v>1</v>
      </c>
      <c r="J480" s="276">
        <v>0.92579999999999996</v>
      </c>
      <c r="K480" s="276">
        <v>0.92579999999999996</v>
      </c>
      <c r="L480" s="276">
        <v>0</v>
      </c>
    </row>
    <row r="481" spans="1:12" ht="26.4" customHeight="1">
      <c r="A481" s="207">
        <v>35</v>
      </c>
      <c r="B481" s="543"/>
      <c r="C481" s="289" t="s">
        <v>214</v>
      </c>
      <c r="D481" s="288" t="s">
        <v>1405</v>
      </c>
      <c r="E481" s="288" t="s">
        <v>915</v>
      </c>
      <c r="F481" s="288">
        <v>2030</v>
      </c>
      <c r="G481" s="236" t="s">
        <v>1539</v>
      </c>
      <c r="H481" s="262" t="s">
        <v>1138</v>
      </c>
      <c r="I481" s="208">
        <v>1</v>
      </c>
      <c r="J481" s="276">
        <v>0.92579999999999996</v>
      </c>
      <c r="K481" s="276">
        <v>0.92579999999999996</v>
      </c>
      <c r="L481" s="276">
        <v>0</v>
      </c>
    </row>
    <row r="482" spans="1:12" ht="26.4" customHeight="1">
      <c r="A482" s="207">
        <v>36</v>
      </c>
      <c r="B482" s="543"/>
      <c r="C482" s="289" t="s">
        <v>214</v>
      </c>
      <c r="D482" s="288" t="s">
        <v>1405</v>
      </c>
      <c r="E482" s="288" t="s">
        <v>915</v>
      </c>
      <c r="F482" s="288">
        <v>2031</v>
      </c>
      <c r="G482" s="236" t="s">
        <v>1539</v>
      </c>
      <c r="H482" s="262" t="s">
        <v>1138</v>
      </c>
      <c r="I482" s="208">
        <v>1</v>
      </c>
      <c r="J482" s="276">
        <v>0.92579999999999996</v>
      </c>
      <c r="K482" s="276">
        <v>0.92579999999999996</v>
      </c>
      <c r="L482" s="276">
        <v>0</v>
      </c>
    </row>
    <row r="483" spans="1:12" ht="26.4" customHeight="1">
      <c r="A483" s="207">
        <v>37</v>
      </c>
      <c r="B483" s="543"/>
      <c r="C483" s="289" t="s">
        <v>214</v>
      </c>
      <c r="D483" s="288" t="s">
        <v>1405</v>
      </c>
      <c r="E483" s="288" t="s">
        <v>915</v>
      </c>
      <c r="F483" s="288">
        <v>2032</v>
      </c>
      <c r="G483" s="236" t="s">
        <v>1539</v>
      </c>
      <c r="H483" s="262" t="s">
        <v>1138</v>
      </c>
      <c r="I483" s="208">
        <v>1</v>
      </c>
      <c r="J483" s="276">
        <v>0.92579999999999996</v>
      </c>
      <c r="K483" s="276">
        <v>0.92579999999999996</v>
      </c>
      <c r="L483" s="276">
        <v>0</v>
      </c>
    </row>
    <row r="484" spans="1:12" ht="26.4" customHeight="1">
      <c r="A484" s="207">
        <v>38</v>
      </c>
      <c r="B484" s="543"/>
      <c r="C484" s="289" t="s">
        <v>214</v>
      </c>
      <c r="D484" s="288" t="s">
        <v>1405</v>
      </c>
      <c r="E484" s="288" t="s">
        <v>915</v>
      </c>
      <c r="F484" s="288">
        <v>2033</v>
      </c>
      <c r="G484" s="236" t="s">
        <v>1539</v>
      </c>
      <c r="H484" s="262" t="s">
        <v>1138</v>
      </c>
      <c r="I484" s="208">
        <v>1</v>
      </c>
      <c r="J484" s="276">
        <v>0.92579999999999996</v>
      </c>
      <c r="K484" s="276">
        <v>0.92579999999999996</v>
      </c>
      <c r="L484" s="276">
        <v>0</v>
      </c>
    </row>
    <row r="485" spans="1:12" ht="26.4" customHeight="1">
      <c r="A485" s="207">
        <v>39</v>
      </c>
      <c r="B485" s="543"/>
      <c r="C485" s="289" t="s">
        <v>214</v>
      </c>
      <c r="D485" s="288" t="s">
        <v>1405</v>
      </c>
      <c r="E485" s="288" t="s">
        <v>915</v>
      </c>
      <c r="F485" s="288">
        <v>2034</v>
      </c>
      <c r="G485" s="236" t="s">
        <v>1539</v>
      </c>
      <c r="H485" s="262" t="s">
        <v>1138</v>
      </c>
      <c r="I485" s="208">
        <v>1</v>
      </c>
      <c r="J485" s="276">
        <v>0.92579999999999996</v>
      </c>
      <c r="K485" s="276">
        <v>0.92579999999999996</v>
      </c>
      <c r="L485" s="276">
        <v>0</v>
      </c>
    </row>
    <row r="486" spans="1:12" ht="26.4" customHeight="1">
      <c r="A486" s="207">
        <v>40</v>
      </c>
      <c r="B486" s="543"/>
      <c r="C486" s="289" t="s">
        <v>214</v>
      </c>
      <c r="D486" s="288" t="s">
        <v>1405</v>
      </c>
      <c r="E486" s="288" t="s">
        <v>915</v>
      </c>
      <c r="F486" s="288">
        <v>2035</v>
      </c>
      <c r="G486" s="236" t="s">
        <v>1539</v>
      </c>
      <c r="H486" s="262" t="s">
        <v>1138</v>
      </c>
      <c r="I486" s="208">
        <v>1</v>
      </c>
      <c r="J486" s="276">
        <v>0.92579999999999996</v>
      </c>
      <c r="K486" s="276">
        <v>0.92579999999999996</v>
      </c>
      <c r="L486" s="276">
        <v>0</v>
      </c>
    </row>
    <row r="487" spans="1:12" ht="26.4" customHeight="1">
      <c r="A487" s="207">
        <v>41</v>
      </c>
      <c r="B487" s="543"/>
      <c r="C487" s="289" t="s">
        <v>214</v>
      </c>
      <c r="D487" s="288" t="s">
        <v>1405</v>
      </c>
      <c r="E487" s="288" t="s">
        <v>915</v>
      </c>
      <c r="F487" s="288">
        <v>2036</v>
      </c>
      <c r="G487" s="236" t="s">
        <v>1539</v>
      </c>
      <c r="H487" s="262" t="s">
        <v>1138</v>
      </c>
      <c r="I487" s="208">
        <v>1</v>
      </c>
      <c r="J487" s="276">
        <v>0.92579999999999996</v>
      </c>
      <c r="K487" s="276">
        <v>0.92579999999999996</v>
      </c>
      <c r="L487" s="276">
        <v>0</v>
      </c>
    </row>
    <row r="488" spans="1:12" ht="26.4" customHeight="1">
      <c r="A488" s="207">
        <v>42</v>
      </c>
      <c r="B488" s="543"/>
      <c r="C488" s="289" t="s">
        <v>214</v>
      </c>
      <c r="D488" s="288" t="s">
        <v>1405</v>
      </c>
      <c r="E488" s="288" t="s">
        <v>915</v>
      </c>
      <c r="F488" s="288">
        <v>2037</v>
      </c>
      <c r="G488" s="236" t="s">
        <v>1539</v>
      </c>
      <c r="H488" s="262" t="s">
        <v>1138</v>
      </c>
      <c r="I488" s="208">
        <v>1</v>
      </c>
      <c r="J488" s="276">
        <v>0.92579999999999996</v>
      </c>
      <c r="K488" s="276">
        <v>0.92579999999999996</v>
      </c>
      <c r="L488" s="276">
        <v>0</v>
      </c>
    </row>
    <row r="489" spans="1:12" ht="26.4" customHeight="1">
      <c r="A489" s="207">
        <v>43</v>
      </c>
      <c r="B489" s="543"/>
      <c r="C489" s="289" t="s">
        <v>214</v>
      </c>
      <c r="D489" s="288" t="s">
        <v>1405</v>
      </c>
      <c r="E489" s="288" t="s">
        <v>915</v>
      </c>
      <c r="F489" s="288">
        <v>2038</v>
      </c>
      <c r="G489" s="236" t="s">
        <v>1539</v>
      </c>
      <c r="H489" s="262" t="s">
        <v>1138</v>
      </c>
      <c r="I489" s="208">
        <v>1</v>
      </c>
      <c r="J489" s="276">
        <v>0.92579999999999996</v>
      </c>
      <c r="K489" s="276">
        <v>0.92579999999999996</v>
      </c>
      <c r="L489" s="276">
        <v>0</v>
      </c>
    </row>
    <row r="490" spans="1:12" ht="26.4" customHeight="1">
      <c r="A490" s="207">
        <v>44</v>
      </c>
      <c r="B490" s="543"/>
      <c r="C490" s="289" t="s">
        <v>214</v>
      </c>
      <c r="D490" s="288" t="s">
        <v>1405</v>
      </c>
      <c r="E490" s="288" t="s">
        <v>915</v>
      </c>
      <c r="F490" s="288">
        <v>2039</v>
      </c>
      <c r="G490" s="236" t="s">
        <v>1539</v>
      </c>
      <c r="H490" s="262" t="s">
        <v>1138</v>
      </c>
      <c r="I490" s="208">
        <v>1</v>
      </c>
      <c r="J490" s="276">
        <v>0.92579999999999996</v>
      </c>
      <c r="K490" s="276">
        <v>0.92579999999999996</v>
      </c>
      <c r="L490" s="276">
        <v>0</v>
      </c>
    </row>
    <row r="491" spans="1:12" ht="26.4" customHeight="1">
      <c r="A491" s="207">
        <v>45</v>
      </c>
      <c r="B491" s="543"/>
      <c r="C491" s="289" t="s">
        <v>214</v>
      </c>
      <c r="D491" s="288" t="s">
        <v>1405</v>
      </c>
      <c r="E491" s="288" t="s">
        <v>915</v>
      </c>
      <c r="F491" s="288">
        <v>2040</v>
      </c>
      <c r="G491" s="236" t="s">
        <v>1539</v>
      </c>
      <c r="H491" s="262" t="s">
        <v>1138</v>
      </c>
      <c r="I491" s="208">
        <v>1</v>
      </c>
      <c r="J491" s="276">
        <v>0.92579999999999996</v>
      </c>
      <c r="K491" s="276">
        <v>0.92579999999999996</v>
      </c>
      <c r="L491" s="276">
        <v>0</v>
      </c>
    </row>
    <row r="492" spans="1:12" ht="26.4" customHeight="1">
      <c r="A492" s="207">
        <v>46</v>
      </c>
      <c r="B492" s="543"/>
      <c r="C492" s="289" t="s">
        <v>214</v>
      </c>
      <c r="D492" s="288" t="s">
        <v>1405</v>
      </c>
      <c r="E492" s="288" t="s">
        <v>915</v>
      </c>
      <c r="F492" s="288">
        <v>2041</v>
      </c>
      <c r="G492" s="236" t="s">
        <v>1539</v>
      </c>
      <c r="H492" s="262" t="s">
        <v>1138</v>
      </c>
      <c r="I492" s="208">
        <v>1</v>
      </c>
      <c r="J492" s="276">
        <v>0.92579999999999996</v>
      </c>
      <c r="K492" s="276">
        <v>0.92579999999999996</v>
      </c>
      <c r="L492" s="276">
        <v>0</v>
      </c>
    </row>
    <row r="493" spans="1:12" ht="26.4" customHeight="1">
      <c r="A493" s="207">
        <v>47</v>
      </c>
      <c r="B493" s="543"/>
      <c r="C493" s="289" t="s">
        <v>214</v>
      </c>
      <c r="D493" s="288" t="s">
        <v>1405</v>
      </c>
      <c r="E493" s="288" t="s">
        <v>915</v>
      </c>
      <c r="F493" s="288">
        <v>2042</v>
      </c>
      <c r="G493" s="236" t="s">
        <v>1539</v>
      </c>
      <c r="H493" s="262" t="s">
        <v>1138</v>
      </c>
      <c r="I493" s="208">
        <v>1</v>
      </c>
      <c r="J493" s="276">
        <v>0.92579999999999996</v>
      </c>
      <c r="K493" s="276">
        <v>0.92579999999999996</v>
      </c>
      <c r="L493" s="276">
        <v>0</v>
      </c>
    </row>
    <row r="494" spans="1:12" ht="26.4" customHeight="1">
      <c r="A494" s="207">
        <v>48</v>
      </c>
      <c r="B494" s="543"/>
      <c r="C494" s="289" t="s">
        <v>214</v>
      </c>
      <c r="D494" s="288" t="s">
        <v>1405</v>
      </c>
      <c r="E494" s="288" t="s">
        <v>915</v>
      </c>
      <c r="F494" s="288">
        <v>2043</v>
      </c>
      <c r="G494" s="236" t="s">
        <v>1539</v>
      </c>
      <c r="H494" s="262" t="s">
        <v>1138</v>
      </c>
      <c r="I494" s="208">
        <v>1</v>
      </c>
      <c r="J494" s="276">
        <v>0.92579999999999996</v>
      </c>
      <c r="K494" s="276">
        <v>0.92579999999999996</v>
      </c>
      <c r="L494" s="276">
        <v>0</v>
      </c>
    </row>
    <row r="495" spans="1:12" ht="26.4" customHeight="1">
      <c r="A495" s="207">
        <v>49</v>
      </c>
      <c r="B495" s="543"/>
      <c r="C495" s="289" t="s">
        <v>214</v>
      </c>
      <c r="D495" s="288" t="s">
        <v>1405</v>
      </c>
      <c r="E495" s="288" t="s">
        <v>915</v>
      </c>
      <c r="F495" s="288">
        <v>2044</v>
      </c>
      <c r="G495" s="236" t="s">
        <v>1539</v>
      </c>
      <c r="H495" s="262" t="s">
        <v>1138</v>
      </c>
      <c r="I495" s="208">
        <v>1</v>
      </c>
      <c r="J495" s="276">
        <v>0.92579999999999996</v>
      </c>
      <c r="K495" s="276">
        <v>0.92579999999999996</v>
      </c>
      <c r="L495" s="276">
        <v>0</v>
      </c>
    </row>
    <row r="496" spans="1:12" ht="26.4" customHeight="1">
      <c r="A496" s="207">
        <v>50</v>
      </c>
      <c r="B496" s="543"/>
      <c r="C496" s="289" t="s">
        <v>214</v>
      </c>
      <c r="D496" s="288" t="s">
        <v>1405</v>
      </c>
      <c r="E496" s="288" t="s">
        <v>915</v>
      </c>
      <c r="F496" s="288">
        <v>2045</v>
      </c>
      <c r="G496" s="236" t="s">
        <v>1539</v>
      </c>
      <c r="H496" s="262" t="s">
        <v>1138</v>
      </c>
      <c r="I496" s="208">
        <v>1</v>
      </c>
      <c r="J496" s="276">
        <v>0.92579999999999996</v>
      </c>
      <c r="K496" s="276">
        <v>0.92579999999999996</v>
      </c>
      <c r="L496" s="276">
        <v>0</v>
      </c>
    </row>
    <row r="497" spans="1:12" ht="26.4" customHeight="1">
      <c r="A497" s="207">
        <v>51</v>
      </c>
      <c r="B497" s="543"/>
      <c r="C497" s="289" t="s">
        <v>214</v>
      </c>
      <c r="D497" s="288" t="s">
        <v>1405</v>
      </c>
      <c r="E497" s="288" t="s">
        <v>915</v>
      </c>
      <c r="F497" s="288">
        <v>2046</v>
      </c>
      <c r="G497" s="236" t="s">
        <v>1539</v>
      </c>
      <c r="H497" s="262" t="s">
        <v>1138</v>
      </c>
      <c r="I497" s="208">
        <v>1</v>
      </c>
      <c r="J497" s="276">
        <v>0.92579999999999996</v>
      </c>
      <c r="K497" s="276">
        <v>0.92579999999999996</v>
      </c>
      <c r="L497" s="276">
        <v>0</v>
      </c>
    </row>
    <row r="498" spans="1:12" ht="26.4" customHeight="1">
      <c r="A498" s="207">
        <v>52</v>
      </c>
      <c r="B498" s="543"/>
      <c r="C498" s="289" t="s">
        <v>214</v>
      </c>
      <c r="D498" s="288" t="s">
        <v>1405</v>
      </c>
      <c r="E498" s="288" t="s">
        <v>915</v>
      </c>
      <c r="F498" s="288">
        <v>2047</v>
      </c>
      <c r="G498" s="236" t="s">
        <v>1539</v>
      </c>
      <c r="H498" s="262" t="s">
        <v>1138</v>
      </c>
      <c r="I498" s="208">
        <v>1</v>
      </c>
      <c r="J498" s="276">
        <v>0.92579999999999996</v>
      </c>
      <c r="K498" s="276">
        <v>0.92579999999999996</v>
      </c>
      <c r="L498" s="276">
        <v>0</v>
      </c>
    </row>
    <row r="499" spans="1:12" ht="26.4" customHeight="1">
      <c r="A499" s="207">
        <v>53</v>
      </c>
      <c r="B499" s="543"/>
      <c r="C499" s="289" t="s">
        <v>214</v>
      </c>
      <c r="D499" s="288" t="s">
        <v>1405</v>
      </c>
      <c r="E499" s="288" t="s">
        <v>915</v>
      </c>
      <c r="F499" s="288">
        <v>2048</v>
      </c>
      <c r="G499" s="236" t="s">
        <v>1539</v>
      </c>
      <c r="H499" s="262" t="s">
        <v>1138</v>
      </c>
      <c r="I499" s="208">
        <v>1</v>
      </c>
      <c r="J499" s="276">
        <v>0.92579999999999996</v>
      </c>
      <c r="K499" s="276">
        <v>0.92579999999999996</v>
      </c>
      <c r="L499" s="276">
        <v>0</v>
      </c>
    </row>
    <row r="500" spans="1:12" ht="26.4" customHeight="1">
      <c r="A500" s="207">
        <v>54</v>
      </c>
      <c r="B500" s="543"/>
      <c r="C500" s="289" t="s">
        <v>214</v>
      </c>
      <c r="D500" s="288" t="s">
        <v>1405</v>
      </c>
      <c r="E500" s="288" t="s">
        <v>915</v>
      </c>
      <c r="F500" s="288">
        <v>2049</v>
      </c>
      <c r="G500" s="236" t="s">
        <v>1539</v>
      </c>
      <c r="H500" s="262" t="s">
        <v>1138</v>
      </c>
      <c r="I500" s="208">
        <v>1</v>
      </c>
      <c r="J500" s="276">
        <v>0.92579999999999996</v>
      </c>
      <c r="K500" s="276">
        <v>0.92579999999999996</v>
      </c>
      <c r="L500" s="276">
        <v>0</v>
      </c>
    </row>
    <row r="501" spans="1:12" ht="26.4" customHeight="1">
      <c r="A501" s="207">
        <v>55</v>
      </c>
      <c r="B501" s="543"/>
      <c r="C501" s="289" t="s">
        <v>214</v>
      </c>
      <c r="D501" s="288" t="s">
        <v>1405</v>
      </c>
      <c r="E501" s="288" t="s">
        <v>915</v>
      </c>
      <c r="F501" s="288">
        <v>2050</v>
      </c>
      <c r="G501" s="236" t="s">
        <v>1539</v>
      </c>
      <c r="H501" s="262" t="s">
        <v>1138</v>
      </c>
      <c r="I501" s="208">
        <v>1</v>
      </c>
      <c r="J501" s="276">
        <v>0.92579999999999996</v>
      </c>
      <c r="K501" s="276">
        <v>0.92579999999999996</v>
      </c>
      <c r="L501" s="276">
        <v>0</v>
      </c>
    </row>
    <row r="502" spans="1:12" ht="26.4" customHeight="1">
      <c r="A502" s="207">
        <v>56</v>
      </c>
      <c r="B502" s="543"/>
      <c r="C502" s="289" t="s">
        <v>214</v>
      </c>
      <c r="D502" s="288" t="s">
        <v>1405</v>
      </c>
      <c r="E502" s="288" t="s">
        <v>915</v>
      </c>
      <c r="F502" s="288">
        <v>2051</v>
      </c>
      <c r="G502" s="236" t="s">
        <v>1539</v>
      </c>
      <c r="H502" s="262" t="s">
        <v>1138</v>
      </c>
      <c r="I502" s="208">
        <v>1</v>
      </c>
      <c r="J502" s="276">
        <v>0.92579999999999996</v>
      </c>
      <c r="K502" s="276">
        <v>0.92579999999999996</v>
      </c>
      <c r="L502" s="276">
        <v>0</v>
      </c>
    </row>
    <row r="503" spans="1:12" ht="26.4" customHeight="1">
      <c r="A503" s="207">
        <v>57</v>
      </c>
      <c r="B503" s="543"/>
      <c r="C503" s="289" t="s">
        <v>214</v>
      </c>
      <c r="D503" s="288" t="s">
        <v>1405</v>
      </c>
      <c r="E503" s="288" t="s">
        <v>915</v>
      </c>
      <c r="F503" s="288">
        <v>2052</v>
      </c>
      <c r="G503" s="236" t="s">
        <v>1539</v>
      </c>
      <c r="H503" s="262" t="s">
        <v>1138</v>
      </c>
      <c r="I503" s="208">
        <v>1</v>
      </c>
      <c r="J503" s="276">
        <v>0.92579999999999996</v>
      </c>
      <c r="K503" s="276">
        <v>0.92579999999999996</v>
      </c>
      <c r="L503" s="276">
        <v>0</v>
      </c>
    </row>
    <row r="504" spans="1:12" ht="26.4" customHeight="1">
      <c r="A504" s="207">
        <v>58</v>
      </c>
      <c r="B504" s="543"/>
      <c r="C504" s="289" t="s">
        <v>214</v>
      </c>
      <c r="D504" s="288" t="s">
        <v>1405</v>
      </c>
      <c r="E504" s="288" t="s">
        <v>915</v>
      </c>
      <c r="F504" s="288">
        <v>2053</v>
      </c>
      <c r="G504" s="236" t="s">
        <v>1539</v>
      </c>
      <c r="H504" s="262" t="s">
        <v>1138</v>
      </c>
      <c r="I504" s="208">
        <v>1</v>
      </c>
      <c r="J504" s="276">
        <v>0.92579999999999996</v>
      </c>
      <c r="K504" s="276">
        <v>0.92579999999999996</v>
      </c>
      <c r="L504" s="276">
        <v>0</v>
      </c>
    </row>
    <row r="505" spans="1:12" ht="26.4" customHeight="1">
      <c r="A505" s="207">
        <v>59</v>
      </c>
      <c r="B505" s="543"/>
      <c r="C505" s="289" t="s">
        <v>214</v>
      </c>
      <c r="D505" s="288" t="s">
        <v>1405</v>
      </c>
      <c r="E505" s="288" t="s">
        <v>915</v>
      </c>
      <c r="F505" s="288">
        <v>2054</v>
      </c>
      <c r="G505" s="236" t="s">
        <v>1539</v>
      </c>
      <c r="H505" s="262" t="s">
        <v>1138</v>
      </c>
      <c r="I505" s="208">
        <v>1</v>
      </c>
      <c r="J505" s="276">
        <v>0.92579999999999996</v>
      </c>
      <c r="K505" s="276">
        <v>0.92579999999999996</v>
      </c>
      <c r="L505" s="276">
        <v>0</v>
      </c>
    </row>
    <row r="506" spans="1:12" ht="26.4" customHeight="1">
      <c r="A506" s="207">
        <v>60</v>
      </c>
      <c r="B506" s="543"/>
      <c r="C506" s="289" t="s">
        <v>214</v>
      </c>
      <c r="D506" s="288" t="s">
        <v>1405</v>
      </c>
      <c r="E506" s="288" t="s">
        <v>915</v>
      </c>
      <c r="F506" s="288">
        <v>2055</v>
      </c>
      <c r="G506" s="236" t="s">
        <v>1539</v>
      </c>
      <c r="H506" s="262" t="s">
        <v>1138</v>
      </c>
      <c r="I506" s="208">
        <v>1</v>
      </c>
      <c r="J506" s="276">
        <v>0.92579999999999996</v>
      </c>
      <c r="K506" s="276">
        <v>0.92579999999999996</v>
      </c>
      <c r="L506" s="276">
        <v>0</v>
      </c>
    </row>
    <row r="507" spans="1:12" ht="26.4" customHeight="1">
      <c r="A507" s="207">
        <v>61</v>
      </c>
      <c r="B507" s="543"/>
      <c r="C507" s="289" t="s">
        <v>214</v>
      </c>
      <c r="D507" s="288" t="s">
        <v>1405</v>
      </c>
      <c r="E507" s="288" t="s">
        <v>915</v>
      </c>
      <c r="F507" s="288">
        <v>2056</v>
      </c>
      <c r="G507" s="236" t="s">
        <v>1539</v>
      </c>
      <c r="H507" s="262" t="s">
        <v>1138</v>
      </c>
      <c r="I507" s="208">
        <v>1</v>
      </c>
      <c r="J507" s="276">
        <v>0.92579999999999996</v>
      </c>
      <c r="K507" s="276">
        <v>0.92579999999999996</v>
      </c>
      <c r="L507" s="276">
        <v>0</v>
      </c>
    </row>
    <row r="508" spans="1:12" ht="26.4" customHeight="1">
      <c r="A508" s="207">
        <v>62</v>
      </c>
      <c r="B508" s="543"/>
      <c r="C508" s="289" t="s">
        <v>214</v>
      </c>
      <c r="D508" s="288" t="s">
        <v>1405</v>
      </c>
      <c r="E508" s="288" t="s">
        <v>915</v>
      </c>
      <c r="F508" s="288">
        <v>2057</v>
      </c>
      <c r="G508" s="236" t="s">
        <v>1539</v>
      </c>
      <c r="H508" s="262" t="s">
        <v>1138</v>
      </c>
      <c r="I508" s="208">
        <v>1</v>
      </c>
      <c r="J508" s="276">
        <v>0.92579999999999996</v>
      </c>
      <c r="K508" s="276">
        <v>0.92579999999999996</v>
      </c>
      <c r="L508" s="276">
        <v>0</v>
      </c>
    </row>
    <row r="509" spans="1:12" ht="26.4" customHeight="1">
      <c r="A509" s="207">
        <v>63</v>
      </c>
      <c r="B509" s="543"/>
      <c r="C509" s="289" t="s">
        <v>214</v>
      </c>
      <c r="D509" s="288" t="s">
        <v>1405</v>
      </c>
      <c r="E509" s="288" t="s">
        <v>915</v>
      </c>
      <c r="F509" s="288">
        <v>2058</v>
      </c>
      <c r="G509" s="236" t="s">
        <v>1539</v>
      </c>
      <c r="H509" s="262" t="s">
        <v>1138</v>
      </c>
      <c r="I509" s="208">
        <v>1</v>
      </c>
      <c r="J509" s="276">
        <v>0.92579999999999996</v>
      </c>
      <c r="K509" s="276">
        <v>0.92579999999999996</v>
      </c>
      <c r="L509" s="276">
        <v>0</v>
      </c>
    </row>
    <row r="510" spans="1:12" ht="26.4" customHeight="1">
      <c r="A510" s="207">
        <v>64</v>
      </c>
      <c r="B510" s="543"/>
      <c r="C510" s="289" t="s">
        <v>214</v>
      </c>
      <c r="D510" s="288" t="s">
        <v>1405</v>
      </c>
      <c r="E510" s="288" t="s">
        <v>915</v>
      </c>
      <c r="F510" s="288">
        <v>2059</v>
      </c>
      <c r="G510" s="236" t="s">
        <v>1539</v>
      </c>
      <c r="H510" s="262" t="s">
        <v>1138</v>
      </c>
      <c r="I510" s="208">
        <v>1</v>
      </c>
      <c r="J510" s="276">
        <v>0.92579999999999996</v>
      </c>
      <c r="K510" s="276">
        <v>0.92579999999999996</v>
      </c>
      <c r="L510" s="276">
        <v>0</v>
      </c>
    </row>
    <row r="511" spans="1:12" ht="26.4" customHeight="1">
      <c r="A511" s="207">
        <v>65</v>
      </c>
      <c r="B511" s="543"/>
      <c r="C511" s="289" t="s">
        <v>214</v>
      </c>
      <c r="D511" s="288" t="s">
        <v>1405</v>
      </c>
      <c r="E511" s="288" t="s">
        <v>915</v>
      </c>
      <c r="F511" s="288">
        <v>2060</v>
      </c>
      <c r="G511" s="236" t="s">
        <v>1539</v>
      </c>
      <c r="H511" s="262" t="s">
        <v>1138</v>
      </c>
      <c r="I511" s="208">
        <v>1</v>
      </c>
      <c r="J511" s="276">
        <v>0.92579999999999996</v>
      </c>
      <c r="K511" s="276">
        <v>0.92579999999999996</v>
      </c>
      <c r="L511" s="276">
        <v>0</v>
      </c>
    </row>
    <row r="512" spans="1:12" ht="26.4" customHeight="1">
      <c r="A512" s="207">
        <v>66</v>
      </c>
      <c r="B512" s="543"/>
      <c r="C512" s="289" t="s">
        <v>214</v>
      </c>
      <c r="D512" s="289" t="s">
        <v>2084</v>
      </c>
      <c r="E512" s="288" t="s">
        <v>1848</v>
      </c>
      <c r="F512" s="288">
        <v>1036</v>
      </c>
      <c r="G512" s="260">
        <v>1962</v>
      </c>
      <c r="H512" s="262" t="s">
        <v>1149</v>
      </c>
      <c r="I512" s="208">
        <v>239.6</v>
      </c>
      <c r="J512" s="276">
        <v>427.03588999999999</v>
      </c>
      <c r="K512" s="274">
        <v>79.975719999999995</v>
      </c>
      <c r="L512" s="276">
        <v>347.06017000000003</v>
      </c>
    </row>
    <row r="513" spans="1:12" ht="26.4" customHeight="1">
      <c r="A513" s="207">
        <v>67</v>
      </c>
      <c r="B513" s="543"/>
      <c r="C513" s="289" t="s">
        <v>214</v>
      </c>
      <c r="D513" s="289" t="s">
        <v>2084</v>
      </c>
      <c r="E513" s="288" t="s">
        <v>1847</v>
      </c>
      <c r="F513" s="288">
        <v>5049</v>
      </c>
      <c r="G513" s="260">
        <v>2001</v>
      </c>
      <c r="H513" s="262" t="s">
        <v>1149</v>
      </c>
      <c r="I513" s="208">
        <v>16.399999999999999</v>
      </c>
      <c r="J513" s="276">
        <v>1.827</v>
      </c>
      <c r="K513" s="274">
        <v>1.4594499999999999</v>
      </c>
      <c r="L513" s="276">
        <v>0.36754999999999999</v>
      </c>
    </row>
    <row r="514" spans="1:12" ht="26.4" customHeight="1">
      <c r="A514" s="207">
        <v>68</v>
      </c>
      <c r="B514" s="543"/>
      <c r="C514" s="289" t="s">
        <v>214</v>
      </c>
      <c r="D514" s="289" t="s">
        <v>2084</v>
      </c>
      <c r="E514" s="288" t="s">
        <v>915</v>
      </c>
      <c r="F514" s="288">
        <v>1038</v>
      </c>
      <c r="G514" s="236" t="s">
        <v>1540</v>
      </c>
      <c r="H514" s="262" t="s">
        <v>1138</v>
      </c>
      <c r="I514" s="208">
        <v>1</v>
      </c>
      <c r="J514" s="276">
        <v>0.32135000000000002</v>
      </c>
      <c r="K514" s="276">
        <v>0.31335000000000002</v>
      </c>
      <c r="L514" s="276">
        <v>8.0000000000000002E-3</v>
      </c>
    </row>
    <row r="515" spans="1:12" ht="26.4" customHeight="1">
      <c r="A515" s="207">
        <v>69</v>
      </c>
      <c r="B515" s="543"/>
      <c r="C515" s="289" t="s">
        <v>214</v>
      </c>
      <c r="D515" s="289" t="s">
        <v>2084</v>
      </c>
      <c r="E515" s="288" t="s">
        <v>915</v>
      </c>
      <c r="F515" s="288">
        <v>1039</v>
      </c>
      <c r="G515" s="236" t="s">
        <v>1540</v>
      </c>
      <c r="H515" s="262" t="s">
        <v>1138</v>
      </c>
      <c r="I515" s="208">
        <v>1</v>
      </c>
      <c r="J515" s="276">
        <v>0.31838</v>
      </c>
      <c r="K515" s="276">
        <v>0.31237999999999999</v>
      </c>
      <c r="L515" s="276">
        <v>6.0000000000000001E-3</v>
      </c>
    </row>
    <row r="516" spans="1:12" ht="26.4" customHeight="1">
      <c r="A516" s="207">
        <v>70</v>
      </c>
      <c r="B516" s="543"/>
      <c r="C516" s="289" t="s">
        <v>214</v>
      </c>
      <c r="D516" s="289" t="s">
        <v>2084</v>
      </c>
      <c r="E516" s="288" t="s">
        <v>915</v>
      </c>
      <c r="F516" s="288">
        <v>1040</v>
      </c>
      <c r="G516" s="236" t="s">
        <v>1540</v>
      </c>
      <c r="H516" s="262" t="s">
        <v>1138</v>
      </c>
      <c r="I516" s="208">
        <v>1</v>
      </c>
      <c r="J516" s="276">
        <v>0.31838</v>
      </c>
      <c r="K516" s="276">
        <v>0.31237999999999999</v>
      </c>
      <c r="L516" s="276">
        <v>6.0000000000000001E-3</v>
      </c>
    </row>
    <row r="517" spans="1:12" ht="26.4" customHeight="1">
      <c r="A517" s="207">
        <v>71</v>
      </c>
      <c r="B517" s="543"/>
      <c r="C517" s="289" t="s">
        <v>214</v>
      </c>
      <c r="D517" s="289" t="s">
        <v>2084</v>
      </c>
      <c r="E517" s="288" t="s">
        <v>915</v>
      </c>
      <c r="F517" s="288">
        <v>1041</v>
      </c>
      <c r="G517" s="236" t="s">
        <v>1540</v>
      </c>
      <c r="H517" s="262" t="s">
        <v>1138</v>
      </c>
      <c r="I517" s="208">
        <v>1</v>
      </c>
      <c r="J517" s="276">
        <v>0.31838</v>
      </c>
      <c r="K517" s="276">
        <v>0.31237999999999999</v>
      </c>
      <c r="L517" s="276">
        <v>6.0000000000000001E-3</v>
      </c>
    </row>
    <row r="518" spans="1:12" ht="26.4" customHeight="1">
      <c r="A518" s="207">
        <v>72</v>
      </c>
      <c r="B518" s="543"/>
      <c r="C518" s="289" t="s">
        <v>214</v>
      </c>
      <c r="D518" s="289" t="s">
        <v>2084</v>
      </c>
      <c r="E518" s="288" t="s">
        <v>915</v>
      </c>
      <c r="F518" s="288">
        <v>1042</v>
      </c>
      <c r="G518" s="236" t="s">
        <v>1540</v>
      </c>
      <c r="H518" s="262" t="s">
        <v>1138</v>
      </c>
      <c r="I518" s="208">
        <v>1</v>
      </c>
      <c r="J518" s="276">
        <v>0.31838</v>
      </c>
      <c r="K518" s="276">
        <v>0.31237999999999999</v>
      </c>
      <c r="L518" s="276">
        <v>6.0000000000000001E-3</v>
      </c>
    </row>
    <row r="519" spans="1:12" ht="26.4" customHeight="1">
      <c r="A519" s="207">
        <v>73</v>
      </c>
      <c r="B519" s="543"/>
      <c r="C519" s="289" t="s">
        <v>214</v>
      </c>
      <c r="D519" s="289" t="s">
        <v>2084</v>
      </c>
      <c r="E519" s="288" t="s">
        <v>915</v>
      </c>
      <c r="F519" s="288">
        <v>1043</v>
      </c>
      <c r="G519" s="236" t="s">
        <v>1540</v>
      </c>
      <c r="H519" s="262" t="s">
        <v>1138</v>
      </c>
      <c r="I519" s="208">
        <v>1</v>
      </c>
      <c r="J519" s="276">
        <v>0.31838</v>
      </c>
      <c r="K519" s="276">
        <v>0.31237999999999999</v>
      </c>
      <c r="L519" s="276">
        <v>6.0000000000000001E-3</v>
      </c>
    </row>
    <row r="520" spans="1:12" ht="26.4" customHeight="1">
      <c r="A520" s="207">
        <v>74</v>
      </c>
      <c r="B520" s="543"/>
      <c r="C520" s="289" t="s">
        <v>214</v>
      </c>
      <c r="D520" s="289" t="s">
        <v>2084</v>
      </c>
      <c r="E520" s="288" t="s">
        <v>915</v>
      </c>
      <c r="F520" s="288">
        <v>1044</v>
      </c>
      <c r="G520" s="236" t="s">
        <v>1540</v>
      </c>
      <c r="H520" s="262" t="s">
        <v>1138</v>
      </c>
      <c r="I520" s="208">
        <v>1</v>
      </c>
      <c r="J520" s="276">
        <v>0.31838</v>
      </c>
      <c r="K520" s="276">
        <v>0.31237999999999999</v>
      </c>
      <c r="L520" s="276">
        <v>6.0000000000000001E-3</v>
      </c>
    </row>
    <row r="521" spans="1:12" ht="26.4" customHeight="1">
      <c r="A521" s="207">
        <v>75</v>
      </c>
      <c r="B521" s="543"/>
      <c r="C521" s="289" t="s">
        <v>214</v>
      </c>
      <c r="D521" s="289" t="s">
        <v>2084</v>
      </c>
      <c r="E521" s="288" t="s">
        <v>915</v>
      </c>
      <c r="F521" s="288">
        <v>1045</v>
      </c>
      <c r="G521" s="236" t="s">
        <v>1540</v>
      </c>
      <c r="H521" s="262" t="s">
        <v>1138</v>
      </c>
      <c r="I521" s="208">
        <v>1</v>
      </c>
      <c r="J521" s="276">
        <v>0.31838</v>
      </c>
      <c r="K521" s="276">
        <v>0.31237999999999999</v>
      </c>
      <c r="L521" s="276">
        <v>6.0000000000000001E-3</v>
      </c>
    </row>
    <row r="522" spans="1:12" ht="26.4" customHeight="1">
      <c r="A522" s="207">
        <v>76</v>
      </c>
      <c r="B522" s="543"/>
      <c r="C522" s="289" t="s">
        <v>214</v>
      </c>
      <c r="D522" s="289" t="s">
        <v>2084</v>
      </c>
      <c r="E522" s="288" t="s">
        <v>915</v>
      </c>
      <c r="F522" s="288">
        <v>1046</v>
      </c>
      <c r="G522" s="236" t="s">
        <v>1540</v>
      </c>
      <c r="H522" s="262" t="s">
        <v>1138</v>
      </c>
      <c r="I522" s="208">
        <v>1</v>
      </c>
      <c r="J522" s="276">
        <v>0.31838</v>
      </c>
      <c r="K522" s="276">
        <v>0.31237999999999999</v>
      </c>
      <c r="L522" s="276">
        <v>6.0000000000000001E-3</v>
      </c>
    </row>
    <row r="523" spans="1:12" ht="26.4" customHeight="1">
      <c r="A523" s="207">
        <v>77</v>
      </c>
      <c r="B523" s="543"/>
      <c r="C523" s="289" t="s">
        <v>214</v>
      </c>
      <c r="D523" s="289" t="s">
        <v>2084</v>
      </c>
      <c r="E523" s="288" t="s">
        <v>915</v>
      </c>
      <c r="F523" s="288">
        <v>1047</v>
      </c>
      <c r="G523" s="236" t="s">
        <v>1540</v>
      </c>
      <c r="H523" s="262" t="s">
        <v>1138</v>
      </c>
      <c r="I523" s="208">
        <v>1</v>
      </c>
      <c r="J523" s="276">
        <v>0.31838</v>
      </c>
      <c r="K523" s="276">
        <v>0.31237999999999999</v>
      </c>
      <c r="L523" s="276">
        <v>6.0000000000000001E-3</v>
      </c>
    </row>
    <row r="524" spans="1:12" ht="26.4" customHeight="1">
      <c r="A524" s="207">
        <v>78</v>
      </c>
      <c r="B524" s="543"/>
      <c r="C524" s="289" t="s">
        <v>214</v>
      </c>
      <c r="D524" s="289" t="s">
        <v>2084</v>
      </c>
      <c r="E524" s="288" t="s">
        <v>915</v>
      </c>
      <c r="F524" s="288">
        <v>1048</v>
      </c>
      <c r="G524" s="236" t="s">
        <v>1540</v>
      </c>
      <c r="H524" s="262" t="s">
        <v>1138</v>
      </c>
      <c r="I524" s="208">
        <v>1</v>
      </c>
      <c r="J524" s="276">
        <v>0.31838</v>
      </c>
      <c r="K524" s="276">
        <v>0.31237999999999999</v>
      </c>
      <c r="L524" s="276">
        <v>6.0000000000000001E-3</v>
      </c>
    </row>
    <row r="525" spans="1:12" ht="26.4" customHeight="1">
      <c r="A525" s="207">
        <v>79</v>
      </c>
      <c r="B525" s="543"/>
      <c r="C525" s="289" t="s">
        <v>214</v>
      </c>
      <c r="D525" s="289" t="s">
        <v>2084</v>
      </c>
      <c r="E525" s="288" t="s">
        <v>915</v>
      </c>
      <c r="F525" s="288">
        <v>1049</v>
      </c>
      <c r="G525" s="236" t="s">
        <v>1540</v>
      </c>
      <c r="H525" s="262" t="s">
        <v>1138</v>
      </c>
      <c r="I525" s="208">
        <v>1</v>
      </c>
      <c r="J525" s="276">
        <v>0.31838</v>
      </c>
      <c r="K525" s="276">
        <v>0.31237999999999999</v>
      </c>
      <c r="L525" s="276">
        <v>6.0000000000000001E-3</v>
      </c>
    </row>
    <row r="526" spans="1:12" ht="26.4" customHeight="1">
      <c r="A526" s="207">
        <v>80</v>
      </c>
      <c r="B526" s="543"/>
      <c r="C526" s="289" t="s">
        <v>214</v>
      </c>
      <c r="D526" s="289" t="s">
        <v>2084</v>
      </c>
      <c r="E526" s="288" t="s">
        <v>915</v>
      </c>
      <c r="F526" s="288">
        <v>1050</v>
      </c>
      <c r="G526" s="236" t="s">
        <v>1540</v>
      </c>
      <c r="H526" s="262" t="s">
        <v>1138</v>
      </c>
      <c r="I526" s="208">
        <v>1</v>
      </c>
      <c r="J526" s="276">
        <v>0.31838</v>
      </c>
      <c r="K526" s="276">
        <v>0.31237999999999999</v>
      </c>
      <c r="L526" s="276">
        <v>6.0000000000000001E-3</v>
      </c>
    </row>
    <row r="527" spans="1:12" ht="26.4" customHeight="1">
      <c r="A527" s="207">
        <v>81</v>
      </c>
      <c r="B527" s="543"/>
      <c r="C527" s="289" t="s">
        <v>214</v>
      </c>
      <c r="D527" s="289" t="s">
        <v>2084</v>
      </c>
      <c r="E527" s="288" t="s">
        <v>915</v>
      </c>
      <c r="F527" s="288">
        <v>1051</v>
      </c>
      <c r="G527" s="236" t="s">
        <v>1540</v>
      </c>
      <c r="H527" s="262" t="s">
        <v>1138</v>
      </c>
      <c r="I527" s="208">
        <v>1</v>
      </c>
      <c r="J527" s="276">
        <v>0.31838</v>
      </c>
      <c r="K527" s="276">
        <v>0.31237999999999999</v>
      </c>
      <c r="L527" s="276">
        <v>6.0000000000000001E-3</v>
      </c>
    </row>
    <row r="528" spans="1:12" ht="26.4" customHeight="1">
      <c r="A528" s="207">
        <v>82</v>
      </c>
      <c r="B528" s="543"/>
      <c r="C528" s="289" t="s">
        <v>214</v>
      </c>
      <c r="D528" s="289" t="s">
        <v>2084</v>
      </c>
      <c r="E528" s="288" t="s">
        <v>915</v>
      </c>
      <c r="F528" s="288">
        <v>1052</v>
      </c>
      <c r="G528" s="236" t="s">
        <v>1540</v>
      </c>
      <c r="H528" s="262" t="s">
        <v>1138</v>
      </c>
      <c r="I528" s="208">
        <v>1</v>
      </c>
      <c r="J528" s="276">
        <v>0.31838</v>
      </c>
      <c r="K528" s="276">
        <v>0.31237999999999999</v>
      </c>
      <c r="L528" s="276">
        <v>6.0000000000000001E-3</v>
      </c>
    </row>
    <row r="529" spans="1:12" ht="26.4" customHeight="1">
      <c r="A529" s="207">
        <v>83</v>
      </c>
      <c r="B529" s="543"/>
      <c r="C529" s="289" t="s">
        <v>214</v>
      </c>
      <c r="D529" s="289" t="s">
        <v>2084</v>
      </c>
      <c r="E529" s="288" t="s">
        <v>915</v>
      </c>
      <c r="F529" s="288">
        <v>1053</v>
      </c>
      <c r="G529" s="236" t="s">
        <v>1540</v>
      </c>
      <c r="H529" s="262" t="s">
        <v>1138</v>
      </c>
      <c r="I529" s="208">
        <v>1</v>
      </c>
      <c r="J529" s="276">
        <v>0.31838</v>
      </c>
      <c r="K529" s="276">
        <v>0.31237999999999999</v>
      </c>
      <c r="L529" s="276">
        <v>6.0000000000000001E-3</v>
      </c>
    </row>
    <row r="530" spans="1:12" ht="26.4" customHeight="1">
      <c r="A530" s="207">
        <v>84</v>
      </c>
      <c r="B530" s="543"/>
      <c r="C530" s="289" t="s">
        <v>214</v>
      </c>
      <c r="D530" s="289" t="s">
        <v>2084</v>
      </c>
      <c r="E530" s="288" t="s">
        <v>915</v>
      </c>
      <c r="F530" s="288">
        <v>1054</v>
      </c>
      <c r="G530" s="236" t="s">
        <v>1540</v>
      </c>
      <c r="H530" s="262" t="s">
        <v>1138</v>
      </c>
      <c r="I530" s="208">
        <v>1</v>
      </c>
      <c r="J530" s="276">
        <v>0.31838</v>
      </c>
      <c r="K530" s="276">
        <v>0.31237999999999999</v>
      </c>
      <c r="L530" s="276">
        <v>6.0000000000000001E-3</v>
      </c>
    </row>
    <row r="531" spans="1:12" ht="26.4" customHeight="1">
      <c r="A531" s="207">
        <v>85</v>
      </c>
      <c r="B531" s="543"/>
      <c r="C531" s="289" t="s">
        <v>214</v>
      </c>
      <c r="D531" s="289" t="s">
        <v>2084</v>
      </c>
      <c r="E531" s="288" t="s">
        <v>915</v>
      </c>
      <c r="F531" s="288">
        <v>1055</v>
      </c>
      <c r="G531" s="236" t="s">
        <v>1540</v>
      </c>
      <c r="H531" s="262" t="s">
        <v>1138</v>
      </c>
      <c r="I531" s="208">
        <v>1</v>
      </c>
      <c r="J531" s="276">
        <v>0.31838</v>
      </c>
      <c r="K531" s="276">
        <v>0.31237999999999999</v>
      </c>
      <c r="L531" s="276">
        <v>6.0000000000000001E-3</v>
      </c>
    </row>
    <row r="532" spans="1:12" ht="26.4" customHeight="1">
      <c r="A532" s="207">
        <v>86</v>
      </c>
      <c r="B532" s="543"/>
      <c r="C532" s="289" t="s">
        <v>214</v>
      </c>
      <c r="D532" s="289" t="s">
        <v>2084</v>
      </c>
      <c r="E532" s="288" t="s">
        <v>915</v>
      </c>
      <c r="F532" s="288">
        <v>1056</v>
      </c>
      <c r="G532" s="236" t="s">
        <v>1540</v>
      </c>
      <c r="H532" s="262" t="s">
        <v>1138</v>
      </c>
      <c r="I532" s="208">
        <v>1</v>
      </c>
      <c r="J532" s="276">
        <v>0.31838</v>
      </c>
      <c r="K532" s="276">
        <v>0.31237999999999999</v>
      </c>
      <c r="L532" s="276">
        <v>6.0000000000000001E-3</v>
      </c>
    </row>
    <row r="533" spans="1:12" ht="26.4" customHeight="1">
      <c r="A533" s="207">
        <v>87</v>
      </c>
      <c r="B533" s="543"/>
      <c r="C533" s="289" t="s">
        <v>214</v>
      </c>
      <c r="D533" s="289" t="s">
        <v>2084</v>
      </c>
      <c r="E533" s="288" t="s">
        <v>915</v>
      </c>
      <c r="F533" s="288">
        <v>1057</v>
      </c>
      <c r="G533" s="236" t="s">
        <v>1540</v>
      </c>
      <c r="H533" s="262" t="s">
        <v>1138</v>
      </c>
      <c r="I533" s="208">
        <v>1</v>
      </c>
      <c r="J533" s="276">
        <v>0.31838</v>
      </c>
      <c r="K533" s="276">
        <v>0.31237999999999999</v>
      </c>
      <c r="L533" s="276">
        <v>6.0000000000000001E-3</v>
      </c>
    </row>
    <row r="534" spans="1:12" ht="26.4" customHeight="1">
      <c r="A534" s="207">
        <v>88</v>
      </c>
      <c r="B534" s="543"/>
      <c r="C534" s="289" t="s">
        <v>214</v>
      </c>
      <c r="D534" s="289" t="s">
        <v>2084</v>
      </c>
      <c r="E534" s="288" t="s">
        <v>915</v>
      </c>
      <c r="F534" s="288">
        <v>1058</v>
      </c>
      <c r="G534" s="236" t="s">
        <v>1540</v>
      </c>
      <c r="H534" s="262" t="s">
        <v>1138</v>
      </c>
      <c r="I534" s="208">
        <v>1</v>
      </c>
      <c r="J534" s="276">
        <v>0.31838</v>
      </c>
      <c r="K534" s="276">
        <v>0.31237999999999999</v>
      </c>
      <c r="L534" s="276">
        <v>6.0000000000000001E-3</v>
      </c>
    </row>
    <row r="535" spans="1:12" ht="26.4" customHeight="1">
      <c r="A535" s="207">
        <v>89</v>
      </c>
      <c r="B535" s="543"/>
      <c r="C535" s="289" t="s">
        <v>214</v>
      </c>
      <c r="D535" s="289" t="s">
        <v>2084</v>
      </c>
      <c r="E535" s="288" t="s">
        <v>915</v>
      </c>
      <c r="F535" s="288">
        <v>1059</v>
      </c>
      <c r="G535" s="236" t="s">
        <v>1540</v>
      </c>
      <c r="H535" s="262" t="s">
        <v>1138</v>
      </c>
      <c r="I535" s="208">
        <v>1</v>
      </c>
      <c r="J535" s="276">
        <v>0.31838</v>
      </c>
      <c r="K535" s="276">
        <v>0.31237999999999999</v>
      </c>
      <c r="L535" s="276">
        <v>6.0000000000000001E-3</v>
      </c>
    </row>
    <row r="536" spans="1:12" ht="26.4" customHeight="1">
      <c r="A536" s="207">
        <v>90</v>
      </c>
      <c r="B536" s="543"/>
      <c r="C536" s="289" t="s">
        <v>214</v>
      </c>
      <c r="D536" s="289" t="s">
        <v>2084</v>
      </c>
      <c r="E536" s="288" t="s">
        <v>2228</v>
      </c>
      <c r="F536" s="288">
        <v>1037</v>
      </c>
      <c r="G536" s="236" t="s">
        <v>1540</v>
      </c>
      <c r="H536" s="262" t="s">
        <v>631</v>
      </c>
      <c r="I536" s="479">
        <v>2227</v>
      </c>
      <c r="J536" s="276">
        <v>788.07416000000001</v>
      </c>
      <c r="K536" s="276">
        <v>491.35424</v>
      </c>
      <c r="L536" s="276">
        <v>296.71992</v>
      </c>
    </row>
    <row r="537" spans="1:12" ht="26.4" customHeight="1">
      <c r="A537" s="207">
        <v>91</v>
      </c>
      <c r="B537" s="543"/>
      <c r="C537" s="289" t="s">
        <v>214</v>
      </c>
      <c r="D537" s="289" t="s">
        <v>2084</v>
      </c>
      <c r="E537" s="288" t="s">
        <v>2228</v>
      </c>
      <c r="F537" s="288">
        <v>3723</v>
      </c>
      <c r="G537" s="236" t="s">
        <v>1537</v>
      </c>
      <c r="H537" s="262" t="s">
        <v>631</v>
      </c>
      <c r="I537" s="479">
        <v>1093</v>
      </c>
      <c r="J537" s="276">
        <v>68.52</v>
      </c>
      <c r="K537" s="276">
        <v>64.455039999999997</v>
      </c>
      <c r="L537" s="276">
        <v>4.0649600000000001</v>
      </c>
    </row>
    <row r="538" spans="1:12" ht="26.4" customHeight="1">
      <c r="A538" s="207">
        <v>92</v>
      </c>
      <c r="B538" s="543"/>
      <c r="C538" s="289" t="s">
        <v>214</v>
      </c>
      <c r="D538" s="289" t="s">
        <v>2084</v>
      </c>
      <c r="E538" s="288" t="s">
        <v>2228</v>
      </c>
      <c r="F538" s="288">
        <v>15052</v>
      </c>
      <c r="G538" s="236" t="s">
        <v>1541</v>
      </c>
      <c r="H538" s="262" t="s">
        <v>631</v>
      </c>
      <c r="I538" s="479">
        <v>128</v>
      </c>
      <c r="J538" s="276">
        <v>4.2044499999999996</v>
      </c>
      <c r="K538" s="276">
        <v>4.2044499999999996</v>
      </c>
      <c r="L538" s="276">
        <v>0</v>
      </c>
    </row>
    <row r="539" spans="1:12" ht="26.4" customHeight="1">
      <c r="A539" s="207">
        <v>93</v>
      </c>
      <c r="B539" s="543"/>
      <c r="C539" s="289" t="s">
        <v>214</v>
      </c>
      <c r="D539" s="289" t="s">
        <v>1406</v>
      </c>
      <c r="E539" s="288" t="s">
        <v>917</v>
      </c>
      <c r="F539" s="288">
        <v>1151</v>
      </c>
      <c r="G539" s="236" t="s">
        <v>1542</v>
      </c>
      <c r="H539" s="262" t="s">
        <v>1149</v>
      </c>
      <c r="I539" s="208">
        <v>355</v>
      </c>
      <c r="J539" s="276">
        <v>267.03095000000002</v>
      </c>
      <c r="K539" s="274">
        <v>134.89971</v>
      </c>
      <c r="L539" s="276">
        <v>132.13123999999999</v>
      </c>
    </row>
    <row r="540" spans="1:12" ht="26.4" customHeight="1">
      <c r="A540" s="207">
        <v>94</v>
      </c>
      <c r="B540" s="543"/>
      <c r="C540" s="478" t="s">
        <v>214</v>
      </c>
      <c r="D540" s="289" t="s">
        <v>2085</v>
      </c>
      <c r="E540" s="288" t="s">
        <v>1849</v>
      </c>
      <c r="F540" s="288">
        <v>1320</v>
      </c>
      <c r="G540" s="236" t="s">
        <v>1543</v>
      </c>
      <c r="H540" s="262" t="s">
        <v>1149</v>
      </c>
      <c r="I540" s="209">
        <v>495</v>
      </c>
      <c r="J540" s="276">
        <v>287.77465000000001</v>
      </c>
      <c r="K540" s="276">
        <v>144.34164999999999</v>
      </c>
      <c r="L540" s="276">
        <v>143.43299999999999</v>
      </c>
    </row>
    <row r="541" spans="1:12" ht="26.4" customHeight="1">
      <c r="A541" s="207">
        <v>95</v>
      </c>
      <c r="B541" s="543"/>
      <c r="C541" s="478" t="s">
        <v>214</v>
      </c>
      <c r="D541" s="289" t="s">
        <v>2085</v>
      </c>
      <c r="E541" s="288" t="s">
        <v>1850</v>
      </c>
      <c r="F541" s="288">
        <v>1321</v>
      </c>
      <c r="G541" s="236" t="s">
        <v>1543</v>
      </c>
      <c r="H541" s="262" t="s">
        <v>631</v>
      </c>
      <c r="I541" s="479">
        <v>2436</v>
      </c>
      <c r="J541" s="276">
        <v>40.135910000000003</v>
      </c>
      <c r="K541" s="276">
        <v>35.334490000000002</v>
      </c>
      <c r="L541" s="276">
        <v>4.8014200000000002</v>
      </c>
    </row>
    <row r="542" spans="1:12" ht="26.4" customHeight="1">
      <c r="A542" s="207">
        <v>96</v>
      </c>
      <c r="B542" s="543"/>
      <c r="C542" s="478" t="s">
        <v>214</v>
      </c>
      <c r="D542" s="289" t="s">
        <v>1407</v>
      </c>
      <c r="E542" s="288" t="s">
        <v>1848</v>
      </c>
      <c r="F542" s="288">
        <v>1356</v>
      </c>
      <c r="G542" s="236" t="s">
        <v>1544</v>
      </c>
      <c r="H542" s="262" t="s">
        <v>1149</v>
      </c>
      <c r="I542" s="208">
        <v>227</v>
      </c>
      <c r="J542" s="276">
        <v>429.51612999999998</v>
      </c>
      <c r="K542" s="274">
        <v>176.81362999999999</v>
      </c>
      <c r="L542" s="276">
        <v>252.70249999999999</v>
      </c>
    </row>
    <row r="543" spans="1:12" ht="26.4" customHeight="1">
      <c r="A543" s="247">
        <v>97</v>
      </c>
      <c r="B543" s="543"/>
      <c r="C543" s="478" t="s">
        <v>214</v>
      </c>
      <c r="D543" s="204" t="s">
        <v>1407</v>
      </c>
      <c r="E543" s="208" t="s">
        <v>1851</v>
      </c>
      <c r="F543" s="208">
        <v>1357</v>
      </c>
      <c r="G543" s="236" t="s">
        <v>1544</v>
      </c>
      <c r="H543" s="262" t="s">
        <v>631</v>
      </c>
      <c r="I543" s="479">
        <v>946.5</v>
      </c>
      <c r="J543" s="276">
        <v>33.531619999999997</v>
      </c>
      <c r="K543" s="276">
        <v>31.03998</v>
      </c>
      <c r="L543" s="276">
        <v>2.4916399999999999</v>
      </c>
    </row>
    <row r="544" spans="1:12" ht="26.4" customHeight="1">
      <c r="A544" s="207">
        <v>98</v>
      </c>
      <c r="B544" s="543"/>
      <c r="C544" s="478" t="s">
        <v>214</v>
      </c>
      <c r="D544" s="288" t="s">
        <v>1408</v>
      </c>
      <c r="E544" s="288" t="s">
        <v>916</v>
      </c>
      <c r="F544" s="288">
        <v>1312</v>
      </c>
      <c r="G544" s="236" t="s">
        <v>1540</v>
      </c>
      <c r="H544" s="262" t="s">
        <v>1149</v>
      </c>
      <c r="I544" s="208">
        <v>232</v>
      </c>
      <c r="J544" s="276">
        <v>213.14883</v>
      </c>
      <c r="K544" s="274">
        <v>62.173729999999999</v>
      </c>
      <c r="L544" s="276">
        <v>150.9751</v>
      </c>
    </row>
    <row r="545" spans="1:12" ht="26.4" customHeight="1">
      <c r="A545" s="207">
        <v>99</v>
      </c>
      <c r="B545" s="543"/>
      <c r="C545" s="478" t="s">
        <v>214</v>
      </c>
      <c r="D545" s="288" t="s">
        <v>1408</v>
      </c>
      <c r="E545" s="288" t="s">
        <v>915</v>
      </c>
      <c r="F545" s="288">
        <v>1284</v>
      </c>
      <c r="G545" s="236" t="s">
        <v>1545</v>
      </c>
      <c r="H545" s="262" t="s">
        <v>1138</v>
      </c>
      <c r="I545" s="208">
        <v>1</v>
      </c>
      <c r="J545" s="276">
        <v>0.31747999999999998</v>
      </c>
      <c r="K545" s="276">
        <v>0.31747999999999998</v>
      </c>
      <c r="L545" s="276">
        <v>0</v>
      </c>
    </row>
    <row r="546" spans="1:12" ht="26.4" customHeight="1">
      <c r="A546" s="207">
        <v>100</v>
      </c>
      <c r="B546" s="543"/>
      <c r="C546" s="289" t="s">
        <v>214</v>
      </c>
      <c r="D546" s="288" t="s">
        <v>1408</v>
      </c>
      <c r="E546" s="288" t="s">
        <v>915</v>
      </c>
      <c r="F546" s="288">
        <v>1285</v>
      </c>
      <c r="G546" s="236" t="s">
        <v>1545</v>
      </c>
      <c r="H546" s="262" t="s">
        <v>1138</v>
      </c>
      <c r="I546" s="208">
        <v>1</v>
      </c>
      <c r="J546" s="276">
        <v>0.31747999999999998</v>
      </c>
      <c r="K546" s="276">
        <v>0.31747999999999998</v>
      </c>
      <c r="L546" s="276">
        <v>0</v>
      </c>
    </row>
    <row r="547" spans="1:12" ht="26.4" customHeight="1">
      <c r="A547" s="207">
        <v>101</v>
      </c>
      <c r="B547" s="543"/>
      <c r="C547" s="289" t="s">
        <v>214</v>
      </c>
      <c r="D547" s="288" t="s">
        <v>1408</v>
      </c>
      <c r="E547" s="288" t="s">
        <v>915</v>
      </c>
      <c r="F547" s="288">
        <v>1286</v>
      </c>
      <c r="G547" s="236" t="s">
        <v>1545</v>
      </c>
      <c r="H547" s="262" t="s">
        <v>1138</v>
      </c>
      <c r="I547" s="208">
        <v>1</v>
      </c>
      <c r="J547" s="276">
        <v>0.31747999999999998</v>
      </c>
      <c r="K547" s="276">
        <v>0.31747999999999998</v>
      </c>
      <c r="L547" s="276">
        <v>0</v>
      </c>
    </row>
    <row r="548" spans="1:12" ht="26.4" customHeight="1">
      <c r="A548" s="207">
        <v>102</v>
      </c>
      <c r="B548" s="543"/>
      <c r="C548" s="289" t="s">
        <v>214</v>
      </c>
      <c r="D548" s="288" t="s">
        <v>1408</v>
      </c>
      <c r="E548" s="288" t="s">
        <v>915</v>
      </c>
      <c r="F548" s="288">
        <v>1287</v>
      </c>
      <c r="G548" s="236" t="s">
        <v>1545</v>
      </c>
      <c r="H548" s="262" t="s">
        <v>1138</v>
      </c>
      <c r="I548" s="208">
        <v>1</v>
      </c>
      <c r="J548" s="276">
        <v>0.31747999999999998</v>
      </c>
      <c r="K548" s="276">
        <v>0.31747999999999998</v>
      </c>
      <c r="L548" s="276">
        <v>0</v>
      </c>
    </row>
    <row r="549" spans="1:12" ht="26.4" customHeight="1">
      <c r="A549" s="207">
        <v>103</v>
      </c>
      <c r="B549" s="543"/>
      <c r="C549" s="289" t="s">
        <v>214</v>
      </c>
      <c r="D549" s="288" t="s">
        <v>1408</v>
      </c>
      <c r="E549" s="288" t="s">
        <v>915</v>
      </c>
      <c r="F549" s="288">
        <v>1288</v>
      </c>
      <c r="G549" s="236" t="s">
        <v>1545</v>
      </c>
      <c r="H549" s="262" t="s">
        <v>1138</v>
      </c>
      <c r="I549" s="208">
        <v>1</v>
      </c>
      <c r="J549" s="276">
        <v>0.31747999999999998</v>
      </c>
      <c r="K549" s="276">
        <v>0.31747999999999998</v>
      </c>
      <c r="L549" s="276">
        <v>0</v>
      </c>
    </row>
    <row r="550" spans="1:12" ht="26.4" customHeight="1">
      <c r="A550" s="207">
        <v>104</v>
      </c>
      <c r="B550" s="543"/>
      <c r="C550" s="289" t="s">
        <v>214</v>
      </c>
      <c r="D550" s="288" t="s">
        <v>1408</v>
      </c>
      <c r="E550" s="288" t="s">
        <v>915</v>
      </c>
      <c r="F550" s="288">
        <v>1289</v>
      </c>
      <c r="G550" s="236" t="s">
        <v>1545</v>
      </c>
      <c r="H550" s="262" t="s">
        <v>1138</v>
      </c>
      <c r="I550" s="208">
        <v>1</v>
      </c>
      <c r="J550" s="276">
        <v>0.31747999999999998</v>
      </c>
      <c r="K550" s="276">
        <v>0.31747999999999998</v>
      </c>
      <c r="L550" s="276">
        <v>0</v>
      </c>
    </row>
    <row r="551" spans="1:12" ht="26.4" customHeight="1">
      <c r="A551" s="207">
        <v>105</v>
      </c>
      <c r="B551" s="543"/>
      <c r="C551" s="289" t="s">
        <v>214</v>
      </c>
      <c r="D551" s="288" t="s">
        <v>1408</v>
      </c>
      <c r="E551" s="288" t="s">
        <v>915</v>
      </c>
      <c r="F551" s="288">
        <v>1290</v>
      </c>
      <c r="G551" s="236" t="s">
        <v>1545</v>
      </c>
      <c r="H551" s="262" t="s">
        <v>1138</v>
      </c>
      <c r="I551" s="208">
        <v>1</v>
      </c>
      <c r="J551" s="276">
        <v>0.31747999999999998</v>
      </c>
      <c r="K551" s="276">
        <v>0.31747999999999998</v>
      </c>
      <c r="L551" s="276">
        <v>0</v>
      </c>
    </row>
    <row r="552" spans="1:12" ht="26.4" customHeight="1">
      <c r="A552" s="207">
        <v>106</v>
      </c>
      <c r="B552" s="543"/>
      <c r="C552" s="289" t="s">
        <v>214</v>
      </c>
      <c r="D552" s="288" t="s">
        <v>1408</v>
      </c>
      <c r="E552" s="288" t="s">
        <v>915</v>
      </c>
      <c r="F552" s="288">
        <v>1291</v>
      </c>
      <c r="G552" s="236" t="s">
        <v>1545</v>
      </c>
      <c r="H552" s="262" t="s">
        <v>1138</v>
      </c>
      <c r="I552" s="208">
        <v>1</v>
      </c>
      <c r="J552" s="276">
        <v>0.31747999999999998</v>
      </c>
      <c r="K552" s="276">
        <v>0.31747999999999998</v>
      </c>
      <c r="L552" s="276">
        <v>0</v>
      </c>
    </row>
    <row r="553" spans="1:12" ht="26.4" customHeight="1">
      <c r="A553" s="207">
        <v>107</v>
      </c>
      <c r="B553" s="543"/>
      <c r="C553" s="289" t="s">
        <v>214</v>
      </c>
      <c r="D553" s="288" t="s">
        <v>1408</v>
      </c>
      <c r="E553" s="288" t="s">
        <v>915</v>
      </c>
      <c r="F553" s="288">
        <v>1292</v>
      </c>
      <c r="G553" s="236" t="s">
        <v>1545</v>
      </c>
      <c r="H553" s="262" t="s">
        <v>1138</v>
      </c>
      <c r="I553" s="208">
        <v>1</v>
      </c>
      <c r="J553" s="276">
        <v>0.31747999999999998</v>
      </c>
      <c r="K553" s="276">
        <v>0.31747999999999998</v>
      </c>
      <c r="L553" s="276">
        <v>0</v>
      </c>
    </row>
    <row r="554" spans="1:12" ht="26.4" customHeight="1">
      <c r="A554" s="207">
        <v>108</v>
      </c>
      <c r="B554" s="543"/>
      <c r="C554" s="289" t="s">
        <v>214</v>
      </c>
      <c r="D554" s="288" t="s">
        <v>1408</v>
      </c>
      <c r="E554" s="288" t="s">
        <v>915</v>
      </c>
      <c r="F554" s="288">
        <v>1293</v>
      </c>
      <c r="G554" s="236" t="s">
        <v>1545</v>
      </c>
      <c r="H554" s="262" t="s">
        <v>1138</v>
      </c>
      <c r="I554" s="208">
        <v>1</v>
      </c>
      <c r="J554" s="276">
        <v>0.31747999999999998</v>
      </c>
      <c r="K554" s="276">
        <v>0.31747999999999998</v>
      </c>
      <c r="L554" s="276">
        <v>0</v>
      </c>
    </row>
    <row r="555" spans="1:12" ht="26.4" customHeight="1">
      <c r="A555" s="207">
        <v>109</v>
      </c>
      <c r="B555" s="543"/>
      <c r="C555" s="289" t="s">
        <v>214</v>
      </c>
      <c r="D555" s="288" t="s">
        <v>1408</v>
      </c>
      <c r="E555" s="288" t="s">
        <v>915</v>
      </c>
      <c r="F555" s="288">
        <v>1294</v>
      </c>
      <c r="G555" s="236" t="s">
        <v>1545</v>
      </c>
      <c r="H555" s="262" t="s">
        <v>1138</v>
      </c>
      <c r="I555" s="208">
        <v>1</v>
      </c>
      <c r="J555" s="276">
        <v>0.31747999999999998</v>
      </c>
      <c r="K555" s="276">
        <v>0.31747999999999998</v>
      </c>
      <c r="L555" s="276">
        <v>0</v>
      </c>
    </row>
    <row r="556" spans="1:12" ht="26.4" customHeight="1">
      <c r="A556" s="207">
        <v>110</v>
      </c>
      <c r="B556" s="543"/>
      <c r="C556" s="289" t="s">
        <v>214</v>
      </c>
      <c r="D556" s="288" t="s">
        <v>1408</v>
      </c>
      <c r="E556" s="288" t="s">
        <v>1852</v>
      </c>
      <c r="F556" s="288">
        <v>3721</v>
      </c>
      <c r="G556" s="236" t="s">
        <v>1537</v>
      </c>
      <c r="H556" s="262" t="s">
        <v>631</v>
      </c>
      <c r="I556" s="479">
        <v>527</v>
      </c>
      <c r="J556" s="276">
        <v>40.840000000000003</v>
      </c>
      <c r="K556" s="276">
        <v>28.559840000000001</v>
      </c>
      <c r="L556" s="276">
        <v>12.28016</v>
      </c>
    </row>
    <row r="557" spans="1:12" ht="26.4" customHeight="1">
      <c r="A557" s="207">
        <v>111</v>
      </c>
      <c r="B557" s="543"/>
      <c r="C557" s="289" t="s">
        <v>214</v>
      </c>
      <c r="D557" s="288" t="s">
        <v>1408</v>
      </c>
      <c r="E557" s="288" t="s">
        <v>1852</v>
      </c>
      <c r="F557" s="288">
        <v>1313</v>
      </c>
      <c r="G557" s="236" t="s">
        <v>1545</v>
      </c>
      <c r="H557" s="262" t="s">
        <v>631</v>
      </c>
      <c r="I557" s="479">
        <v>1345.6</v>
      </c>
      <c r="J557" s="276">
        <v>240.59639000000001</v>
      </c>
      <c r="K557" s="276">
        <v>193.66711000000001</v>
      </c>
      <c r="L557" s="276">
        <v>46.929279999999999</v>
      </c>
    </row>
    <row r="558" spans="1:12" ht="26.4" customHeight="1">
      <c r="A558" s="207">
        <v>112</v>
      </c>
      <c r="B558" s="543"/>
      <c r="C558" s="289" t="s">
        <v>214</v>
      </c>
      <c r="D558" s="289" t="s">
        <v>1409</v>
      </c>
      <c r="E558" s="288" t="s">
        <v>914</v>
      </c>
      <c r="F558" s="288">
        <v>2235</v>
      </c>
      <c r="G558" s="236" t="s">
        <v>1546</v>
      </c>
      <c r="H558" s="262" t="s">
        <v>1149</v>
      </c>
      <c r="I558" s="208">
        <v>623</v>
      </c>
      <c r="J558" s="276">
        <v>995.03016000000002</v>
      </c>
      <c r="K558" s="274">
        <v>518.60648000000003</v>
      </c>
      <c r="L558" s="276">
        <v>476.42367999999999</v>
      </c>
    </row>
    <row r="559" spans="1:12" ht="26.4" customHeight="1">
      <c r="A559" s="207">
        <v>113</v>
      </c>
      <c r="B559" s="543"/>
      <c r="C559" s="289" t="s">
        <v>214</v>
      </c>
      <c r="D559" s="289" t="s">
        <v>1409</v>
      </c>
      <c r="E559" s="288" t="s">
        <v>913</v>
      </c>
      <c r="F559" s="288">
        <v>2236</v>
      </c>
      <c r="G559" s="236" t="s">
        <v>1546</v>
      </c>
      <c r="H559" s="262" t="s">
        <v>1138</v>
      </c>
      <c r="I559" s="208">
        <v>1</v>
      </c>
      <c r="J559" s="276">
        <v>1.1382300000000001</v>
      </c>
      <c r="K559" s="276">
        <v>1.1382300000000001</v>
      </c>
      <c r="L559" s="276">
        <v>0</v>
      </c>
    </row>
    <row r="560" spans="1:12" ht="26.4" customHeight="1">
      <c r="A560" s="207">
        <v>114</v>
      </c>
      <c r="B560" s="543"/>
      <c r="C560" s="289" t="s">
        <v>214</v>
      </c>
      <c r="D560" s="289" t="s">
        <v>1409</v>
      </c>
      <c r="E560" s="288" t="s">
        <v>913</v>
      </c>
      <c r="F560" s="288">
        <v>2237</v>
      </c>
      <c r="G560" s="236" t="s">
        <v>1546</v>
      </c>
      <c r="H560" s="262" t="s">
        <v>1138</v>
      </c>
      <c r="I560" s="208">
        <v>1</v>
      </c>
      <c r="J560" s="276">
        <v>1.1382300000000001</v>
      </c>
      <c r="K560" s="276">
        <v>1.1382300000000001</v>
      </c>
      <c r="L560" s="276">
        <v>0</v>
      </c>
    </row>
    <row r="561" spans="1:12" ht="26.4" customHeight="1">
      <c r="A561" s="207">
        <v>115</v>
      </c>
      <c r="B561" s="543"/>
      <c r="C561" s="289" t="s">
        <v>214</v>
      </c>
      <c r="D561" s="289" t="s">
        <v>1409</v>
      </c>
      <c r="E561" s="288" t="s">
        <v>913</v>
      </c>
      <c r="F561" s="288">
        <v>2238</v>
      </c>
      <c r="G561" s="236" t="s">
        <v>1546</v>
      </c>
      <c r="H561" s="262" t="s">
        <v>1138</v>
      </c>
      <c r="I561" s="208">
        <v>1</v>
      </c>
      <c r="J561" s="276">
        <v>1.1382300000000001</v>
      </c>
      <c r="K561" s="276">
        <v>1.1382300000000001</v>
      </c>
      <c r="L561" s="276">
        <v>0</v>
      </c>
    </row>
    <row r="562" spans="1:12" ht="26.4" customHeight="1">
      <c r="A562" s="207">
        <v>116</v>
      </c>
      <c r="B562" s="543"/>
      <c r="C562" s="289" t="s">
        <v>214</v>
      </c>
      <c r="D562" s="289" t="s">
        <v>1409</v>
      </c>
      <c r="E562" s="288" t="s">
        <v>913</v>
      </c>
      <c r="F562" s="288">
        <v>2239</v>
      </c>
      <c r="G562" s="236" t="s">
        <v>1546</v>
      </c>
      <c r="H562" s="262" t="s">
        <v>1138</v>
      </c>
      <c r="I562" s="208">
        <v>1</v>
      </c>
      <c r="J562" s="276">
        <v>1.1382300000000001</v>
      </c>
      <c r="K562" s="276">
        <v>1.1382300000000001</v>
      </c>
      <c r="L562" s="276">
        <v>0</v>
      </c>
    </row>
    <row r="563" spans="1:12" ht="26.4" customHeight="1">
      <c r="A563" s="207">
        <v>117</v>
      </c>
      <c r="B563" s="543"/>
      <c r="C563" s="289" t="s">
        <v>214</v>
      </c>
      <c r="D563" s="289" t="s">
        <v>1409</v>
      </c>
      <c r="E563" s="288" t="s">
        <v>913</v>
      </c>
      <c r="F563" s="288">
        <v>2240</v>
      </c>
      <c r="G563" s="236" t="s">
        <v>1546</v>
      </c>
      <c r="H563" s="262" t="s">
        <v>1138</v>
      </c>
      <c r="I563" s="208">
        <v>1</v>
      </c>
      <c r="J563" s="276">
        <v>1.1382300000000001</v>
      </c>
      <c r="K563" s="276">
        <v>1.1382300000000001</v>
      </c>
      <c r="L563" s="276">
        <v>0</v>
      </c>
    </row>
    <row r="564" spans="1:12" ht="26.4" customHeight="1">
      <c r="A564" s="207">
        <v>118</v>
      </c>
      <c r="B564" s="543"/>
      <c r="C564" s="289" t="s">
        <v>214</v>
      </c>
      <c r="D564" s="289" t="s">
        <v>1409</v>
      </c>
      <c r="E564" s="288" t="s">
        <v>913</v>
      </c>
      <c r="F564" s="288">
        <v>2241</v>
      </c>
      <c r="G564" s="236" t="s">
        <v>1546</v>
      </c>
      <c r="H564" s="262" t="s">
        <v>1138</v>
      </c>
      <c r="I564" s="208">
        <v>1</v>
      </c>
      <c r="J564" s="276">
        <v>1.1382300000000001</v>
      </c>
      <c r="K564" s="276">
        <v>1.1382300000000001</v>
      </c>
      <c r="L564" s="276">
        <v>0</v>
      </c>
    </row>
    <row r="565" spans="1:12" ht="26.4" customHeight="1">
      <c r="A565" s="207">
        <v>119</v>
      </c>
      <c r="B565" s="543"/>
      <c r="C565" s="289" t="s">
        <v>214</v>
      </c>
      <c r="D565" s="289" t="s">
        <v>1409</v>
      </c>
      <c r="E565" s="288" t="s">
        <v>913</v>
      </c>
      <c r="F565" s="288">
        <v>2242</v>
      </c>
      <c r="G565" s="236" t="s">
        <v>1546</v>
      </c>
      <c r="H565" s="262" t="s">
        <v>1138</v>
      </c>
      <c r="I565" s="208">
        <v>1</v>
      </c>
      <c r="J565" s="276">
        <v>1.1382300000000001</v>
      </c>
      <c r="K565" s="276">
        <v>1.1382300000000001</v>
      </c>
      <c r="L565" s="276">
        <v>0</v>
      </c>
    </row>
    <row r="566" spans="1:12" ht="26.4" customHeight="1">
      <c r="A566" s="207">
        <v>120</v>
      </c>
      <c r="B566" s="543"/>
      <c r="C566" s="289" t="s">
        <v>214</v>
      </c>
      <c r="D566" s="289" t="s">
        <v>1409</v>
      </c>
      <c r="E566" s="288" t="s">
        <v>913</v>
      </c>
      <c r="F566" s="288">
        <v>2243</v>
      </c>
      <c r="G566" s="236" t="s">
        <v>1546</v>
      </c>
      <c r="H566" s="262" t="s">
        <v>1138</v>
      </c>
      <c r="I566" s="208">
        <v>1</v>
      </c>
      <c r="J566" s="276">
        <v>1.1382300000000001</v>
      </c>
      <c r="K566" s="276">
        <v>1.1382300000000001</v>
      </c>
      <c r="L566" s="276">
        <v>0</v>
      </c>
    </row>
    <row r="567" spans="1:12" ht="26.4" customHeight="1">
      <c r="A567" s="207">
        <v>121</v>
      </c>
      <c r="B567" s="543"/>
      <c r="C567" s="289" t="s">
        <v>214</v>
      </c>
      <c r="D567" s="289" t="s">
        <v>1409</v>
      </c>
      <c r="E567" s="288" t="s">
        <v>913</v>
      </c>
      <c r="F567" s="288">
        <v>2244</v>
      </c>
      <c r="G567" s="236" t="s">
        <v>1546</v>
      </c>
      <c r="H567" s="262" t="s">
        <v>1138</v>
      </c>
      <c r="I567" s="208">
        <v>1</v>
      </c>
      <c r="J567" s="276">
        <v>1.1382300000000001</v>
      </c>
      <c r="K567" s="276">
        <v>1.1382300000000001</v>
      </c>
      <c r="L567" s="276">
        <v>0</v>
      </c>
    </row>
    <row r="568" spans="1:12" ht="26.4" customHeight="1">
      <c r="A568" s="207">
        <v>122</v>
      </c>
      <c r="B568" s="543"/>
      <c r="C568" s="289" t="s">
        <v>214</v>
      </c>
      <c r="D568" s="289" t="s">
        <v>1409</v>
      </c>
      <c r="E568" s="288" t="s">
        <v>913</v>
      </c>
      <c r="F568" s="288">
        <v>2245</v>
      </c>
      <c r="G568" s="236" t="s">
        <v>1546</v>
      </c>
      <c r="H568" s="262" t="s">
        <v>1138</v>
      </c>
      <c r="I568" s="208">
        <v>1</v>
      </c>
      <c r="J568" s="276">
        <v>1.1382300000000001</v>
      </c>
      <c r="K568" s="276">
        <v>1.1382300000000001</v>
      </c>
      <c r="L568" s="276">
        <v>0</v>
      </c>
    </row>
    <row r="569" spans="1:12" ht="26.4" customHeight="1">
      <c r="A569" s="207">
        <v>123</v>
      </c>
      <c r="B569" s="543"/>
      <c r="C569" s="289" t="s">
        <v>214</v>
      </c>
      <c r="D569" s="289" t="s">
        <v>1409</v>
      </c>
      <c r="E569" s="288" t="s">
        <v>913</v>
      </c>
      <c r="F569" s="288">
        <v>2246</v>
      </c>
      <c r="G569" s="236" t="s">
        <v>1546</v>
      </c>
      <c r="H569" s="262" t="s">
        <v>1138</v>
      </c>
      <c r="I569" s="208">
        <v>1</v>
      </c>
      <c r="J569" s="276">
        <v>1.1382300000000001</v>
      </c>
      <c r="K569" s="276">
        <v>1.1382300000000001</v>
      </c>
      <c r="L569" s="276">
        <v>0</v>
      </c>
    </row>
    <row r="570" spans="1:12" ht="26.4" customHeight="1">
      <c r="A570" s="207">
        <v>124</v>
      </c>
      <c r="B570" s="543"/>
      <c r="C570" s="289" t="s">
        <v>214</v>
      </c>
      <c r="D570" s="289" t="s">
        <v>1409</v>
      </c>
      <c r="E570" s="288" t="s">
        <v>913</v>
      </c>
      <c r="F570" s="288">
        <v>2247</v>
      </c>
      <c r="G570" s="236" t="s">
        <v>1546</v>
      </c>
      <c r="H570" s="262" t="s">
        <v>1138</v>
      </c>
      <c r="I570" s="208">
        <v>1</v>
      </c>
      <c r="J570" s="276">
        <v>1.1382300000000001</v>
      </c>
      <c r="K570" s="276">
        <v>1.1382300000000001</v>
      </c>
      <c r="L570" s="276">
        <v>0</v>
      </c>
    </row>
    <row r="571" spans="1:12" ht="26.4" customHeight="1">
      <c r="A571" s="207">
        <v>125</v>
      </c>
      <c r="B571" s="543"/>
      <c r="C571" s="289" t="s">
        <v>214</v>
      </c>
      <c r="D571" s="289" t="s">
        <v>1409</v>
      </c>
      <c r="E571" s="288" t="s">
        <v>913</v>
      </c>
      <c r="F571" s="288">
        <v>2248</v>
      </c>
      <c r="G571" s="236" t="s">
        <v>1546</v>
      </c>
      <c r="H571" s="262" t="s">
        <v>1138</v>
      </c>
      <c r="I571" s="208">
        <v>1</v>
      </c>
      <c r="J571" s="276">
        <v>1.1382300000000001</v>
      </c>
      <c r="K571" s="276">
        <v>1.1382300000000001</v>
      </c>
      <c r="L571" s="276">
        <v>0</v>
      </c>
    </row>
    <row r="572" spans="1:12" ht="26.4" customHeight="1">
      <c r="A572" s="207">
        <v>126</v>
      </c>
      <c r="B572" s="543"/>
      <c r="C572" s="289" t="s">
        <v>214</v>
      </c>
      <c r="D572" s="289" t="s">
        <v>1409</v>
      </c>
      <c r="E572" s="288" t="s">
        <v>913</v>
      </c>
      <c r="F572" s="288">
        <v>2249</v>
      </c>
      <c r="G572" s="236" t="s">
        <v>1546</v>
      </c>
      <c r="H572" s="262" t="s">
        <v>1138</v>
      </c>
      <c r="I572" s="208">
        <v>1</v>
      </c>
      <c r="J572" s="276">
        <v>1.1382300000000001</v>
      </c>
      <c r="K572" s="276">
        <v>1.1382300000000001</v>
      </c>
      <c r="L572" s="276">
        <v>0</v>
      </c>
    </row>
    <row r="573" spans="1:12" ht="26.4" customHeight="1">
      <c r="A573" s="207">
        <v>127</v>
      </c>
      <c r="B573" s="543"/>
      <c r="C573" s="289" t="s">
        <v>214</v>
      </c>
      <c r="D573" s="289" t="s">
        <v>1409</v>
      </c>
      <c r="E573" s="288" t="s">
        <v>913</v>
      </c>
      <c r="F573" s="288">
        <v>2250</v>
      </c>
      <c r="G573" s="236" t="s">
        <v>1546</v>
      </c>
      <c r="H573" s="262" t="s">
        <v>1138</v>
      </c>
      <c r="I573" s="208">
        <v>1</v>
      </c>
      <c r="J573" s="276">
        <v>1.1382300000000001</v>
      </c>
      <c r="K573" s="276">
        <v>1.1382300000000001</v>
      </c>
      <c r="L573" s="276">
        <v>0</v>
      </c>
    </row>
    <row r="574" spans="1:12" ht="26.4" customHeight="1">
      <c r="A574" s="207">
        <v>128</v>
      </c>
      <c r="B574" s="543"/>
      <c r="C574" s="289" t="s">
        <v>214</v>
      </c>
      <c r="D574" s="289" t="s">
        <v>1409</v>
      </c>
      <c r="E574" s="288" t="s">
        <v>913</v>
      </c>
      <c r="F574" s="288">
        <v>2251</v>
      </c>
      <c r="G574" s="236" t="s">
        <v>1546</v>
      </c>
      <c r="H574" s="262" t="s">
        <v>1138</v>
      </c>
      <c r="I574" s="208">
        <v>1</v>
      </c>
      <c r="J574" s="276">
        <v>1.1382300000000001</v>
      </c>
      <c r="K574" s="276">
        <v>1.1382300000000001</v>
      </c>
      <c r="L574" s="276">
        <v>0</v>
      </c>
    </row>
    <row r="575" spans="1:12" ht="26.4" customHeight="1">
      <c r="A575" s="207">
        <v>129</v>
      </c>
      <c r="B575" s="543"/>
      <c r="C575" s="289" t="s">
        <v>214</v>
      </c>
      <c r="D575" s="289" t="s">
        <v>1409</v>
      </c>
      <c r="E575" s="288" t="s">
        <v>913</v>
      </c>
      <c r="F575" s="288">
        <v>2252</v>
      </c>
      <c r="G575" s="236" t="s">
        <v>1546</v>
      </c>
      <c r="H575" s="262" t="s">
        <v>1138</v>
      </c>
      <c r="I575" s="208">
        <v>1</v>
      </c>
      <c r="J575" s="276">
        <v>1.1382300000000001</v>
      </c>
      <c r="K575" s="276">
        <v>1.1382300000000001</v>
      </c>
      <c r="L575" s="276">
        <v>0</v>
      </c>
    </row>
    <row r="576" spans="1:12" ht="26.4" customHeight="1">
      <c r="A576" s="207">
        <v>130</v>
      </c>
      <c r="B576" s="543"/>
      <c r="C576" s="289" t="s">
        <v>214</v>
      </c>
      <c r="D576" s="289" t="s">
        <v>1409</v>
      </c>
      <c r="E576" s="288" t="s">
        <v>913</v>
      </c>
      <c r="F576" s="288">
        <v>2253</v>
      </c>
      <c r="G576" s="236" t="s">
        <v>1546</v>
      </c>
      <c r="H576" s="262" t="s">
        <v>1138</v>
      </c>
      <c r="I576" s="208">
        <v>1</v>
      </c>
      <c r="J576" s="276">
        <v>1.1382300000000001</v>
      </c>
      <c r="K576" s="276">
        <v>1.1382300000000001</v>
      </c>
      <c r="L576" s="276">
        <v>0</v>
      </c>
    </row>
    <row r="577" spans="1:12" ht="26.4" customHeight="1">
      <c r="A577" s="207">
        <v>131</v>
      </c>
      <c r="B577" s="543"/>
      <c r="C577" s="289" t="s">
        <v>214</v>
      </c>
      <c r="D577" s="289" t="s">
        <v>1409</v>
      </c>
      <c r="E577" s="288" t="s">
        <v>913</v>
      </c>
      <c r="F577" s="288">
        <v>2254</v>
      </c>
      <c r="G577" s="236" t="s">
        <v>1546</v>
      </c>
      <c r="H577" s="262" t="s">
        <v>1138</v>
      </c>
      <c r="I577" s="208">
        <v>1</v>
      </c>
      <c r="J577" s="276">
        <v>1.1382300000000001</v>
      </c>
      <c r="K577" s="276">
        <v>1.1382300000000001</v>
      </c>
      <c r="L577" s="276">
        <v>0</v>
      </c>
    </row>
    <row r="578" spans="1:12" ht="26.4" customHeight="1">
      <c r="A578" s="207">
        <v>132</v>
      </c>
      <c r="B578" s="543"/>
      <c r="C578" s="289" t="s">
        <v>214</v>
      </c>
      <c r="D578" s="289" t="s">
        <v>1409</v>
      </c>
      <c r="E578" s="288" t="s">
        <v>913</v>
      </c>
      <c r="F578" s="288">
        <v>2255</v>
      </c>
      <c r="G578" s="236" t="s">
        <v>1546</v>
      </c>
      <c r="H578" s="262" t="s">
        <v>1138</v>
      </c>
      <c r="I578" s="208">
        <v>1</v>
      </c>
      <c r="J578" s="276">
        <v>1.1382300000000001</v>
      </c>
      <c r="K578" s="276">
        <v>1.1382300000000001</v>
      </c>
      <c r="L578" s="276">
        <v>0</v>
      </c>
    </row>
    <row r="579" spans="1:12" ht="26.4" customHeight="1">
      <c r="A579" s="207">
        <v>133</v>
      </c>
      <c r="B579" s="543"/>
      <c r="C579" s="289" t="s">
        <v>214</v>
      </c>
      <c r="D579" s="289" t="s">
        <v>1409</v>
      </c>
      <c r="E579" s="288" t="s">
        <v>913</v>
      </c>
      <c r="F579" s="288">
        <v>2256</v>
      </c>
      <c r="G579" s="236" t="s">
        <v>1546</v>
      </c>
      <c r="H579" s="262" t="s">
        <v>1138</v>
      </c>
      <c r="I579" s="208">
        <v>1</v>
      </c>
      <c r="J579" s="276">
        <v>1.1382300000000001</v>
      </c>
      <c r="K579" s="276">
        <v>1.1382300000000001</v>
      </c>
      <c r="L579" s="276">
        <v>0</v>
      </c>
    </row>
    <row r="580" spans="1:12" ht="26.4" customHeight="1">
      <c r="A580" s="207">
        <v>134</v>
      </c>
      <c r="B580" s="543"/>
      <c r="C580" s="289" t="s">
        <v>214</v>
      </c>
      <c r="D580" s="289" t="s">
        <v>1409</v>
      </c>
      <c r="E580" s="288" t="s">
        <v>913</v>
      </c>
      <c r="F580" s="288">
        <v>2257</v>
      </c>
      <c r="G580" s="236" t="s">
        <v>1546</v>
      </c>
      <c r="H580" s="262" t="s">
        <v>1138</v>
      </c>
      <c r="I580" s="208">
        <v>1</v>
      </c>
      <c r="J580" s="276">
        <v>1.1382300000000001</v>
      </c>
      <c r="K580" s="276">
        <v>1.1382300000000001</v>
      </c>
      <c r="L580" s="276">
        <v>0</v>
      </c>
    </row>
    <row r="581" spans="1:12" ht="26.4" customHeight="1">
      <c r="A581" s="207">
        <v>135</v>
      </c>
      <c r="B581" s="543"/>
      <c r="C581" s="289" t="s">
        <v>214</v>
      </c>
      <c r="D581" s="289" t="s">
        <v>1409</v>
      </c>
      <c r="E581" s="288" t="s">
        <v>913</v>
      </c>
      <c r="F581" s="288">
        <v>2258</v>
      </c>
      <c r="G581" s="236" t="s">
        <v>1546</v>
      </c>
      <c r="H581" s="262" t="s">
        <v>1138</v>
      </c>
      <c r="I581" s="208">
        <v>1</v>
      </c>
      <c r="J581" s="276">
        <v>1.1382300000000001</v>
      </c>
      <c r="K581" s="276">
        <v>1.1382300000000001</v>
      </c>
      <c r="L581" s="276">
        <v>0</v>
      </c>
    </row>
    <row r="582" spans="1:12" ht="26.4" customHeight="1">
      <c r="A582" s="207">
        <v>136</v>
      </c>
      <c r="B582" s="543"/>
      <c r="C582" s="289" t="s">
        <v>214</v>
      </c>
      <c r="D582" s="289" t="s">
        <v>1409</v>
      </c>
      <c r="E582" s="288" t="s">
        <v>913</v>
      </c>
      <c r="F582" s="288">
        <v>2259</v>
      </c>
      <c r="G582" s="236" t="s">
        <v>1546</v>
      </c>
      <c r="H582" s="262" t="s">
        <v>1138</v>
      </c>
      <c r="I582" s="208">
        <v>1</v>
      </c>
      <c r="J582" s="276">
        <v>1.1382300000000001</v>
      </c>
      <c r="K582" s="276">
        <v>1.1382300000000001</v>
      </c>
      <c r="L582" s="276">
        <v>0</v>
      </c>
    </row>
    <row r="583" spans="1:12" ht="26.4" customHeight="1">
      <c r="A583" s="207">
        <v>137</v>
      </c>
      <c r="B583" s="543"/>
      <c r="C583" s="289" t="s">
        <v>214</v>
      </c>
      <c r="D583" s="289" t="s">
        <v>1409</v>
      </c>
      <c r="E583" s="288" t="s">
        <v>913</v>
      </c>
      <c r="F583" s="288">
        <v>2260</v>
      </c>
      <c r="G583" s="236" t="s">
        <v>1546</v>
      </c>
      <c r="H583" s="262" t="s">
        <v>1138</v>
      </c>
      <c r="I583" s="208">
        <v>1</v>
      </c>
      <c r="J583" s="276">
        <v>1.1382300000000001</v>
      </c>
      <c r="K583" s="276">
        <v>1.1382300000000001</v>
      </c>
      <c r="L583" s="276">
        <v>0</v>
      </c>
    </row>
    <row r="584" spans="1:12" ht="26.4" customHeight="1">
      <c r="A584" s="207">
        <v>138</v>
      </c>
      <c r="B584" s="543"/>
      <c r="C584" s="289" t="s">
        <v>214</v>
      </c>
      <c r="D584" s="289" t="s">
        <v>1409</v>
      </c>
      <c r="E584" s="288" t="s">
        <v>913</v>
      </c>
      <c r="F584" s="288">
        <v>2261</v>
      </c>
      <c r="G584" s="236" t="s">
        <v>1546</v>
      </c>
      <c r="H584" s="262" t="s">
        <v>1138</v>
      </c>
      <c r="I584" s="208">
        <v>1</v>
      </c>
      <c r="J584" s="276">
        <v>1.1382300000000001</v>
      </c>
      <c r="K584" s="276">
        <v>1.1382300000000001</v>
      </c>
      <c r="L584" s="276">
        <v>0</v>
      </c>
    </row>
    <row r="585" spans="1:12" ht="26.4" customHeight="1">
      <c r="A585" s="207">
        <v>139</v>
      </c>
      <c r="B585" s="543"/>
      <c r="C585" s="289" t="s">
        <v>214</v>
      </c>
      <c r="D585" s="289" t="s">
        <v>1409</v>
      </c>
      <c r="E585" s="288" t="s">
        <v>913</v>
      </c>
      <c r="F585" s="288">
        <v>2262</v>
      </c>
      <c r="G585" s="236" t="s">
        <v>1546</v>
      </c>
      <c r="H585" s="262" t="s">
        <v>1138</v>
      </c>
      <c r="I585" s="208">
        <v>1</v>
      </c>
      <c r="J585" s="276">
        <v>1.1382300000000001</v>
      </c>
      <c r="K585" s="276">
        <v>1.1382300000000001</v>
      </c>
      <c r="L585" s="276">
        <v>0</v>
      </c>
    </row>
    <row r="586" spans="1:12" ht="26.4" customHeight="1">
      <c r="A586" s="207">
        <v>140</v>
      </c>
      <c r="B586" s="543"/>
      <c r="C586" s="289" t="s">
        <v>214</v>
      </c>
      <c r="D586" s="289" t="s">
        <v>1409</v>
      </c>
      <c r="E586" s="288" t="s">
        <v>913</v>
      </c>
      <c r="F586" s="288">
        <v>2263</v>
      </c>
      <c r="G586" s="236" t="s">
        <v>1546</v>
      </c>
      <c r="H586" s="262" t="s">
        <v>1138</v>
      </c>
      <c r="I586" s="208">
        <v>1</v>
      </c>
      <c r="J586" s="276">
        <v>1.1382300000000001</v>
      </c>
      <c r="K586" s="276">
        <v>1.1382300000000001</v>
      </c>
      <c r="L586" s="276">
        <v>0</v>
      </c>
    </row>
    <row r="587" spans="1:12" ht="26.4" customHeight="1">
      <c r="A587" s="207">
        <v>141</v>
      </c>
      <c r="B587" s="543"/>
      <c r="C587" s="289" t="s">
        <v>214</v>
      </c>
      <c r="D587" s="289" t="s">
        <v>1409</v>
      </c>
      <c r="E587" s="288" t="s">
        <v>913</v>
      </c>
      <c r="F587" s="288">
        <v>2264</v>
      </c>
      <c r="G587" s="236" t="s">
        <v>1546</v>
      </c>
      <c r="H587" s="262" t="s">
        <v>1138</v>
      </c>
      <c r="I587" s="208">
        <v>1</v>
      </c>
      <c r="J587" s="276">
        <v>1.1382300000000001</v>
      </c>
      <c r="K587" s="276">
        <v>1.1382300000000001</v>
      </c>
      <c r="L587" s="276">
        <v>0</v>
      </c>
    </row>
    <row r="588" spans="1:12" ht="26.4" customHeight="1">
      <c r="A588" s="207">
        <v>142</v>
      </c>
      <c r="B588" s="543"/>
      <c r="C588" s="289" t="s">
        <v>214</v>
      </c>
      <c r="D588" s="289" t="s">
        <v>1409</v>
      </c>
      <c r="E588" s="288" t="s">
        <v>913</v>
      </c>
      <c r="F588" s="288">
        <v>2265</v>
      </c>
      <c r="G588" s="236" t="s">
        <v>1546</v>
      </c>
      <c r="H588" s="262" t="s">
        <v>1138</v>
      </c>
      <c r="I588" s="208">
        <v>1</v>
      </c>
      <c r="J588" s="276">
        <v>1.1382300000000001</v>
      </c>
      <c r="K588" s="276">
        <v>1.1382300000000001</v>
      </c>
      <c r="L588" s="276">
        <v>0</v>
      </c>
    </row>
    <row r="589" spans="1:12" ht="26.4" customHeight="1">
      <c r="A589" s="207">
        <v>143</v>
      </c>
      <c r="B589" s="543"/>
      <c r="C589" s="289" t="s">
        <v>214</v>
      </c>
      <c r="D589" s="289" t="s">
        <v>1409</v>
      </c>
      <c r="E589" s="288" t="s">
        <v>913</v>
      </c>
      <c r="F589" s="288">
        <v>2266</v>
      </c>
      <c r="G589" s="236" t="s">
        <v>1546</v>
      </c>
      <c r="H589" s="262" t="s">
        <v>1138</v>
      </c>
      <c r="I589" s="208">
        <v>1</v>
      </c>
      <c r="J589" s="276">
        <v>1.1382300000000001</v>
      </c>
      <c r="K589" s="276">
        <v>1.1382300000000001</v>
      </c>
      <c r="L589" s="276">
        <v>0</v>
      </c>
    </row>
    <row r="590" spans="1:12" ht="26.4" customHeight="1">
      <c r="A590" s="207">
        <v>144</v>
      </c>
      <c r="B590" s="543"/>
      <c r="C590" s="289" t="s">
        <v>214</v>
      </c>
      <c r="D590" s="289" t="s">
        <v>1409</v>
      </c>
      <c r="E590" s="288" t="s">
        <v>913</v>
      </c>
      <c r="F590" s="288">
        <v>2267</v>
      </c>
      <c r="G590" s="236" t="s">
        <v>1546</v>
      </c>
      <c r="H590" s="262" t="s">
        <v>1138</v>
      </c>
      <c r="I590" s="208">
        <v>1</v>
      </c>
      <c r="J590" s="276">
        <v>1.1382300000000001</v>
      </c>
      <c r="K590" s="276">
        <v>1.1382300000000001</v>
      </c>
      <c r="L590" s="276">
        <v>0</v>
      </c>
    </row>
    <row r="591" spans="1:12" ht="26.4" customHeight="1">
      <c r="A591" s="207">
        <v>145</v>
      </c>
      <c r="B591" s="543"/>
      <c r="C591" s="289" t="s">
        <v>214</v>
      </c>
      <c r="D591" s="289" t="s">
        <v>1409</v>
      </c>
      <c r="E591" s="288" t="s">
        <v>913</v>
      </c>
      <c r="F591" s="288">
        <v>2268</v>
      </c>
      <c r="G591" s="236" t="s">
        <v>1546</v>
      </c>
      <c r="H591" s="262" t="s">
        <v>1138</v>
      </c>
      <c r="I591" s="208">
        <v>1</v>
      </c>
      <c r="J591" s="276">
        <v>1.1382300000000001</v>
      </c>
      <c r="K591" s="276">
        <v>1.1382300000000001</v>
      </c>
      <c r="L591" s="276">
        <v>0</v>
      </c>
    </row>
    <row r="592" spans="1:12" ht="26.4" customHeight="1">
      <c r="A592" s="207">
        <v>146</v>
      </c>
      <c r="B592" s="543"/>
      <c r="C592" s="289" t="s">
        <v>214</v>
      </c>
      <c r="D592" s="289" t="s">
        <v>1409</v>
      </c>
      <c r="E592" s="288" t="s">
        <v>913</v>
      </c>
      <c r="F592" s="288">
        <v>2269</v>
      </c>
      <c r="G592" s="236" t="s">
        <v>1546</v>
      </c>
      <c r="H592" s="262" t="s">
        <v>1138</v>
      </c>
      <c r="I592" s="208">
        <v>1</v>
      </c>
      <c r="J592" s="276">
        <v>1.1382300000000001</v>
      </c>
      <c r="K592" s="276">
        <v>1.1382300000000001</v>
      </c>
      <c r="L592" s="276">
        <v>0</v>
      </c>
    </row>
    <row r="593" spans="1:12" ht="26.4" customHeight="1">
      <c r="A593" s="207">
        <v>147</v>
      </c>
      <c r="B593" s="543"/>
      <c r="C593" s="289" t="s">
        <v>214</v>
      </c>
      <c r="D593" s="289" t="s">
        <v>1409</v>
      </c>
      <c r="E593" s="288" t="s">
        <v>913</v>
      </c>
      <c r="F593" s="288">
        <v>2270</v>
      </c>
      <c r="G593" s="236" t="s">
        <v>1546</v>
      </c>
      <c r="H593" s="262" t="s">
        <v>1138</v>
      </c>
      <c r="I593" s="208">
        <v>1</v>
      </c>
      <c r="J593" s="276">
        <v>1.1382300000000001</v>
      </c>
      <c r="K593" s="276">
        <v>1.1382300000000001</v>
      </c>
      <c r="L593" s="276">
        <v>0</v>
      </c>
    </row>
    <row r="594" spans="1:12" ht="26.4" customHeight="1">
      <c r="A594" s="207">
        <v>148</v>
      </c>
      <c r="B594" s="543"/>
      <c r="C594" s="289" t="s">
        <v>214</v>
      </c>
      <c r="D594" s="289" t="s">
        <v>1409</v>
      </c>
      <c r="E594" s="288" t="s">
        <v>913</v>
      </c>
      <c r="F594" s="288">
        <v>2271</v>
      </c>
      <c r="G594" s="236" t="s">
        <v>1546</v>
      </c>
      <c r="H594" s="262" t="s">
        <v>1138</v>
      </c>
      <c r="I594" s="208">
        <v>1</v>
      </c>
      <c r="J594" s="276">
        <v>1.1382300000000001</v>
      </c>
      <c r="K594" s="276">
        <v>1.1382300000000001</v>
      </c>
      <c r="L594" s="276">
        <v>0</v>
      </c>
    </row>
    <row r="595" spans="1:12" ht="26.4" customHeight="1">
      <c r="A595" s="207">
        <v>149</v>
      </c>
      <c r="B595" s="543"/>
      <c r="C595" s="289" t="s">
        <v>214</v>
      </c>
      <c r="D595" s="289" t="s">
        <v>1409</v>
      </c>
      <c r="E595" s="288" t="s">
        <v>913</v>
      </c>
      <c r="F595" s="288">
        <v>2272</v>
      </c>
      <c r="G595" s="236" t="s">
        <v>1546</v>
      </c>
      <c r="H595" s="262" t="s">
        <v>1138</v>
      </c>
      <c r="I595" s="208">
        <v>1</v>
      </c>
      <c r="J595" s="276">
        <v>1.1382300000000001</v>
      </c>
      <c r="K595" s="276">
        <v>1.1382300000000001</v>
      </c>
      <c r="L595" s="276">
        <v>0</v>
      </c>
    </row>
    <row r="596" spans="1:12" ht="26.4" customHeight="1">
      <c r="A596" s="207">
        <v>150</v>
      </c>
      <c r="B596" s="543"/>
      <c r="C596" s="289" t="s">
        <v>214</v>
      </c>
      <c r="D596" s="289" t="s">
        <v>1409</v>
      </c>
      <c r="E596" s="288" t="s">
        <v>913</v>
      </c>
      <c r="F596" s="288">
        <v>2273</v>
      </c>
      <c r="G596" s="236" t="s">
        <v>1546</v>
      </c>
      <c r="H596" s="262" t="s">
        <v>1138</v>
      </c>
      <c r="I596" s="208">
        <v>1</v>
      </c>
      <c r="J596" s="276">
        <v>1.1382300000000001</v>
      </c>
      <c r="K596" s="276">
        <v>1.1382300000000001</v>
      </c>
      <c r="L596" s="276">
        <v>0</v>
      </c>
    </row>
    <row r="597" spans="1:12" ht="26.4" customHeight="1">
      <c r="A597" s="207">
        <v>151</v>
      </c>
      <c r="B597" s="543"/>
      <c r="C597" s="289" t="s">
        <v>214</v>
      </c>
      <c r="D597" s="289" t="s">
        <v>1409</v>
      </c>
      <c r="E597" s="288" t="s">
        <v>913</v>
      </c>
      <c r="F597" s="288">
        <v>2274</v>
      </c>
      <c r="G597" s="236" t="s">
        <v>1546</v>
      </c>
      <c r="H597" s="262" t="s">
        <v>1138</v>
      </c>
      <c r="I597" s="208">
        <v>1</v>
      </c>
      <c r="J597" s="276">
        <v>1.1382300000000001</v>
      </c>
      <c r="K597" s="276">
        <v>1.1382300000000001</v>
      </c>
      <c r="L597" s="276">
        <v>0</v>
      </c>
    </row>
    <row r="598" spans="1:12" ht="26.4" customHeight="1">
      <c r="A598" s="207">
        <v>152</v>
      </c>
      <c r="B598" s="543"/>
      <c r="C598" s="289" t="s">
        <v>214</v>
      </c>
      <c r="D598" s="289" t="s">
        <v>1409</v>
      </c>
      <c r="E598" s="288" t="s">
        <v>913</v>
      </c>
      <c r="F598" s="288">
        <v>2275</v>
      </c>
      <c r="G598" s="236" t="s">
        <v>1546</v>
      </c>
      <c r="H598" s="262" t="s">
        <v>1138</v>
      </c>
      <c r="I598" s="208">
        <v>1</v>
      </c>
      <c r="J598" s="276">
        <v>1.1382300000000001</v>
      </c>
      <c r="K598" s="276">
        <v>1.1382300000000001</v>
      </c>
      <c r="L598" s="276">
        <v>0</v>
      </c>
    </row>
    <row r="599" spans="1:12" ht="26.4" customHeight="1">
      <c r="A599" s="207">
        <v>153</v>
      </c>
      <c r="B599" s="543"/>
      <c r="C599" s="289" t="s">
        <v>214</v>
      </c>
      <c r="D599" s="289" t="s">
        <v>1409</v>
      </c>
      <c r="E599" s="288" t="s">
        <v>913</v>
      </c>
      <c r="F599" s="288">
        <v>2276</v>
      </c>
      <c r="G599" s="236" t="s">
        <v>1546</v>
      </c>
      <c r="H599" s="262" t="s">
        <v>1138</v>
      </c>
      <c r="I599" s="208">
        <v>1</v>
      </c>
      <c r="J599" s="276">
        <v>1.1382300000000001</v>
      </c>
      <c r="K599" s="276">
        <v>1.1382300000000001</v>
      </c>
      <c r="L599" s="276">
        <v>0</v>
      </c>
    </row>
    <row r="600" spans="1:12" ht="26.4" customHeight="1">
      <c r="A600" s="207">
        <v>154</v>
      </c>
      <c r="B600" s="543"/>
      <c r="C600" s="289" t="s">
        <v>214</v>
      </c>
      <c r="D600" s="289" t="s">
        <v>1409</v>
      </c>
      <c r="E600" s="288" t="s">
        <v>913</v>
      </c>
      <c r="F600" s="288">
        <v>2277</v>
      </c>
      <c r="G600" s="236" t="s">
        <v>1546</v>
      </c>
      <c r="H600" s="262" t="s">
        <v>1138</v>
      </c>
      <c r="I600" s="208">
        <v>1</v>
      </c>
      <c r="J600" s="276">
        <v>1.1382300000000001</v>
      </c>
      <c r="K600" s="276">
        <v>1.1382300000000001</v>
      </c>
      <c r="L600" s="276">
        <v>0</v>
      </c>
    </row>
    <row r="601" spans="1:12" ht="26.4" customHeight="1">
      <c r="A601" s="207">
        <v>155</v>
      </c>
      <c r="B601" s="543"/>
      <c r="C601" s="289" t="s">
        <v>214</v>
      </c>
      <c r="D601" s="289" t="s">
        <v>1409</v>
      </c>
      <c r="E601" s="288" t="s">
        <v>913</v>
      </c>
      <c r="F601" s="288">
        <v>2278</v>
      </c>
      <c r="G601" s="236" t="s">
        <v>1546</v>
      </c>
      <c r="H601" s="262" t="s">
        <v>1138</v>
      </c>
      <c r="I601" s="208">
        <v>1</v>
      </c>
      <c r="J601" s="276">
        <v>1.1382300000000001</v>
      </c>
      <c r="K601" s="276">
        <v>1.1382300000000001</v>
      </c>
      <c r="L601" s="276">
        <v>0</v>
      </c>
    </row>
    <row r="602" spans="1:12" ht="26.4" customHeight="1">
      <c r="A602" s="207">
        <v>156</v>
      </c>
      <c r="B602" s="543"/>
      <c r="C602" s="289" t="s">
        <v>214</v>
      </c>
      <c r="D602" s="289" t="s">
        <v>1409</v>
      </c>
      <c r="E602" s="288" t="s">
        <v>913</v>
      </c>
      <c r="F602" s="288">
        <v>2279</v>
      </c>
      <c r="G602" s="236" t="s">
        <v>1546</v>
      </c>
      <c r="H602" s="262" t="s">
        <v>1138</v>
      </c>
      <c r="I602" s="208">
        <v>1</v>
      </c>
      <c r="J602" s="276">
        <v>1.1382300000000001</v>
      </c>
      <c r="K602" s="276">
        <v>1.1382300000000001</v>
      </c>
      <c r="L602" s="276">
        <v>0</v>
      </c>
    </row>
    <row r="603" spans="1:12" ht="26.4" customHeight="1">
      <c r="A603" s="207">
        <v>157</v>
      </c>
      <c r="B603" s="543"/>
      <c r="C603" s="289" t="s">
        <v>214</v>
      </c>
      <c r="D603" s="289" t="s">
        <v>1409</v>
      </c>
      <c r="E603" s="288" t="s">
        <v>913</v>
      </c>
      <c r="F603" s="288">
        <v>2280</v>
      </c>
      <c r="G603" s="236" t="s">
        <v>1546</v>
      </c>
      <c r="H603" s="262" t="s">
        <v>1138</v>
      </c>
      <c r="I603" s="208">
        <v>1</v>
      </c>
      <c r="J603" s="276">
        <v>1.1382300000000001</v>
      </c>
      <c r="K603" s="276">
        <v>1.1382300000000001</v>
      </c>
      <c r="L603" s="276">
        <v>0</v>
      </c>
    </row>
    <row r="604" spans="1:12" ht="26.4" customHeight="1">
      <c r="A604" s="207">
        <v>158</v>
      </c>
      <c r="B604" s="543"/>
      <c r="C604" s="289" t="s">
        <v>214</v>
      </c>
      <c r="D604" s="289" t="s">
        <v>1409</v>
      </c>
      <c r="E604" s="288" t="s">
        <v>913</v>
      </c>
      <c r="F604" s="288">
        <v>2281</v>
      </c>
      <c r="G604" s="236" t="s">
        <v>1546</v>
      </c>
      <c r="H604" s="262" t="s">
        <v>1138</v>
      </c>
      <c r="I604" s="208">
        <v>1</v>
      </c>
      <c r="J604" s="276">
        <v>1.1382300000000001</v>
      </c>
      <c r="K604" s="276">
        <v>1.1382300000000001</v>
      </c>
      <c r="L604" s="276">
        <v>0</v>
      </c>
    </row>
    <row r="605" spans="1:12" ht="26.4" customHeight="1">
      <c r="A605" s="207">
        <v>159</v>
      </c>
      <c r="B605" s="543"/>
      <c r="C605" s="289" t="s">
        <v>214</v>
      </c>
      <c r="D605" s="289" t="s">
        <v>1409</v>
      </c>
      <c r="E605" s="288" t="s">
        <v>913</v>
      </c>
      <c r="F605" s="288">
        <v>2282</v>
      </c>
      <c r="G605" s="236" t="s">
        <v>1546</v>
      </c>
      <c r="H605" s="262" t="s">
        <v>1138</v>
      </c>
      <c r="I605" s="208">
        <v>1</v>
      </c>
      <c r="J605" s="276">
        <v>1.1382300000000001</v>
      </c>
      <c r="K605" s="276">
        <v>1.1382300000000001</v>
      </c>
      <c r="L605" s="276">
        <v>0</v>
      </c>
    </row>
    <row r="606" spans="1:12" ht="26.4" customHeight="1">
      <c r="A606" s="207">
        <v>160</v>
      </c>
      <c r="B606" s="543"/>
      <c r="C606" s="289" t="s">
        <v>214</v>
      </c>
      <c r="D606" s="289" t="s">
        <v>1409</v>
      </c>
      <c r="E606" s="288" t="s">
        <v>913</v>
      </c>
      <c r="F606" s="288">
        <v>2283</v>
      </c>
      <c r="G606" s="236" t="s">
        <v>1546</v>
      </c>
      <c r="H606" s="262" t="s">
        <v>1138</v>
      </c>
      <c r="I606" s="208">
        <v>1</v>
      </c>
      <c r="J606" s="276">
        <v>1.1382300000000001</v>
      </c>
      <c r="K606" s="276">
        <v>1.1382300000000001</v>
      </c>
      <c r="L606" s="276">
        <v>0</v>
      </c>
    </row>
    <row r="607" spans="1:12" ht="26.4" customHeight="1">
      <c r="A607" s="207">
        <v>161</v>
      </c>
      <c r="B607" s="543"/>
      <c r="C607" s="289" t="s">
        <v>214</v>
      </c>
      <c r="D607" s="289" t="s">
        <v>1409</v>
      </c>
      <c r="E607" s="288" t="s">
        <v>913</v>
      </c>
      <c r="F607" s="288">
        <v>2284</v>
      </c>
      <c r="G607" s="236" t="s">
        <v>1546</v>
      </c>
      <c r="H607" s="262" t="s">
        <v>1138</v>
      </c>
      <c r="I607" s="208">
        <v>1</v>
      </c>
      <c r="J607" s="276">
        <v>1.1382300000000001</v>
      </c>
      <c r="K607" s="276">
        <v>1.1382300000000001</v>
      </c>
      <c r="L607" s="276">
        <v>0</v>
      </c>
    </row>
    <row r="608" spans="1:12" ht="26.4" customHeight="1">
      <c r="A608" s="207">
        <v>162</v>
      </c>
      <c r="B608" s="543"/>
      <c r="C608" s="289" t="s">
        <v>214</v>
      </c>
      <c r="D608" s="289" t="s">
        <v>1409</v>
      </c>
      <c r="E608" s="288" t="s">
        <v>2424</v>
      </c>
      <c r="F608" s="288">
        <v>2224</v>
      </c>
      <c r="G608" s="236" t="s">
        <v>1532</v>
      </c>
      <c r="H608" s="262" t="s">
        <v>631</v>
      </c>
      <c r="I608" s="479">
        <v>2477.3000000000002</v>
      </c>
      <c r="J608" s="276">
        <v>130.03013000000001</v>
      </c>
      <c r="K608" s="276">
        <v>130.03013000000001</v>
      </c>
      <c r="L608" s="276">
        <v>0</v>
      </c>
    </row>
    <row r="609" spans="1:12" ht="26.4" customHeight="1">
      <c r="A609" s="207">
        <v>163</v>
      </c>
      <c r="B609" s="543"/>
      <c r="C609" s="289" t="s">
        <v>214</v>
      </c>
      <c r="D609" s="289" t="s">
        <v>1409</v>
      </c>
      <c r="E609" s="288" t="s">
        <v>1853</v>
      </c>
      <c r="F609" s="288">
        <v>2285</v>
      </c>
      <c r="G609" s="236" t="s">
        <v>1546</v>
      </c>
      <c r="H609" s="262" t="s">
        <v>631</v>
      </c>
      <c r="I609" s="479">
        <v>13101.9</v>
      </c>
      <c r="J609" s="276">
        <v>2560.5216300000002</v>
      </c>
      <c r="K609" s="276">
        <v>1131.01766</v>
      </c>
      <c r="L609" s="276">
        <v>1429.50397</v>
      </c>
    </row>
    <row r="610" spans="1:12" ht="26.4" customHeight="1">
      <c r="A610" s="207">
        <v>164</v>
      </c>
      <c r="B610" s="543"/>
      <c r="C610" s="289" t="s">
        <v>214</v>
      </c>
      <c r="D610" s="289" t="s">
        <v>1409</v>
      </c>
      <c r="E610" s="288" t="s">
        <v>1853</v>
      </c>
      <c r="F610" s="288">
        <v>2533</v>
      </c>
      <c r="G610" s="236" t="s">
        <v>1139</v>
      </c>
      <c r="H610" s="262" t="s">
        <v>631</v>
      </c>
      <c r="I610" s="479">
        <v>709</v>
      </c>
      <c r="J610" s="276">
        <v>63.118130000000001</v>
      </c>
      <c r="K610" s="276">
        <v>49.603059999999999</v>
      </c>
      <c r="L610" s="276">
        <v>13.51507</v>
      </c>
    </row>
    <row r="611" spans="1:12" ht="26.4" customHeight="1">
      <c r="A611" s="207">
        <v>165</v>
      </c>
      <c r="B611" s="543"/>
      <c r="C611" s="289" t="s">
        <v>214</v>
      </c>
      <c r="D611" s="289" t="s">
        <v>1409</v>
      </c>
      <c r="E611" s="288" t="s">
        <v>1854</v>
      </c>
      <c r="F611" s="288">
        <v>121</v>
      </c>
      <c r="G611" s="236" t="s">
        <v>1536</v>
      </c>
      <c r="H611" s="262" t="s">
        <v>631</v>
      </c>
      <c r="I611" s="479">
        <v>348</v>
      </c>
      <c r="J611" s="276">
        <v>7.6435500000000003</v>
      </c>
      <c r="K611" s="276">
        <v>3.00027</v>
      </c>
      <c r="L611" s="276">
        <v>4.6432799999999999</v>
      </c>
    </row>
    <row r="612" spans="1:12" ht="26.4" customHeight="1">
      <c r="A612" s="207">
        <v>166</v>
      </c>
      <c r="B612" s="543"/>
      <c r="C612" s="289" t="s">
        <v>214</v>
      </c>
      <c r="D612" s="289" t="s">
        <v>1410</v>
      </c>
      <c r="E612" s="288" t="s">
        <v>2425</v>
      </c>
      <c r="F612" s="288">
        <v>1200</v>
      </c>
      <c r="G612" s="236" t="s">
        <v>1544</v>
      </c>
      <c r="H612" s="262" t="s">
        <v>1149</v>
      </c>
      <c r="I612" s="208">
        <v>834</v>
      </c>
      <c r="J612" s="276">
        <v>1872.3549499999999</v>
      </c>
      <c r="K612" s="274">
        <v>747.72931000000005</v>
      </c>
      <c r="L612" s="276">
        <v>1124.62564</v>
      </c>
    </row>
    <row r="613" spans="1:12" ht="26.4" customHeight="1">
      <c r="A613" s="207">
        <v>167</v>
      </c>
      <c r="B613" s="543"/>
      <c r="C613" s="289" t="s">
        <v>214</v>
      </c>
      <c r="D613" s="289" t="s">
        <v>1410</v>
      </c>
      <c r="E613" s="288" t="s">
        <v>1855</v>
      </c>
      <c r="F613" s="288">
        <v>1201</v>
      </c>
      <c r="G613" s="236" t="s">
        <v>1544</v>
      </c>
      <c r="H613" s="262" t="s">
        <v>631</v>
      </c>
      <c r="I613" s="479">
        <v>3666.9</v>
      </c>
      <c r="J613" s="276">
        <v>4340.0383199999997</v>
      </c>
      <c r="K613" s="276">
        <v>1241.0751399999999</v>
      </c>
      <c r="L613" s="276">
        <v>3098.9631800000002</v>
      </c>
    </row>
    <row r="614" spans="1:12" ht="26.4" customHeight="1">
      <c r="A614" s="207">
        <v>168</v>
      </c>
      <c r="B614" s="543"/>
      <c r="C614" s="289" t="s">
        <v>214</v>
      </c>
      <c r="D614" s="289" t="s">
        <v>1410</v>
      </c>
      <c r="E614" s="288" t="s">
        <v>1856</v>
      </c>
      <c r="F614" s="288">
        <v>2558</v>
      </c>
      <c r="G614" s="236" t="s">
        <v>1542</v>
      </c>
      <c r="H614" s="262" t="s">
        <v>631</v>
      </c>
      <c r="I614" s="208">
        <v>630</v>
      </c>
      <c r="J614" s="276">
        <v>30.150379999999998</v>
      </c>
      <c r="K614" s="276">
        <v>27.67858</v>
      </c>
      <c r="L614" s="276">
        <v>2.4718</v>
      </c>
    </row>
    <row r="615" spans="1:12" ht="26.4" customHeight="1">
      <c r="A615" s="207">
        <v>169</v>
      </c>
      <c r="B615" s="543"/>
      <c r="C615" s="289" t="s">
        <v>214</v>
      </c>
      <c r="D615" s="289" t="s">
        <v>1410</v>
      </c>
      <c r="E615" s="288" t="s">
        <v>1855</v>
      </c>
      <c r="F615" s="288">
        <v>5308</v>
      </c>
      <c r="G615" s="236" t="s">
        <v>1547</v>
      </c>
      <c r="H615" s="262" t="s">
        <v>631</v>
      </c>
      <c r="I615" s="479">
        <v>2610</v>
      </c>
      <c r="J615" s="276">
        <v>3170.2474999999999</v>
      </c>
      <c r="K615" s="276">
        <v>427.98374999999999</v>
      </c>
      <c r="L615" s="276">
        <v>2742.2637500000001</v>
      </c>
    </row>
    <row r="616" spans="1:12" ht="26.4" customHeight="1">
      <c r="A616" s="207">
        <v>170</v>
      </c>
      <c r="B616" s="543"/>
      <c r="C616" s="289" t="s">
        <v>214</v>
      </c>
      <c r="D616" s="289" t="s">
        <v>1410</v>
      </c>
      <c r="E616" s="288" t="s">
        <v>1855</v>
      </c>
      <c r="F616" s="288">
        <v>3722</v>
      </c>
      <c r="G616" s="236" t="s">
        <v>1537</v>
      </c>
      <c r="H616" s="262" t="s">
        <v>631</v>
      </c>
      <c r="I616" s="479">
        <v>7932.4</v>
      </c>
      <c r="J616" s="276">
        <v>638.14700000000005</v>
      </c>
      <c r="K616" s="276">
        <v>400.08908000000002</v>
      </c>
      <c r="L616" s="276">
        <v>238.05792</v>
      </c>
    </row>
    <row r="617" spans="1:12" ht="26.4" customHeight="1">
      <c r="A617" s="207">
        <v>171</v>
      </c>
      <c r="B617" s="543"/>
      <c r="C617" s="289" t="s">
        <v>214</v>
      </c>
      <c r="D617" s="289" t="s">
        <v>1410</v>
      </c>
      <c r="E617" s="288" t="s">
        <v>1260</v>
      </c>
      <c r="F617" s="288">
        <v>11739</v>
      </c>
      <c r="G617" s="236" t="s">
        <v>1548</v>
      </c>
      <c r="H617" s="262" t="s">
        <v>631</v>
      </c>
      <c r="I617" s="479">
        <v>1596</v>
      </c>
      <c r="J617" s="276">
        <v>93.691609999999997</v>
      </c>
      <c r="K617" s="276">
        <v>56.6051</v>
      </c>
      <c r="L617" s="276">
        <v>37.086509999999997</v>
      </c>
    </row>
    <row r="618" spans="1:12" ht="26.4" customHeight="1">
      <c r="A618" s="207">
        <v>172</v>
      </c>
      <c r="B618" s="543"/>
      <c r="C618" s="289" t="s">
        <v>214</v>
      </c>
      <c r="D618" s="289" t="s">
        <v>1410</v>
      </c>
      <c r="E618" s="288" t="s">
        <v>1857</v>
      </c>
      <c r="F618" s="288">
        <v>1202</v>
      </c>
      <c r="G618" s="236" t="s">
        <v>1544</v>
      </c>
      <c r="H618" s="262" t="s">
        <v>631</v>
      </c>
      <c r="I618" s="479">
        <v>86</v>
      </c>
      <c r="J618" s="276">
        <v>6.3011299999999997</v>
      </c>
      <c r="K618" s="276">
        <v>6.3011299999999997</v>
      </c>
      <c r="L618" s="276">
        <v>0</v>
      </c>
    </row>
    <row r="619" spans="1:12" ht="26.4" customHeight="1">
      <c r="A619" s="207">
        <v>173</v>
      </c>
      <c r="B619" s="543"/>
      <c r="C619" s="289" t="s">
        <v>214</v>
      </c>
      <c r="D619" s="289" t="s">
        <v>1410</v>
      </c>
      <c r="E619" s="288" t="s">
        <v>1858</v>
      </c>
      <c r="F619" s="288">
        <v>1203</v>
      </c>
      <c r="G619" s="236" t="s">
        <v>1544</v>
      </c>
      <c r="H619" s="262" t="s">
        <v>631</v>
      </c>
      <c r="I619" s="479">
        <v>127</v>
      </c>
      <c r="J619" s="276">
        <v>4.8949999999999996</v>
      </c>
      <c r="K619" s="276">
        <v>4.8949999999999996</v>
      </c>
      <c r="L619" s="276">
        <v>0</v>
      </c>
    </row>
    <row r="620" spans="1:12" ht="26.4" customHeight="1">
      <c r="A620" s="207">
        <v>174</v>
      </c>
      <c r="B620" s="543"/>
      <c r="C620" s="289" t="s">
        <v>214</v>
      </c>
      <c r="D620" s="289" t="s">
        <v>1411</v>
      </c>
      <c r="E620" s="288" t="s">
        <v>912</v>
      </c>
      <c r="F620" s="288">
        <v>1419</v>
      </c>
      <c r="G620" s="236" t="s">
        <v>1532</v>
      </c>
      <c r="H620" s="262" t="s">
        <v>1149</v>
      </c>
      <c r="I620" s="208">
        <v>479.5</v>
      </c>
      <c r="J620" s="276">
        <v>1016.96528</v>
      </c>
      <c r="K620" s="274">
        <v>358.98063999999999</v>
      </c>
      <c r="L620" s="276">
        <v>657.98464000000001</v>
      </c>
    </row>
    <row r="621" spans="1:12" ht="26.4" customHeight="1">
      <c r="A621" s="207">
        <v>175</v>
      </c>
      <c r="B621" s="543"/>
      <c r="C621" s="289" t="s">
        <v>214</v>
      </c>
      <c r="D621" s="289" t="s">
        <v>1411</v>
      </c>
      <c r="E621" s="288" t="s">
        <v>1859</v>
      </c>
      <c r="F621" s="288">
        <v>1421</v>
      </c>
      <c r="G621" s="236" t="s">
        <v>1532</v>
      </c>
      <c r="H621" s="262" t="s">
        <v>631</v>
      </c>
      <c r="I621" s="479">
        <v>4497.3999999999996</v>
      </c>
      <c r="J621" s="276">
        <v>1096.11707</v>
      </c>
      <c r="K621" s="276">
        <v>570.99437999999998</v>
      </c>
      <c r="L621" s="276">
        <v>525.12269000000003</v>
      </c>
    </row>
    <row r="622" spans="1:12" ht="26.4" customHeight="1">
      <c r="A622" s="207">
        <v>176</v>
      </c>
      <c r="B622" s="543"/>
      <c r="C622" s="289" t="s">
        <v>214</v>
      </c>
      <c r="D622" s="289" t="s">
        <v>1411</v>
      </c>
      <c r="E622" s="288" t="s">
        <v>1860</v>
      </c>
      <c r="F622" s="288">
        <v>120</v>
      </c>
      <c r="G622" s="236" t="s">
        <v>1536</v>
      </c>
      <c r="H622" s="262" t="s">
        <v>631</v>
      </c>
      <c r="I622" s="479">
        <v>3085</v>
      </c>
      <c r="J622" s="276">
        <v>78.111909999999995</v>
      </c>
      <c r="K622" s="276">
        <v>30.65896</v>
      </c>
      <c r="L622" s="276">
        <v>47.452950000000001</v>
      </c>
    </row>
    <row r="623" spans="1:12" ht="26.4" customHeight="1">
      <c r="A623" s="207">
        <v>177</v>
      </c>
      <c r="B623" s="543"/>
      <c r="C623" s="289" t="s">
        <v>214</v>
      </c>
      <c r="D623" s="289" t="s">
        <v>1411</v>
      </c>
      <c r="E623" s="288" t="s">
        <v>911</v>
      </c>
      <c r="F623" s="288">
        <v>1420</v>
      </c>
      <c r="G623" s="236" t="s">
        <v>1532</v>
      </c>
      <c r="H623" s="262" t="s">
        <v>1149</v>
      </c>
      <c r="I623" s="208">
        <v>80</v>
      </c>
      <c r="J623" s="276">
        <v>51.537669999999999</v>
      </c>
      <c r="K623" s="274">
        <v>29.11927</v>
      </c>
      <c r="L623" s="276">
        <v>22.418399999999998</v>
      </c>
    </row>
    <row r="624" spans="1:12" ht="26.4" customHeight="1">
      <c r="A624" s="207">
        <v>178</v>
      </c>
      <c r="B624" s="543"/>
      <c r="C624" s="289" t="s">
        <v>214</v>
      </c>
      <c r="D624" s="289" t="s">
        <v>1411</v>
      </c>
      <c r="E624" s="288" t="s">
        <v>910</v>
      </c>
      <c r="F624" s="288">
        <v>1400</v>
      </c>
      <c r="G624" s="236" t="s">
        <v>1544</v>
      </c>
      <c r="H624" s="262" t="s">
        <v>1149</v>
      </c>
      <c r="I624" s="208">
        <v>302</v>
      </c>
      <c r="J624" s="276">
        <v>245.73518999999999</v>
      </c>
      <c r="K624" s="274">
        <v>131.83444</v>
      </c>
      <c r="L624" s="276">
        <v>113.90075</v>
      </c>
    </row>
    <row r="625" spans="1:12" ht="26.4" customHeight="1">
      <c r="A625" s="207">
        <v>179</v>
      </c>
      <c r="B625" s="543"/>
      <c r="C625" s="289" t="s">
        <v>214</v>
      </c>
      <c r="D625" s="289" t="s">
        <v>1411</v>
      </c>
      <c r="E625" s="288" t="s">
        <v>1238</v>
      </c>
      <c r="F625" s="289">
        <v>1401</v>
      </c>
      <c r="G625" s="236" t="s">
        <v>1534</v>
      </c>
      <c r="H625" s="262" t="s">
        <v>631</v>
      </c>
      <c r="I625" s="479">
        <v>1369.2</v>
      </c>
      <c r="J625" s="276">
        <v>227.25310999999999</v>
      </c>
      <c r="K625" s="276">
        <v>165.13123999999999</v>
      </c>
      <c r="L625" s="276">
        <v>62.121870000000001</v>
      </c>
    </row>
    <row r="626" spans="1:12" ht="26.4" customHeight="1">
      <c r="A626" s="207">
        <v>180</v>
      </c>
      <c r="B626" s="543"/>
      <c r="C626" s="289" t="s">
        <v>214</v>
      </c>
      <c r="D626" s="289" t="s">
        <v>1412</v>
      </c>
      <c r="E626" s="288" t="s">
        <v>1178</v>
      </c>
      <c r="F626" s="288">
        <v>1137</v>
      </c>
      <c r="G626" s="236" t="s">
        <v>1549</v>
      </c>
      <c r="H626" s="262" t="s">
        <v>1149</v>
      </c>
      <c r="I626" s="208">
        <v>118.4</v>
      </c>
      <c r="J626" s="276">
        <v>164.43905000000001</v>
      </c>
      <c r="K626" s="274">
        <v>92.652659999999997</v>
      </c>
      <c r="L626" s="276">
        <v>71.786389999999997</v>
      </c>
    </row>
    <row r="627" spans="1:12" ht="26.4" customHeight="1">
      <c r="A627" s="207">
        <v>181</v>
      </c>
      <c r="B627" s="543"/>
      <c r="C627" s="289" t="s">
        <v>214</v>
      </c>
      <c r="D627" s="289" t="s">
        <v>1412</v>
      </c>
      <c r="E627" s="288" t="s">
        <v>1179</v>
      </c>
      <c r="F627" s="288">
        <v>1138</v>
      </c>
      <c r="G627" s="236" t="s">
        <v>1549</v>
      </c>
      <c r="H627" s="262" t="s">
        <v>631</v>
      </c>
      <c r="I627" s="479">
        <v>82</v>
      </c>
      <c r="J627" s="276">
        <v>178.73378</v>
      </c>
      <c r="K627" s="276">
        <v>37.209060000000001</v>
      </c>
      <c r="L627" s="276">
        <v>141.52472</v>
      </c>
    </row>
    <row r="628" spans="1:12" ht="26.4" customHeight="1">
      <c r="A628" s="207">
        <v>182</v>
      </c>
      <c r="B628" s="543"/>
      <c r="C628" s="289" t="s">
        <v>214</v>
      </c>
      <c r="D628" s="288" t="s">
        <v>1413</v>
      </c>
      <c r="E628" s="288" t="s">
        <v>1180</v>
      </c>
      <c r="F628" s="288">
        <v>1117</v>
      </c>
      <c r="G628" s="236" t="s">
        <v>1534</v>
      </c>
      <c r="H628" s="262" t="s">
        <v>1149</v>
      </c>
      <c r="I628" s="208">
        <v>133.6</v>
      </c>
      <c r="J628" s="276">
        <v>134.7576</v>
      </c>
      <c r="K628" s="274">
        <v>61.863329999999998</v>
      </c>
      <c r="L628" s="276">
        <v>72.894270000000006</v>
      </c>
    </row>
    <row r="629" spans="1:12" ht="26.4" customHeight="1">
      <c r="A629" s="207">
        <v>183</v>
      </c>
      <c r="B629" s="543"/>
      <c r="C629" s="289" t="s">
        <v>214</v>
      </c>
      <c r="D629" s="288" t="s">
        <v>1413</v>
      </c>
      <c r="E629" s="288" t="s">
        <v>2010</v>
      </c>
      <c r="F629" s="288">
        <v>1118</v>
      </c>
      <c r="G629" s="236" t="s">
        <v>1534</v>
      </c>
      <c r="H629" s="262" t="s">
        <v>631</v>
      </c>
      <c r="I629" s="479">
        <v>87</v>
      </c>
      <c r="J629" s="276">
        <v>1.2700499999999999</v>
      </c>
      <c r="K629" s="276">
        <v>1.2424500000000001</v>
      </c>
      <c r="L629" s="276">
        <v>2.76E-2</v>
      </c>
    </row>
    <row r="630" spans="1:12" ht="26.4" customHeight="1">
      <c r="A630" s="207">
        <v>184</v>
      </c>
      <c r="B630" s="543"/>
      <c r="C630" s="289" t="s">
        <v>214</v>
      </c>
      <c r="D630" s="288" t="s">
        <v>1413</v>
      </c>
      <c r="E630" s="288" t="s">
        <v>1181</v>
      </c>
      <c r="F630" s="288">
        <v>1119</v>
      </c>
      <c r="G630" s="236" t="s">
        <v>1534</v>
      </c>
      <c r="H630" s="262" t="s">
        <v>631</v>
      </c>
      <c r="I630" s="479">
        <v>45</v>
      </c>
      <c r="J630" s="276">
        <v>0.52698</v>
      </c>
      <c r="K630" s="276">
        <v>0.51458000000000004</v>
      </c>
      <c r="L630" s="276">
        <v>1.24E-2</v>
      </c>
    </row>
    <row r="631" spans="1:12" ht="26.4" customHeight="1">
      <c r="A631" s="207">
        <v>185</v>
      </c>
      <c r="B631" s="543"/>
      <c r="C631" s="289" t="s">
        <v>214</v>
      </c>
      <c r="D631" s="288" t="s">
        <v>1413</v>
      </c>
      <c r="E631" s="288" t="s">
        <v>1241</v>
      </c>
      <c r="F631" s="288">
        <v>1120</v>
      </c>
      <c r="G631" s="236" t="s">
        <v>1534</v>
      </c>
      <c r="H631" s="262" t="s">
        <v>631</v>
      </c>
      <c r="I631" s="479">
        <v>250</v>
      </c>
      <c r="J631" s="276">
        <v>1.2336499999999999</v>
      </c>
      <c r="K631" s="276">
        <v>1.2336499999999999</v>
      </c>
      <c r="L631" s="276">
        <v>0</v>
      </c>
    </row>
    <row r="632" spans="1:12" ht="26.4" customHeight="1">
      <c r="A632" s="207">
        <v>186</v>
      </c>
      <c r="B632" s="543"/>
      <c r="C632" s="289" t="s">
        <v>214</v>
      </c>
      <c r="D632" s="288" t="s">
        <v>1413</v>
      </c>
      <c r="E632" s="288" t="s">
        <v>1182</v>
      </c>
      <c r="F632" s="288">
        <v>2550</v>
      </c>
      <c r="G632" s="236" t="s">
        <v>1542</v>
      </c>
      <c r="H632" s="262" t="s">
        <v>631</v>
      </c>
      <c r="I632" s="479">
        <v>40</v>
      </c>
      <c r="J632" s="276">
        <v>1.248</v>
      </c>
      <c r="K632" s="276">
        <v>1.248</v>
      </c>
      <c r="L632" s="276">
        <v>0</v>
      </c>
    </row>
    <row r="633" spans="1:12" ht="26.4" customHeight="1">
      <c r="A633" s="207">
        <v>187</v>
      </c>
      <c r="B633" s="543"/>
      <c r="C633" s="289" t="s">
        <v>214</v>
      </c>
      <c r="D633" s="288" t="s">
        <v>1413</v>
      </c>
      <c r="E633" s="288" t="s">
        <v>1183</v>
      </c>
      <c r="F633" s="288">
        <v>2554</v>
      </c>
      <c r="G633" s="236" t="s">
        <v>1542</v>
      </c>
      <c r="H633" s="262" t="s">
        <v>1138</v>
      </c>
      <c r="I633" s="208">
        <v>1</v>
      </c>
      <c r="J633" s="276">
        <v>0.48914999999999997</v>
      </c>
      <c r="K633" s="276">
        <v>0.48914999999999997</v>
      </c>
      <c r="L633" s="276">
        <v>0</v>
      </c>
    </row>
    <row r="634" spans="1:12" ht="26.4" customHeight="1">
      <c r="A634" s="207">
        <v>188</v>
      </c>
      <c r="B634" s="543"/>
      <c r="C634" s="289" t="s">
        <v>214</v>
      </c>
      <c r="D634" s="288" t="s">
        <v>1413</v>
      </c>
      <c r="E634" s="288" t="s">
        <v>1184</v>
      </c>
      <c r="F634" s="288">
        <v>1136</v>
      </c>
      <c r="G634" s="236" t="s">
        <v>1538</v>
      </c>
      <c r="H634" s="262" t="s">
        <v>631</v>
      </c>
      <c r="I634" s="479">
        <v>233.5</v>
      </c>
      <c r="J634" s="276">
        <v>205.59962999999999</v>
      </c>
      <c r="K634" s="276">
        <v>52.698689999999999</v>
      </c>
      <c r="L634" s="276">
        <v>152.90093999999999</v>
      </c>
    </row>
    <row r="635" spans="1:12" ht="26.4" customHeight="1">
      <c r="A635" s="207">
        <v>189</v>
      </c>
      <c r="B635" s="543"/>
      <c r="C635" s="289" t="s">
        <v>214</v>
      </c>
      <c r="D635" s="289" t="s">
        <v>1414</v>
      </c>
      <c r="E635" s="288" t="s">
        <v>1185</v>
      </c>
      <c r="F635" s="224">
        <v>1572</v>
      </c>
      <c r="G635" s="236" t="s">
        <v>1550</v>
      </c>
      <c r="H635" s="262" t="s">
        <v>1149</v>
      </c>
      <c r="I635" s="208">
        <v>171.6</v>
      </c>
      <c r="J635" s="276">
        <v>133.40684999999999</v>
      </c>
      <c r="K635" s="274">
        <v>76.276690000000002</v>
      </c>
      <c r="L635" s="276">
        <v>57.130159999999997</v>
      </c>
    </row>
    <row r="636" spans="1:12" ht="26.4" customHeight="1">
      <c r="A636" s="207">
        <v>190</v>
      </c>
      <c r="B636" s="543"/>
      <c r="C636" s="289" t="s">
        <v>214</v>
      </c>
      <c r="D636" s="289" t="s">
        <v>1414</v>
      </c>
      <c r="E636" s="288" t="s">
        <v>1185</v>
      </c>
      <c r="F636" s="288">
        <v>1573</v>
      </c>
      <c r="G636" s="236" t="s">
        <v>1550</v>
      </c>
      <c r="H636" s="262" t="s">
        <v>1138</v>
      </c>
      <c r="I636" s="208">
        <v>1</v>
      </c>
      <c r="J636" s="276">
        <v>0.26938000000000001</v>
      </c>
      <c r="K636" s="276">
        <v>0.26938000000000001</v>
      </c>
      <c r="L636" s="276">
        <v>0</v>
      </c>
    </row>
    <row r="637" spans="1:12" ht="26.4" customHeight="1">
      <c r="A637" s="207">
        <v>191</v>
      </c>
      <c r="B637" s="543"/>
      <c r="C637" s="289" t="s">
        <v>214</v>
      </c>
      <c r="D637" s="289" t="s">
        <v>1414</v>
      </c>
      <c r="E637" s="288" t="s">
        <v>1185</v>
      </c>
      <c r="F637" s="288">
        <v>1574</v>
      </c>
      <c r="G637" s="236" t="s">
        <v>1550</v>
      </c>
      <c r="H637" s="262" t="s">
        <v>1138</v>
      </c>
      <c r="I637" s="208">
        <v>1</v>
      </c>
      <c r="J637" s="276">
        <v>0.26938000000000001</v>
      </c>
      <c r="K637" s="276">
        <v>0.26938000000000001</v>
      </c>
      <c r="L637" s="276">
        <v>0</v>
      </c>
    </row>
    <row r="638" spans="1:12" ht="26.4" customHeight="1">
      <c r="A638" s="207">
        <v>192</v>
      </c>
      <c r="B638" s="543"/>
      <c r="C638" s="289" t="s">
        <v>214</v>
      </c>
      <c r="D638" s="289" t="s">
        <v>1414</v>
      </c>
      <c r="E638" s="288" t="s">
        <v>1185</v>
      </c>
      <c r="F638" s="288">
        <v>1575</v>
      </c>
      <c r="G638" s="236" t="s">
        <v>1550</v>
      </c>
      <c r="H638" s="262" t="s">
        <v>1138</v>
      </c>
      <c r="I638" s="208">
        <v>1</v>
      </c>
      <c r="J638" s="276">
        <v>0.26938000000000001</v>
      </c>
      <c r="K638" s="276">
        <v>0.26938000000000001</v>
      </c>
      <c r="L638" s="276">
        <v>0</v>
      </c>
    </row>
    <row r="639" spans="1:12" ht="26.4" customHeight="1">
      <c r="A639" s="207">
        <v>193</v>
      </c>
      <c r="B639" s="543"/>
      <c r="C639" s="289" t="s">
        <v>214</v>
      </c>
      <c r="D639" s="289" t="s">
        <v>1414</v>
      </c>
      <c r="E639" s="288" t="s">
        <v>1185</v>
      </c>
      <c r="F639" s="288">
        <v>1576</v>
      </c>
      <c r="G639" s="236" t="s">
        <v>1550</v>
      </c>
      <c r="H639" s="262" t="s">
        <v>1138</v>
      </c>
      <c r="I639" s="208">
        <v>1</v>
      </c>
      <c r="J639" s="276">
        <v>0.26938000000000001</v>
      </c>
      <c r="K639" s="276">
        <v>0.26938000000000001</v>
      </c>
      <c r="L639" s="276">
        <v>0</v>
      </c>
    </row>
    <row r="640" spans="1:12" ht="26.4" customHeight="1">
      <c r="A640" s="207">
        <v>194</v>
      </c>
      <c r="B640" s="543"/>
      <c r="C640" s="289" t="s">
        <v>214</v>
      </c>
      <c r="D640" s="289" t="s">
        <v>1414</v>
      </c>
      <c r="E640" s="288" t="s">
        <v>1186</v>
      </c>
      <c r="F640" s="288">
        <v>1577</v>
      </c>
      <c r="G640" s="236" t="s">
        <v>1550</v>
      </c>
      <c r="H640" s="262" t="s">
        <v>631</v>
      </c>
      <c r="I640" s="479">
        <v>975</v>
      </c>
      <c r="J640" s="276">
        <v>209.82098999999999</v>
      </c>
      <c r="K640" s="276">
        <v>56.830179999999999</v>
      </c>
      <c r="L640" s="276">
        <v>152.99081000000001</v>
      </c>
    </row>
    <row r="641" spans="1:12" ht="26.4" customHeight="1">
      <c r="A641" s="207">
        <v>195</v>
      </c>
      <c r="B641" s="543"/>
      <c r="C641" s="289" t="s">
        <v>214</v>
      </c>
      <c r="D641" s="289" t="s">
        <v>1415</v>
      </c>
      <c r="E641" s="288" t="s">
        <v>909</v>
      </c>
      <c r="F641" s="288">
        <v>1098</v>
      </c>
      <c r="G641" s="236" t="s">
        <v>1550</v>
      </c>
      <c r="H641" s="262" t="s">
        <v>1149</v>
      </c>
      <c r="I641" s="208">
        <v>174</v>
      </c>
      <c r="J641" s="276">
        <v>78.378370000000004</v>
      </c>
      <c r="K641" s="276">
        <v>78.378370000000004</v>
      </c>
      <c r="L641" s="276">
        <v>0</v>
      </c>
    </row>
    <row r="642" spans="1:12" ht="26.4" customHeight="1">
      <c r="A642" s="207">
        <v>196</v>
      </c>
      <c r="B642" s="543"/>
      <c r="C642" s="289" t="s">
        <v>214</v>
      </c>
      <c r="D642" s="289" t="s">
        <v>1415</v>
      </c>
      <c r="E642" s="289" t="s">
        <v>1861</v>
      </c>
      <c r="F642" s="289">
        <v>1102</v>
      </c>
      <c r="G642" s="237" t="s">
        <v>1550</v>
      </c>
      <c r="H642" s="262" t="s">
        <v>631</v>
      </c>
      <c r="I642" s="208">
        <v>656</v>
      </c>
      <c r="J642" s="276">
        <v>35.036149999999999</v>
      </c>
      <c r="K642" s="276">
        <v>35.036149999999999</v>
      </c>
      <c r="L642" s="276">
        <v>0</v>
      </c>
    </row>
    <row r="643" spans="1:12" ht="26.4" customHeight="1">
      <c r="A643" s="207">
        <v>197</v>
      </c>
      <c r="B643" s="543"/>
      <c r="C643" s="289" t="s">
        <v>214</v>
      </c>
      <c r="D643" s="289" t="s">
        <v>1416</v>
      </c>
      <c r="E643" s="288" t="s">
        <v>908</v>
      </c>
      <c r="F643" s="288">
        <v>2189</v>
      </c>
      <c r="G643" s="236" t="s">
        <v>1528</v>
      </c>
      <c r="H643" s="262" t="s">
        <v>1149</v>
      </c>
      <c r="I643" s="208">
        <v>207</v>
      </c>
      <c r="J643" s="276">
        <v>71.957849999999993</v>
      </c>
      <c r="K643" s="274">
        <v>56.141379999999998</v>
      </c>
      <c r="L643" s="276">
        <v>15.816470000000001</v>
      </c>
    </row>
    <row r="644" spans="1:12" ht="26.4" customHeight="1">
      <c r="A644" s="207">
        <v>198</v>
      </c>
      <c r="B644" s="543"/>
      <c r="C644" s="289" t="s">
        <v>214</v>
      </c>
      <c r="D644" s="289" t="s">
        <v>1416</v>
      </c>
      <c r="E644" s="288" t="s">
        <v>907</v>
      </c>
      <c r="F644" s="288">
        <v>2198</v>
      </c>
      <c r="G644" s="236" t="s">
        <v>1533</v>
      </c>
      <c r="H644" s="262" t="s">
        <v>1149</v>
      </c>
      <c r="I644" s="208">
        <v>210</v>
      </c>
      <c r="J644" s="276">
        <v>183.53385</v>
      </c>
      <c r="K644" s="274">
        <v>141.64012</v>
      </c>
      <c r="L644" s="276">
        <v>41.893729999999998</v>
      </c>
    </row>
    <row r="645" spans="1:12" ht="26.4" customHeight="1">
      <c r="A645" s="207">
        <v>199</v>
      </c>
      <c r="B645" s="543"/>
      <c r="C645" s="289" t="s">
        <v>214</v>
      </c>
      <c r="D645" s="289" t="s">
        <v>1416</v>
      </c>
      <c r="E645" s="288" t="s">
        <v>906</v>
      </c>
      <c r="F645" s="288">
        <v>2571</v>
      </c>
      <c r="G645" s="236" t="s">
        <v>1528</v>
      </c>
      <c r="H645" s="262" t="s">
        <v>1149</v>
      </c>
      <c r="I645" s="208">
        <v>209.2</v>
      </c>
      <c r="J645" s="276">
        <v>79.022919999999999</v>
      </c>
      <c r="K645" s="274">
        <v>54.078780000000002</v>
      </c>
      <c r="L645" s="276">
        <v>24.944140000000001</v>
      </c>
    </row>
    <row r="646" spans="1:12" ht="26.4" customHeight="1">
      <c r="A646" s="207">
        <v>200</v>
      </c>
      <c r="B646" s="543"/>
      <c r="C646" s="289" t="s">
        <v>214</v>
      </c>
      <c r="D646" s="289" t="s">
        <v>1416</v>
      </c>
      <c r="E646" s="288" t="s">
        <v>905</v>
      </c>
      <c r="F646" s="288">
        <v>5048</v>
      </c>
      <c r="G646" s="236" t="s">
        <v>1541</v>
      </c>
      <c r="H646" s="262" t="s">
        <v>1149</v>
      </c>
      <c r="I646" s="208">
        <v>70.8</v>
      </c>
      <c r="J646" s="274">
        <v>16.08043</v>
      </c>
      <c r="K646" s="274">
        <v>3.0785399999999998</v>
      </c>
      <c r="L646" s="274">
        <v>13.00189</v>
      </c>
    </row>
    <row r="647" spans="1:12" ht="26.4" customHeight="1">
      <c r="A647" s="207">
        <v>201</v>
      </c>
      <c r="B647" s="543"/>
      <c r="C647" s="289" t="s">
        <v>214</v>
      </c>
      <c r="D647" s="289" t="s">
        <v>1417</v>
      </c>
      <c r="E647" s="288" t="s">
        <v>1862</v>
      </c>
      <c r="F647" s="288">
        <v>2223</v>
      </c>
      <c r="G647" s="236" t="s">
        <v>1532</v>
      </c>
      <c r="H647" s="262" t="s">
        <v>1149</v>
      </c>
      <c r="I647" s="208">
        <v>103.5</v>
      </c>
      <c r="J647" s="276">
        <v>81.343379999999996</v>
      </c>
      <c r="K647" s="274">
        <v>44.12041</v>
      </c>
      <c r="L647" s="276">
        <v>37.222969999999997</v>
      </c>
    </row>
    <row r="648" spans="1:12" ht="26.4" customHeight="1">
      <c r="A648" s="207">
        <v>202</v>
      </c>
      <c r="B648" s="543"/>
      <c r="C648" s="289" t="s">
        <v>214</v>
      </c>
      <c r="D648" s="289" t="s">
        <v>1418</v>
      </c>
      <c r="E648" s="260" t="s">
        <v>2002</v>
      </c>
      <c r="F648" s="288">
        <v>1678</v>
      </c>
      <c r="G648" s="236" t="s">
        <v>1542</v>
      </c>
      <c r="H648" s="262" t="s">
        <v>1149</v>
      </c>
      <c r="I648" s="208">
        <v>227.1</v>
      </c>
      <c r="J648" s="276">
        <v>98.213300000000004</v>
      </c>
      <c r="K648" s="274">
        <v>58.214889999999997</v>
      </c>
      <c r="L648" s="276">
        <v>39.99841</v>
      </c>
    </row>
    <row r="649" spans="1:12" ht="26.4" customHeight="1">
      <c r="A649" s="207">
        <v>203</v>
      </c>
      <c r="B649" s="543"/>
      <c r="C649" s="289" t="s">
        <v>214</v>
      </c>
      <c r="D649" s="289" t="s">
        <v>1418</v>
      </c>
      <c r="E649" s="288" t="s">
        <v>1863</v>
      </c>
      <c r="F649" s="288">
        <v>1683</v>
      </c>
      <c r="G649" s="236" t="s">
        <v>1542</v>
      </c>
      <c r="H649" s="262" t="s">
        <v>631</v>
      </c>
      <c r="I649" s="479">
        <v>1824.5</v>
      </c>
      <c r="J649" s="276">
        <v>35.168019999999999</v>
      </c>
      <c r="K649" s="276">
        <v>26.881830000000001</v>
      </c>
      <c r="L649" s="276">
        <v>8.2861899999999995</v>
      </c>
    </row>
    <row r="650" spans="1:12" ht="26.4" customHeight="1">
      <c r="A650" s="207">
        <v>204</v>
      </c>
      <c r="B650" s="543"/>
      <c r="C650" s="289" t="s">
        <v>214</v>
      </c>
      <c r="D650" s="289" t="s">
        <v>1418</v>
      </c>
      <c r="E650" s="288" t="s">
        <v>1864</v>
      </c>
      <c r="F650" s="288">
        <v>1679</v>
      </c>
      <c r="G650" s="236" t="s">
        <v>1542</v>
      </c>
      <c r="H650" s="262" t="s">
        <v>631</v>
      </c>
      <c r="I650" s="479">
        <v>45</v>
      </c>
      <c r="J650" s="276">
        <v>1.1652</v>
      </c>
      <c r="K650" s="276">
        <v>0.59940000000000004</v>
      </c>
      <c r="L650" s="276">
        <v>5.6579999999999998E-2</v>
      </c>
    </row>
    <row r="651" spans="1:12" ht="26.4" customHeight="1">
      <c r="A651" s="207">
        <v>205</v>
      </c>
      <c r="B651" s="543"/>
      <c r="C651" s="289" t="s">
        <v>214</v>
      </c>
      <c r="D651" s="289" t="s">
        <v>1418</v>
      </c>
      <c r="E651" s="288" t="s">
        <v>1865</v>
      </c>
      <c r="F651" s="288">
        <v>1680</v>
      </c>
      <c r="G651" s="236" t="s">
        <v>1542</v>
      </c>
      <c r="H651" s="262" t="s">
        <v>631</v>
      </c>
      <c r="I651" s="479">
        <v>54</v>
      </c>
      <c r="J651" s="276">
        <v>0.83623000000000003</v>
      </c>
      <c r="K651" s="276">
        <v>0.53642999999999996</v>
      </c>
      <c r="L651" s="276">
        <v>0.29980000000000001</v>
      </c>
    </row>
    <row r="652" spans="1:12" ht="26.4" customHeight="1">
      <c r="A652" s="207">
        <v>206</v>
      </c>
      <c r="B652" s="543"/>
      <c r="C652" s="289" t="s">
        <v>214</v>
      </c>
      <c r="D652" s="289" t="s">
        <v>1418</v>
      </c>
      <c r="E652" s="288" t="s">
        <v>1866</v>
      </c>
      <c r="F652" s="288">
        <v>1681</v>
      </c>
      <c r="G652" s="236" t="s">
        <v>1542</v>
      </c>
      <c r="H652" s="262" t="s">
        <v>631</v>
      </c>
      <c r="I652" s="479">
        <v>65.8</v>
      </c>
      <c r="J652" s="276">
        <v>1.7280800000000001</v>
      </c>
      <c r="K652" s="276">
        <v>0.74768000000000001</v>
      </c>
      <c r="L652" s="276">
        <v>0.98040000000000005</v>
      </c>
    </row>
    <row r="653" spans="1:12" ht="26.4" customHeight="1">
      <c r="A653" s="207">
        <v>207</v>
      </c>
      <c r="B653" s="543"/>
      <c r="C653" s="289" t="s">
        <v>214</v>
      </c>
      <c r="D653" s="289" t="s">
        <v>1418</v>
      </c>
      <c r="E653" s="288" t="s">
        <v>1867</v>
      </c>
      <c r="F653" s="288">
        <v>1682</v>
      </c>
      <c r="G653" s="236" t="s">
        <v>1542</v>
      </c>
      <c r="H653" s="262" t="s">
        <v>631</v>
      </c>
      <c r="I653" s="479">
        <v>40</v>
      </c>
      <c r="J653" s="276">
        <v>1.64778</v>
      </c>
      <c r="K653" s="276">
        <v>0.55254000000000003</v>
      </c>
      <c r="L653" s="276">
        <v>1.09524</v>
      </c>
    </row>
    <row r="654" spans="1:12" ht="26.4" customHeight="1">
      <c r="A654" s="207">
        <v>208</v>
      </c>
      <c r="B654" s="543"/>
      <c r="C654" s="289" t="s">
        <v>214</v>
      </c>
      <c r="D654" s="289" t="s">
        <v>1415</v>
      </c>
      <c r="E654" s="288" t="s">
        <v>1868</v>
      </c>
      <c r="F654" s="288">
        <v>2520</v>
      </c>
      <c r="G654" s="236" t="s">
        <v>1549</v>
      </c>
      <c r="H654" s="262" t="s">
        <v>1149</v>
      </c>
      <c r="I654" s="208">
        <v>199.7</v>
      </c>
      <c r="J654" s="276">
        <v>262.11774000000003</v>
      </c>
      <c r="K654" s="274">
        <v>115.14841</v>
      </c>
      <c r="L654" s="276">
        <v>146.96933000000001</v>
      </c>
    </row>
    <row r="655" spans="1:12" ht="26.4" customHeight="1">
      <c r="A655" s="207">
        <v>209</v>
      </c>
      <c r="B655" s="543"/>
      <c r="C655" s="289" t="s">
        <v>214</v>
      </c>
      <c r="D655" s="289" t="s">
        <v>1419</v>
      </c>
      <c r="E655" s="288" t="s">
        <v>904</v>
      </c>
      <c r="F655" s="288">
        <v>2521</v>
      </c>
      <c r="G655" s="236" t="s">
        <v>1549</v>
      </c>
      <c r="H655" s="262" t="s">
        <v>631</v>
      </c>
      <c r="I655" s="479">
        <v>5705</v>
      </c>
      <c r="J655" s="276">
        <f>209.13721+212.1</f>
        <v>421.23721</v>
      </c>
      <c r="K655" s="276">
        <f>150.55443+180.3</f>
        <v>330.85442999999998</v>
      </c>
      <c r="L655" s="276">
        <f>58.58278+31.8</f>
        <v>90.382779999999997</v>
      </c>
    </row>
    <row r="656" spans="1:12" ht="26.4" customHeight="1">
      <c r="A656" s="207">
        <v>210</v>
      </c>
      <c r="B656" s="543"/>
      <c r="C656" s="289" t="s">
        <v>214</v>
      </c>
      <c r="D656" s="289" t="s">
        <v>1420</v>
      </c>
      <c r="E656" s="288" t="s">
        <v>903</v>
      </c>
      <c r="F656" s="288">
        <v>5064</v>
      </c>
      <c r="G656" s="236" t="s">
        <v>1551</v>
      </c>
      <c r="H656" s="262" t="s">
        <v>1149</v>
      </c>
      <c r="I656" s="286">
        <v>48</v>
      </c>
      <c r="J656" s="276">
        <v>76.575010000000006</v>
      </c>
      <c r="K656" s="276">
        <v>63.508580000000002</v>
      </c>
      <c r="L656" s="276">
        <v>13.06643</v>
      </c>
    </row>
    <row r="657" spans="1:12" ht="26.4" customHeight="1">
      <c r="A657" s="207">
        <v>211</v>
      </c>
      <c r="B657" s="543"/>
      <c r="C657" s="289" t="s">
        <v>214</v>
      </c>
      <c r="D657" s="289" t="s">
        <v>1421</v>
      </c>
      <c r="E657" s="288" t="s">
        <v>902</v>
      </c>
      <c r="F657" s="288">
        <v>73</v>
      </c>
      <c r="G657" s="236" t="s">
        <v>1540</v>
      </c>
      <c r="H657" s="262" t="s">
        <v>1149</v>
      </c>
      <c r="I657" s="286">
        <v>439.3</v>
      </c>
      <c r="J657" s="276">
        <v>582.27569000000005</v>
      </c>
      <c r="K657" s="276">
        <v>245.95510999999999</v>
      </c>
      <c r="L657" s="276">
        <v>336.32058000000001</v>
      </c>
    </row>
    <row r="658" spans="1:12" ht="26.4" customHeight="1">
      <c r="A658" s="207">
        <v>212</v>
      </c>
      <c r="B658" s="543"/>
      <c r="C658" s="289" t="s">
        <v>214</v>
      </c>
      <c r="D658" s="289" t="s">
        <v>1421</v>
      </c>
      <c r="E658" s="288" t="s">
        <v>627</v>
      </c>
      <c r="F658" s="288">
        <v>5052</v>
      </c>
      <c r="G658" s="236" t="s">
        <v>1541</v>
      </c>
      <c r="H658" s="262" t="s">
        <v>1149</v>
      </c>
      <c r="I658" s="286">
        <v>7.17</v>
      </c>
      <c r="J658" s="276">
        <v>5.8228900000000001</v>
      </c>
      <c r="K658" s="276">
        <v>4.6525400000000001</v>
      </c>
      <c r="L658" s="276">
        <v>1.17035</v>
      </c>
    </row>
    <row r="659" spans="1:12" ht="26.4" customHeight="1">
      <c r="A659" s="207">
        <v>213</v>
      </c>
      <c r="B659" s="543"/>
      <c r="C659" s="289" t="s">
        <v>214</v>
      </c>
      <c r="D659" s="289" t="s">
        <v>1421</v>
      </c>
      <c r="E659" s="288" t="s">
        <v>1298</v>
      </c>
      <c r="F659" s="288">
        <v>5043</v>
      </c>
      <c r="G659" s="236" t="s">
        <v>1541</v>
      </c>
      <c r="H659" s="262" t="s">
        <v>1149</v>
      </c>
      <c r="I659" s="286">
        <v>11.4</v>
      </c>
      <c r="J659" s="276">
        <v>15.177390000000001</v>
      </c>
      <c r="K659" s="276">
        <v>2.2612700000000001</v>
      </c>
      <c r="L659" s="276">
        <v>12.916119999999999</v>
      </c>
    </row>
    <row r="660" spans="1:12" ht="26.4" customHeight="1">
      <c r="A660" s="207">
        <v>214</v>
      </c>
      <c r="B660" s="543"/>
      <c r="C660" s="289" t="s">
        <v>214</v>
      </c>
      <c r="D660" s="289" t="s">
        <v>1421</v>
      </c>
      <c r="E660" s="288" t="s">
        <v>901</v>
      </c>
      <c r="F660" s="288">
        <v>1</v>
      </c>
      <c r="G660" s="236" t="s">
        <v>1552</v>
      </c>
      <c r="H660" s="262" t="s">
        <v>1149</v>
      </c>
      <c r="I660" s="286">
        <v>226.2</v>
      </c>
      <c r="J660" s="276">
        <v>15.88123</v>
      </c>
      <c r="K660" s="276">
        <v>13.896850000000001</v>
      </c>
      <c r="L660" s="276">
        <v>1.98438</v>
      </c>
    </row>
    <row r="661" spans="1:12" ht="26.4" customHeight="1">
      <c r="A661" s="207">
        <v>215</v>
      </c>
      <c r="B661" s="543"/>
      <c r="C661" s="289" t="s">
        <v>214</v>
      </c>
      <c r="D661" s="289" t="s">
        <v>1421</v>
      </c>
      <c r="E661" s="288" t="s">
        <v>1817</v>
      </c>
      <c r="F661" s="288">
        <v>25</v>
      </c>
      <c r="G661" s="236" t="s">
        <v>1553</v>
      </c>
      <c r="H661" s="262" t="s">
        <v>1149</v>
      </c>
      <c r="I661" s="286">
        <v>250.1</v>
      </c>
      <c r="J661" s="276">
        <v>22.4498</v>
      </c>
      <c r="K661" s="276">
        <v>7.0781599999999996</v>
      </c>
      <c r="L661" s="276">
        <v>15.371639999999999</v>
      </c>
    </row>
    <row r="662" spans="1:12" ht="26.4" customHeight="1">
      <c r="A662" s="207">
        <v>216</v>
      </c>
      <c r="B662" s="543"/>
      <c r="C662" s="289" t="s">
        <v>214</v>
      </c>
      <c r="D662" s="289" t="s">
        <v>1421</v>
      </c>
      <c r="E662" s="288" t="s">
        <v>900</v>
      </c>
      <c r="F662" s="288">
        <v>71</v>
      </c>
      <c r="G662" s="236" t="s">
        <v>1550</v>
      </c>
      <c r="H662" s="262" t="s">
        <v>1149</v>
      </c>
      <c r="I662" s="286">
        <v>283.7</v>
      </c>
      <c r="J662" s="276">
        <v>42.131459999999997</v>
      </c>
      <c r="K662" s="276">
        <v>29.81034</v>
      </c>
      <c r="L662" s="276">
        <v>12.321120000000001</v>
      </c>
    </row>
    <row r="663" spans="1:12" ht="26.4" customHeight="1">
      <c r="A663" s="207">
        <v>217</v>
      </c>
      <c r="B663" s="543"/>
      <c r="C663" s="289" t="s">
        <v>214</v>
      </c>
      <c r="D663" s="289" t="s">
        <v>1421</v>
      </c>
      <c r="E663" s="288" t="s">
        <v>899</v>
      </c>
      <c r="F663" s="288">
        <v>21</v>
      </c>
      <c r="G663" s="236" t="s">
        <v>1554</v>
      </c>
      <c r="H663" s="262" t="s">
        <v>1149</v>
      </c>
      <c r="I663" s="286">
        <v>477</v>
      </c>
      <c r="J663" s="276">
        <v>100.75367</v>
      </c>
      <c r="K663" s="276">
        <v>34.148510000000002</v>
      </c>
      <c r="L663" s="276">
        <v>66.605159999999998</v>
      </c>
    </row>
    <row r="664" spans="1:12" ht="26.4" customHeight="1">
      <c r="A664" s="207">
        <v>218</v>
      </c>
      <c r="B664" s="543"/>
      <c r="C664" s="289" t="s">
        <v>214</v>
      </c>
      <c r="D664" s="289" t="s">
        <v>1421</v>
      </c>
      <c r="E664" s="288" t="s">
        <v>1869</v>
      </c>
      <c r="F664" s="288">
        <v>100021</v>
      </c>
      <c r="G664" s="236" t="s">
        <v>1551</v>
      </c>
      <c r="H664" s="262" t="s">
        <v>1149</v>
      </c>
      <c r="I664" s="286">
        <v>171.2</v>
      </c>
      <c r="J664" s="276">
        <v>284.22048000000001</v>
      </c>
      <c r="K664" s="276">
        <v>93.599930000000001</v>
      </c>
      <c r="L664" s="276">
        <v>190.62055000000001</v>
      </c>
    </row>
    <row r="665" spans="1:12" ht="26.4" customHeight="1">
      <c r="A665" s="207">
        <v>219</v>
      </c>
      <c r="B665" s="543"/>
      <c r="C665" s="289" t="s">
        <v>214</v>
      </c>
      <c r="D665" s="289" t="s">
        <v>1421</v>
      </c>
      <c r="E665" s="288" t="s">
        <v>1299</v>
      </c>
      <c r="F665" s="288">
        <v>100020</v>
      </c>
      <c r="G665" s="236" t="s">
        <v>1551</v>
      </c>
      <c r="H665" s="262" t="s">
        <v>631</v>
      </c>
      <c r="I665" s="297">
        <v>676</v>
      </c>
      <c r="J665" s="276">
        <v>14.20651</v>
      </c>
      <c r="K665" s="276">
        <v>11.00714</v>
      </c>
      <c r="L665" s="276">
        <v>3.19937</v>
      </c>
    </row>
    <row r="666" spans="1:12" ht="26.4" customHeight="1">
      <c r="A666" s="207">
        <v>220</v>
      </c>
      <c r="B666" s="543"/>
      <c r="C666" s="289" t="s">
        <v>1188</v>
      </c>
      <c r="D666" s="288" t="s">
        <v>1422</v>
      </c>
      <c r="E666" s="288" t="s">
        <v>1187</v>
      </c>
      <c r="F666" s="288">
        <v>3062</v>
      </c>
      <c r="G666" s="236" t="s">
        <v>1555</v>
      </c>
      <c r="H666" s="475" t="s">
        <v>1149</v>
      </c>
      <c r="I666" s="477">
        <v>363</v>
      </c>
      <c r="J666" s="276">
        <v>882.4357</v>
      </c>
      <c r="K666" s="274">
        <v>334.73592000000002</v>
      </c>
      <c r="L666" s="276">
        <v>547.69978000000003</v>
      </c>
    </row>
    <row r="667" spans="1:12" ht="26.4" customHeight="1">
      <c r="A667" s="207">
        <v>221</v>
      </c>
      <c r="B667" s="544"/>
      <c r="C667" s="289" t="s">
        <v>1188</v>
      </c>
      <c r="D667" s="288" t="s">
        <v>1422</v>
      </c>
      <c r="E667" s="288" t="s">
        <v>1300</v>
      </c>
      <c r="F667" s="288">
        <v>3993</v>
      </c>
      <c r="G667" s="236" t="s">
        <v>1538</v>
      </c>
      <c r="H667" s="475" t="s">
        <v>1138</v>
      </c>
      <c r="I667" s="224">
        <v>1</v>
      </c>
      <c r="J667" s="276">
        <v>21.220500000000001</v>
      </c>
      <c r="K667" s="276">
        <v>20.111689999999999</v>
      </c>
      <c r="L667" s="276">
        <v>1.6088100000000001</v>
      </c>
    </row>
    <row r="668" spans="1:12" s="197" customFormat="1" ht="26.4" customHeight="1">
      <c r="A668" s="238"/>
      <c r="B668" s="303" t="s">
        <v>2215</v>
      </c>
      <c r="C668" s="305" t="s">
        <v>3</v>
      </c>
      <c r="D668" s="305" t="s">
        <v>3</v>
      </c>
      <c r="E668" s="305" t="s">
        <v>3</v>
      </c>
      <c r="F668" s="305" t="s">
        <v>3</v>
      </c>
      <c r="G668" s="305" t="s">
        <v>3</v>
      </c>
      <c r="H668" s="305" t="s">
        <v>3</v>
      </c>
      <c r="I668" s="305" t="s">
        <v>3</v>
      </c>
      <c r="J668" s="293">
        <f>SUM(J447:J667)</f>
        <v>29260.283570000018</v>
      </c>
      <c r="K668" s="293">
        <f>SUM(K447:K667)</f>
        <v>11600.944779999998</v>
      </c>
      <c r="L668" s="293">
        <f>SUM(L447:L667)</f>
        <v>17659.329550000002</v>
      </c>
    </row>
    <row r="669" spans="1:12" ht="26.4" customHeight="1">
      <c r="A669" s="207">
        <v>1</v>
      </c>
      <c r="B669" s="542" t="s">
        <v>2450</v>
      </c>
      <c r="C669" s="234" t="s">
        <v>28</v>
      </c>
      <c r="D669" s="234" t="s">
        <v>2086</v>
      </c>
      <c r="E669" s="288" t="s">
        <v>898</v>
      </c>
      <c r="F669" s="234" t="s">
        <v>781</v>
      </c>
      <c r="G669" s="236" t="s">
        <v>1556</v>
      </c>
      <c r="H669" s="520" t="s">
        <v>1149</v>
      </c>
      <c r="I669" s="521">
        <v>1060</v>
      </c>
      <c r="J669" s="276">
        <v>536.29999999999995</v>
      </c>
      <c r="K669" s="276">
        <v>339.7</v>
      </c>
      <c r="L669" s="276">
        <f t="shared" ref="L669:L732" si="1">J669-K669</f>
        <v>196.59999999999997</v>
      </c>
    </row>
    <row r="670" spans="1:12" ht="26.4" customHeight="1">
      <c r="A670" s="207">
        <v>2</v>
      </c>
      <c r="B670" s="543"/>
      <c r="C670" s="234" t="s">
        <v>28</v>
      </c>
      <c r="D670" s="234" t="s">
        <v>2086</v>
      </c>
      <c r="E670" s="288" t="s">
        <v>897</v>
      </c>
      <c r="F670" s="234" t="s">
        <v>783</v>
      </c>
      <c r="G670" s="236" t="s">
        <v>1543</v>
      </c>
      <c r="H670" s="520"/>
      <c r="I670" s="521"/>
      <c r="J670" s="276">
        <v>488.6</v>
      </c>
      <c r="K670" s="276">
        <v>347.9</v>
      </c>
      <c r="L670" s="276">
        <f t="shared" si="1"/>
        <v>140.70000000000005</v>
      </c>
    </row>
    <row r="671" spans="1:12" ht="26.4" customHeight="1">
      <c r="A671" s="207">
        <v>3</v>
      </c>
      <c r="B671" s="543"/>
      <c r="C671" s="234" t="s">
        <v>28</v>
      </c>
      <c r="D671" s="234" t="s">
        <v>2086</v>
      </c>
      <c r="E671" s="288" t="s">
        <v>896</v>
      </c>
      <c r="F671" s="234" t="s">
        <v>776</v>
      </c>
      <c r="G671" s="236" t="s">
        <v>1556</v>
      </c>
      <c r="H671" s="475" t="s">
        <v>1138</v>
      </c>
      <c r="I671" s="477">
        <v>1</v>
      </c>
      <c r="J671" s="276">
        <v>28</v>
      </c>
      <c r="K671" s="276">
        <v>27.8</v>
      </c>
      <c r="L671" s="276">
        <f t="shared" si="1"/>
        <v>0.19999999999999929</v>
      </c>
    </row>
    <row r="672" spans="1:12" ht="26.4" customHeight="1">
      <c r="A672" s="207">
        <v>4</v>
      </c>
      <c r="B672" s="543"/>
      <c r="C672" s="234" t="s">
        <v>28</v>
      </c>
      <c r="D672" s="234" t="s">
        <v>2086</v>
      </c>
      <c r="E672" s="288" t="s">
        <v>890</v>
      </c>
      <c r="F672" s="234" t="s">
        <v>895</v>
      </c>
      <c r="G672" s="236" t="s">
        <v>1557</v>
      </c>
      <c r="H672" s="475" t="s">
        <v>1138</v>
      </c>
      <c r="I672" s="477">
        <v>1</v>
      </c>
      <c r="J672" s="276">
        <v>1023</v>
      </c>
      <c r="K672" s="276">
        <v>303.10000000000002</v>
      </c>
      <c r="L672" s="276">
        <f t="shared" si="1"/>
        <v>719.9</v>
      </c>
    </row>
    <row r="673" spans="1:12" ht="26.4" customHeight="1">
      <c r="A673" s="207">
        <v>5</v>
      </c>
      <c r="B673" s="543"/>
      <c r="C673" s="234" t="s">
        <v>28</v>
      </c>
      <c r="D673" s="234" t="s">
        <v>2086</v>
      </c>
      <c r="E673" s="288" t="s">
        <v>890</v>
      </c>
      <c r="F673" s="234" t="s">
        <v>894</v>
      </c>
      <c r="G673" s="236" t="s">
        <v>1534</v>
      </c>
      <c r="H673" s="475" t="s">
        <v>1138</v>
      </c>
      <c r="I673" s="477">
        <v>1</v>
      </c>
      <c r="J673" s="276">
        <v>1154</v>
      </c>
      <c r="K673" s="276">
        <v>326.5</v>
      </c>
      <c r="L673" s="276">
        <f t="shared" si="1"/>
        <v>827.5</v>
      </c>
    </row>
    <row r="674" spans="1:12" ht="26.4" customHeight="1">
      <c r="A674" s="207">
        <v>6</v>
      </c>
      <c r="B674" s="543"/>
      <c r="C674" s="234" t="s">
        <v>28</v>
      </c>
      <c r="D674" s="234" t="s">
        <v>2086</v>
      </c>
      <c r="E674" s="288" t="s">
        <v>890</v>
      </c>
      <c r="F674" s="234" t="s">
        <v>893</v>
      </c>
      <c r="G674" s="236" t="s">
        <v>1556</v>
      </c>
      <c r="H674" s="475" t="s">
        <v>1138</v>
      </c>
      <c r="I674" s="477">
        <v>1</v>
      </c>
      <c r="J674" s="276">
        <v>1369</v>
      </c>
      <c r="K674" s="276">
        <v>1064.2</v>
      </c>
      <c r="L674" s="276">
        <f t="shared" si="1"/>
        <v>304.79999999999995</v>
      </c>
    </row>
    <row r="675" spans="1:12" ht="26.4" customHeight="1">
      <c r="A675" s="207">
        <v>7</v>
      </c>
      <c r="B675" s="543"/>
      <c r="C675" s="234" t="s">
        <v>28</v>
      </c>
      <c r="D675" s="234" t="s">
        <v>2086</v>
      </c>
      <c r="E675" s="288" t="s">
        <v>890</v>
      </c>
      <c r="F675" s="234" t="s">
        <v>892</v>
      </c>
      <c r="G675" s="236" t="s">
        <v>1538</v>
      </c>
      <c r="H675" s="475" t="s">
        <v>1138</v>
      </c>
      <c r="I675" s="477">
        <v>1</v>
      </c>
      <c r="J675" s="276">
        <v>10.4</v>
      </c>
      <c r="K675" s="276">
        <v>8.3000000000000007</v>
      </c>
      <c r="L675" s="276">
        <f t="shared" si="1"/>
        <v>2.0999999999999996</v>
      </c>
    </row>
    <row r="676" spans="1:12" ht="26.4" customHeight="1">
      <c r="A676" s="207">
        <v>8</v>
      </c>
      <c r="B676" s="543"/>
      <c r="C676" s="234" t="s">
        <v>28</v>
      </c>
      <c r="D676" s="234" t="s">
        <v>2086</v>
      </c>
      <c r="E676" s="288" t="s">
        <v>890</v>
      </c>
      <c r="F676" s="234" t="s">
        <v>891</v>
      </c>
      <c r="G676" s="236" t="s">
        <v>1536</v>
      </c>
      <c r="H676" s="475" t="s">
        <v>1138</v>
      </c>
      <c r="I676" s="477">
        <v>1</v>
      </c>
      <c r="J676" s="276">
        <v>2.2000000000000002</v>
      </c>
      <c r="K676" s="276">
        <v>1.5</v>
      </c>
      <c r="L676" s="276">
        <f t="shared" si="1"/>
        <v>0.70000000000000018</v>
      </c>
    </row>
    <row r="677" spans="1:12" ht="26.4" customHeight="1">
      <c r="A677" s="207">
        <v>9</v>
      </c>
      <c r="B677" s="543"/>
      <c r="C677" s="234" t="s">
        <v>28</v>
      </c>
      <c r="D677" s="234" t="s">
        <v>2086</v>
      </c>
      <c r="E677" s="288" t="s">
        <v>890</v>
      </c>
      <c r="F677" s="234" t="s">
        <v>889</v>
      </c>
      <c r="G677" s="236" t="s">
        <v>1558</v>
      </c>
      <c r="H677" s="475" t="s">
        <v>1138</v>
      </c>
      <c r="I677" s="477">
        <v>1</v>
      </c>
      <c r="J677" s="276">
        <v>2670.9</v>
      </c>
      <c r="K677" s="276">
        <v>524.4</v>
      </c>
      <c r="L677" s="276">
        <f t="shared" si="1"/>
        <v>2146.5</v>
      </c>
    </row>
    <row r="678" spans="1:12" ht="26.4" customHeight="1">
      <c r="A678" s="207">
        <v>10</v>
      </c>
      <c r="B678" s="543"/>
      <c r="C678" s="234" t="s">
        <v>28</v>
      </c>
      <c r="D678" s="234" t="s">
        <v>2086</v>
      </c>
      <c r="E678" s="288" t="s">
        <v>888</v>
      </c>
      <c r="F678" s="234" t="s">
        <v>887</v>
      </c>
      <c r="G678" s="236" t="s">
        <v>1533</v>
      </c>
      <c r="H678" s="475" t="s">
        <v>1149</v>
      </c>
      <c r="I678" s="477">
        <v>553</v>
      </c>
      <c r="J678" s="276">
        <v>527.6</v>
      </c>
      <c r="K678" s="276">
        <v>330.8</v>
      </c>
      <c r="L678" s="276">
        <f t="shared" si="1"/>
        <v>196.8</v>
      </c>
    </row>
    <row r="679" spans="1:12" ht="26.4" customHeight="1">
      <c r="A679" s="207">
        <v>11</v>
      </c>
      <c r="B679" s="543"/>
      <c r="C679" s="234" t="s">
        <v>28</v>
      </c>
      <c r="D679" s="234" t="s">
        <v>2086</v>
      </c>
      <c r="E679" s="288" t="s">
        <v>886</v>
      </c>
      <c r="F679" s="234" t="s">
        <v>885</v>
      </c>
      <c r="G679" s="236" t="s">
        <v>1533</v>
      </c>
      <c r="H679" s="475" t="s">
        <v>1138</v>
      </c>
      <c r="I679" s="224">
        <v>1</v>
      </c>
      <c r="J679" s="276">
        <v>28</v>
      </c>
      <c r="K679" s="276">
        <v>26.8</v>
      </c>
      <c r="L679" s="276">
        <f t="shared" si="1"/>
        <v>1.1999999999999993</v>
      </c>
    </row>
    <row r="680" spans="1:12" ht="26.4" customHeight="1">
      <c r="A680" s="207">
        <v>12</v>
      </c>
      <c r="B680" s="543"/>
      <c r="C680" s="234" t="s">
        <v>28</v>
      </c>
      <c r="D680" s="234" t="s">
        <v>2086</v>
      </c>
      <c r="E680" s="288" t="s">
        <v>879</v>
      </c>
      <c r="F680" s="234" t="s">
        <v>884</v>
      </c>
      <c r="G680" s="236" t="s">
        <v>1532</v>
      </c>
      <c r="H680" s="475" t="s">
        <v>1138</v>
      </c>
      <c r="I680" s="224">
        <v>1</v>
      </c>
      <c r="J680" s="276">
        <v>1443.8</v>
      </c>
      <c r="K680" s="276">
        <v>1274</v>
      </c>
      <c r="L680" s="276">
        <f t="shared" si="1"/>
        <v>169.79999999999995</v>
      </c>
    </row>
    <row r="681" spans="1:12" ht="26.4" customHeight="1">
      <c r="A681" s="207">
        <v>13</v>
      </c>
      <c r="B681" s="543"/>
      <c r="C681" s="234" t="s">
        <v>28</v>
      </c>
      <c r="D681" s="234" t="s">
        <v>2086</v>
      </c>
      <c r="E681" s="288" t="s">
        <v>879</v>
      </c>
      <c r="F681" s="234" t="s">
        <v>883</v>
      </c>
      <c r="G681" s="236" t="s">
        <v>1559</v>
      </c>
      <c r="H681" s="475" t="s">
        <v>1138</v>
      </c>
      <c r="I681" s="224">
        <v>1</v>
      </c>
      <c r="J681" s="276">
        <v>36.5</v>
      </c>
      <c r="K681" s="276">
        <v>15.8</v>
      </c>
      <c r="L681" s="276">
        <f t="shared" si="1"/>
        <v>20.7</v>
      </c>
    </row>
    <row r="682" spans="1:12" ht="26.4" customHeight="1">
      <c r="A682" s="207">
        <v>14</v>
      </c>
      <c r="B682" s="543"/>
      <c r="C682" s="234" t="s">
        <v>28</v>
      </c>
      <c r="D682" s="234" t="s">
        <v>2086</v>
      </c>
      <c r="E682" s="288" t="s">
        <v>879</v>
      </c>
      <c r="F682" s="234" t="s">
        <v>882</v>
      </c>
      <c r="G682" s="236" t="s">
        <v>1559</v>
      </c>
      <c r="H682" s="475" t="s">
        <v>1138</v>
      </c>
      <c r="I682" s="224">
        <v>1</v>
      </c>
      <c r="J682" s="276">
        <v>22.2</v>
      </c>
      <c r="K682" s="276">
        <v>19.600000000000001</v>
      </c>
      <c r="L682" s="276">
        <f t="shared" si="1"/>
        <v>2.5999999999999979</v>
      </c>
    </row>
    <row r="683" spans="1:12" ht="26.4" customHeight="1">
      <c r="A683" s="207">
        <v>15</v>
      </c>
      <c r="B683" s="543"/>
      <c r="C683" s="234" t="s">
        <v>28</v>
      </c>
      <c r="D683" s="234" t="s">
        <v>2086</v>
      </c>
      <c r="E683" s="288" t="s">
        <v>879</v>
      </c>
      <c r="F683" s="234" t="s">
        <v>881</v>
      </c>
      <c r="G683" s="236" t="s">
        <v>1553</v>
      </c>
      <c r="H683" s="475" t="s">
        <v>1138</v>
      </c>
      <c r="I683" s="224">
        <v>1</v>
      </c>
      <c r="J683" s="276">
        <v>0.69640000000000002</v>
      </c>
      <c r="K683" s="276">
        <v>0.54874999999999996</v>
      </c>
      <c r="L683" s="276">
        <f t="shared" si="1"/>
        <v>0.14765000000000006</v>
      </c>
    </row>
    <row r="684" spans="1:12" ht="26.4" customHeight="1">
      <c r="A684" s="207">
        <v>16</v>
      </c>
      <c r="B684" s="543"/>
      <c r="C684" s="234" t="s">
        <v>28</v>
      </c>
      <c r="D684" s="234" t="s">
        <v>2086</v>
      </c>
      <c r="E684" s="288" t="s">
        <v>879</v>
      </c>
      <c r="F684" s="234" t="s">
        <v>880</v>
      </c>
      <c r="G684" s="236" t="s">
        <v>1560</v>
      </c>
      <c r="H684" s="475" t="s">
        <v>1138</v>
      </c>
      <c r="I684" s="224">
        <v>1</v>
      </c>
      <c r="J684" s="276">
        <v>39.803199999999997</v>
      </c>
      <c r="K684" s="276">
        <v>35.6</v>
      </c>
      <c r="L684" s="276">
        <f t="shared" si="1"/>
        <v>4.2031999999999954</v>
      </c>
    </row>
    <row r="685" spans="1:12" ht="26.4" customHeight="1">
      <c r="A685" s="207">
        <v>17</v>
      </c>
      <c r="B685" s="543"/>
      <c r="C685" s="234" t="s">
        <v>28</v>
      </c>
      <c r="D685" s="234" t="s">
        <v>2086</v>
      </c>
      <c r="E685" s="288" t="s">
        <v>879</v>
      </c>
      <c r="F685" s="234" t="s">
        <v>878</v>
      </c>
      <c r="G685" s="236" t="s">
        <v>1536</v>
      </c>
      <c r="H685" s="475" t="s">
        <v>1138</v>
      </c>
      <c r="I685" s="224">
        <v>1</v>
      </c>
      <c r="J685" s="276">
        <v>2.4</v>
      </c>
      <c r="K685" s="276">
        <v>1.6</v>
      </c>
      <c r="L685" s="276">
        <f t="shared" si="1"/>
        <v>0.79999999999999982</v>
      </c>
    </row>
    <row r="686" spans="1:12" ht="26.4" customHeight="1">
      <c r="A686" s="207">
        <v>18</v>
      </c>
      <c r="B686" s="543"/>
      <c r="C686" s="234" t="s">
        <v>28</v>
      </c>
      <c r="D686" s="234" t="s">
        <v>1829</v>
      </c>
      <c r="E686" s="288" t="s">
        <v>458</v>
      </c>
      <c r="F686" s="234" t="s">
        <v>877</v>
      </c>
      <c r="G686" s="236" t="s">
        <v>1139</v>
      </c>
      <c r="H686" s="475" t="s">
        <v>1149</v>
      </c>
      <c r="I686" s="477">
        <v>450</v>
      </c>
      <c r="J686" s="276">
        <v>347.1</v>
      </c>
      <c r="K686" s="276">
        <v>282.3</v>
      </c>
      <c r="L686" s="276">
        <f t="shared" si="1"/>
        <v>64.800000000000011</v>
      </c>
    </row>
    <row r="687" spans="1:12" ht="26.4" customHeight="1">
      <c r="A687" s="207">
        <v>19</v>
      </c>
      <c r="B687" s="543"/>
      <c r="C687" s="234" t="s">
        <v>28</v>
      </c>
      <c r="D687" s="234" t="s">
        <v>1829</v>
      </c>
      <c r="E687" s="288" t="s">
        <v>876</v>
      </c>
      <c r="F687" s="234" t="s">
        <v>875</v>
      </c>
      <c r="G687" s="236" t="s">
        <v>1139</v>
      </c>
      <c r="H687" s="475" t="s">
        <v>1138</v>
      </c>
      <c r="I687" s="224">
        <v>1</v>
      </c>
      <c r="J687" s="276">
        <v>17.600000000000001</v>
      </c>
      <c r="K687" s="276">
        <v>15.1</v>
      </c>
      <c r="L687" s="276">
        <f t="shared" si="1"/>
        <v>2.5000000000000018</v>
      </c>
    </row>
    <row r="688" spans="1:12" ht="26.4" customHeight="1">
      <c r="A688" s="207">
        <v>20</v>
      </c>
      <c r="B688" s="543"/>
      <c r="C688" s="234" t="s">
        <v>28</v>
      </c>
      <c r="D688" s="234" t="s">
        <v>1829</v>
      </c>
      <c r="E688" s="288" t="s">
        <v>874</v>
      </c>
      <c r="F688" s="234" t="s">
        <v>873</v>
      </c>
      <c r="G688" s="236" t="s">
        <v>1534</v>
      </c>
      <c r="H688" s="475" t="s">
        <v>1138</v>
      </c>
      <c r="I688" s="224">
        <v>1</v>
      </c>
      <c r="J688" s="276">
        <v>67.457750000000004</v>
      </c>
      <c r="K688" s="276">
        <v>67.457750000000004</v>
      </c>
      <c r="L688" s="276">
        <f t="shared" si="1"/>
        <v>0</v>
      </c>
    </row>
    <row r="689" spans="1:12" ht="26.4" customHeight="1">
      <c r="A689" s="207">
        <v>21</v>
      </c>
      <c r="B689" s="543"/>
      <c r="C689" s="234" t="s">
        <v>28</v>
      </c>
      <c r="D689" s="234" t="s">
        <v>1423</v>
      </c>
      <c r="E689" s="288" t="s">
        <v>872</v>
      </c>
      <c r="F689" s="288">
        <v>1536</v>
      </c>
      <c r="G689" s="236" t="s">
        <v>1561</v>
      </c>
      <c r="H689" s="475" t="s">
        <v>1149</v>
      </c>
      <c r="I689" s="477">
        <v>321.7</v>
      </c>
      <c r="J689" s="276">
        <v>52.242159999999998</v>
      </c>
      <c r="K689" s="276">
        <v>19.7</v>
      </c>
      <c r="L689" s="276">
        <f t="shared" si="1"/>
        <v>32.542159999999996</v>
      </c>
    </row>
    <row r="690" spans="1:12" ht="26.4" customHeight="1">
      <c r="A690" s="207">
        <v>22</v>
      </c>
      <c r="B690" s="543"/>
      <c r="C690" s="234" t="s">
        <v>28</v>
      </c>
      <c r="D690" s="234" t="s">
        <v>1423</v>
      </c>
      <c r="E690" s="288" t="s">
        <v>871</v>
      </c>
      <c r="F690" s="234" t="s">
        <v>870</v>
      </c>
      <c r="G690" s="236" t="s">
        <v>1549</v>
      </c>
      <c r="H690" s="475" t="s">
        <v>1138</v>
      </c>
      <c r="I690" s="224">
        <v>1</v>
      </c>
      <c r="J690" s="276">
        <v>19.984369999999998</v>
      </c>
      <c r="K690" s="276">
        <v>6.9</v>
      </c>
      <c r="L690" s="276">
        <f t="shared" si="1"/>
        <v>13.084369999999998</v>
      </c>
    </row>
    <row r="691" spans="1:12" ht="26.4" customHeight="1">
      <c r="A691" s="207">
        <v>23</v>
      </c>
      <c r="B691" s="543"/>
      <c r="C691" s="234" t="s">
        <v>28</v>
      </c>
      <c r="D691" s="234" t="s">
        <v>1423</v>
      </c>
      <c r="E691" s="288" t="s">
        <v>869</v>
      </c>
      <c r="F691" s="288">
        <v>1537</v>
      </c>
      <c r="G691" s="236" t="s">
        <v>1561</v>
      </c>
      <c r="H691" s="475" t="s">
        <v>1138</v>
      </c>
      <c r="I691" s="224">
        <v>1</v>
      </c>
      <c r="J691" s="276">
        <v>602.5</v>
      </c>
      <c r="K691" s="276">
        <v>71.3</v>
      </c>
      <c r="L691" s="276">
        <f t="shared" si="1"/>
        <v>531.20000000000005</v>
      </c>
    </row>
    <row r="692" spans="1:12" ht="26.4" customHeight="1">
      <c r="A692" s="207">
        <v>24</v>
      </c>
      <c r="B692" s="543"/>
      <c r="C692" s="234" t="s">
        <v>28</v>
      </c>
      <c r="D692" s="234" t="s">
        <v>1423</v>
      </c>
      <c r="E692" s="288" t="s">
        <v>869</v>
      </c>
      <c r="F692" s="288">
        <v>2166</v>
      </c>
      <c r="G692" s="236" t="s">
        <v>1558</v>
      </c>
      <c r="H692" s="475" t="s">
        <v>1138</v>
      </c>
      <c r="I692" s="224">
        <v>1</v>
      </c>
      <c r="J692" s="276">
        <v>896.53282999999999</v>
      </c>
      <c r="K692" s="276">
        <v>88.5</v>
      </c>
      <c r="L692" s="276">
        <f t="shared" si="1"/>
        <v>808.03282999999999</v>
      </c>
    </row>
    <row r="693" spans="1:12" ht="26.4" customHeight="1">
      <c r="A693" s="207">
        <v>25</v>
      </c>
      <c r="B693" s="543"/>
      <c r="C693" s="234" t="s">
        <v>28</v>
      </c>
      <c r="D693" s="234" t="s">
        <v>1424</v>
      </c>
      <c r="E693" s="288" t="s">
        <v>868</v>
      </c>
      <c r="F693" s="234" t="s">
        <v>867</v>
      </c>
      <c r="G693" s="236" t="s">
        <v>1543</v>
      </c>
      <c r="H693" s="475" t="s">
        <v>1149</v>
      </c>
      <c r="I693" s="477">
        <v>85.7</v>
      </c>
      <c r="J693" s="276">
        <v>87.552819999999997</v>
      </c>
      <c r="K693" s="276">
        <v>87.552819999999997</v>
      </c>
      <c r="L693" s="276">
        <f t="shared" si="1"/>
        <v>0</v>
      </c>
    </row>
    <row r="694" spans="1:12" ht="26.4" customHeight="1">
      <c r="A694" s="207">
        <v>26</v>
      </c>
      <c r="B694" s="543"/>
      <c r="C694" s="234" t="s">
        <v>28</v>
      </c>
      <c r="D694" s="234" t="s">
        <v>1424</v>
      </c>
      <c r="E694" s="288" t="s">
        <v>866</v>
      </c>
      <c r="F694" s="234" t="s">
        <v>865</v>
      </c>
      <c r="G694" s="236" t="s">
        <v>1552</v>
      </c>
      <c r="H694" s="475" t="s">
        <v>1138</v>
      </c>
      <c r="I694" s="224">
        <v>1</v>
      </c>
      <c r="J694" s="276">
        <v>2.9779499999999999</v>
      </c>
      <c r="K694" s="276">
        <v>2.9779499999999999</v>
      </c>
      <c r="L694" s="276">
        <f t="shared" si="1"/>
        <v>0</v>
      </c>
    </row>
    <row r="695" spans="1:12" ht="26.4" customHeight="1">
      <c r="A695" s="207">
        <v>27</v>
      </c>
      <c r="B695" s="543"/>
      <c r="C695" s="234" t="s">
        <v>28</v>
      </c>
      <c r="D695" s="234" t="s">
        <v>1424</v>
      </c>
      <c r="E695" s="288" t="s">
        <v>864</v>
      </c>
      <c r="F695" s="234" t="s">
        <v>863</v>
      </c>
      <c r="G695" s="236" t="s">
        <v>1539</v>
      </c>
      <c r="H695" s="475" t="s">
        <v>1138</v>
      </c>
      <c r="I695" s="224">
        <v>1</v>
      </c>
      <c r="J695" s="276">
        <v>15.97518</v>
      </c>
      <c r="K695" s="276">
        <v>15.97518</v>
      </c>
      <c r="L695" s="276">
        <f t="shared" si="1"/>
        <v>0</v>
      </c>
    </row>
    <row r="696" spans="1:12" ht="26.4" customHeight="1">
      <c r="A696" s="207">
        <v>28</v>
      </c>
      <c r="B696" s="543"/>
      <c r="C696" s="234" t="s">
        <v>28</v>
      </c>
      <c r="D696" s="234" t="s">
        <v>1425</v>
      </c>
      <c r="E696" s="288" t="s">
        <v>457</v>
      </c>
      <c r="F696" s="234" t="s">
        <v>862</v>
      </c>
      <c r="G696" s="236" t="s">
        <v>1528</v>
      </c>
      <c r="H696" s="475" t="s">
        <v>1149</v>
      </c>
      <c r="I696" s="477">
        <v>194.4</v>
      </c>
      <c r="J696" s="276">
        <v>126.21787</v>
      </c>
      <c r="K696" s="276">
        <v>93.9</v>
      </c>
      <c r="L696" s="276">
        <f t="shared" si="1"/>
        <v>32.317869999999999</v>
      </c>
    </row>
    <row r="697" spans="1:12" ht="26.4" customHeight="1">
      <c r="A697" s="207">
        <v>29</v>
      </c>
      <c r="B697" s="543"/>
      <c r="C697" s="234" t="s">
        <v>28</v>
      </c>
      <c r="D697" s="234" t="s">
        <v>1426</v>
      </c>
      <c r="E697" s="288" t="s">
        <v>861</v>
      </c>
      <c r="F697" s="234" t="s">
        <v>860</v>
      </c>
      <c r="G697" s="236" t="s">
        <v>1528</v>
      </c>
      <c r="H697" s="475" t="s">
        <v>1138</v>
      </c>
      <c r="I697" s="224">
        <v>1</v>
      </c>
      <c r="J697" s="276">
        <v>1.4829399999999999</v>
      </c>
      <c r="K697" s="276">
        <v>1.4829399999999999</v>
      </c>
      <c r="L697" s="276">
        <f t="shared" si="1"/>
        <v>0</v>
      </c>
    </row>
    <row r="698" spans="1:12" ht="26.4" customHeight="1">
      <c r="A698" s="207">
        <v>30</v>
      </c>
      <c r="B698" s="543"/>
      <c r="C698" s="234" t="s">
        <v>28</v>
      </c>
      <c r="D698" s="234" t="s">
        <v>1427</v>
      </c>
      <c r="E698" s="288" t="s">
        <v>858</v>
      </c>
      <c r="F698" s="234" t="s">
        <v>859</v>
      </c>
      <c r="G698" s="236" t="s">
        <v>1559</v>
      </c>
      <c r="H698" s="475" t="s">
        <v>1138</v>
      </c>
      <c r="I698" s="224">
        <v>1</v>
      </c>
      <c r="J698" s="276">
        <v>9.0101999999999993</v>
      </c>
      <c r="K698" s="276">
        <v>7.3</v>
      </c>
      <c r="L698" s="276">
        <f t="shared" si="1"/>
        <v>1.7101999999999995</v>
      </c>
    </row>
    <row r="699" spans="1:12" ht="26.4" customHeight="1">
      <c r="A699" s="207">
        <v>31</v>
      </c>
      <c r="B699" s="543"/>
      <c r="C699" s="234" t="s">
        <v>28</v>
      </c>
      <c r="D699" s="234" t="s">
        <v>1428</v>
      </c>
      <c r="E699" s="288" t="s">
        <v>858</v>
      </c>
      <c r="F699" s="234" t="s">
        <v>857</v>
      </c>
      <c r="G699" s="236" t="s">
        <v>1528</v>
      </c>
      <c r="H699" s="475" t="s">
        <v>1138</v>
      </c>
      <c r="I699" s="224">
        <v>1</v>
      </c>
      <c r="J699" s="276">
        <v>71.768270000000001</v>
      </c>
      <c r="K699" s="276">
        <v>20.3</v>
      </c>
      <c r="L699" s="276">
        <f t="shared" si="1"/>
        <v>51.468270000000004</v>
      </c>
    </row>
    <row r="700" spans="1:12" ht="26.4" customHeight="1">
      <c r="A700" s="207">
        <v>32</v>
      </c>
      <c r="B700" s="543"/>
      <c r="C700" s="234" t="s">
        <v>28</v>
      </c>
      <c r="D700" s="234" t="s">
        <v>1429</v>
      </c>
      <c r="E700" s="288" t="s">
        <v>456</v>
      </c>
      <c r="F700" s="234" t="s">
        <v>856</v>
      </c>
      <c r="G700" s="236" t="s">
        <v>1530</v>
      </c>
      <c r="H700" s="475" t="s">
        <v>1149</v>
      </c>
      <c r="I700" s="477">
        <v>940</v>
      </c>
      <c r="J700" s="276">
        <v>1740.8</v>
      </c>
      <c r="K700" s="276">
        <v>1476.2</v>
      </c>
      <c r="L700" s="276">
        <f t="shared" si="1"/>
        <v>264.59999999999991</v>
      </c>
    </row>
    <row r="701" spans="1:12" ht="26.4" customHeight="1">
      <c r="A701" s="207">
        <v>33</v>
      </c>
      <c r="B701" s="543"/>
      <c r="C701" s="234" t="s">
        <v>28</v>
      </c>
      <c r="D701" s="234" t="s">
        <v>1429</v>
      </c>
      <c r="E701" s="288" t="s">
        <v>855</v>
      </c>
      <c r="F701" s="234" t="s">
        <v>854</v>
      </c>
      <c r="G701" s="236" t="s">
        <v>1530</v>
      </c>
      <c r="H701" s="475" t="s">
        <v>1138</v>
      </c>
      <c r="I701" s="224">
        <v>1</v>
      </c>
      <c r="J701" s="276">
        <v>25.2</v>
      </c>
      <c r="K701" s="276">
        <v>24.3</v>
      </c>
      <c r="L701" s="276">
        <f t="shared" si="1"/>
        <v>0.89999999999999858</v>
      </c>
    </row>
    <row r="702" spans="1:12" ht="26.4" customHeight="1">
      <c r="A702" s="207">
        <v>34</v>
      </c>
      <c r="B702" s="543"/>
      <c r="C702" s="234" t="s">
        <v>28</v>
      </c>
      <c r="D702" s="234" t="s">
        <v>1429</v>
      </c>
      <c r="E702" s="288" t="s">
        <v>465</v>
      </c>
      <c r="F702" s="234" t="s">
        <v>853</v>
      </c>
      <c r="G702" s="236" t="s">
        <v>1544</v>
      </c>
      <c r="H702" s="475" t="s">
        <v>1149</v>
      </c>
      <c r="I702" s="477">
        <v>420</v>
      </c>
      <c r="J702" s="276">
        <v>496.38862999999998</v>
      </c>
      <c r="K702" s="276">
        <v>302.8</v>
      </c>
      <c r="L702" s="276">
        <f t="shared" si="1"/>
        <v>193.58862999999997</v>
      </c>
    </row>
    <row r="703" spans="1:12" ht="26.4" customHeight="1">
      <c r="A703" s="207">
        <v>35</v>
      </c>
      <c r="B703" s="543"/>
      <c r="C703" s="234" t="s">
        <v>28</v>
      </c>
      <c r="D703" s="234" t="s">
        <v>1429</v>
      </c>
      <c r="E703" s="288" t="s">
        <v>852</v>
      </c>
      <c r="F703" s="234" t="s">
        <v>851</v>
      </c>
      <c r="G703" s="236" t="s">
        <v>1542</v>
      </c>
      <c r="H703" s="475" t="s">
        <v>1149</v>
      </c>
      <c r="I703" s="477">
        <v>659</v>
      </c>
      <c r="J703" s="276">
        <v>7.5023900000000001</v>
      </c>
      <c r="K703" s="276">
        <v>6.5</v>
      </c>
      <c r="L703" s="276">
        <f t="shared" si="1"/>
        <v>1.0023900000000001</v>
      </c>
    </row>
    <row r="704" spans="1:12" ht="26.4" customHeight="1">
      <c r="A704" s="207">
        <v>36</v>
      </c>
      <c r="B704" s="543"/>
      <c r="C704" s="234" t="s">
        <v>28</v>
      </c>
      <c r="D704" s="234" t="s">
        <v>1429</v>
      </c>
      <c r="E704" s="288" t="s">
        <v>1189</v>
      </c>
      <c r="F704" s="234">
        <v>1417</v>
      </c>
      <c r="G704" s="236" t="s">
        <v>1555</v>
      </c>
      <c r="H704" s="475" t="s">
        <v>1149</v>
      </c>
      <c r="I704" s="477">
        <v>140</v>
      </c>
      <c r="J704" s="276">
        <v>35.4</v>
      </c>
      <c r="K704" s="276">
        <v>22.2</v>
      </c>
      <c r="L704" s="276">
        <f t="shared" si="1"/>
        <v>13.2</v>
      </c>
    </row>
    <row r="705" spans="1:12" ht="26.4" customHeight="1">
      <c r="A705" s="207">
        <v>37</v>
      </c>
      <c r="B705" s="543"/>
      <c r="C705" s="234" t="s">
        <v>28</v>
      </c>
      <c r="D705" s="234" t="s">
        <v>1429</v>
      </c>
      <c r="E705" s="288" t="s">
        <v>850</v>
      </c>
      <c r="F705" s="234" t="s">
        <v>849</v>
      </c>
      <c r="G705" s="236" t="s">
        <v>1553</v>
      </c>
      <c r="H705" s="475" t="s">
        <v>1149</v>
      </c>
      <c r="I705" s="477">
        <v>264</v>
      </c>
      <c r="J705" s="276">
        <v>171.49486999999999</v>
      </c>
      <c r="K705" s="276">
        <v>111.2</v>
      </c>
      <c r="L705" s="276">
        <f t="shared" si="1"/>
        <v>60.294869999999989</v>
      </c>
    </row>
    <row r="706" spans="1:12" ht="26.4" customHeight="1">
      <c r="A706" s="207">
        <v>38</v>
      </c>
      <c r="B706" s="543"/>
      <c r="C706" s="234" t="s">
        <v>28</v>
      </c>
      <c r="D706" s="234" t="s">
        <v>1429</v>
      </c>
      <c r="E706" s="288" t="s">
        <v>848</v>
      </c>
      <c r="F706" s="234" t="s">
        <v>847</v>
      </c>
      <c r="G706" s="236" t="s">
        <v>1542</v>
      </c>
      <c r="H706" s="475" t="s">
        <v>1149</v>
      </c>
      <c r="I706" s="477">
        <v>72</v>
      </c>
      <c r="J706" s="276">
        <v>19.3</v>
      </c>
      <c r="K706" s="276">
        <v>19.3</v>
      </c>
      <c r="L706" s="276">
        <f t="shared" si="1"/>
        <v>0</v>
      </c>
    </row>
    <row r="707" spans="1:12" ht="26.4" customHeight="1">
      <c r="A707" s="207">
        <v>39</v>
      </c>
      <c r="B707" s="543"/>
      <c r="C707" s="234" t="s">
        <v>28</v>
      </c>
      <c r="D707" s="234" t="s">
        <v>1429</v>
      </c>
      <c r="E707" s="288" t="s">
        <v>846</v>
      </c>
      <c r="F707" s="234" t="s">
        <v>845</v>
      </c>
      <c r="G707" s="236" t="s">
        <v>1562</v>
      </c>
      <c r="H707" s="475" t="s">
        <v>1138</v>
      </c>
      <c r="I707" s="224">
        <v>1</v>
      </c>
      <c r="J707" s="276">
        <v>123.48699999999999</v>
      </c>
      <c r="K707" s="276">
        <v>32.9</v>
      </c>
      <c r="L707" s="276">
        <f t="shared" si="1"/>
        <v>90.586999999999989</v>
      </c>
    </row>
    <row r="708" spans="1:12" ht="26.4" customHeight="1">
      <c r="A708" s="207">
        <v>40</v>
      </c>
      <c r="B708" s="543"/>
      <c r="C708" s="234" t="s">
        <v>28</v>
      </c>
      <c r="D708" s="234" t="s">
        <v>1429</v>
      </c>
      <c r="E708" s="288" t="s">
        <v>1190</v>
      </c>
      <c r="F708" s="234" t="s">
        <v>844</v>
      </c>
      <c r="G708" s="236" t="s">
        <v>1536</v>
      </c>
      <c r="H708" s="475" t="s">
        <v>1138</v>
      </c>
      <c r="I708" s="224">
        <v>1</v>
      </c>
      <c r="J708" s="276">
        <v>54.53</v>
      </c>
      <c r="K708" s="276">
        <v>27.1</v>
      </c>
      <c r="L708" s="276">
        <f t="shared" si="1"/>
        <v>27.43</v>
      </c>
    </row>
    <row r="709" spans="1:12" ht="26.4" customHeight="1">
      <c r="A709" s="207">
        <v>41</v>
      </c>
      <c r="B709" s="543"/>
      <c r="C709" s="234" t="s">
        <v>28</v>
      </c>
      <c r="D709" s="234" t="s">
        <v>1429</v>
      </c>
      <c r="E709" s="288" t="s">
        <v>1190</v>
      </c>
      <c r="F709" s="234" t="s">
        <v>843</v>
      </c>
      <c r="G709" s="236" t="s">
        <v>1532</v>
      </c>
      <c r="H709" s="475" t="s">
        <v>1138</v>
      </c>
      <c r="I709" s="224">
        <v>1</v>
      </c>
      <c r="J709" s="276">
        <v>2045.3</v>
      </c>
      <c r="K709" s="276">
        <v>1442.7</v>
      </c>
      <c r="L709" s="276">
        <f t="shared" si="1"/>
        <v>602.59999999999991</v>
      </c>
    </row>
    <row r="710" spans="1:12" ht="26.4" customHeight="1">
      <c r="A710" s="207">
        <v>42</v>
      </c>
      <c r="B710" s="543"/>
      <c r="C710" s="234" t="s">
        <v>28</v>
      </c>
      <c r="D710" s="234" t="s">
        <v>1429</v>
      </c>
      <c r="E710" s="288" t="s">
        <v>1190</v>
      </c>
      <c r="F710" s="234" t="s">
        <v>842</v>
      </c>
      <c r="G710" s="236" t="s">
        <v>1538</v>
      </c>
      <c r="H710" s="475" t="s">
        <v>1138</v>
      </c>
      <c r="I710" s="224">
        <v>1</v>
      </c>
      <c r="J710" s="276">
        <v>8.8956800000000005</v>
      </c>
      <c r="K710" s="276">
        <v>7.1</v>
      </c>
      <c r="L710" s="276">
        <f t="shared" si="1"/>
        <v>1.7956800000000008</v>
      </c>
    </row>
    <row r="711" spans="1:12" ht="26.4" customHeight="1">
      <c r="A711" s="207">
        <v>43</v>
      </c>
      <c r="B711" s="543"/>
      <c r="C711" s="234" t="s">
        <v>28</v>
      </c>
      <c r="D711" s="234" t="s">
        <v>1429</v>
      </c>
      <c r="E711" s="288" t="s">
        <v>1190</v>
      </c>
      <c r="F711" s="234" t="s">
        <v>841</v>
      </c>
      <c r="G711" s="236" t="s">
        <v>1538</v>
      </c>
      <c r="H711" s="475" t="s">
        <v>1138</v>
      </c>
      <c r="I711" s="224">
        <v>1</v>
      </c>
      <c r="J711" s="276">
        <v>31.295870000000001</v>
      </c>
      <c r="K711" s="276">
        <v>25</v>
      </c>
      <c r="L711" s="276">
        <f t="shared" si="1"/>
        <v>6.2958700000000007</v>
      </c>
    </row>
    <row r="712" spans="1:12" ht="26.4" customHeight="1">
      <c r="A712" s="207">
        <v>44</v>
      </c>
      <c r="B712" s="543"/>
      <c r="C712" s="234" t="s">
        <v>28</v>
      </c>
      <c r="D712" s="234" t="s">
        <v>1429</v>
      </c>
      <c r="E712" s="288" t="s">
        <v>1190</v>
      </c>
      <c r="F712" s="234" t="s">
        <v>840</v>
      </c>
      <c r="G712" s="236" t="s">
        <v>1538</v>
      </c>
      <c r="H712" s="475" t="s">
        <v>1138</v>
      </c>
      <c r="I712" s="224">
        <v>1</v>
      </c>
      <c r="J712" s="276">
        <v>8.2106700000000004</v>
      </c>
      <c r="K712" s="276">
        <v>6.5</v>
      </c>
      <c r="L712" s="276">
        <f t="shared" si="1"/>
        <v>1.7106700000000004</v>
      </c>
    </row>
    <row r="713" spans="1:12" ht="26.4" customHeight="1">
      <c r="A713" s="207">
        <v>45</v>
      </c>
      <c r="B713" s="543"/>
      <c r="C713" s="234" t="s">
        <v>28</v>
      </c>
      <c r="D713" s="234" t="s">
        <v>1429</v>
      </c>
      <c r="E713" s="288" t="s">
        <v>1190</v>
      </c>
      <c r="F713" s="234" t="s">
        <v>839</v>
      </c>
      <c r="G713" s="236" t="s">
        <v>1563</v>
      </c>
      <c r="H713" s="475" t="s">
        <v>1138</v>
      </c>
      <c r="I713" s="224">
        <v>1</v>
      </c>
      <c r="J713" s="276">
        <v>9.4600000000000009</v>
      </c>
      <c r="K713" s="276">
        <v>6.7</v>
      </c>
      <c r="L713" s="276">
        <f t="shared" si="1"/>
        <v>2.7600000000000007</v>
      </c>
    </row>
    <row r="714" spans="1:12" ht="26.4" customHeight="1">
      <c r="A714" s="207">
        <v>46</v>
      </c>
      <c r="B714" s="543"/>
      <c r="C714" s="234" t="s">
        <v>28</v>
      </c>
      <c r="D714" s="234" t="s">
        <v>1429</v>
      </c>
      <c r="E714" s="288" t="s">
        <v>1190</v>
      </c>
      <c r="F714" s="234" t="s">
        <v>838</v>
      </c>
      <c r="G714" s="236" t="s">
        <v>1535</v>
      </c>
      <c r="H714" s="475" t="s">
        <v>1138</v>
      </c>
      <c r="I714" s="224">
        <v>1</v>
      </c>
      <c r="J714" s="276">
        <v>238.6635</v>
      </c>
      <c r="K714" s="276">
        <v>54</v>
      </c>
      <c r="L714" s="276">
        <f t="shared" si="1"/>
        <v>184.6635</v>
      </c>
    </row>
    <row r="715" spans="1:12" ht="26.4" customHeight="1">
      <c r="A715" s="207">
        <v>47</v>
      </c>
      <c r="B715" s="543"/>
      <c r="C715" s="234" t="s">
        <v>28</v>
      </c>
      <c r="D715" s="234" t="s">
        <v>1429</v>
      </c>
      <c r="E715" s="288" t="s">
        <v>1190</v>
      </c>
      <c r="F715" s="234" t="s">
        <v>837</v>
      </c>
      <c r="G715" s="236" t="s">
        <v>1559</v>
      </c>
      <c r="H715" s="475" t="s">
        <v>1138</v>
      </c>
      <c r="I715" s="224">
        <v>1</v>
      </c>
      <c r="J715" s="276">
        <v>2.4</v>
      </c>
      <c r="K715" s="276">
        <v>2.2000000000000002</v>
      </c>
      <c r="L715" s="276">
        <f t="shared" si="1"/>
        <v>0.19999999999999973</v>
      </c>
    </row>
    <row r="716" spans="1:12" ht="26.4" customHeight="1">
      <c r="A716" s="207">
        <v>48</v>
      </c>
      <c r="B716" s="543"/>
      <c r="C716" s="234" t="s">
        <v>28</v>
      </c>
      <c r="D716" s="234" t="s">
        <v>1429</v>
      </c>
      <c r="E716" s="288" t="s">
        <v>1190</v>
      </c>
      <c r="F716" s="234" t="s">
        <v>836</v>
      </c>
      <c r="G716" s="236" t="s">
        <v>1560</v>
      </c>
      <c r="H716" s="475" t="s">
        <v>1138</v>
      </c>
      <c r="I716" s="224">
        <v>1</v>
      </c>
      <c r="J716" s="276">
        <v>683</v>
      </c>
      <c r="K716" s="276">
        <v>678.9</v>
      </c>
      <c r="L716" s="276">
        <f t="shared" si="1"/>
        <v>4.1000000000000227</v>
      </c>
    </row>
    <row r="717" spans="1:12" ht="26.4" customHeight="1">
      <c r="A717" s="207">
        <v>49</v>
      </c>
      <c r="B717" s="543"/>
      <c r="C717" s="234" t="s">
        <v>28</v>
      </c>
      <c r="D717" s="234" t="s">
        <v>1429</v>
      </c>
      <c r="E717" s="288" t="s">
        <v>1190</v>
      </c>
      <c r="F717" s="234" t="s">
        <v>835</v>
      </c>
      <c r="G717" s="236" t="s">
        <v>1536</v>
      </c>
      <c r="H717" s="475" t="s">
        <v>1138</v>
      </c>
      <c r="I717" s="224">
        <v>1</v>
      </c>
      <c r="J717" s="276">
        <v>3.5</v>
      </c>
      <c r="K717" s="276">
        <v>2.2999999999999998</v>
      </c>
      <c r="L717" s="276">
        <f t="shared" si="1"/>
        <v>1.2000000000000002</v>
      </c>
    </row>
    <row r="718" spans="1:12" ht="26.4" customHeight="1">
      <c r="A718" s="207">
        <v>50</v>
      </c>
      <c r="B718" s="543"/>
      <c r="C718" s="234" t="s">
        <v>28</v>
      </c>
      <c r="D718" s="234" t="s">
        <v>1429</v>
      </c>
      <c r="E718" s="288" t="s">
        <v>1190</v>
      </c>
      <c r="F718" s="234" t="s">
        <v>834</v>
      </c>
      <c r="G718" s="236" t="s">
        <v>1560</v>
      </c>
      <c r="H718" s="475" t="s">
        <v>1138</v>
      </c>
      <c r="I718" s="224">
        <v>1</v>
      </c>
      <c r="J718" s="276">
        <v>90.877390000000005</v>
      </c>
      <c r="K718" s="276">
        <v>90.3</v>
      </c>
      <c r="L718" s="276">
        <f t="shared" si="1"/>
        <v>0.57739000000000829</v>
      </c>
    </row>
    <row r="719" spans="1:12" ht="26.4" customHeight="1">
      <c r="A719" s="207">
        <v>51</v>
      </c>
      <c r="B719" s="543"/>
      <c r="C719" s="234" t="s">
        <v>28</v>
      </c>
      <c r="D719" s="234" t="s">
        <v>1429</v>
      </c>
      <c r="E719" s="288" t="s">
        <v>1190</v>
      </c>
      <c r="F719" s="234" t="s">
        <v>833</v>
      </c>
      <c r="G719" s="236" t="s">
        <v>1542</v>
      </c>
      <c r="H719" s="475" t="s">
        <v>1138</v>
      </c>
      <c r="I719" s="224">
        <v>1</v>
      </c>
      <c r="J719" s="276">
        <v>19.00299</v>
      </c>
      <c r="K719" s="276">
        <v>16</v>
      </c>
      <c r="L719" s="276">
        <f t="shared" si="1"/>
        <v>3.0029900000000005</v>
      </c>
    </row>
    <row r="720" spans="1:12" ht="26.4" customHeight="1">
      <c r="A720" s="207">
        <v>52</v>
      </c>
      <c r="B720" s="543"/>
      <c r="C720" s="234" t="s">
        <v>28</v>
      </c>
      <c r="D720" s="234" t="s">
        <v>1429</v>
      </c>
      <c r="E720" s="288" t="s">
        <v>1190</v>
      </c>
      <c r="F720" s="234" t="s">
        <v>832</v>
      </c>
      <c r="G720" s="236" t="s">
        <v>1542</v>
      </c>
      <c r="H720" s="475" t="s">
        <v>1138</v>
      </c>
      <c r="I720" s="224">
        <v>1</v>
      </c>
      <c r="J720" s="276">
        <v>25.468139999999998</v>
      </c>
      <c r="K720" s="276">
        <v>13.2</v>
      </c>
      <c r="L720" s="276">
        <f t="shared" si="1"/>
        <v>12.268139999999999</v>
      </c>
    </row>
    <row r="721" spans="1:12" ht="26.4" customHeight="1">
      <c r="A721" s="207">
        <v>53</v>
      </c>
      <c r="B721" s="543"/>
      <c r="C721" s="234" t="s">
        <v>28</v>
      </c>
      <c r="D721" s="234" t="s">
        <v>1429</v>
      </c>
      <c r="E721" s="288" t="s">
        <v>1190</v>
      </c>
      <c r="F721" s="234" t="s">
        <v>831</v>
      </c>
      <c r="G721" s="236" t="s">
        <v>1536</v>
      </c>
      <c r="H721" s="475" t="s">
        <v>1138</v>
      </c>
      <c r="I721" s="224">
        <v>1</v>
      </c>
      <c r="J721" s="276">
        <v>7.3040000000000003</v>
      </c>
      <c r="K721" s="276">
        <v>3.2</v>
      </c>
      <c r="L721" s="276">
        <f t="shared" si="1"/>
        <v>4.1040000000000001</v>
      </c>
    </row>
    <row r="722" spans="1:12" ht="26.4" customHeight="1">
      <c r="A722" s="207">
        <v>54</v>
      </c>
      <c r="B722" s="543"/>
      <c r="C722" s="234" t="s">
        <v>28</v>
      </c>
      <c r="D722" s="234" t="s">
        <v>1429</v>
      </c>
      <c r="E722" s="288" t="s">
        <v>1978</v>
      </c>
      <c r="F722" s="234" t="s">
        <v>830</v>
      </c>
      <c r="G722" s="236" t="s">
        <v>1538</v>
      </c>
      <c r="H722" s="475" t="s">
        <v>1138</v>
      </c>
      <c r="I722" s="224">
        <v>1</v>
      </c>
      <c r="J722" s="276">
        <v>4.8096899999999998</v>
      </c>
      <c r="K722" s="276">
        <v>3.0080900000000002</v>
      </c>
      <c r="L722" s="276">
        <f t="shared" si="1"/>
        <v>1.8015999999999996</v>
      </c>
    </row>
    <row r="723" spans="1:12" ht="26.4" customHeight="1">
      <c r="A723" s="207">
        <v>55</v>
      </c>
      <c r="B723" s="543"/>
      <c r="C723" s="234" t="s">
        <v>28</v>
      </c>
      <c r="D723" s="234" t="s">
        <v>1430</v>
      </c>
      <c r="E723" s="288" t="s">
        <v>829</v>
      </c>
      <c r="F723" s="234" t="s">
        <v>828</v>
      </c>
      <c r="G723" s="236" t="s">
        <v>1139</v>
      </c>
      <c r="H723" s="475" t="s">
        <v>1149</v>
      </c>
      <c r="I723" s="477">
        <v>548.6</v>
      </c>
      <c r="J723" s="276">
        <v>1019.01073</v>
      </c>
      <c r="K723" s="276">
        <v>710.8</v>
      </c>
      <c r="L723" s="276">
        <f t="shared" si="1"/>
        <v>308.21073000000001</v>
      </c>
    </row>
    <row r="724" spans="1:12" ht="26.4" customHeight="1">
      <c r="A724" s="207">
        <v>56</v>
      </c>
      <c r="B724" s="543"/>
      <c r="C724" s="234" t="s">
        <v>28</v>
      </c>
      <c r="D724" s="234" t="s">
        <v>1430</v>
      </c>
      <c r="E724" s="288" t="s">
        <v>827</v>
      </c>
      <c r="F724" s="234" t="s">
        <v>826</v>
      </c>
      <c r="G724" s="236" t="s">
        <v>1535</v>
      </c>
      <c r="H724" s="475" t="s">
        <v>1149</v>
      </c>
      <c r="I724" s="477">
        <v>252</v>
      </c>
      <c r="J724" s="276">
        <v>186.42756</v>
      </c>
      <c r="K724" s="276">
        <v>133.30000000000001</v>
      </c>
      <c r="L724" s="276">
        <f t="shared" si="1"/>
        <v>53.127559999999988</v>
      </c>
    </row>
    <row r="725" spans="1:12" ht="26.4" customHeight="1">
      <c r="A725" s="207">
        <v>57</v>
      </c>
      <c r="B725" s="543"/>
      <c r="C725" s="234" t="s">
        <v>28</v>
      </c>
      <c r="D725" s="234" t="s">
        <v>1430</v>
      </c>
      <c r="E725" s="288" t="s">
        <v>825</v>
      </c>
      <c r="F725" s="234" t="s">
        <v>824</v>
      </c>
      <c r="G725" s="236" t="s">
        <v>1557</v>
      </c>
      <c r="H725" s="475" t="s">
        <v>1138</v>
      </c>
      <c r="I725" s="224">
        <v>1</v>
      </c>
      <c r="J725" s="276">
        <v>40.933970000000002</v>
      </c>
      <c r="K725" s="276">
        <v>27.7</v>
      </c>
      <c r="L725" s="276">
        <f t="shared" si="1"/>
        <v>13.233970000000003</v>
      </c>
    </row>
    <row r="726" spans="1:12" ht="26.4" customHeight="1">
      <c r="A726" s="207">
        <v>58</v>
      </c>
      <c r="B726" s="543"/>
      <c r="C726" s="234" t="s">
        <v>28</v>
      </c>
      <c r="D726" s="234" t="s">
        <v>1430</v>
      </c>
      <c r="E726" s="288" t="s">
        <v>819</v>
      </c>
      <c r="F726" s="234" t="s">
        <v>823</v>
      </c>
      <c r="G726" s="236" t="s">
        <v>1542</v>
      </c>
      <c r="H726" s="475" t="s">
        <v>1138</v>
      </c>
      <c r="I726" s="224">
        <v>1</v>
      </c>
      <c r="J726" s="276">
        <v>119.82718</v>
      </c>
      <c r="K726" s="276">
        <v>39.1</v>
      </c>
      <c r="L726" s="276">
        <f t="shared" si="1"/>
        <v>80.727180000000004</v>
      </c>
    </row>
    <row r="727" spans="1:12" ht="26.4" customHeight="1">
      <c r="A727" s="207">
        <v>59</v>
      </c>
      <c r="B727" s="543"/>
      <c r="C727" s="234" t="s">
        <v>28</v>
      </c>
      <c r="D727" s="234" t="s">
        <v>1430</v>
      </c>
      <c r="E727" s="288" t="s">
        <v>819</v>
      </c>
      <c r="F727" s="234" t="s">
        <v>822</v>
      </c>
      <c r="G727" s="236" t="s">
        <v>1564</v>
      </c>
      <c r="H727" s="475" t="s">
        <v>1138</v>
      </c>
      <c r="I727" s="224">
        <v>1</v>
      </c>
      <c r="J727" s="276">
        <v>253.8</v>
      </c>
      <c r="K727" s="276">
        <v>42.5</v>
      </c>
      <c r="L727" s="276">
        <f t="shared" si="1"/>
        <v>211.3</v>
      </c>
    </row>
    <row r="728" spans="1:12" ht="26.4" customHeight="1">
      <c r="A728" s="207">
        <v>60</v>
      </c>
      <c r="B728" s="543"/>
      <c r="C728" s="234" t="s">
        <v>28</v>
      </c>
      <c r="D728" s="234" t="s">
        <v>1430</v>
      </c>
      <c r="E728" s="288" t="s">
        <v>819</v>
      </c>
      <c r="F728" s="234" t="s">
        <v>821</v>
      </c>
      <c r="G728" s="236" t="s">
        <v>1139</v>
      </c>
      <c r="H728" s="475" t="s">
        <v>1138</v>
      </c>
      <c r="I728" s="224">
        <v>1</v>
      </c>
      <c r="J728" s="276">
        <v>751.50460999999996</v>
      </c>
      <c r="K728" s="276">
        <v>314.5</v>
      </c>
      <c r="L728" s="276">
        <f t="shared" si="1"/>
        <v>437.00460999999996</v>
      </c>
    </row>
    <row r="729" spans="1:12" ht="26.4" customHeight="1">
      <c r="A729" s="207">
        <v>61</v>
      </c>
      <c r="B729" s="543"/>
      <c r="C729" s="234" t="s">
        <v>28</v>
      </c>
      <c r="D729" s="234" t="s">
        <v>1430</v>
      </c>
      <c r="E729" s="288" t="s">
        <v>819</v>
      </c>
      <c r="F729" s="234" t="s">
        <v>820</v>
      </c>
      <c r="G729" s="236" t="s">
        <v>1535</v>
      </c>
      <c r="H729" s="475" t="s">
        <v>1138</v>
      </c>
      <c r="I729" s="224">
        <v>1</v>
      </c>
      <c r="J729" s="276">
        <v>79.5899</v>
      </c>
      <c r="K729" s="276">
        <v>57.6</v>
      </c>
      <c r="L729" s="276">
        <f t="shared" si="1"/>
        <v>21.989899999999999</v>
      </c>
    </row>
    <row r="730" spans="1:12" ht="26.4" customHeight="1">
      <c r="A730" s="207">
        <v>62</v>
      </c>
      <c r="B730" s="543"/>
      <c r="C730" s="234" t="s">
        <v>28</v>
      </c>
      <c r="D730" s="234" t="s">
        <v>1430</v>
      </c>
      <c r="E730" s="288" t="s">
        <v>819</v>
      </c>
      <c r="F730" s="234" t="s">
        <v>818</v>
      </c>
      <c r="G730" s="236" t="s">
        <v>1538</v>
      </c>
      <c r="H730" s="475" t="s">
        <v>1138</v>
      </c>
      <c r="I730" s="224">
        <v>1</v>
      </c>
      <c r="J730" s="276">
        <v>52.39546</v>
      </c>
      <c r="K730" s="276">
        <v>11.5</v>
      </c>
      <c r="L730" s="276">
        <f t="shared" si="1"/>
        <v>40.89546</v>
      </c>
    </row>
    <row r="731" spans="1:12" ht="26.4" customHeight="1">
      <c r="A731" s="207">
        <v>63</v>
      </c>
      <c r="B731" s="543"/>
      <c r="C731" s="234" t="s">
        <v>28</v>
      </c>
      <c r="D731" s="234" t="s">
        <v>1430</v>
      </c>
      <c r="E731" s="288" t="s">
        <v>819</v>
      </c>
      <c r="F731" s="234" t="s">
        <v>817</v>
      </c>
      <c r="G731" s="236" t="s">
        <v>1535</v>
      </c>
      <c r="H731" s="475" t="s">
        <v>1138</v>
      </c>
      <c r="I731" s="224">
        <v>1</v>
      </c>
      <c r="J731" s="276">
        <v>124.57723</v>
      </c>
      <c r="K731" s="276">
        <v>36.799999999999997</v>
      </c>
      <c r="L731" s="276">
        <f t="shared" si="1"/>
        <v>87.777230000000003</v>
      </c>
    </row>
    <row r="732" spans="1:12" ht="26.4" customHeight="1">
      <c r="A732" s="207">
        <v>64</v>
      </c>
      <c r="B732" s="543"/>
      <c r="C732" s="234" t="s">
        <v>28</v>
      </c>
      <c r="D732" s="234" t="s">
        <v>1430</v>
      </c>
      <c r="E732" s="288" t="s">
        <v>819</v>
      </c>
      <c r="F732" s="234" t="s">
        <v>816</v>
      </c>
      <c r="G732" s="236" t="s">
        <v>1560</v>
      </c>
      <c r="H732" s="475" t="s">
        <v>1138</v>
      </c>
      <c r="I732" s="224">
        <v>1</v>
      </c>
      <c r="J732" s="276">
        <v>40.243830000000003</v>
      </c>
      <c r="K732" s="276">
        <v>40.243830000000003</v>
      </c>
      <c r="L732" s="276">
        <f t="shared" si="1"/>
        <v>0</v>
      </c>
    </row>
    <row r="733" spans="1:12" ht="26.4" customHeight="1">
      <c r="A733" s="207">
        <v>65</v>
      </c>
      <c r="B733" s="543"/>
      <c r="C733" s="234" t="s">
        <v>28</v>
      </c>
      <c r="D733" s="234" t="s">
        <v>1430</v>
      </c>
      <c r="E733" s="288" t="s">
        <v>819</v>
      </c>
      <c r="F733" s="234" t="s">
        <v>815</v>
      </c>
      <c r="G733" s="236" t="s">
        <v>1560</v>
      </c>
      <c r="H733" s="475" t="s">
        <v>1138</v>
      </c>
      <c r="I733" s="224">
        <v>1</v>
      </c>
      <c r="J733" s="276">
        <v>45.411520000000003</v>
      </c>
      <c r="K733" s="276">
        <v>42</v>
      </c>
      <c r="L733" s="276">
        <f t="shared" ref="L733:L794" si="2">J733-K733</f>
        <v>3.411520000000003</v>
      </c>
    </row>
    <row r="734" spans="1:12" ht="26.4" customHeight="1">
      <c r="A734" s="207">
        <v>66</v>
      </c>
      <c r="B734" s="543"/>
      <c r="C734" s="234" t="s">
        <v>28</v>
      </c>
      <c r="D734" s="234" t="s">
        <v>1430</v>
      </c>
      <c r="E734" s="288" t="s">
        <v>819</v>
      </c>
      <c r="F734" s="234" t="s">
        <v>814</v>
      </c>
      <c r="G734" s="236" t="s">
        <v>1535</v>
      </c>
      <c r="H734" s="475" t="s">
        <v>1138</v>
      </c>
      <c r="I734" s="224">
        <v>1</v>
      </c>
      <c r="J734" s="276">
        <v>112.04849</v>
      </c>
      <c r="K734" s="276">
        <v>112</v>
      </c>
      <c r="L734" s="276">
        <f t="shared" si="2"/>
        <v>4.8490000000001032E-2</v>
      </c>
    </row>
    <row r="735" spans="1:12" ht="26.4" customHeight="1">
      <c r="A735" s="207">
        <v>67</v>
      </c>
      <c r="B735" s="543"/>
      <c r="C735" s="234" t="s">
        <v>28</v>
      </c>
      <c r="D735" s="234" t="s">
        <v>1430</v>
      </c>
      <c r="E735" s="288" t="s">
        <v>819</v>
      </c>
      <c r="F735" s="234" t="s">
        <v>813</v>
      </c>
      <c r="G735" s="236" t="s">
        <v>1563</v>
      </c>
      <c r="H735" s="475" t="s">
        <v>1138</v>
      </c>
      <c r="I735" s="224">
        <v>1</v>
      </c>
      <c r="J735" s="276">
        <v>3.8</v>
      </c>
      <c r="K735" s="276">
        <v>2.6</v>
      </c>
      <c r="L735" s="276">
        <f t="shared" si="2"/>
        <v>1.1999999999999997</v>
      </c>
    </row>
    <row r="736" spans="1:12" ht="26.4" customHeight="1">
      <c r="A736" s="207">
        <v>68</v>
      </c>
      <c r="B736" s="543"/>
      <c r="C736" s="234" t="s">
        <v>28</v>
      </c>
      <c r="D736" s="234" t="s">
        <v>1431</v>
      </c>
      <c r="E736" s="288" t="s">
        <v>812</v>
      </c>
      <c r="F736" s="234" t="s">
        <v>811</v>
      </c>
      <c r="G736" s="236" t="s">
        <v>1534</v>
      </c>
      <c r="H736" s="475" t="s">
        <v>1149</v>
      </c>
      <c r="I736" s="477">
        <v>303</v>
      </c>
      <c r="J736" s="276">
        <v>81.450429999999997</v>
      </c>
      <c r="K736" s="276">
        <v>56.7</v>
      </c>
      <c r="L736" s="276">
        <f t="shared" si="2"/>
        <v>24.750429999999994</v>
      </c>
    </row>
    <row r="737" spans="1:12" ht="26.4" customHeight="1">
      <c r="A737" s="207">
        <v>69</v>
      </c>
      <c r="B737" s="543"/>
      <c r="C737" s="234" t="s">
        <v>28</v>
      </c>
      <c r="D737" s="234" t="s">
        <v>1431</v>
      </c>
      <c r="E737" s="288" t="s">
        <v>2449</v>
      </c>
      <c r="F737" s="234" t="s">
        <v>810</v>
      </c>
      <c r="G737" s="236" t="s">
        <v>1534</v>
      </c>
      <c r="H737" s="475" t="s">
        <v>1138</v>
      </c>
      <c r="I737" s="224">
        <v>1</v>
      </c>
      <c r="J737" s="276">
        <v>149.23357999999999</v>
      </c>
      <c r="K737" s="276">
        <v>29.9</v>
      </c>
      <c r="L737" s="276">
        <f t="shared" si="2"/>
        <v>119.33357999999998</v>
      </c>
    </row>
    <row r="738" spans="1:12" ht="26.4" customHeight="1">
      <c r="A738" s="207">
        <v>70</v>
      </c>
      <c r="B738" s="543"/>
      <c r="C738" s="234" t="s">
        <v>28</v>
      </c>
      <c r="D738" s="234" t="s">
        <v>1431</v>
      </c>
      <c r="E738" s="288" t="s">
        <v>809</v>
      </c>
      <c r="F738" s="234" t="s">
        <v>808</v>
      </c>
      <c r="G738" s="236" t="s">
        <v>1534</v>
      </c>
      <c r="H738" s="475" t="s">
        <v>1138</v>
      </c>
      <c r="I738" s="224">
        <v>1</v>
      </c>
      <c r="J738" s="276">
        <v>4.2</v>
      </c>
      <c r="K738" s="276">
        <v>3.5</v>
      </c>
      <c r="L738" s="276">
        <f t="shared" si="2"/>
        <v>0.70000000000000018</v>
      </c>
    </row>
    <row r="739" spans="1:12" ht="26.4" customHeight="1">
      <c r="A739" s="207">
        <v>71</v>
      </c>
      <c r="B739" s="543"/>
      <c r="C739" s="234" t="s">
        <v>28</v>
      </c>
      <c r="D739" s="234" t="s">
        <v>1431</v>
      </c>
      <c r="E739" s="288" t="s">
        <v>1191</v>
      </c>
      <c r="F739" s="234" t="s">
        <v>807</v>
      </c>
      <c r="G739" s="236" t="s">
        <v>1534</v>
      </c>
      <c r="H739" s="475" t="s">
        <v>1138</v>
      </c>
      <c r="I739" s="224">
        <v>1</v>
      </c>
      <c r="J739" s="276">
        <v>436.12954000000002</v>
      </c>
      <c r="K739" s="276">
        <v>206.6</v>
      </c>
      <c r="L739" s="276">
        <f t="shared" si="2"/>
        <v>229.52954000000003</v>
      </c>
    </row>
    <row r="740" spans="1:12" ht="26.4" customHeight="1">
      <c r="A740" s="207">
        <v>72</v>
      </c>
      <c r="B740" s="543"/>
      <c r="C740" s="234" t="s">
        <v>28</v>
      </c>
      <c r="D740" s="234" t="s">
        <v>1431</v>
      </c>
      <c r="E740" s="288" t="s">
        <v>1191</v>
      </c>
      <c r="F740" s="234" t="s">
        <v>806</v>
      </c>
      <c r="G740" s="236" t="s">
        <v>1565</v>
      </c>
      <c r="H740" s="475" t="s">
        <v>1138</v>
      </c>
      <c r="I740" s="224">
        <v>1</v>
      </c>
      <c r="J740" s="276">
        <v>33.998350000000002</v>
      </c>
      <c r="K740" s="276">
        <v>28.6</v>
      </c>
      <c r="L740" s="276">
        <f t="shared" si="2"/>
        <v>5.3983500000000006</v>
      </c>
    </row>
    <row r="741" spans="1:12" ht="26.4" customHeight="1">
      <c r="A741" s="207">
        <v>73</v>
      </c>
      <c r="B741" s="543"/>
      <c r="C741" s="234" t="s">
        <v>28</v>
      </c>
      <c r="D741" s="234" t="s">
        <v>1431</v>
      </c>
      <c r="E741" s="288" t="s">
        <v>1191</v>
      </c>
      <c r="F741" s="234" t="s">
        <v>805</v>
      </c>
      <c r="G741" s="236" t="s">
        <v>1536</v>
      </c>
      <c r="H741" s="475" t="s">
        <v>1138</v>
      </c>
      <c r="I741" s="224">
        <v>1</v>
      </c>
      <c r="J741" s="276">
        <v>25.292000000000002</v>
      </c>
      <c r="K741" s="276">
        <v>16.399999999999999</v>
      </c>
      <c r="L741" s="276">
        <f t="shared" si="2"/>
        <v>8.892000000000003</v>
      </c>
    </row>
    <row r="742" spans="1:12" ht="26.4" customHeight="1">
      <c r="A742" s="207">
        <v>74</v>
      </c>
      <c r="B742" s="543"/>
      <c r="C742" s="234" t="s">
        <v>28</v>
      </c>
      <c r="D742" s="234" t="s">
        <v>1432</v>
      </c>
      <c r="E742" s="288" t="s">
        <v>804</v>
      </c>
      <c r="F742" s="234" t="s">
        <v>803</v>
      </c>
      <c r="G742" s="236" t="s">
        <v>1560</v>
      </c>
      <c r="H742" s="475" t="s">
        <v>1149</v>
      </c>
      <c r="I742" s="477">
        <v>240.4</v>
      </c>
      <c r="J742" s="276">
        <v>30.867840000000001</v>
      </c>
      <c r="K742" s="276">
        <v>23.8</v>
      </c>
      <c r="L742" s="276">
        <f t="shared" si="2"/>
        <v>7.0678400000000003</v>
      </c>
    </row>
    <row r="743" spans="1:12" ht="26.4" customHeight="1">
      <c r="A743" s="207">
        <v>75</v>
      </c>
      <c r="B743" s="543"/>
      <c r="C743" s="234" t="s">
        <v>28</v>
      </c>
      <c r="D743" s="234" t="s">
        <v>1432</v>
      </c>
      <c r="E743" s="288" t="s">
        <v>800</v>
      </c>
      <c r="F743" s="234" t="s">
        <v>802</v>
      </c>
      <c r="G743" s="236" t="s">
        <v>1566</v>
      </c>
      <c r="H743" s="475" t="s">
        <v>1138</v>
      </c>
      <c r="I743" s="224">
        <v>1</v>
      </c>
      <c r="J743" s="276">
        <v>97.843440000000001</v>
      </c>
      <c r="K743" s="276">
        <v>97.843440000000001</v>
      </c>
      <c r="L743" s="276">
        <f t="shared" si="2"/>
        <v>0</v>
      </c>
    </row>
    <row r="744" spans="1:12" ht="26.4" customHeight="1">
      <c r="A744" s="207">
        <v>76</v>
      </c>
      <c r="B744" s="543"/>
      <c r="C744" s="234" t="s">
        <v>28</v>
      </c>
      <c r="D744" s="234" t="s">
        <v>2087</v>
      </c>
      <c r="E744" s="288" t="s">
        <v>800</v>
      </c>
      <c r="F744" s="234" t="s">
        <v>801</v>
      </c>
      <c r="G744" s="236" t="s">
        <v>1548</v>
      </c>
      <c r="H744" s="475" t="s">
        <v>1138</v>
      </c>
      <c r="I744" s="224">
        <v>1</v>
      </c>
      <c r="J744" s="276">
        <v>5.95</v>
      </c>
      <c r="K744" s="276">
        <v>2.8</v>
      </c>
      <c r="L744" s="276">
        <f t="shared" si="2"/>
        <v>3.1500000000000004</v>
      </c>
    </row>
    <row r="745" spans="1:12" ht="26.4" customHeight="1">
      <c r="A745" s="207">
        <v>77</v>
      </c>
      <c r="B745" s="543"/>
      <c r="C745" s="234" t="s">
        <v>28</v>
      </c>
      <c r="D745" s="234" t="s">
        <v>2087</v>
      </c>
      <c r="E745" s="288" t="s">
        <v>800</v>
      </c>
      <c r="F745" s="234">
        <v>2229</v>
      </c>
      <c r="G745" s="236" t="s">
        <v>1567</v>
      </c>
      <c r="H745" s="475" t="s">
        <v>1138</v>
      </c>
      <c r="I745" s="224" t="s">
        <v>3</v>
      </c>
      <c r="J745" s="276">
        <v>132.661</v>
      </c>
      <c r="K745" s="276">
        <v>87</v>
      </c>
      <c r="L745" s="276">
        <f t="shared" si="2"/>
        <v>45.661000000000001</v>
      </c>
    </row>
    <row r="746" spans="1:12" ht="26.4" customHeight="1">
      <c r="A746" s="207">
        <v>78</v>
      </c>
      <c r="B746" s="543"/>
      <c r="C746" s="234" t="s">
        <v>28</v>
      </c>
      <c r="D746" s="234" t="s">
        <v>1433</v>
      </c>
      <c r="E746" s="288" t="s">
        <v>799</v>
      </c>
      <c r="F746" s="234">
        <v>1307</v>
      </c>
      <c r="G746" s="236" t="s">
        <v>1568</v>
      </c>
      <c r="H746" s="475" t="s">
        <v>1149</v>
      </c>
      <c r="I746" s="477">
        <v>397.7</v>
      </c>
      <c r="J746" s="276">
        <v>68.3</v>
      </c>
      <c r="K746" s="276">
        <v>64.099999999999994</v>
      </c>
      <c r="L746" s="276">
        <f t="shared" si="2"/>
        <v>4.2000000000000028</v>
      </c>
    </row>
    <row r="747" spans="1:12" ht="26.4" customHeight="1">
      <c r="A747" s="207">
        <v>79</v>
      </c>
      <c r="B747" s="543"/>
      <c r="C747" s="234" t="s">
        <v>28</v>
      </c>
      <c r="D747" s="234" t="s">
        <v>1433</v>
      </c>
      <c r="E747" s="288" t="s">
        <v>798</v>
      </c>
      <c r="F747" s="234">
        <v>1309</v>
      </c>
      <c r="G747" s="236" t="s">
        <v>1568</v>
      </c>
      <c r="H747" s="475" t="s">
        <v>1138</v>
      </c>
      <c r="I747" s="224">
        <v>1</v>
      </c>
      <c r="J747" s="276">
        <f>(28213.42+252749.69)/1000</f>
        <v>280.96310999999997</v>
      </c>
      <c r="K747" s="276">
        <v>38.799999999999997</v>
      </c>
      <c r="L747" s="276">
        <f t="shared" si="2"/>
        <v>242.16310999999996</v>
      </c>
    </row>
    <row r="748" spans="1:12" ht="26.4" customHeight="1">
      <c r="A748" s="207">
        <v>80</v>
      </c>
      <c r="B748" s="543"/>
      <c r="C748" s="234" t="s">
        <v>28</v>
      </c>
      <c r="D748" s="234" t="s">
        <v>1433</v>
      </c>
      <c r="E748" s="288" t="s">
        <v>797</v>
      </c>
      <c r="F748" s="234">
        <v>1308</v>
      </c>
      <c r="G748" s="236" t="s">
        <v>1568</v>
      </c>
      <c r="H748" s="475" t="s">
        <v>1138</v>
      </c>
      <c r="I748" s="224">
        <v>1</v>
      </c>
      <c r="J748" s="276">
        <v>587.79999999999995</v>
      </c>
      <c r="K748" s="276">
        <v>267.39999999999998</v>
      </c>
      <c r="L748" s="276">
        <f t="shared" si="2"/>
        <v>320.39999999999998</v>
      </c>
    </row>
    <row r="749" spans="1:12" ht="26.4" customHeight="1">
      <c r="A749" s="207">
        <v>81</v>
      </c>
      <c r="B749" s="543"/>
      <c r="C749" s="234" t="s">
        <v>28</v>
      </c>
      <c r="D749" s="234" t="s">
        <v>1433</v>
      </c>
      <c r="E749" s="288" t="s">
        <v>797</v>
      </c>
      <c r="F749" s="234">
        <v>2108</v>
      </c>
      <c r="G749" s="236" t="s">
        <v>1536</v>
      </c>
      <c r="H749" s="475" t="s">
        <v>1138</v>
      </c>
      <c r="I749" s="224">
        <v>1</v>
      </c>
      <c r="J749" s="276">
        <v>13.791</v>
      </c>
      <c r="K749" s="276">
        <v>6</v>
      </c>
      <c r="L749" s="276">
        <f t="shared" si="2"/>
        <v>7.7910000000000004</v>
      </c>
    </row>
    <row r="750" spans="1:12" ht="26.4" customHeight="1">
      <c r="A750" s="207">
        <v>82</v>
      </c>
      <c r="B750" s="543"/>
      <c r="C750" s="234" t="s">
        <v>28</v>
      </c>
      <c r="D750" s="234" t="s">
        <v>2088</v>
      </c>
      <c r="E750" s="288" t="s">
        <v>796</v>
      </c>
      <c r="F750" s="234" t="s">
        <v>795</v>
      </c>
      <c r="G750" s="236" t="s">
        <v>1541</v>
      </c>
      <c r="H750" s="475" t="s">
        <v>1149</v>
      </c>
      <c r="I750" s="477">
        <v>358.4</v>
      </c>
      <c r="J750" s="276">
        <f>1963.4+62.4</f>
        <v>2025.8000000000002</v>
      </c>
      <c r="K750" s="276">
        <v>1244.3</v>
      </c>
      <c r="L750" s="276">
        <f t="shared" si="2"/>
        <v>781.50000000000023</v>
      </c>
    </row>
    <row r="751" spans="1:12" ht="26.4" customHeight="1">
      <c r="A751" s="207">
        <v>83</v>
      </c>
      <c r="B751" s="543"/>
      <c r="C751" s="234" t="s">
        <v>28</v>
      </c>
      <c r="D751" s="234" t="s">
        <v>2088</v>
      </c>
      <c r="E751" s="288" t="s">
        <v>794</v>
      </c>
      <c r="F751" s="234" t="s">
        <v>793</v>
      </c>
      <c r="G751" s="236" t="s">
        <v>1538</v>
      </c>
      <c r="H751" s="475" t="s">
        <v>1138</v>
      </c>
      <c r="I751" s="224">
        <v>1</v>
      </c>
      <c r="J751" s="276">
        <v>14.3</v>
      </c>
      <c r="K751" s="276">
        <v>4.7</v>
      </c>
      <c r="L751" s="276">
        <f t="shared" si="2"/>
        <v>9.6000000000000014</v>
      </c>
    </row>
    <row r="752" spans="1:12" ht="26.4" customHeight="1">
      <c r="A752" s="207">
        <v>84</v>
      </c>
      <c r="B752" s="543"/>
      <c r="C752" s="234" t="s">
        <v>28</v>
      </c>
      <c r="D752" s="234" t="s">
        <v>2088</v>
      </c>
      <c r="E752" s="288" t="s">
        <v>792</v>
      </c>
      <c r="F752" s="234" t="s">
        <v>791</v>
      </c>
      <c r="G752" s="236" t="s">
        <v>1559</v>
      </c>
      <c r="H752" s="475" t="s">
        <v>1138</v>
      </c>
      <c r="I752" s="224">
        <v>1</v>
      </c>
      <c r="J752" s="276">
        <f>6.9+54.5</f>
        <v>61.4</v>
      </c>
      <c r="K752" s="276">
        <v>21.4</v>
      </c>
      <c r="L752" s="276">
        <f t="shared" si="2"/>
        <v>40</v>
      </c>
    </row>
    <row r="753" spans="1:12" ht="26.4" customHeight="1">
      <c r="A753" s="207">
        <v>85</v>
      </c>
      <c r="B753" s="543"/>
      <c r="C753" s="234" t="s">
        <v>28</v>
      </c>
      <c r="D753" s="234" t="s">
        <v>2088</v>
      </c>
      <c r="E753" s="288" t="s">
        <v>790</v>
      </c>
      <c r="F753" s="234" t="s">
        <v>789</v>
      </c>
      <c r="G753" s="236" t="s">
        <v>1541</v>
      </c>
      <c r="H753" s="475" t="s">
        <v>1138</v>
      </c>
      <c r="I753" s="224">
        <v>1</v>
      </c>
      <c r="J753" s="276">
        <v>13.7</v>
      </c>
      <c r="K753" s="276">
        <v>4.9000000000000004</v>
      </c>
      <c r="L753" s="276">
        <f t="shared" si="2"/>
        <v>8.7999999999999989</v>
      </c>
    </row>
    <row r="754" spans="1:12" ht="26.4" customHeight="1">
      <c r="A754" s="207">
        <v>86</v>
      </c>
      <c r="B754" s="543"/>
      <c r="C754" s="234" t="s">
        <v>28</v>
      </c>
      <c r="D754" s="234" t="s">
        <v>2088</v>
      </c>
      <c r="E754" s="288" t="s">
        <v>788</v>
      </c>
      <c r="F754" s="234" t="s">
        <v>787</v>
      </c>
      <c r="G754" s="236" t="s">
        <v>1559</v>
      </c>
      <c r="H754" s="475" t="s">
        <v>1138</v>
      </c>
      <c r="I754" s="224">
        <v>1</v>
      </c>
      <c r="J754" s="276">
        <v>1.2</v>
      </c>
      <c r="K754" s="276">
        <v>1.2</v>
      </c>
      <c r="L754" s="276">
        <f t="shared" si="2"/>
        <v>0</v>
      </c>
    </row>
    <row r="755" spans="1:12" ht="26.4" customHeight="1">
      <c r="A755" s="207">
        <v>87</v>
      </c>
      <c r="B755" s="543"/>
      <c r="C755" s="234" t="s">
        <v>28</v>
      </c>
      <c r="D755" s="234" t="s">
        <v>2088</v>
      </c>
      <c r="E755" s="288" t="s">
        <v>784</v>
      </c>
      <c r="F755" s="234" t="s">
        <v>786</v>
      </c>
      <c r="G755" s="236" t="s">
        <v>1565</v>
      </c>
      <c r="H755" s="475" t="s">
        <v>1138</v>
      </c>
      <c r="I755" s="224">
        <v>1</v>
      </c>
      <c r="J755" s="276">
        <v>2076.6</v>
      </c>
      <c r="K755" s="276">
        <v>823.1</v>
      </c>
      <c r="L755" s="276">
        <f t="shared" si="2"/>
        <v>1253.5</v>
      </c>
    </row>
    <row r="756" spans="1:12" ht="26.4" customHeight="1">
      <c r="A756" s="207">
        <v>88</v>
      </c>
      <c r="B756" s="543"/>
      <c r="C756" s="234" t="s">
        <v>28</v>
      </c>
      <c r="D756" s="234" t="s">
        <v>2088</v>
      </c>
      <c r="E756" s="288" t="s">
        <v>784</v>
      </c>
      <c r="F756" s="234" t="s">
        <v>785</v>
      </c>
      <c r="G756" s="236" t="s">
        <v>1139</v>
      </c>
      <c r="H756" s="475" t="s">
        <v>1138</v>
      </c>
      <c r="I756" s="224">
        <v>1</v>
      </c>
      <c r="J756" s="276">
        <v>333.9</v>
      </c>
      <c r="K756" s="276">
        <v>233.9</v>
      </c>
      <c r="L756" s="276">
        <f t="shared" si="2"/>
        <v>99.999999999999972</v>
      </c>
    </row>
    <row r="757" spans="1:12" ht="26.4" customHeight="1">
      <c r="A757" s="207">
        <v>89</v>
      </c>
      <c r="B757" s="543"/>
      <c r="C757" s="234" t="s">
        <v>28</v>
      </c>
      <c r="D757" s="234" t="s">
        <v>2088</v>
      </c>
      <c r="E757" s="288" t="s">
        <v>784</v>
      </c>
      <c r="F757" s="234" t="s">
        <v>783</v>
      </c>
      <c r="G757" s="236" t="s">
        <v>1569</v>
      </c>
      <c r="H757" s="475" t="s">
        <v>1138</v>
      </c>
      <c r="I757" s="224">
        <v>1</v>
      </c>
      <c r="J757" s="276">
        <v>118.7</v>
      </c>
      <c r="K757" s="276">
        <v>45.1</v>
      </c>
      <c r="L757" s="276">
        <f t="shared" si="2"/>
        <v>73.599999999999994</v>
      </c>
    </row>
    <row r="758" spans="1:12" ht="26.4" customHeight="1">
      <c r="A758" s="207">
        <v>90</v>
      </c>
      <c r="B758" s="543"/>
      <c r="C758" s="234" t="s">
        <v>28</v>
      </c>
      <c r="D758" s="234" t="s">
        <v>1944</v>
      </c>
      <c r="E758" s="288" t="s">
        <v>782</v>
      </c>
      <c r="F758" s="234" t="s">
        <v>781</v>
      </c>
      <c r="G758" s="236" t="s">
        <v>1564</v>
      </c>
      <c r="H758" s="475" t="s">
        <v>1149</v>
      </c>
      <c r="I758" s="241">
        <v>513</v>
      </c>
      <c r="J758" s="276">
        <v>2850.8</v>
      </c>
      <c r="K758" s="276">
        <v>1514.4</v>
      </c>
      <c r="L758" s="276">
        <f t="shared" si="2"/>
        <v>1336.4</v>
      </c>
    </row>
    <row r="759" spans="1:12" ht="26.4" customHeight="1">
      <c r="A759" s="207">
        <v>91</v>
      </c>
      <c r="B759" s="543"/>
      <c r="C759" s="234" t="s">
        <v>28</v>
      </c>
      <c r="D759" s="234" t="s">
        <v>1944</v>
      </c>
      <c r="E759" s="288" t="s">
        <v>780</v>
      </c>
      <c r="F759" s="234" t="s">
        <v>779</v>
      </c>
      <c r="G759" s="236" t="s">
        <v>1569</v>
      </c>
      <c r="H759" s="475" t="s">
        <v>1138</v>
      </c>
      <c r="I759" s="224">
        <v>1</v>
      </c>
      <c r="J759" s="276">
        <v>7.8</v>
      </c>
      <c r="K759" s="276">
        <v>7.8</v>
      </c>
      <c r="L759" s="276">
        <f t="shared" si="2"/>
        <v>0</v>
      </c>
    </row>
    <row r="760" spans="1:12" ht="26.4" customHeight="1">
      <c r="A760" s="207">
        <v>92</v>
      </c>
      <c r="B760" s="543"/>
      <c r="C760" s="234" t="s">
        <v>28</v>
      </c>
      <c r="D760" s="234" t="s">
        <v>1945</v>
      </c>
      <c r="E760" s="288" t="s">
        <v>1242</v>
      </c>
      <c r="F760" s="234" t="s">
        <v>778</v>
      </c>
      <c r="G760" s="236" t="s">
        <v>1564</v>
      </c>
      <c r="H760" s="475" t="s">
        <v>1138</v>
      </c>
      <c r="I760" s="224">
        <v>1</v>
      </c>
      <c r="J760" s="276">
        <v>47.2</v>
      </c>
      <c r="K760" s="276">
        <v>1.9</v>
      </c>
      <c r="L760" s="276">
        <f t="shared" si="2"/>
        <v>45.300000000000004</v>
      </c>
    </row>
    <row r="761" spans="1:12" ht="26.4" customHeight="1">
      <c r="A761" s="207">
        <v>93</v>
      </c>
      <c r="B761" s="543"/>
      <c r="C761" s="234" t="s">
        <v>28</v>
      </c>
      <c r="D761" s="234" t="s">
        <v>1945</v>
      </c>
      <c r="E761" s="288" t="s">
        <v>777</v>
      </c>
      <c r="F761" s="234" t="s">
        <v>776</v>
      </c>
      <c r="G761" s="236" t="s">
        <v>1564</v>
      </c>
      <c r="H761" s="475" t="s">
        <v>1138</v>
      </c>
      <c r="I761" s="224">
        <v>1</v>
      </c>
      <c r="J761" s="276">
        <v>1.1000000000000001</v>
      </c>
      <c r="K761" s="276">
        <v>0.8</v>
      </c>
      <c r="L761" s="276">
        <f t="shared" si="2"/>
        <v>0.30000000000000004</v>
      </c>
    </row>
    <row r="762" spans="1:12" ht="26.4" customHeight="1">
      <c r="A762" s="207">
        <v>94</v>
      </c>
      <c r="B762" s="543"/>
      <c r="C762" s="234" t="s">
        <v>28</v>
      </c>
      <c r="D762" s="234" t="s">
        <v>1945</v>
      </c>
      <c r="E762" s="288" t="s">
        <v>772</v>
      </c>
      <c r="F762" s="234" t="s">
        <v>775</v>
      </c>
      <c r="G762" s="236" t="s">
        <v>1564</v>
      </c>
      <c r="H762" s="475" t="s">
        <v>1138</v>
      </c>
      <c r="I762" s="224">
        <v>1</v>
      </c>
      <c r="J762" s="276">
        <f>395.5+150.7</f>
        <v>546.20000000000005</v>
      </c>
      <c r="K762" s="276">
        <v>126.3</v>
      </c>
      <c r="L762" s="276">
        <f t="shared" si="2"/>
        <v>419.90000000000003</v>
      </c>
    </row>
    <row r="763" spans="1:12" ht="26.4" customHeight="1">
      <c r="A763" s="207">
        <v>95</v>
      </c>
      <c r="B763" s="543"/>
      <c r="C763" s="234" t="s">
        <v>28</v>
      </c>
      <c r="D763" s="234" t="s">
        <v>1945</v>
      </c>
      <c r="E763" s="288" t="s">
        <v>772</v>
      </c>
      <c r="F763" s="234" t="s">
        <v>774</v>
      </c>
      <c r="G763" s="236" t="s">
        <v>1549</v>
      </c>
      <c r="H763" s="475" t="s">
        <v>1138</v>
      </c>
      <c r="I763" s="224">
        <v>1</v>
      </c>
      <c r="J763" s="276">
        <v>1273.8</v>
      </c>
      <c r="K763" s="276">
        <v>910.8</v>
      </c>
      <c r="L763" s="276">
        <f t="shared" si="2"/>
        <v>363</v>
      </c>
    </row>
    <row r="764" spans="1:12" ht="26.4" customHeight="1">
      <c r="A764" s="207">
        <v>96</v>
      </c>
      <c r="B764" s="543"/>
      <c r="C764" s="234" t="s">
        <v>28</v>
      </c>
      <c r="D764" s="234" t="s">
        <v>1945</v>
      </c>
      <c r="E764" s="288" t="s">
        <v>772</v>
      </c>
      <c r="F764" s="234" t="s">
        <v>773</v>
      </c>
      <c r="G764" s="236" t="s">
        <v>1549</v>
      </c>
      <c r="H764" s="475" t="s">
        <v>1138</v>
      </c>
      <c r="I764" s="224">
        <v>1</v>
      </c>
      <c r="J764" s="276">
        <v>1014.7</v>
      </c>
      <c r="K764" s="276">
        <v>662.5</v>
      </c>
      <c r="L764" s="276">
        <f t="shared" si="2"/>
        <v>352.20000000000005</v>
      </c>
    </row>
    <row r="765" spans="1:12" ht="26.4" customHeight="1">
      <c r="A765" s="207">
        <v>97</v>
      </c>
      <c r="B765" s="543"/>
      <c r="C765" s="234" t="s">
        <v>28</v>
      </c>
      <c r="D765" s="234" t="s">
        <v>1945</v>
      </c>
      <c r="E765" s="288" t="s">
        <v>772</v>
      </c>
      <c r="F765" s="234" t="s">
        <v>771</v>
      </c>
      <c r="G765" s="236" t="s">
        <v>1549</v>
      </c>
      <c r="H765" s="475" t="s">
        <v>1138</v>
      </c>
      <c r="I765" s="224">
        <v>1</v>
      </c>
      <c r="J765" s="276">
        <v>380.7</v>
      </c>
      <c r="K765" s="276">
        <v>247.1</v>
      </c>
      <c r="L765" s="276">
        <f t="shared" si="2"/>
        <v>133.6</v>
      </c>
    </row>
    <row r="766" spans="1:12" ht="26.4" customHeight="1">
      <c r="A766" s="207">
        <v>98</v>
      </c>
      <c r="B766" s="543"/>
      <c r="C766" s="234" t="s">
        <v>28</v>
      </c>
      <c r="D766" s="234" t="s">
        <v>1434</v>
      </c>
      <c r="E766" s="288" t="s">
        <v>770</v>
      </c>
      <c r="F766" s="234">
        <v>1556</v>
      </c>
      <c r="G766" s="236" t="s">
        <v>1563</v>
      </c>
      <c r="H766" s="475" t="s">
        <v>1149</v>
      </c>
      <c r="I766" s="477">
        <v>81.900000000000006</v>
      </c>
      <c r="J766" s="276">
        <v>232.28</v>
      </c>
      <c r="K766" s="276">
        <v>131.6</v>
      </c>
      <c r="L766" s="276">
        <f t="shared" si="2"/>
        <v>100.68</v>
      </c>
    </row>
    <row r="767" spans="1:12" ht="26.4" customHeight="1">
      <c r="A767" s="207">
        <v>99</v>
      </c>
      <c r="B767" s="543"/>
      <c r="C767" s="234" t="s">
        <v>28</v>
      </c>
      <c r="D767" s="234" t="s">
        <v>1434</v>
      </c>
      <c r="E767" s="288" t="s">
        <v>769</v>
      </c>
      <c r="F767" s="234">
        <v>1557</v>
      </c>
      <c r="G767" s="236" t="s">
        <v>1563</v>
      </c>
      <c r="H767" s="475" t="s">
        <v>1138</v>
      </c>
      <c r="I767" s="224">
        <v>1</v>
      </c>
      <c r="J767" s="276">
        <v>14.531000000000001</v>
      </c>
      <c r="K767" s="276">
        <v>8.6999999999999993</v>
      </c>
      <c r="L767" s="276">
        <f t="shared" si="2"/>
        <v>5.8310000000000013</v>
      </c>
    </row>
    <row r="768" spans="1:12" ht="26.4" customHeight="1">
      <c r="A768" s="207">
        <v>100</v>
      </c>
      <c r="B768" s="543"/>
      <c r="C768" s="234" t="s">
        <v>28</v>
      </c>
      <c r="D768" s="234" t="s">
        <v>2026</v>
      </c>
      <c r="E768" s="288" t="s">
        <v>768</v>
      </c>
      <c r="F768" s="234">
        <v>1741</v>
      </c>
      <c r="G768" s="236" t="s">
        <v>1541</v>
      </c>
      <c r="H768" s="475" t="s">
        <v>1149</v>
      </c>
      <c r="I768" s="477">
        <v>50</v>
      </c>
      <c r="J768" s="276">
        <v>97.669569999999993</v>
      </c>
      <c r="K768" s="276">
        <v>45.1</v>
      </c>
      <c r="L768" s="276">
        <f t="shared" si="2"/>
        <v>52.569569999999992</v>
      </c>
    </row>
    <row r="769" spans="1:12" ht="26.4" customHeight="1">
      <c r="A769" s="207">
        <v>101</v>
      </c>
      <c r="B769" s="543"/>
      <c r="C769" s="234" t="s">
        <v>28</v>
      </c>
      <c r="D769" s="234" t="s">
        <v>2026</v>
      </c>
      <c r="E769" s="288" t="s">
        <v>767</v>
      </c>
      <c r="F769" s="234">
        <v>1742</v>
      </c>
      <c r="G769" s="236" t="s">
        <v>1551</v>
      </c>
      <c r="H769" s="475" t="s">
        <v>1138</v>
      </c>
      <c r="I769" s="224">
        <v>1</v>
      </c>
      <c r="J769" s="276">
        <v>9.1999999999999993</v>
      </c>
      <c r="K769" s="276">
        <v>7.2</v>
      </c>
      <c r="L769" s="276">
        <f t="shared" si="2"/>
        <v>1.9999999999999991</v>
      </c>
    </row>
    <row r="770" spans="1:12" ht="26.4" customHeight="1">
      <c r="A770" s="207">
        <v>102</v>
      </c>
      <c r="B770" s="543"/>
      <c r="C770" s="234" t="s">
        <v>28</v>
      </c>
      <c r="D770" s="234" t="s">
        <v>2026</v>
      </c>
      <c r="E770" s="288" t="s">
        <v>766</v>
      </c>
      <c r="F770" s="234">
        <v>1755</v>
      </c>
      <c r="G770" s="236" t="s">
        <v>1551</v>
      </c>
      <c r="H770" s="475" t="s">
        <v>1138</v>
      </c>
      <c r="I770" s="224">
        <v>1</v>
      </c>
      <c r="J770" s="276">
        <v>6.1029999999999998</v>
      </c>
      <c r="K770" s="276">
        <v>5.6</v>
      </c>
      <c r="L770" s="276">
        <f t="shared" si="2"/>
        <v>0.50300000000000011</v>
      </c>
    </row>
    <row r="771" spans="1:12" ht="26.4" customHeight="1">
      <c r="A771" s="207">
        <v>103</v>
      </c>
      <c r="B771" s="543"/>
      <c r="C771" s="234" t="s">
        <v>28</v>
      </c>
      <c r="D771" s="234" t="s">
        <v>2026</v>
      </c>
      <c r="E771" s="288" t="s">
        <v>2221</v>
      </c>
      <c r="F771" s="234">
        <v>1754</v>
      </c>
      <c r="G771" s="236" t="s">
        <v>1551</v>
      </c>
      <c r="H771" s="475" t="s">
        <v>1138</v>
      </c>
      <c r="I771" s="224">
        <v>1</v>
      </c>
      <c r="J771" s="276">
        <v>12.932</v>
      </c>
      <c r="K771" s="276">
        <v>9.8000000000000007</v>
      </c>
      <c r="L771" s="276">
        <f t="shared" si="2"/>
        <v>3.1319999999999997</v>
      </c>
    </row>
    <row r="772" spans="1:12" ht="26.4" customHeight="1">
      <c r="A772" s="207">
        <v>104</v>
      </c>
      <c r="B772" s="543"/>
      <c r="C772" s="234" t="s">
        <v>28</v>
      </c>
      <c r="D772" s="234" t="s">
        <v>2026</v>
      </c>
      <c r="E772" s="288" t="s">
        <v>764</v>
      </c>
      <c r="F772" s="234" t="s">
        <v>765</v>
      </c>
      <c r="G772" s="236" t="s">
        <v>1565</v>
      </c>
      <c r="H772" s="475" t="s">
        <v>1138</v>
      </c>
      <c r="I772" s="224">
        <v>1</v>
      </c>
      <c r="J772" s="276">
        <v>2.8311999999999999</v>
      </c>
      <c r="K772" s="276">
        <v>2.2000000000000002</v>
      </c>
      <c r="L772" s="276">
        <f t="shared" si="2"/>
        <v>0.63119999999999976</v>
      </c>
    </row>
    <row r="773" spans="1:12" ht="26.4" customHeight="1">
      <c r="A773" s="207">
        <v>105</v>
      </c>
      <c r="B773" s="543"/>
      <c r="C773" s="234" t="s">
        <v>28</v>
      </c>
      <c r="D773" s="234" t="s">
        <v>2026</v>
      </c>
      <c r="E773" s="288" t="s">
        <v>764</v>
      </c>
      <c r="F773" s="234">
        <v>2164</v>
      </c>
      <c r="G773" s="236" t="s">
        <v>1558</v>
      </c>
      <c r="H773" s="475" t="s">
        <v>1138</v>
      </c>
      <c r="I773" s="224">
        <v>1</v>
      </c>
      <c r="J773" s="276">
        <v>300.64800000000002</v>
      </c>
      <c r="K773" s="276">
        <v>40.200000000000003</v>
      </c>
      <c r="L773" s="276">
        <f t="shared" si="2"/>
        <v>260.44800000000004</v>
      </c>
    </row>
    <row r="774" spans="1:12" ht="26.4" customHeight="1">
      <c r="A774" s="207">
        <v>106</v>
      </c>
      <c r="B774" s="543"/>
      <c r="C774" s="234" t="s">
        <v>28</v>
      </c>
      <c r="D774" s="234" t="s">
        <v>1435</v>
      </c>
      <c r="E774" s="288" t="s">
        <v>763</v>
      </c>
      <c r="F774" s="234">
        <v>2000</v>
      </c>
      <c r="G774" s="236" t="s">
        <v>1570</v>
      </c>
      <c r="H774" s="475" t="s">
        <v>1149</v>
      </c>
      <c r="I774" s="477">
        <v>212</v>
      </c>
      <c r="J774" s="276">
        <v>350.5095</v>
      </c>
      <c r="K774" s="276">
        <v>350.5095</v>
      </c>
      <c r="L774" s="276">
        <f t="shared" si="2"/>
        <v>0</v>
      </c>
    </row>
    <row r="775" spans="1:12" ht="26.4" customHeight="1">
      <c r="A775" s="207">
        <v>107</v>
      </c>
      <c r="B775" s="543"/>
      <c r="C775" s="234" t="s">
        <v>28</v>
      </c>
      <c r="D775" s="234" t="s">
        <v>1435</v>
      </c>
      <c r="E775" s="288" t="s">
        <v>1870</v>
      </c>
      <c r="F775" s="234">
        <v>2339</v>
      </c>
      <c r="G775" s="236" t="s">
        <v>1571</v>
      </c>
      <c r="H775" s="475" t="s">
        <v>1138</v>
      </c>
      <c r="I775" s="224">
        <v>1</v>
      </c>
      <c r="J775" s="276">
        <v>8.3315000000000001</v>
      </c>
      <c r="K775" s="276">
        <v>3.9</v>
      </c>
      <c r="L775" s="276">
        <f t="shared" si="2"/>
        <v>4.4314999999999998</v>
      </c>
    </row>
    <row r="776" spans="1:12" ht="26.4" customHeight="1">
      <c r="A776" s="207">
        <v>108</v>
      </c>
      <c r="B776" s="543"/>
      <c r="C776" s="234" t="s">
        <v>28</v>
      </c>
      <c r="D776" s="234" t="s">
        <v>1435</v>
      </c>
      <c r="E776" s="288" t="s">
        <v>1870</v>
      </c>
      <c r="F776" s="234">
        <v>2340</v>
      </c>
      <c r="G776" s="236" t="s">
        <v>1571</v>
      </c>
      <c r="H776" s="475" t="s">
        <v>1138</v>
      </c>
      <c r="I776" s="224">
        <v>1</v>
      </c>
      <c r="J776" s="276">
        <v>8.3315000000000001</v>
      </c>
      <c r="K776" s="276">
        <v>3.9</v>
      </c>
      <c r="L776" s="276">
        <f t="shared" si="2"/>
        <v>4.4314999999999998</v>
      </c>
    </row>
    <row r="777" spans="1:12" ht="26.4" customHeight="1">
      <c r="A777" s="207">
        <v>109</v>
      </c>
      <c r="B777" s="543"/>
      <c r="C777" s="234" t="s">
        <v>28</v>
      </c>
      <c r="D777" s="234" t="s">
        <v>1435</v>
      </c>
      <c r="E777" s="288" t="s">
        <v>762</v>
      </c>
      <c r="F777" s="234">
        <v>2006</v>
      </c>
      <c r="G777" s="236" t="s">
        <v>1570</v>
      </c>
      <c r="H777" s="475" t="s">
        <v>1138</v>
      </c>
      <c r="I777" s="224">
        <v>1</v>
      </c>
      <c r="J777" s="276">
        <v>623.20270000000005</v>
      </c>
      <c r="K777" s="276">
        <v>609.70000000000005</v>
      </c>
      <c r="L777" s="276">
        <f t="shared" si="2"/>
        <v>13.502700000000004</v>
      </c>
    </row>
    <row r="778" spans="1:12" ht="26.4" customHeight="1">
      <c r="A778" s="207">
        <v>110</v>
      </c>
      <c r="B778" s="543"/>
      <c r="C778" s="234" t="s">
        <v>28</v>
      </c>
      <c r="D778" s="234" t="s">
        <v>2089</v>
      </c>
      <c r="E778" s="288" t="s">
        <v>761</v>
      </c>
      <c r="F778" s="234" t="s">
        <v>760</v>
      </c>
      <c r="G778" s="236" t="s">
        <v>1552</v>
      </c>
      <c r="H778" s="475" t="s">
        <v>1149</v>
      </c>
      <c r="I778" s="477">
        <v>179</v>
      </c>
      <c r="J778" s="276">
        <v>68</v>
      </c>
      <c r="K778" s="276">
        <v>51.4</v>
      </c>
      <c r="L778" s="276">
        <f t="shared" si="2"/>
        <v>16.600000000000001</v>
      </c>
    </row>
    <row r="779" spans="1:12" ht="26.4" customHeight="1">
      <c r="A779" s="207">
        <v>111</v>
      </c>
      <c r="B779" s="543"/>
      <c r="C779" s="234" t="s">
        <v>28</v>
      </c>
      <c r="D779" s="234" t="s">
        <v>1436</v>
      </c>
      <c r="E779" s="288" t="s">
        <v>759</v>
      </c>
      <c r="F779" s="234" t="s">
        <v>758</v>
      </c>
      <c r="G779" s="236" t="s">
        <v>1552</v>
      </c>
      <c r="H779" s="475" t="s">
        <v>1149</v>
      </c>
      <c r="I779" s="477">
        <v>245.9</v>
      </c>
      <c r="J779" s="276">
        <v>48.705869999999997</v>
      </c>
      <c r="K779" s="276">
        <v>47.1</v>
      </c>
      <c r="L779" s="276">
        <f t="shared" si="2"/>
        <v>1.6058699999999959</v>
      </c>
    </row>
    <row r="780" spans="1:12" ht="26.4" customHeight="1">
      <c r="A780" s="207">
        <v>112</v>
      </c>
      <c r="B780" s="543"/>
      <c r="C780" s="234" t="s">
        <v>28</v>
      </c>
      <c r="D780" s="234" t="s">
        <v>2090</v>
      </c>
      <c r="E780" s="288" t="s">
        <v>757</v>
      </c>
      <c r="F780" s="234" t="s">
        <v>756</v>
      </c>
      <c r="G780" s="236" t="s">
        <v>1552</v>
      </c>
      <c r="H780" s="475" t="s">
        <v>1149</v>
      </c>
      <c r="I780" s="477">
        <v>214.8</v>
      </c>
      <c r="J780" s="276">
        <v>55.193710000000003</v>
      </c>
      <c r="K780" s="276">
        <v>48.5</v>
      </c>
      <c r="L780" s="276">
        <f t="shared" si="2"/>
        <v>6.6937100000000029</v>
      </c>
    </row>
    <row r="781" spans="1:12" ht="26.4" customHeight="1">
      <c r="A781" s="207">
        <v>113</v>
      </c>
      <c r="B781" s="543"/>
      <c r="C781" s="234" t="s">
        <v>28</v>
      </c>
      <c r="D781" s="234" t="s">
        <v>1437</v>
      </c>
      <c r="E781" s="288" t="s">
        <v>755</v>
      </c>
      <c r="F781" s="234" t="s">
        <v>754</v>
      </c>
      <c r="G781" s="236" t="s">
        <v>1533</v>
      </c>
      <c r="H781" s="475" t="s">
        <v>1149</v>
      </c>
      <c r="I781" s="477">
        <v>199.2</v>
      </c>
      <c r="J781" s="276">
        <v>136.35011</v>
      </c>
      <c r="K781" s="276">
        <v>131.4</v>
      </c>
      <c r="L781" s="276">
        <f t="shared" si="2"/>
        <v>4.9501099999999951</v>
      </c>
    </row>
    <row r="782" spans="1:12" ht="26.4" customHeight="1">
      <c r="A782" s="207">
        <v>114</v>
      </c>
      <c r="B782" s="543"/>
      <c r="C782" s="234" t="s">
        <v>28</v>
      </c>
      <c r="D782" s="234" t="s">
        <v>2091</v>
      </c>
      <c r="E782" s="288" t="s">
        <v>753</v>
      </c>
      <c r="F782" s="234" t="s">
        <v>752</v>
      </c>
      <c r="G782" s="236" t="s">
        <v>1560</v>
      </c>
      <c r="H782" s="475" t="s">
        <v>1149</v>
      </c>
      <c r="I782" s="477">
        <v>200.8</v>
      </c>
      <c r="J782" s="276">
        <v>145.73281</v>
      </c>
      <c r="K782" s="276">
        <v>107.6</v>
      </c>
      <c r="L782" s="276">
        <f t="shared" si="2"/>
        <v>38.132810000000006</v>
      </c>
    </row>
    <row r="783" spans="1:12" ht="26.4" customHeight="1">
      <c r="A783" s="207">
        <v>115</v>
      </c>
      <c r="B783" s="543"/>
      <c r="C783" s="234" t="s">
        <v>28</v>
      </c>
      <c r="D783" s="234" t="s">
        <v>2092</v>
      </c>
      <c r="E783" s="288" t="s">
        <v>751</v>
      </c>
      <c r="F783" s="265" t="s">
        <v>750</v>
      </c>
      <c r="G783" s="236" t="s">
        <v>1532</v>
      </c>
      <c r="H783" s="475" t="s">
        <v>1149</v>
      </c>
      <c r="I783" s="477">
        <v>173.6</v>
      </c>
      <c r="J783" s="276">
        <v>123.22195000000001</v>
      </c>
      <c r="K783" s="276">
        <v>112</v>
      </c>
      <c r="L783" s="276">
        <f t="shared" si="2"/>
        <v>11.221950000000007</v>
      </c>
    </row>
    <row r="784" spans="1:12" ht="26.4" customHeight="1">
      <c r="A784" s="207">
        <v>116</v>
      </c>
      <c r="B784" s="543"/>
      <c r="C784" s="234" t="s">
        <v>28</v>
      </c>
      <c r="D784" s="234" t="s">
        <v>2093</v>
      </c>
      <c r="E784" s="288" t="s">
        <v>749</v>
      </c>
      <c r="F784" s="265" t="s">
        <v>748</v>
      </c>
      <c r="G784" s="236" t="s">
        <v>1560</v>
      </c>
      <c r="H784" s="475" t="s">
        <v>1149</v>
      </c>
      <c r="I784" s="477">
        <v>255.84</v>
      </c>
      <c r="J784" s="276">
        <v>131.43951000000001</v>
      </c>
      <c r="K784" s="276">
        <v>131.43951000000001</v>
      </c>
      <c r="L784" s="276">
        <f t="shared" si="2"/>
        <v>0</v>
      </c>
    </row>
    <row r="785" spans="1:12" ht="26.4" customHeight="1">
      <c r="A785" s="207">
        <v>117</v>
      </c>
      <c r="B785" s="543"/>
      <c r="C785" s="234" t="s">
        <v>28</v>
      </c>
      <c r="D785" s="234" t="s">
        <v>2093</v>
      </c>
      <c r="E785" s="288" t="s">
        <v>747</v>
      </c>
      <c r="F785" s="265" t="s">
        <v>746</v>
      </c>
      <c r="G785" s="236" t="s">
        <v>1560</v>
      </c>
      <c r="H785" s="475" t="s">
        <v>1149</v>
      </c>
      <c r="I785" s="477">
        <v>174.46</v>
      </c>
      <c r="J785" s="276">
        <v>125.78473</v>
      </c>
      <c r="K785" s="276">
        <v>97.5</v>
      </c>
      <c r="L785" s="276">
        <f t="shared" si="2"/>
        <v>28.284729999999996</v>
      </c>
    </row>
    <row r="786" spans="1:12" ht="26.4" customHeight="1">
      <c r="A786" s="207">
        <v>118</v>
      </c>
      <c r="B786" s="543"/>
      <c r="C786" s="234" t="s">
        <v>28</v>
      </c>
      <c r="D786" s="234" t="s">
        <v>2094</v>
      </c>
      <c r="E786" s="288" t="s">
        <v>745</v>
      </c>
      <c r="F786" s="265" t="s">
        <v>744</v>
      </c>
      <c r="G786" s="236" t="s">
        <v>1560</v>
      </c>
      <c r="H786" s="475" t="s">
        <v>1149</v>
      </c>
      <c r="I786" s="477">
        <v>174.46</v>
      </c>
      <c r="J786" s="276">
        <v>124.4786</v>
      </c>
      <c r="K786" s="276">
        <v>96.5</v>
      </c>
      <c r="L786" s="276">
        <f t="shared" si="2"/>
        <v>27.9786</v>
      </c>
    </row>
    <row r="787" spans="1:12" ht="26.4" customHeight="1">
      <c r="A787" s="207">
        <v>119</v>
      </c>
      <c r="B787" s="543"/>
      <c r="C787" s="234" t="s">
        <v>28</v>
      </c>
      <c r="D787" s="234" t="s">
        <v>2095</v>
      </c>
      <c r="E787" s="288" t="s">
        <v>743</v>
      </c>
      <c r="F787" s="234" t="s">
        <v>742</v>
      </c>
      <c r="G787" s="236" t="s">
        <v>1572</v>
      </c>
      <c r="H787" s="475" t="s">
        <v>1149</v>
      </c>
      <c r="I787" s="477">
        <v>251.5</v>
      </c>
      <c r="J787" s="276">
        <v>156.87761</v>
      </c>
      <c r="K787" s="276">
        <v>119.6</v>
      </c>
      <c r="L787" s="276">
        <f t="shared" si="2"/>
        <v>37.27761000000001</v>
      </c>
    </row>
    <row r="788" spans="1:12" ht="26.4" customHeight="1">
      <c r="A788" s="207">
        <v>120</v>
      </c>
      <c r="B788" s="543"/>
      <c r="C788" s="234" t="s">
        <v>28</v>
      </c>
      <c r="D788" s="234" t="s">
        <v>2095</v>
      </c>
      <c r="E788" s="288" t="s">
        <v>741</v>
      </c>
      <c r="F788" s="234" t="s">
        <v>740</v>
      </c>
      <c r="G788" s="236" t="s">
        <v>1560</v>
      </c>
      <c r="H788" s="475" t="s">
        <v>1149</v>
      </c>
      <c r="I788" s="477">
        <v>252.3</v>
      </c>
      <c r="J788" s="276">
        <v>158.19999999999999</v>
      </c>
      <c r="K788" s="276">
        <v>117</v>
      </c>
      <c r="L788" s="276">
        <f t="shared" si="2"/>
        <v>41.199999999999989</v>
      </c>
    </row>
    <row r="789" spans="1:12" ht="26.4" customHeight="1">
      <c r="A789" s="207">
        <v>121</v>
      </c>
      <c r="B789" s="543"/>
      <c r="C789" s="234" t="s">
        <v>28</v>
      </c>
      <c r="D789" s="234" t="s">
        <v>1438</v>
      </c>
      <c r="E789" s="288" t="s">
        <v>739</v>
      </c>
      <c r="F789" s="234">
        <v>1326</v>
      </c>
      <c r="G789" s="236" t="s">
        <v>1555</v>
      </c>
      <c r="H789" s="475" t="s">
        <v>1149</v>
      </c>
      <c r="I789" s="477">
        <v>330</v>
      </c>
      <c r="J789" s="276">
        <v>1745.96631</v>
      </c>
      <c r="K789" s="276">
        <v>807.1</v>
      </c>
      <c r="L789" s="276">
        <f t="shared" si="2"/>
        <v>938.86631</v>
      </c>
    </row>
    <row r="790" spans="1:12" ht="26.4" customHeight="1">
      <c r="A790" s="207">
        <v>122</v>
      </c>
      <c r="B790" s="543"/>
      <c r="C790" s="234" t="s">
        <v>28</v>
      </c>
      <c r="D790" s="234" t="s">
        <v>1438</v>
      </c>
      <c r="E790" s="288" t="s">
        <v>738</v>
      </c>
      <c r="F790" s="234">
        <v>1327</v>
      </c>
      <c r="G790" s="236" t="s">
        <v>1555</v>
      </c>
      <c r="H790" s="475" t="s">
        <v>1138</v>
      </c>
      <c r="I790" s="477">
        <v>1</v>
      </c>
      <c r="J790" s="276">
        <v>64.834850000000003</v>
      </c>
      <c r="K790" s="276">
        <v>64.834850000000003</v>
      </c>
      <c r="L790" s="276">
        <f t="shared" si="2"/>
        <v>0</v>
      </c>
    </row>
    <row r="791" spans="1:12" ht="26.4" customHeight="1">
      <c r="A791" s="207">
        <v>123</v>
      </c>
      <c r="B791" s="543"/>
      <c r="C791" s="234" t="s">
        <v>28</v>
      </c>
      <c r="D791" s="234" t="s">
        <v>1438</v>
      </c>
      <c r="E791" s="288" t="s">
        <v>737</v>
      </c>
      <c r="F791" s="234">
        <v>1458</v>
      </c>
      <c r="G791" s="236" t="s">
        <v>1555</v>
      </c>
      <c r="H791" s="475" t="s">
        <v>1138</v>
      </c>
      <c r="I791" s="477">
        <v>1</v>
      </c>
      <c r="J791" s="276">
        <v>68.426169999999999</v>
      </c>
      <c r="K791" s="276">
        <v>68.426169999999999</v>
      </c>
      <c r="L791" s="276">
        <f t="shared" si="2"/>
        <v>0</v>
      </c>
    </row>
    <row r="792" spans="1:12" ht="26.4" customHeight="1">
      <c r="A792" s="207">
        <v>124</v>
      </c>
      <c r="B792" s="543"/>
      <c r="C792" s="234" t="s">
        <v>28</v>
      </c>
      <c r="D792" s="234" t="s">
        <v>2352</v>
      </c>
      <c r="E792" s="288" t="s">
        <v>1818</v>
      </c>
      <c r="F792" s="234" t="s">
        <v>736</v>
      </c>
      <c r="G792" s="236" t="s">
        <v>1551</v>
      </c>
      <c r="H792" s="475" t="s">
        <v>1149</v>
      </c>
      <c r="I792" s="477">
        <v>180</v>
      </c>
      <c r="J792" s="276">
        <v>384.55824999999999</v>
      </c>
      <c r="K792" s="276">
        <v>207.2</v>
      </c>
      <c r="L792" s="276">
        <f t="shared" si="2"/>
        <v>177.35825</v>
      </c>
    </row>
    <row r="793" spans="1:12" ht="26.4" customHeight="1">
      <c r="A793" s="207">
        <v>125</v>
      </c>
      <c r="B793" s="543"/>
      <c r="C793" s="234" t="s">
        <v>28</v>
      </c>
      <c r="D793" s="234" t="s">
        <v>2096</v>
      </c>
      <c r="E793" s="288" t="s">
        <v>735</v>
      </c>
      <c r="F793" s="234" t="s">
        <v>734</v>
      </c>
      <c r="G793" s="236" t="s">
        <v>1552</v>
      </c>
      <c r="H793" s="475" t="s">
        <v>1149</v>
      </c>
      <c r="I793" s="477">
        <v>199</v>
      </c>
      <c r="J793" s="276">
        <v>55.269159999999999</v>
      </c>
      <c r="K793" s="276">
        <v>48.4</v>
      </c>
      <c r="L793" s="276">
        <f t="shared" si="2"/>
        <v>6.8691600000000008</v>
      </c>
    </row>
    <row r="794" spans="1:12" ht="26.4" customHeight="1">
      <c r="A794" s="207">
        <v>126</v>
      </c>
      <c r="B794" s="544"/>
      <c r="C794" s="208" t="s">
        <v>1188</v>
      </c>
      <c r="D794" s="208" t="s">
        <v>3</v>
      </c>
      <c r="E794" s="208" t="s">
        <v>733</v>
      </c>
      <c r="F794" s="234">
        <v>1274</v>
      </c>
      <c r="G794" s="236" t="s">
        <v>1555</v>
      </c>
      <c r="H794" s="475" t="s">
        <v>1149</v>
      </c>
      <c r="I794" s="477">
        <v>58.8</v>
      </c>
      <c r="J794" s="276">
        <v>451.4</v>
      </c>
      <c r="K794" s="276">
        <v>317.39999999999998</v>
      </c>
      <c r="L794" s="276">
        <f t="shared" si="2"/>
        <v>134</v>
      </c>
    </row>
    <row r="795" spans="1:12" ht="26.4" customHeight="1">
      <c r="A795" s="238"/>
      <c r="B795" s="303" t="s">
        <v>2215</v>
      </c>
      <c r="C795" s="303" t="s">
        <v>3</v>
      </c>
      <c r="D795" s="303" t="s">
        <v>3</v>
      </c>
      <c r="E795" s="303" t="s">
        <v>3</v>
      </c>
      <c r="F795" s="303" t="s">
        <v>3</v>
      </c>
      <c r="G795" s="303" t="s">
        <v>3</v>
      </c>
      <c r="H795" s="303" t="s">
        <v>3</v>
      </c>
      <c r="I795" s="303" t="s">
        <v>3</v>
      </c>
      <c r="J795" s="293">
        <f>SUM(J669:J794)</f>
        <v>38811.053140000018</v>
      </c>
      <c r="K795" s="293">
        <f>SUM(K669:K794)</f>
        <v>21944.600779999997</v>
      </c>
      <c r="L795" s="293">
        <f>SUM(L669:L794)</f>
        <v>16866.452359999996</v>
      </c>
    </row>
    <row r="796" spans="1:12" ht="26.4" customHeight="1">
      <c r="A796" s="224">
        <v>1</v>
      </c>
      <c r="B796" s="530" t="s">
        <v>13236</v>
      </c>
      <c r="C796" s="288" t="s">
        <v>19</v>
      </c>
      <c r="D796" s="288" t="s">
        <v>2097</v>
      </c>
      <c r="E796" s="288" t="s">
        <v>732</v>
      </c>
      <c r="F796" s="239">
        <v>5000001</v>
      </c>
      <c r="G796" s="236" t="s">
        <v>1551</v>
      </c>
      <c r="H796" s="475" t="s">
        <v>1149</v>
      </c>
      <c r="I796" s="477">
        <v>878.2</v>
      </c>
      <c r="J796" s="274">
        <v>451.2</v>
      </c>
      <c r="K796" s="274">
        <v>105.3</v>
      </c>
      <c r="L796" s="274">
        <v>345.9</v>
      </c>
    </row>
    <row r="797" spans="1:12" ht="26.4" customHeight="1">
      <c r="A797" s="224">
        <v>2</v>
      </c>
      <c r="B797" s="531"/>
      <c r="C797" s="288" t="s">
        <v>19</v>
      </c>
      <c r="D797" s="288" t="s">
        <v>1439</v>
      </c>
      <c r="E797" s="288" t="s">
        <v>1207</v>
      </c>
      <c r="F797" s="239">
        <v>5000012</v>
      </c>
      <c r="G797" s="236" t="s">
        <v>1551</v>
      </c>
      <c r="H797" s="475" t="s">
        <v>1149</v>
      </c>
      <c r="I797" s="477">
        <v>4884.3999999999996</v>
      </c>
      <c r="J797" s="274">
        <v>3068.9</v>
      </c>
      <c r="K797" s="274">
        <v>806.9</v>
      </c>
      <c r="L797" s="274">
        <v>2262</v>
      </c>
    </row>
    <row r="798" spans="1:12" ht="37.5" customHeight="1">
      <c r="A798" s="224">
        <v>3</v>
      </c>
      <c r="B798" s="531"/>
      <c r="C798" s="288" t="s">
        <v>19</v>
      </c>
      <c r="D798" s="288" t="s">
        <v>1439</v>
      </c>
      <c r="E798" s="288" t="s">
        <v>723</v>
      </c>
      <c r="F798" s="239">
        <v>5000013</v>
      </c>
      <c r="G798" s="236" t="s">
        <v>1551</v>
      </c>
      <c r="H798" s="475" t="s">
        <v>1149</v>
      </c>
      <c r="I798" s="477" t="s">
        <v>1979</v>
      </c>
      <c r="J798" s="274">
        <v>8.9</v>
      </c>
      <c r="K798" s="274">
        <v>2.2999999999999998</v>
      </c>
      <c r="L798" s="274">
        <v>6.5</v>
      </c>
    </row>
    <row r="799" spans="1:12" ht="26.4" customHeight="1">
      <c r="A799" s="224">
        <v>4</v>
      </c>
      <c r="B799" s="531"/>
      <c r="C799" s="288" t="s">
        <v>19</v>
      </c>
      <c r="D799" s="288" t="s">
        <v>1440</v>
      </c>
      <c r="E799" s="288" t="s">
        <v>1819</v>
      </c>
      <c r="F799" s="239">
        <v>5000014</v>
      </c>
      <c r="G799" s="236" t="s">
        <v>1551</v>
      </c>
      <c r="H799" s="475" t="s">
        <v>1149</v>
      </c>
      <c r="I799" s="477">
        <v>106.5</v>
      </c>
      <c r="J799" s="274">
        <v>25.1</v>
      </c>
      <c r="K799" s="274">
        <v>6.6</v>
      </c>
      <c r="L799" s="274">
        <v>18.5</v>
      </c>
    </row>
    <row r="800" spans="1:12" ht="26.4" customHeight="1">
      <c r="A800" s="224">
        <v>5</v>
      </c>
      <c r="B800" s="531"/>
      <c r="C800" s="288" t="s">
        <v>19</v>
      </c>
      <c r="D800" s="288" t="s">
        <v>1440</v>
      </c>
      <c r="E800" s="288" t="s">
        <v>1871</v>
      </c>
      <c r="F800" s="239">
        <v>5000016</v>
      </c>
      <c r="G800" s="236" t="s">
        <v>1551</v>
      </c>
      <c r="H800" s="475" t="s">
        <v>1192</v>
      </c>
      <c r="I800" s="477">
        <v>250</v>
      </c>
      <c r="J800" s="274">
        <v>17.3</v>
      </c>
      <c r="K800" s="274">
        <v>1.1000000000000001</v>
      </c>
      <c r="L800" s="274">
        <v>16.2</v>
      </c>
    </row>
    <row r="801" spans="1:12" ht="36.75" customHeight="1">
      <c r="A801" s="224">
        <v>6</v>
      </c>
      <c r="B801" s="531"/>
      <c r="C801" s="288" t="s">
        <v>19</v>
      </c>
      <c r="D801" s="288" t="s">
        <v>1440</v>
      </c>
      <c r="E801" s="288" t="s">
        <v>731</v>
      </c>
      <c r="F801" s="239">
        <v>5000018</v>
      </c>
      <c r="G801" s="236" t="s">
        <v>1551</v>
      </c>
      <c r="H801" s="475" t="s">
        <v>1149</v>
      </c>
      <c r="I801" s="477" t="s">
        <v>1209</v>
      </c>
      <c r="J801" s="274">
        <v>14.3</v>
      </c>
      <c r="K801" s="274">
        <v>3.8</v>
      </c>
      <c r="L801" s="274">
        <v>10.6</v>
      </c>
    </row>
    <row r="802" spans="1:12" ht="26.4" customHeight="1">
      <c r="A802" s="224">
        <v>7</v>
      </c>
      <c r="B802" s="531"/>
      <c r="C802" s="288" t="s">
        <v>19</v>
      </c>
      <c r="D802" s="288" t="s">
        <v>13259</v>
      </c>
      <c r="E802" s="288" t="s">
        <v>730</v>
      </c>
      <c r="F802" s="239">
        <v>5000019</v>
      </c>
      <c r="G802" s="236" t="s">
        <v>1551</v>
      </c>
      <c r="H802" s="475" t="s">
        <v>1138</v>
      </c>
      <c r="I802" s="477">
        <v>1</v>
      </c>
      <c r="J802" s="274">
        <v>6.2</v>
      </c>
      <c r="K802" s="274">
        <v>3.6</v>
      </c>
      <c r="L802" s="274">
        <v>2.6</v>
      </c>
    </row>
    <row r="803" spans="1:12" ht="26.4" customHeight="1">
      <c r="A803" s="224">
        <v>8</v>
      </c>
      <c r="B803" s="531"/>
      <c r="C803" s="288" t="s">
        <v>19</v>
      </c>
      <c r="D803" s="288" t="s">
        <v>1441</v>
      </c>
      <c r="E803" s="288" t="s">
        <v>729</v>
      </c>
      <c r="F803" s="239">
        <v>5000020</v>
      </c>
      <c r="G803" s="236" t="s">
        <v>1551</v>
      </c>
      <c r="H803" s="475" t="s">
        <v>1138</v>
      </c>
      <c r="I803" s="477">
        <v>1</v>
      </c>
      <c r="J803" s="274">
        <v>27.1</v>
      </c>
      <c r="K803" s="274">
        <v>7.1</v>
      </c>
      <c r="L803" s="274">
        <v>20</v>
      </c>
    </row>
    <row r="804" spans="1:12" ht="26.4" customHeight="1">
      <c r="A804" s="224">
        <v>9</v>
      </c>
      <c r="B804" s="531"/>
      <c r="C804" s="288" t="s">
        <v>19</v>
      </c>
      <c r="D804" s="288" t="s">
        <v>1442</v>
      </c>
      <c r="E804" s="288" t="s">
        <v>728</v>
      </c>
      <c r="F804" s="239">
        <v>5000280</v>
      </c>
      <c r="G804" s="236" t="s">
        <v>1551</v>
      </c>
      <c r="H804" s="475" t="s">
        <v>1149</v>
      </c>
      <c r="I804" s="241">
        <v>198</v>
      </c>
      <c r="J804" s="274">
        <v>29.5</v>
      </c>
      <c r="K804" s="274">
        <v>7.7</v>
      </c>
      <c r="L804" s="274">
        <v>21.7</v>
      </c>
    </row>
    <row r="805" spans="1:12" ht="26.4" customHeight="1">
      <c r="A805" s="224">
        <v>10</v>
      </c>
      <c r="B805" s="531"/>
      <c r="C805" s="288" t="s">
        <v>19</v>
      </c>
      <c r="D805" s="288" t="s">
        <v>1946</v>
      </c>
      <c r="E805" s="288" t="s">
        <v>1890</v>
      </c>
      <c r="F805" s="239">
        <v>5000313</v>
      </c>
      <c r="G805" s="236" t="s">
        <v>1570</v>
      </c>
      <c r="H805" s="475" t="s">
        <v>1149</v>
      </c>
      <c r="I805" s="241">
        <v>277</v>
      </c>
      <c r="J805" s="274">
        <v>1.4</v>
      </c>
      <c r="K805" s="274">
        <v>0.9</v>
      </c>
      <c r="L805" s="274">
        <v>0.6</v>
      </c>
    </row>
    <row r="806" spans="1:12" ht="26.4" customHeight="1">
      <c r="A806" s="224">
        <v>11</v>
      </c>
      <c r="B806" s="531"/>
      <c r="C806" s="288" t="s">
        <v>19</v>
      </c>
      <c r="D806" s="288" t="s">
        <v>1947</v>
      </c>
      <c r="E806" s="288" t="s">
        <v>1891</v>
      </c>
      <c r="F806" s="239">
        <v>5000314</v>
      </c>
      <c r="G806" s="236" t="s">
        <v>1547</v>
      </c>
      <c r="H806" s="475" t="s">
        <v>1149</v>
      </c>
      <c r="I806" s="477">
        <v>274.89999999999998</v>
      </c>
      <c r="J806" s="274">
        <v>15.3</v>
      </c>
      <c r="K806" s="274">
        <v>8.5</v>
      </c>
      <c r="L806" s="274">
        <v>6.8</v>
      </c>
    </row>
    <row r="807" spans="1:12" ht="26.4" customHeight="1">
      <c r="A807" s="224">
        <v>12</v>
      </c>
      <c r="B807" s="531"/>
      <c r="C807" s="288" t="s">
        <v>19</v>
      </c>
      <c r="D807" s="288" t="s">
        <v>2098</v>
      </c>
      <c r="E807" s="288" t="s">
        <v>1193</v>
      </c>
      <c r="F807" s="239">
        <v>5000315</v>
      </c>
      <c r="G807" s="236" t="s">
        <v>1567</v>
      </c>
      <c r="H807" s="475" t="s">
        <v>1149</v>
      </c>
      <c r="I807" s="241">
        <v>257</v>
      </c>
      <c r="J807" s="274">
        <v>3482.3</v>
      </c>
      <c r="K807" s="274">
        <v>1314.5</v>
      </c>
      <c r="L807" s="274">
        <v>2167.8000000000002</v>
      </c>
    </row>
    <row r="808" spans="1:12" ht="26.4" customHeight="1">
      <c r="A808" s="224">
        <v>13</v>
      </c>
      <c r="B808" s="531"/>
      <c r="C808" s="288" t="s">
        <v>19</v>
      </c>
      <c r="D808" s="288" t="s">
        <v>2099</v>
      </c>
      <c r="E808" s="208" t="s">
        <v>727</v>
      </c>
      <c r="F808" s="239">
        <v>5000316</v>
      </c>
      <c r="G808" s="236" t="s">
        <v>1570</v>
      </c>
      <c r="H808" s="475" t="s">
        <v>1149</v>
      </c>
      <c r="I808" s="241">
        <v>272</v>
      </c>
      <c r="J808" s="274">
        <v>1107.9000000000001</v>
      </c>
      <c r="K808" s="274">
        <v>448.1</v>
      </c>
      <c r="L808" s="274">
        <v>659.8</v>
      </c>
    </row>
    <row r="809" spans="1:12" ht="26.4" customHeight="1">
      <c r="A809" s="224">
        <v>14</v>
      </c>
      <c r="B809" s="531"/>
      <c r="C809" s="288" t="s">
        <v>19</v>
      </c>
      <c r="D809" s="288" t="s">
        <v>1443</v>
      </c>
      <c r="E809" s="288" t="s">
        <v>1255</v>
      </c>
      <c r="F809" s="239">
        <v>5000746</v>
      </c>
      <c r="G809" s="236" t="s">
        <v>1570</v>
      </c>
      <c r="H809" s="475" t="s">
        <v>722</v>
      </c>
      <c r="I809" s="477">
        <v>7.15</v>
      </c>
      <c r="J809" s="274">
        <v>1982.5</v>
      </c>
      <c r="K809" s="274">
        <v>1088.2</v>
      </c>
      <c r="L809" s="274">
        <v>894.3</v>
      </c>
    </row>
    <row r="810" spans="1:12" ht="26.4" customHeight="1">
      <c r="A810" s="224">
        <v>15</v>
      </c>
      <c r="B810" s="531"/>
      <c r="C810" s="288" t="s">
        <v>19</v>
      </c>
      <c r="D810" s="288" t="s">
        <v>2027</v>
      </c>
      <c r="E810" s="288" t="s">
        <v>726</v>
      </c>
      <c r="F810" s="239">
        <v>5000750</v>
      </c>
      <c r="G810" s="236" t="s">
        <v>1551</v>
      </c>
      <c r="H810" s="475" t="s">
        <v>1149</v>
      </c>
      <c r="I810" s="477">
        <v>1149.5</v>
      </c>
      <c r="J810" s="274">
        <v>2275</v>
      </c>
      <c r="K810" s="274">
        <v>1413.9</v>
      </c>
      <c r="L810" s="274">
        <v>861.1</v>
      </c>
    </row>
    <row r="811" spans="1:12" ht="26.4" customHeight="1">
      <c r="A811" s="224">
        <v>16</v>
      </c>
      <c r="B811" s="531"/>
      <c r="C811" s="288" t="s">
        <v>19</v>
      </c>
      <c r="D811" s="288" t="s">
        <v>2027</v>
      </c>
      <c r="E811" s="288" t="s">
        <v>725</v>
      </c>
      <c r="F811" s="239">
        <v>5000751</v>
      </c>
      <c r="G811" s="236" t="s">
        <v>1551</v>
      </c>
      <c r="H811" s="475" t="s">
        <v>1138</v>
      </c>
      <c r="I811" s="477">
        <v>1</v>
      </c>
      <c r="J811" s="274">
        <v>12.7</v>
      </c>
      <c r="K811" s="274">
        <v>9.5</v>
      </c>
      <c r="L811" s="274">
        <v>3.2</v>
      </c>
    </row>
    <row r="812" spans="1:12" ht="26.4" customHeight="1">
      <c r="A812" s="224">
        <v>17</v>
      </c>
      <c r="B812" s="531"/>
      <c r="C812" s="288" t="s">
        <v>19</v>
      </c>
      <c r="D812" s="288" t="s">
        <v>2027</v>
      </c>
      <c r="E812" s="288" t="s">
        <v>478</v>
      </c>
      <c r="F812" s="239">
        <v>5000752</v>
      </c>
      <c r="G812" s="236" t="s">
        <v>1551</v>
      </c>
      <c r="H812" s="475" t="s">
        <v>1136</v>
      </c>
      <c r="I812" s="477">
        <v>100</v>
      </c>
      <c r="J812" s="274">
        <v>5.4</v>
      </c>
      <c r="K812" s="274">
        <v>4</v>
      </c>
      <c r="L812" s="274">
        <v>1.4</v>
      </c>
    </row>
    <row r="813" spans="1:12" ht="26.4" customHeight="1">
      <c r="A813" s="224">
        <v>18</v>
      </c>
      <c r="B813" s="531"/>
      <c r="C813" s="288" t="s">
        <v>19</v>
      </c>
      <c r="D813" s="288" t="s">
        <v>2027</v>
      </c>
      <c r="E813" s="288" t="s">
        <v>478</v>
      </c>
      <c r="F813" s="239">
        <v>5000753</v>
      </c>
      <c r="G813" s="236" t="s">
        <v>1551</v>
      </c>
      <c r="H813" s="475" t="s">
        <v>1136</v>
      </c>
      <c r="I813" s="477">
        <v>500</v>
      </c>
      <c r="J813" s="274">
        <v>14.7</v>
      </c>
      <c r="K813" s="274">
        <v>10.9</v>
      </c>
      <c r="L813" s="274">
        <v>3.8</v>
      </c>
    </row>
    <row r="814" spans="1:12" ht="26.4" customHeight="1">
      <c r="A814" s="224">
        <v>19</v>
      </c>
      <c r="B814" s="531"/>
      <c r="C814" s="288" t="s">
        <v>19</v>
      </c>
      <c r="D814" s="288" t="s">
        <v>2100</v>
      </c>
      <c r="E814" s="288" t="s">
        <v>1892</v>
      </c>
      <c r="F814" s="239">
        <v>5000806</v>
      </c>
      <c r="G814" s="236" t="s">
        <v>1551</v>
      </c>
      <c r="H814" s="475" t="s">
        <v>1149</v>
      </c>
      <c r="I814" s="477">
        <v>95.2</v>
      </c>
      <c r="J814" s="274">
        <v>0.3</v>
      </c>
      <c r="K814" s="274">
        <v>0.2</v>
      </c>
      <c r="L814" s="274">
        <v>0.1</v>
      </c>
    </row>
    <row r="815" spans="1:12" ht="26.4" customHeight="1">
      <c r="A815" s="224">
        <v>20</v>
      </c>
      <c r="B815" s="531"/>
      <c r="C815" s="288" t="s">
        <v>19</v>
      </c>
      <c r="D815" s="288" t="s">
        <v>2027</v>
      </c>
      <c r="E815" s="288" t="s">
        <v>1255</v>
      </c>
      <c r="F815" s="239">
        <v>5000856</v>
      </c>
      <c r="G815" s="236" t="s">
        <v>1551</v>
      </c>
      <c r="H815" s="475" t="s">
        <v>722</v>
      </c>
      <c r="I815" s="477">
        <v>6</v>
      </c>
      <c r="J815" s="274">
        <v>932</v>
      </c>
      <c r="K815" s="274">
        <v>338.2</v>
      </c>
      <c r="L815" s="274">
        <v>593.70000000000005</v>
      </c>
    </row>
    <row r="816" spans="1:12" ht="26.4" customHeight="1">
      <c r="A816" s="224">
        <v>21</v>
      </c>
      <c r="B816" s="531"/>
      <c r="C816" s="288" t="s">
        <v>19</v>
      </c>
      <c r="D816" s="288" t="s">
        <v>1980</v>
      </c>
      <c r="E816" s="288" t="s">
        <v>1981</v>
      </c>
      <c r="F816" s="239">
        <v>5001759</v>
      </c>
      <c r="G816" s="236" t="s">
        <v>1536</v>
      </c>
      <c r="H816" s="475" t="s">
        <v>1149</v>
      </c>
      <c r="I816" s="477">
        <v>1214.2</v>
      </c>
      <c r="J816" s="274">
        <v>4112</v>
      </c>
      <c r="K816" s="274">
        <v>1666.1</v>
      </c>
      <c r="L816" s="274">
        <v>2445.9</v>
      </c>
    </row>
    <row r="817" spans="1:12" ht="26.4" customHeight="1">
      <c r="A817" s="224">
        <v>22</v>
      </c>
      <c r="B817" s="531"/>
      <c r="C817" s="288" t="s">
        <v>19</v>
      </c>
      <c r="D817" s="288" t="s">
        <v>1444</v>
      </c>
      <c r="E817" s="288" t="s">
        <v>724</v>
      </c>
      <c r="F817" s="239">
        <v>5001760</v>
      </c>
      <c r="G817" s="236" t="s">
        <v>1548</v>
      </c>
      <c r="H817" s="475" t="s">
        <v>1138</v>
      </c>
      <c r="I817" s="477">
        <v>1</v>
      </c>
      <c r="J817" s="274">
        <v>18.8</v>
      </c>
      <c r="K817" s="274">
        <v>12.8</v>
      </c>
      <c r="L817" s="274">
        <v>5.9</v>
      </c>
    </row>
    <row r="818" spans="1:12" ht="26.4" customHeight="1">
      <c r="A818" s="224">
        <v>23</v>
      </c>
      <c r="B818" s="531"/>
      <c r="C818" s="288" t="s">
        <v>19</v>
      </c>
      <c r="D818" s="288" t="s">
        <v>1445</v>
      </c>
      <c r="E818" s="288" t="s">
        <v>723</v>
      </c>
      <c r="F818" s="239">
        <v>5001761</v>
      </c>
      <c r="G818" s="236" t="s">
        <v>1548</v>
      </c>
      <c r="H818" s="475" t="s">
        <v>1138</v>
      </c>
      <c r="I818" s="477">
        <v>1</v>
      </c>
      <c r="J818" s="274">
        <v>38.1</v>
      </c>
      <c r="K818" s="274">
        <v>22</v>
      </c>
      <c r="L818" s="274">
        <v>16.100000000000001</v>
      </c>
    </row>
    <row r="819" spans="1:12" ht="26.4" customHeight="1">
      <c r="A819" s="224">
        <v>24</v>
      </c>
      <c r="B819" s="531"/>
      <c r="C819" s="288" t="s">
        <v>19</v>
      </c>
      <c r="D819" s="288" t="s">
        <v>1445</v>
      </c>
      <c r="E819" s="288" t="s">
        <v>1872</v>
      </c>
      <c r="F819" s="239">
        <v>5001778</v>
      </c>
      <c r="G819" s="236" t="s">
        <v>1548</v>
      </c>
      <c r="H819" s="475" t="s">
        <v>722</v>
      </c>
      <c r="I819" s="477">
        <v>8.6999999999999993</v>
      </c>
      <c r="J819" s="274">
        <v>1993.7</v>
      </c>
      <c r="K819" s="274">
        <v>872.2</v>
      </c>
      <c r="L819" s="274">
        <v>1121.5</v>
      </c>
    </row>
    <row r="820" spans="1:12" ht="26.4" customHeight="1">
      <c r="A820" s="224">
        <v>25</v>
      </c>
      <c r="B820" s="531"/>
      <c r="C820" s="288" t="s">
        <v>19</v>
      </c>
      <c r="D820" s="288" t="s">
        <v>2101</v>
      </c>
      <c r="E820" s="288" t="s">
        <v>2451</v>
      </c>
      <c r="F820" s="239">
        <v>5001780</v>
      </c>
      <c r="G820" s="236" t="s">
        <v>1558</v>
      </c>
      <c r="H820" s="475" t="s">
        <v>1149</v>
      </c>
      <c r="I820" s="477">
        <v>126.6</v>
      </c>
      <c r="J820" s="274">
        <v>22.7</v>
      </c>
      <c r="K820" s="274">
        <v>12.8</v>
      </c>
      <c r="L820" s="274">
        <v>9.9</v>
      </c>
    </row>
    <row r="821" spans="1:12" ht="26.4" customHeight="1">
      <c r="A821" s="224">
        <v>26</v>
      </c>
      <c r="B821" s="531"/>
      <c r="C821" s="288" t="s">
        <v>19</v>
      </c>
      <c r="D821" s="288" t="s">
        <v>2101</v>
      </c>
      <c r="E821" s="288" t="s">
        <v>1301</v>
      </c>
      <c r="F821" s="239">
        <v>5001781</v>
      </c>
      <c r="G821" s="236" t="s">
        <v>1558</v>
      </c>
      <c r="H821" s="475" t="s">
        <v>1149</v>
      </c>
      <c r="I821" s="477">
        <v>201.9</v>
      </c>
      <c r="J821" s="274">
        <v>10.199999999999999</v>
      </c>
      <c r="K821" s="274">
        <v>5.7</v>
      </c>
      <c r="L821" s="274">
        <v>4.4000000000000004</v>
      </c>
    </row>
    <row r="822" spans="1:12" ht="26.4" customHeight="1">
      <c r="A822" s="224">
        <v>27</v>
      </c>
      <c r="B822" s="531"/>
      <c r="C822" s="288" t="s">
        <v>19</v>
      </c>
      <c r="D822" s="288" t="s">
        <v>1446</v>
      </c>
      <c r="E822" s="288" t="s">
        <v>1302</v>
      </c>
      <c r="F822" s="239">
        <v>5002011</v>
      </c>
      <c r="G822" s="236" t="s">
        <v>1547</v>
      </c>
      <c r="H822" s="475" t="s">
        <v>1149</v>
      </c>
      <c r="I822" s="477">
        <v>405.8</v>
      </c>
      <c r="J822" s="274">
        <v>2394.4</v>
      </c>
      <c r="K822" s="274">
        <v>758.2</v>
      </c>
      <c r="L822" s="274">
        <v>1636.2</v>
      </c>
    </row>
    <row r="823" spans="1:12" ht="26.4" customHeight="1">
      <c r="A823" s="224">
        <v>28</v>
      </c>
      <c r="B823" s="531"/>
      <c r="C823" s="288" t="s">
        <v>15</v>
      </c>
      <c r="D823" s="288" t="s">
        <v>2028</v>
      </c>
      <c r="E823" s="288" t="s">
        <v>2029</v>
      </c>
      <c r="F823" s="239">
        <v>8000001</v>
      </c>
      <c r="G823" s="236" t="s">
        <v>1529</v>
      </c>
      <c r="H823" s="475" t="s">
        <v>1149</v>
      </c>
      <c r="I823" s="477">
        <v>563.4</v>
      </c>
      <c r="J823" s="274">
        <v>469</v>
      </c>
      <c r="K823" s="274">
        <v>136.9</v>
      </c>
      <c r="L823" s="274">
        <v>332.1</v>
      </c>
    </row>
    <row r="824" spans="1:12" ht="26.4" customHeight="1">
      <c r="A824" s="224">
        <v>29</v>
      </c>
      <c r="B824" s="531"/>
      <c r="C824" s="288" t="s">
        <v>15</v>
      </c>
      <c r="D824" s="288" t="s">
        <v>2028</v>
      </c>
      <c r="E824" s="288" t="s">
        <v>1194</v>
      </c>
      <c r="F824" s="239">
        <v>8000113</v>
      </c>
      <c r="G824" s="236" t="s">
        <v>1573</v>
      </c>
      <c r="H824" s="475" t="s">
        <v>1138</v>
      </c>
      <c r="I824" s="477">
        <v>1</v>
      </c>
      <c r="J824" s="274">
        <v>1.8</v>
      </c>
      <c r="K824" s="274">
        <v>1.8</v>
      </c>
      <c r="L824" s="274">
        <v>0</v>
      </c>
    </row>
    <row r="825" spans="1:12" ht="26.4" customHeight="1">
      <c r="A825" s="224">
        <v>30</v>
      </c>
      <c r="B825" s="531"/>
      <c r="C825" s="288" t="s">
        <v>15</v>
      </c>
      <c r="D825" s="288" t="s">
        <v>2028</v>
      </c>
      <c r="E825" s="288" t="s">
        <v>1194</v>
      </c>
      <c r="F825" s="239">
        <v>8000114</v>
      </c>
      <c r="G825" s="236" t="s">
        <v>1573</v>
      </c>
      <c r="H825" s="475" t="s">
        <v>1138</v>
      </c>
      <c r="I825" s="477">
        <v>1</v>
      </c>
      <c r="J825" s="274">
        <v>1.8</v>
      </c>
      <c r="K825" s="274">
        <v>1.8</v>
      </c>
      <c r="L825" s="274">
        <v>0</v>
      </c>
    </row>
    <row r="826" spans="1:12" ht="26.4" customHeight="1">
      <c r="A826" s="224">
        <v>31</v>
      </c>
      <c r="B826" s="531"/>
      <c r="C826" s="288" t="s">
        <v>15</v>
      </c>
      <c r="D826" s="288" t="s">
        <v>2028</v>
      </c>
      <c r="E826" s="288" t="s">
        <v>1194</v>
      </c>
      <c r="F826" s="239">
        <v>8000115</v>
      </c>
      <c r="G826" s="236" t="s">
        <v>1573</v>
      </c>
      <c r="H826" s="475" t="s">
        <v>1138</v>
      </c>
      <c r="I826" s="477">
        <v>1</v>
      </c>
      <c r="J826" s="274">
        <v>1.8</v>
      </c>
      <c r="K826" s="274">
        <v>1.8</v>
      </c>
      <c r="L826" s="274">
        <v>0</v>
      </c>
    </row>
    <row r="827" spans="1:12" ht="26.4" customHeight="1">
      <c r="A827" s="224">
        <v>32</v>
      </c>
      <c r="B827" s="531"/>
      <c r="C827" s="288" t="s">
        <v>15</v>
      </c>
      <c r="D827" s="288" t="s">
        <v>2028</v>
      </c>
      <c r="E827" s="288" t="s">
        <v>1194</v>
      </c>
      <c r="F827" s="239">
        <v>8000116</v>
      </c>
      <c r="G827" s="236" t="s">
        <v>1573</v>
      </c>
      <c r="H827" s="475" t="s">
        <v>1138</v>
      </c>
      <c r="I827" s="477">
        <v>1</v>
      </c>
      <c r="J827" s="274">
        <v>1.8</v>
      </c>
      <c r="K827" s="274">
        <v>1.8</v>
      </c>
      <c r="L827" s="274">
        <v>0</v>
      </c>
    </row>
    <row r="828" spans="1:12" ht="26.4" customHeight="1">
      <c r="A828" s="224">
        <v>33</v>
      </c>
      <c r="B828" s="531"/>
      <c r="C828" s="288" t="s">
        <v>15</v>
      </c>
      <c r="D828" s="288" t="s">
        <v>2028</v>
      </c>
      <c r="E828" s="288" t="s">
        <v>1194</v>
      </c>
      <c r="F828" s="239">
        <v>8000117</v>
      </c>
      <c r="G828" s="236" t="s">
        <v>1573</v>
      </c>
      <c r="H828" s="475" t="s">
        <v>1138</v>
      </c>
      <c r="I828" s="477">
        <v>1</v>
      </c>
      <c r="J828" s="274">
        <v>1.8</v>
      </c>
      <c r="K828" s="274">
        <v>1.8</v>
      </c>
      <c r="L828" s="274">
        <v>0</v>
      </c>
    </row>
    <row r="829" spans="1:12" ht="26.4" customHeight="1">
      <c r="A829" s="224">
        <v>34</v>
      </c>
      <c r="B829" s="531"/>
      <c r="C829" s="288" t="s">
        <v>15</v>
      </c>
      <c r="D829" s="288" t="s">
        <v>2102</v>
      </c>
      <c r="E829" s="288" t="s">
        <v>1243</v>
      </c>
      <c r="F829" s="239">
        <v>8001093</v>
      </c>
      <c r="G829" s="236" t="s">
        <v>1552</v>
      </c>
      <c r="H829" s="475" t="s">
        <v>1138</v>
      </c>
      <c r="I829" s="477">
        <v>1</v>
      </c>
      <c r="J829" s="274">
        <v>424.9</v>
      </c>
      <c r="K829" s="274">
        <v>198.9</v>
      </c>
      <c r="L829" s="274">
        <v>226</v>
      </c>
    </row>
    <row r="830" spans="1:12" ht="26.4" customHeight="1">
      <c r="A830" s="224">
        <v>35</v>
      </c>
      <c r="B830" s="531"/>
      <c r="C830" s="288" t="s">
        <v>15</v>
      </c>
      <c r="D830" s="288" t="s">
        <v>2102</v>
      </c>
      <c r="E830" s="288" t="s">
        <v>2222</v>
      </c>
      <c r="F830" s="239">
        <v>8001094</v>
      </c>
      <c r="G830" s="236" t="s">
        <v>1533</v>
      </c>
      <c r="H830" s="475" t="s">
        <v>1149</v>
      </c>
      <c r="I830" s="477">
        <v>573.5</v>
      </c>
      <c r="J830" s="274">
        <v>376</v>
      </c>
      <c r="K830" s="274">
        <v>223.7</v>
      </c>
      <c r="L830" s="274">
        <v>152.4</v>
      </c>
    </row>
    <row r="831" spans="1:12" ht="26.4" customHeight="1">
      <c r="A831" s="224">
        <v>36</v>
      </c>
      <c r="B831" s="531"/>
      <c r="C831" s="288" t="s">
        <v>15</v>
      </c>
      <c r="D831" s="288" t="s">
        <v>2102</v>
      </c>
      <c r="E831" s="288" t="s">
        <v>1244</v>
      </c>
      <c r="F831" s="239">
        <v>8001095</v>
      </c>
      <c r="G831" s="236" t="s">
        <v>1552</v>
      </c>
      <c r="H831" s="475" t="s">
        <v>1138</v>
      </c>
      <c r="I831" s="477">
        <v>1</v>
      </c>
      <c r="J831" s="274">
        <v>35.700000000000003</v>
      </c>
      <c r="K831" s="274">
        <v>26.2</v>
      </c>
      <c r="L831" s="274">
        <v>9.6</v>
      </c>
    </row>
    <row r="832" spans="1:12" ht="26.4" customHeight="1">
      <c r="A832" s="224">
        <v>37</v>
      </c>
      <c r="B832" s="531"/>
      <c r="C832" s="288" t="s">
        <v>15</v>
      </c>
      <c r="D832" s="288" t="s">
        <v>2103</v>
      </c>
      <c r="E832" s="288" t="s">
        <v>1208</v>
      </c>
      <c r="F832" s="239">
        <v>8001800</v>
      </c>
      <c r="G832" s="236" t="s">
        <v>1529</v>
      </c>
      <c r="H832" s="475" t="s">
        <v>1149</v>
      </c>
      <c r="I832" s="477">
        <v>537.70000000000005</v>
      </c>
      <c r="J832" s="274">
        <v>263.39999999999998</v>
      </c>
      <c r="K832" s="274">
        <v>97.6</v>
      </c>
      <c r="L832" s="274">
        <v>165.8</v>
      </c>
    </row>
    <row r="833" spans="1:12" ht="26.4" customHeight="1">
      <c r="A833" s="224">
        <v>38</v>
      </c>
      <c r="B833" s="531"/>
      <c r="C833" s="288" t="s">
        <v>15</v>
      </c>
      <c r="D833" s="288" t="s">
        <v>2103</v>
      </c>
      <c r="E833" s="288" t="s">
        <v>1303</v>
      </c>
      <c r="F833" s="239">
        <v>8001801</v>
      </c>
      <c r="G833" s="236" t="s">
        <v>1529</v>
      </c>
      <c r="H833" s="475" t="s">
        <v>1138</v>
      </c>
      <c r="I833" s="477">
        <v>1</v>
      </c>
      <c r="J833" s="274">
        <v>45.3</v>
      </c>
      <c r="K833" s="274">
        <v>40.4</v>
      </c>
      <c r="L833" s="274">
        <v>4.9000000000000004</v>
      </c>
    </row>
    <row r="834" spans="1:12" ht="26.4" customHeight="1">
      <c r="A834" s="224">
        <v>39</v>
      </c>
      <c r="B834" s="531"/>
      <c r="C834" s="288" t="s">
        <v>15</v>
      </c>
      <c r="D834" s="288" t="s">
        <v>1447</v>
      </c>
      <c r="E834" s="288" t="s">
        <v>1195</v>
      </c>
      <c r="F834" s="239">
        <v>8002000</v>
      </c>
      <c r="G834" s="236" t="s">
        <v>1539</v>
      </c>
      <c r="H834" s="475" t="s">
        <v>1149</v>
      </c>
      <c r="I834" s="477">
        <v>1514.6</v>
      </c>
      <c r="J834" s="274">
        <v>516.20000000000005</v>
      </c>
      <c r="K834" s="274">
        <v>201.8</v>
      </c>
      <c r="L834" s="274">
        <v>314.39999999999998</v>
      </c>
    </row>
    <row r="835" spans="1:12" ht="26.4" customHeight="1">
      <c r="A835" s="224">
        <v>40</v>
      </c>
      <c r="B835" s="531"/>
      <c r="C835" s="288" t="s">
        <v>15</v>
      </c>
      <c r="D835" s="288" t="s">
        <v>1447</v>
      </c>
      <c r="E835" s="288" t="s">
        <v>721</v>
      </c>
      <c r="F835" s="239">
        <v>8002001</v>
      </c>
      <c r="G835" s="236" t="s">
        <v>1539</v>
      </c>
      <c r="H835" s="475" t="s">
        <v>1138</v>
      </c>
      <c r="I835" s="477">
        <v>1</v>
      </c>
      <c r="J835" s="274">
        <v>570.20000000000005</v>
      </c>
      <c r="K835" s="274">
        <v>383.2</v>
      </c>
      <c r="L835" s="274">
        <v>187</v>
      </c>
    </row>
    <row r="836" spans="1:12" ht="26.4" customHeight="1">
      <c r="A836" s="224">
        <v>41</v>
      </c>
      <c r="B836" s="531"/>
      <c r="C836" s="288" t="s">
        <v>15</v>
      </c>
      <c r="D836" s="288" t="s">
        <v>1448</v>
      </c>
      <c r="E836" s="288" t="s">
        <v>720</v>
      </c>
      <c r="F836" s="239">
        <v>8002002</v>
      </c>
      <c r="G836" s="236" t="s">
        <v>1539</v>
      </c>
      <c r="H836" s="475" t="s">
        <v>1138</v>
      </c>
      <c r="I836" s="477">
        <v>1</v>
      </c>
      <c r="J836" s="274">
        <v>410.7</v>
      </c>
      <c r="K836" s="274">
        <v>335.4</v>
      </c>
      <c r="L836" s="274">
        <v>75.3</v>
      </c>
    </row>
    <row r="837" spans="1:12" ht="26.4">
      <c r="A837" s="224">
        <v>42</v>
      </c>
      <c r="B837" s="531"/>
      <c r="C837" s="288" t="s">
        <v>15</v>
      </c>
      <c r="D837" s="288" t="s">
        <v>1448</v>
      </c>
      <c r="E837" s="208" t="s">
        <v>13008</v>
      </c>
      <c r="F837" s="239">
        <v>8002137</v>
      </c>
      <c r="G837" s="236" t="s">
        <v>1547</v>
      </c>
      <c r="H837" s="475" t="s">
        <v>1138</v>
      </c>
      <c r="I837" s="477">
        <v>1</v>
      </c>
      <c r="J837" s="274">
        <v>2.7</v>
      </c>
      <c r="K837" s="274">
        <v>1.6</v>
      </c>
      <c r="L837" s="274">
        <v>1.1000000000000001</v>
      </c>
    </row>
    <row r="838" spans="1:12" ht="26.4" customHeight="1">
      <c r="A838" s="224">
        <v>43</v>
      </c>
      <c r="B838" s="531"/>
      <c r="C838" s="288" t="s">
        <v>15</v>
      </c>
      <c r="D838" s="288" t="s">
        <v>1448</v>
      </c>
      <c r="E838" s="288" t="s">
        <v>1196</v>
      </c>
      <c r="F838" s="239">
        <v>8002149</v>
      </c>
      <c r="G838" s="236" t="s">
        <v>1572</v>
      </c>
      <c r="H838" s="475" t="s">
        <v>1149</v>
      </c>
      <c r="I838" s="477">
        <v>105.1</v>
      </c>
      <c r="J838" s="274">
        <v>33.9</v>
      </c>
      <c r="K838" s="274">
        <v>20</v>
      </c>
      <c r="L838" s="274">
        <v>13.9</v>
      </c>
    </row>
    <row r="839" spans="1:12" ht="26.4" customHeight="1">
      <c r="A839" s="224">
        <v>44</v>
      </c>
      <c r="B839" s="531"/>
      <c r="C839" s="288" t="s">
        <v>15</v>
      </c>
      <c r="D839" s="288" t="s">
        <v>1448</v>
      </c>
      <c r="E839" s="288" t="s">
        <v>480</v>
      </c>
      <c r="F839" s="239">
        <v>8002150</v>
      </c>
      <c r="G839" s="236" t="s">
        <v>1572</v>
      </c>
      <c r="H839" s="475" t="s">
        <v>1138</v>
      </c>
      <c r="I839" s="477">
        <v>1</v>
      </c>
      <c r="J839" s="274">
        <v>16.600000000000001</v>
      </c>
      <c r="K839" s="274">
        <v>9.8000000000000007</v>
      </c>
      <c r="L839" s="274">
        <v>6.8</v>
      </c>
    </row>
    <row r="840" spans="1:12" ht="26.4" customHeight="1">
      <c r="A840" s="224">
        <v>45</v>
      </c>
      <c r="B840" s="531"/>
      <c r="C840" s="288" t="s">
        <v>15</v>
      </c>
      <c r="D840" s="288" t="s">
        <v>1449</v>
      </c>
      <c r="E840" s="288" t="s">
        <v>1304</v>
      </c>
      <c r="F840" s="239">
        <v>8002500</v>
      </c>
      <c r="G840" s="236" t="s">
        <v>1533</v>
      </c>
      <c r="H840" s="475" t="s">
        <v>1149</v>
      </c>
      <c r="I840" s="477">
        <v>155.6</v>
      </c>
      <c r="J840" s="274">
        <v>5.2</v>
      </c>
      <c r="K840" s="274">
        <v>2.9</v>
      </c>
      <c r="L840" s="274">
        <v>2.2999999999999998</v>
      </c>
    </row>
    <row r="841" spans="1:12" ht="26.4" customHeight="1">
      <c r="A841" s="224">
        <v>46</v>
      </c>
      <c r="B841" s="531"/>
      <c r="C841" s="288" t="s">
        <v>15</v>
      </c>
      <c r="D841" s="288" t="s">
        <v>2104</v>
      </c>
      <c r="E841" s="288" t="s">
        <v>1197</v>
      </c>
      <c r="F841" s="239">
        <v>8002563</v>
      </c>
      <c r="G841" s="236" t="s">
        <v>1539</v>
      </c>
      <c r="H841" s="475" t="s">
        <v>1149</v>
      </c>
      <c r="I841" s="477">
        <v>181.2</v>
      </c>
      <c r="J841" s="274">
        <v>84.2</v>
      </c>
      <c r="K841" s="274">
        <v>76.2</v>
      </c>
      <c r="L841" s="274">
        <v>8</v>
      </c>
    </row>
    <row r="842" spans="1:12" ht="26.4" customHeight="1">
      <c r="A842" s="224">
        <v>47</v>
      </c>
      <c r="B842" s="531"/>
      <c r="C842" s="288" t="s">
        <v>15</v>
      </c>
      <c r="D842" s="288" t="s">
        <v>2105</v>
      </c>
      <c r="E842" s="288" t="s">
        <v>1305</v>
      </c>
      <c r="F842" s="239">
        <v>8002626</v>
      </c>
      <c r="G842" s="236" t="s">
        <v>1539</v>
      </c>
      <c r="H842" s="475" t="s">
        <v>1149</v>
      </c>
      <c r="I842" s="477">
        <v>215</v>
      </c>
      <c r="J842" s="274">
        <v>84.9</v>
      </c>
      <c r="K842" s="274">
        <v>56.4</v>
      </c>
      <c r="L842" s="274">
        <v>28.5</v>
      </c>
    </row>
    <row r="843" spans="1:12" ht="26.4" customHeight="1">
      <c r="A843" s="224">
        <v>48</v>
      </c>
      <c r="B843" s="531"/>
      <c r="C843" s="288" t="s">
        <v>15</v>
      </c>
      <c r="D843" s="288" t="s">
        <v>1450</v>
      </c>
      <c r="E843" s="288" t="s">
        <v>1198</v>
      </c>
      <c r="F843" s="239">
        <v>8003000</v>
      </c>
      <c r="G843" s="236" t="s">
        <v>1139</v>
      </c>
      <c r="H843" s="475" t="s">
        <v>1149</v>
      </c>
      <c r="I843" s="477">
        <v>2945.1</v>
      </c>
      <c r="J843" s="274">
        <v>651.9</v>
      </c>
      <c r="K843" s="274">
        <v>192.8</v>
      </c>
      <c r="L843" s="274">
        <v>459</v>
      </c>
    </row>
    <row r="844" spans="1:12" ht="26.4" customHeight="1">
      <c r="A844" s="224">
        <v>49</v>
      </c>
      <c r="B844" s="531"/>
      <c r="C844" s="288" t="s">
        <v>15</v>
      </c>
      <c r="D844" s="288" t="s">
        <v>1450</v>
      </c>
      <c r="E844" s="288" t="s">
        <v>719</v>
      </c>
      <c r="F844" s="239">
        <v>8003001</v>
      </c>
      <c r="G844" s="236" t="s">
        <v>1139</v>
      </c>
      <c r="H844" s="475" t="s">
        <v>631</v>
      </c>
      <c r="I844" s="477">
        <v>9756</v>
      </c>
      <c r="J844" s="274">
        <v>1672.5</v>
      </c>
      <c r="K844" s="274">
        <v>784.3</v>
      </c>
      <c r="L844" s="274">
        <v>888.3</v>
      </c>
    </row>
    <row r="845" spans="1:12" ht="26.4" customHeight="1">
      <c r="A845" s="224">
        <v>50</v>
      </c>
      <c r="B845" s="531"/>
      <c r="C845" s="288" t="s">
        <v>15</v>
      </c>
      <c r="D845" s="288" t="s">
        <v>1451</v>
      </c>
      <c r="E845" s="288" t="s">
        <v>1893</v>
      </c>
      <c r="F845" s="239">
        <v>8003002</v>
      </c>
      <c r="G845" s="236" t="s">
        <v>1563</v>
      </c>
      <c r="H845" s="475" t="s">
        <v>631</v>
      </c>
      <c r="I845" s="477">
        <v>38</v>
      </c>
      <c r="J845" s="274">
        <v>10.6</v>
      </c>
      <c r="K845" s="274">
        <v>8.1999999999999993</v>
      </c>
      <c r="L845" s="274">
        <v>2.4</v>
      </c>
    </row>
    <row r="846" spans="1:12" ht="26.4" customHeight="1">
      <c r="A846" s="224">
        <v>51</v>
      </c>
      <c r="B846" s="531"/>
      <c r="C846" s="288" t="s">
        <v>15</v>
      </c>
      <c r="D846" s="288" t="s">
        <v>1451</v>
      </c>
      <c r="E846" s="208" t="s">
        <v>2426</v>
      </c>
      <c r="F846" s="239">
        <v>8003003</v>
      </c>
      <c r="G846" s="236" t="s">
        <v>1530</v>
      </c>
      <c r="H846" s="475" t="s">
        <v>631</v>
      </c>
      <c r="I846" s="477">
        <v>7996</v>
      </c>
      <c r="J846" s="274">
        <v>967.1</v>
      </c>
      <c r="K846" s="274">
        <v>547.20000000000005</v>
      </c>
      <c r="L846" s="274">
        <v>419.9</v>
      </c>
    </row>
    <row r="847" spans="1:12" ht="26.4" customHeight="1">
      <c r="A847" s="224">
        <v>52</v>
      </c>
      <c r="B847" s="531"/>
      <c r="C847" s="288" t="s">
        <v>15</v>
      </c>
      <c r="D847" s="288" t="s">
        <v>2106</v>
      </c>
      <c r="E847" s="288" t="s">
        <v>1306</v>
      </c>
      <c r="F847" s="239">
        <v>8003462</v>
      </c>
      <c r="G847" s="236" t="s">
        <v>1139</v>
      </c>
      <c r="H847" s="475" t="s">
        <v>1149</v>
      </c>
      <c r="I847" s="477">
        <v>272.2</v>
      </c>
      <c r="J847" s="274">
        <v>80.2</v>
      </c>
      <c r="K847" s="274">
        <v>52.4</v>
      </c>
      <c r="L847" s="274">
        <v>27.8</v>
      </c>
    </row>
    <row r="848" spans="1:12" ht="26.4" customHeight="1">
      <c r="A848" s="224">
        <v>53</v>
      </c>
      <c r="B848" s="531"/>
      <c r="C848" s="288" t="s">
        <v>15</v>
      </c>
      <c r="D848" s="288" t="s">
        <v>2107</v>
      </c>
      <c r="E848" s="288" t="s">
        <v>1307</v>
      </c>
      <c r="F848" s="239">
        <v>8003525</v>
      </c>
      <c r="G848" s="236" t="s">
        <v>1560</v>
      </c>
      <c r="H848" s="475" t="s">
        <v>1149</v>
      </c>
      <c r="I848" s="477">
        <v>167.2</v>
      </c>
      <c r="J848" s="274">
        <v>74.099999999999994</v>
      </c>
      <c r="K848" s="274">
        <v>47.6</v>
      </c>
      <c r="L848" s="274">
        <v>26.5</v>
      </c>
    </row>
    <row r="849" spans="1:12" ht="26.4" customHeight="1">
      <c r="A849" s="224">
        <v>54</v>
      </c>
      <c r="B849" s="531"/>
      <c r="C849" s="288" t="s">
        <v>15</v>
      </c>
      <c r="D849" s="288" t="s">
        <v>2108</v>
      </c>
      <c r="E849" s="288" t="s">
        <v>1308</v>
      </c>
      <c r="F849" s="239">
        <v>8003588</v>
      </c>
      <c r="G849" s="236" t="s">
        <v>1535</v>
      </c>
      <c r="H849" s="475" t="s">
        <v>1149</v>
      </c>
      <c r="I849" s="477">
        <v>171.5</v>
      </c>
      <c r="J849" s="274">
        <v>76.5</v>
      </c>
      <c r="K849" s="274">
        <v>42.1</v>
      </c>
      <c r="L849" s="274">
        <v>34.4</v>
      </c>
    </row>
    <row r="850" spans="1:12" ht="26.4" customHeight="1">
      <c r="A850" s="224">
        <v>55</v>
      </c>
      <c r="B850" s="531"/>
      <c r="C850" s="288" t="s">
        <v>15</v>
      </c>
      <c r="D850" s="288" t="s">
        <v>2467</v>
      </c>
      <c r="E850" s="288" t="s">
        <v>1309</v>
      </c>
      <c r="F850" s="239">
        <v>8004000</v>
      </c>
      <c r="G850" s="236" t="s">
        <v>1539</v>
      </c>
      <c r="H850" s="475" t="s">
        <v>1149</v>
      </c>
      <c r="I850" s="477">
        <v>528.9</v>
      </c>
      <c r="J850" s="274">
        <v>319.10000000000002</v>
      </c>
      <c r="K850" s="274">
        <v>88.2</v>
      </c>
      <c r="L850" s="274">
        <v>230.9</v>
      </c>
    </row>
    <row r="851" spans="1:12" ht="26.4" customHeight="1">
      <c r="A851" s="224">
        <v>56</v>
      </c>
      <c r="B851" s="531"/>
      <c r="C851" s="288" t="s">
        <v>15</v>
      </c>
      <c r="D851" s="288" t="s">
        <v>1452</v>
      </c>
      <c r="E851" s="288" t="s">
        <v>2229</v>
      </c>
      <c r="F851" s="239">
        <v>8004001</v>
      </c>
      <c r="G851" s="236" t="s">
        <v>1529</v>
      </c>
      <c r="H851" s="475" t="s">
        <v>1138</v>
      </c>
      <c r="I851" s="477">
        <v>1</v>
      </c>
      <c r="J851" s="274">
        <v>20.3</v>
      </c>
      <c r="K851" s="274">
        <v>6.5</v>
      </c>
      <c r="L851" s="274">
        <v>13.8</v>
      </c>
    </row>
    <row r="852" spans="1:12" ht="26.4" customHeight="1">
      <c r="A852" s="224">
        <v>57</v>
      </c>
      <c r="B852" s="531"/>
      <c r="C852" s="288" t="s">
        <v>15</v>
      </c>
      <c r="D852" s="288" t="s">
        <v>2109</v>
      </c>
      <c r="E852" s="288" t="s">
        <v>2230</v>
      </c>
      <c r="F852" s="239">
        <v>8004251</v>
      </c>
      <c r="G852" s="236" t="s">
        <v>1529</v>
      </c>
      <c r="H852" s="475" t="s">
        <v>1138</v>
      </c>
      <c r="I852" s="477">
        <v>1</v>
      </c>
      <c r="J852" s="274">
        <v>5</v>
      </c>
      <c r="K852" s="274">
        <v>3.7</v>
      </c>
      <c r="L852" s="274">
        <v>1.3</v>
      </c>
    </row>
    <row r="853" spans="1:12" ht="26.4" customHeight="1">
      <c r="A853" s="224">
        <v>58</v>
      </c>
      <c r="B853" s="531"/>
      <c r="C853" s="288" t="s">
        <v>15</v>
      </c>
      <c r="D853" s="288" t="s">
        <v>2110</v>
      </c>
      <c r="E853" s="288" t="s">
        <v>2223</v>
      </c>
      <c r="F853" s="239">
        <v>8005000</v>
      </c>
      <c r="G853" s="236" t="s">
        <v>1545</v>
      </c>
      <c r="H853" s="475" t="s">
        <v>1138</v>
      </c>
      <c r="I853" s="477">
        <v>1</v>
      </c>
      <c r="J853" s="274">
        <v>895</v>
      </c>
      <c r="K853" s="274">
        <v>811.7</v>
      </c>
      <c r="L853" s="274">
        <v>83.3</v>
      </c>
    </row>
    <row r="854" spans="1:12" ht="26.4" customHeight="1">
      <c r="A854" s="224">
        <v>59</v>
      </c>
      <c r="B854" s="531"/>
      <c r="C854" s="288" t="s">
        <v>15</v>
      </c>
      <c r="D854" s="288" t="s">
        <v>2110</v>
      </c>
      <c r="E854" s="288" t="s">
        <v>718</v>
      </c>
      <c r="F854" s="239">
        <v>8005001</v>
      </c>
      <c r="G854" s="236" t="s">
        <v>1573</v>
      </c>
      <c r="H854" s="475" t="s">
        <v>1149</v>
      </c>
      <c r="I854" s="477">
        <v>1333.1</v>
      </c>
      <c r="J854" s="274">
        <v>931.3</v>
      </c>
      <c r="K854" s="274">
        <v>117.1</v>
      </c>
      <c r="L854" s="274">
        <v>814.2</v>
      </c>
    </row>
    <row r="855" spans="1:12" ht="26.4" customHeight="1">
      <c r="A855" s="224">
        <v>60</v>
      </c>
      <c r="B855" s="531"/>
      <c r="C855" s="288" t="s">
        <v>15</v>
      </c>
      <c r="D855" s="288" t="s">
        <v>2110</v>
      </c>
      <c r="E855" s="288" t="s">
        <v>717</v>
      </c>
      <c r="F855" s="239">
        <v>8005002</v>
      </c>
      <c r="G855" s="236" t="s">
        <v>1139</v>
      </c>
      <c r="H855" s="475" t="s">
        <v>1138</v>
      </c>
      <c r="I855" s="477">
        <v>1</v>
      </c>
      <c r="J855" s="274">
        <v>16.100000000000001</v>
      </c>
      <c r="K855" s="274">
        <v>16.100000000000001</v>
      </c>
      <c r="L855" s="274">
        <v>0</v>
      </c>
    </row>
    <row r="856" spans="1:12" ht="26.4" customHeight="1">
      <c r="A856" s="224">
        <v>61</v>
      </c>
      <c r="B856" s="531"/>
      <c r="C856" s="288" t="s">
        <v>15</v>
      </c>
      <c r="D856" s="288" t="s">
        <v>2110</v>
      </c>
      <c r="E856" s="288" t="s">
        <v>2453</v>
      </c>
      <c r="F856" s="239">
        <v>8005003</v>
      </c>
      <c r="G856" s="236" t="s">
        <v>1570</v>
      </c>
      <c r="H856" s="475" t="s">
        <v>1138</v>
      </c>
      <c r="I856" s="477">
        <v>1</v>
      </c>
      <c r="J856" s="274">
        <v>52.1</v>
      </c>
      <c r="K856" s="274">
        <v>5</v>
      </c>
      <c r="L856" s="274">
        <v>47.1</v>
      </c>
    </row>
    <row r="857" spans="1:12" ht="26.4" customHeight="1">
      <c r="A857" s="224">
        <v>62</v>
      </c>
      <c r="B857" s="531"/>
      <c r="C857" s="288" t="s">
        <v>15</v>
      </c>
      <c r="D857" s="288" t="s">
        <v>2110</v>
      </c>
      <c r="E857" s="288" t="s">
        <v>2452</v>
      </c>
      <c r="F857" s="239">
        <v>8005004</v>
      </c>
      <c r="G857" s="236" t="s">
        <v>1570</v>
      </c>
      <c r="H857" s="475" t="s">
        <v>1138</v>
      </c>
      <c r="I857" s="477">
        <v>1</v>
      </c>
      <c r="J857" s="274">
        <v>5.6</v>
      </c>
      <c r="K857" s="274">
        <v>2.7</v>
      </c>
      <c r="L857" s="274">
        <v>2.9</v>
      </c>
    </row>
    <row r="858" spans="1:12" ht="26.4" customHeight="1">
      <c r="A858" s="224">
        <v>63</v>
      </c>
      <c r="B858" s="531"/>
      <c r="C858" s="288" t="s">
        <v>15</v>
      </c>
      <c r="D858" s="288" t="s">
        <v>2110</v>
      </c>
      <c r="E858" s="288" t="s">
        <v>1245</v>
      </c>
      <c r="F858" s="239">
        <v>8005155</v>
      </c>
      <c r="G858" s="236" t="s">
        <v>1548</v>
      </c>
      <c r="H858" s="475" t="s">
        <v>1138</v>
      </c>
      <c r="I858" s="477">
        <v>1</v>
      </c>
      <c r="J858" s="274">
        <v>305.60000000000002</v>
      </c>
      <c r="K858" s="274">
        <v>144.80000000000001</v>
      </c>
      <c r="L858" s="274">
        <v>160.80000000000001</v>
      </c>
    </row>
    <row r="859" spans="1:12" ht="26.4" customHeight="1">
      <c r="A859" s="224">
        <v>64</v>
      </c>
      <c r="B859" s="531"/>
      <c r="C859" s="288" t="s">
        <v>15</v>
      </c>
      <c r="D859" s="288" t="s">
        <v>1451</v>
      </c>
      <c r="E859" s="224" t="s">
        <v>1199</v>
      </c>
      <c r="F859" s="239">
        <v>8006000</v>
      </c>
      <c r="G859" s="236" t="s">
        <v>1548</v>
      </c>
      <c r="H859" s="475" t="s">
        <v>1138</v>
      </c>
      <c r="I859" s="477">
        <v>1</v>
      </c>
      <c r="J859" s="274">
        <v>205.9</v>
      </c>
      <c r="K859" s="274">
        <v>123.5</v>
      </c>
      <c r="L859" s="274">
        <v>82.4</v>
      </c>
    </row>
    <row r="860" spans="1:12" ht="26.4" customHeight="1">
      <c r="A860" s="224">
        <v>65</v>
      </c>
      <c r="B860" s="531"/>
      <c r="C860" s="288" t="s">
        <v>15</v>
      </c>
      <c r="D860" s="288" t="s">
        <v>1451</v>
      </c>
      <c r="E860" s="288" t="s">
        <v>716</v>
      </c>
      <c r="F860" s="239">
        <v>8006001</v>
      </c>
      <c r="G860" s="236" t="s">
        <v>1548</v>
      </c>
      <c r="H860" s="475" t="s">
        <v>1138</v>
      </c>
      <c r="I860" s="477">
        <v>1</v>
      </c>
      <c r="J860" s="274">
        <v>231.2</v>
      </c>
      <c r="K860" s="274">
        <v>111</v>
      </c>
      <c r="L860" s="274">
        <v>120.2</v>
      </c>
    </row>
    <row r="861" spans="1:12" ht="26.4" customHeight="1">
      <c r="A861" s="224">
        <v>66</v>
      </c>
      <c r="B861" s="531"/>
      <c r="C861" s="288" t="s">
        <v>15</v>
      </c>
      <c r="D861" s="288" t="s">
        <v>2111</v>
      </c>
      <c r="E861" s="288" t="s">
        <v>1200</v>
      </c>
      <c r="F861" s="239">
        <v>8007000</v>
      </c>
      <c r="G861" s="236" t="s">
        <v>1558</v>
      </c>
      <c r="H861" s="475" t="s">
        <v>1138</v>
      </c>
      <c r="I861" s="477">
        <v>1</v>
      </c>
      <c r="J861" s="274">
        <v>9</v>
      </c>
      <c r="K861" s="274">
        <v>9</v>
      </c>
      <c r="L861" s="274">
        <v>0</v>
      </c>
    </row>
    <row r="862" spans="1:12" ht="26.4" customHeight="1">
      <c r="A862" s="224">
        <v>67</v>
      </c>
      <c r="B862" s="531"/>
      <c r="C862" s="288" t="s">
        <v>15</v>
      </c>
      <c r="D862" s="288" t="s">
        <v>2111</v>
      </c>
      <c r="E862" s="288" t="s">
        <v>715</v>
      </c>
      <c r="F862" s="239">
        <v>8007001</v>
      </c>
      <c r="G862" s="236" t="s">
        <v>1558</v>
      </c>
      <c r="H862" s="475" t="s">
        <v>1149</v>
      </c>
      <c r="I862" s="477">
        <v>107.6</v>
      </c>
      <c r="J862" s="274">
        <v>592.4</v>
      </c>
      <c r="K862" s="274">
        <v>229.7</v>
      </c>
      <c r="L862" s="274">
        <v>362.7</v>
      </c>
    </row>
    <row r="863" spans="1:12" ht="26.4" customHeight="1">
      <c r="A863" s="224">
        <v>68</v>
      </c>
      <c r="B863" s="531"/>
      <c r="C863" s="288" t="s">
        <v>15</v>
      </c>
      <c r="D863" s="288" t="s">
        <v>2111</v>
      </c>
      <c r="E863" s="288" t="s">
        <v>714</v>
      </c>
      <c r="F863" s="239">
        <v>8007002</v>
      </c>
      <c r="G863" s="236" t="s">
        <v>1558</v>
      </c>
      <c r="H863" s="475" t="s">
        <v>1138</v>
      </c>
      <c r="I863" s="477">
        <v>1</v>
      </c>
      <c r="J863" s="274">
        <v>22.1</v>
      </c>
      <c r="K863" s="274">
        <v>10.3</v>
      </c>
      <c r="L863" s="274">
        <v>11.8</v>
      </c>
    </row>
    <row r="864" spans="1:12" ht="26.4" customHeight="1">
      <c r="A864" s="224">
        <v>69</v>
      </c>
      <c r="B864" s="531"/>
      <c r="C864" s="288" t="s">
        <v>15</v>
      </c>
      <c r="D864" s="288" t="s">
        <v>2111</v>
      </c>
      <c r="E864" s="288" t="s">
        <v>1201</v>
      </c>
      <c r="F864" s="239">
        <v>8007003</v>
      </c>
      <c r="G864" s="236" t="s">
        <v>1558</v>
      </c>
      <c r="H864" s="475" t="s">
        <v>1138</v>
      </c>
      <c r="I864" s="477">
        <v>1</v>
      </c>
      <c r="J864" s="274">
        <v>195.2</v>
      </c>
      <c r="K864" s="274">
        <v>151.1</v>
      </c>
      <c r="L864" s="274">
        <v>44.1</v>
      </c>
    </row>
    <row r="865" spans="1:12" ht="26.4" customHeight="1">
      <c r="A865" s="224">
        <v>70</v>
      </c>
      <c r="B865" s="531"/>
      <c r="C865" s="288" t="s">
        <v>15</v>
      </c>
      <c r="D865" s="288" t="s">
        <v>2111</v>
      </c>
      <c r="E865" s="288" t="s">
        <v>1201</v>
      </c>
      <c r="F865" s="239">
        <v>8007004</v>
      </c>
      <c r="G865" s="236" t="s">
        <v>1558</v>
      </c>
      <c r="H865" s="475" t="s">
        <v>1138</v>
      </c>
      <c r="I865" s="477">
        <v>1</v>
      </c>
      <c r="J865" s="274">
        <v>62.8</v>
      </c>
      <c r="K865" s="274">
        <v>47.2</v>
      </c>
      <c r="L865" s="274">
        <v>15.6</v>
      </c>
    </row>
    <row r="866" spans="1:12" ht="26.4" customHeight="1">
      <c r="A866" s="224">
        <v>71</v>
      </c>
      <c r="B866" s="531"/>
      <c r="C866" s="288" t="s">
        <v>15</v>
      </c>
      <c r="D866" s="288" t="s">
        <v>2111</v>
      </c>
      <c r="E866" s="288" t="s">
        <v>713</v>
      </c>
      <c r="F866" s="239">
        <v>8007005</v>
      </c>
      <c r="G866" s="236" t="s">
        <v>1558</v>
      </c>
      <c r="H866" s="475" t="s">
        <v>1138</v>
      </c>
      <c r="I866" s="477">
        <v>1</v>
      </c>
      <c r="J866" s="274">
        <v>20</v>
      </c>
      <c r="K866" s="274">
        <v>15.5</v>
      </c>
      <c r="L866" s="274">
        <v>4.4000000000000004</v>
      </c>
    </row>
    <row r="867" spans="1:12" ht="26.4" customHeight="1">
      <c r="A867" s="224">
        <v>72</v>
      </c>
      <c r="B867" s="531"/>
      <c r="C867" s="288" t="s">
        <v>13242</v>
      </c>
      <c r="D867" s="288" t="s">
        <v>1453</v>
      </c>
      <c r="E867" s="288" t="s">
        <v>2454</v>
      </c>
      <c r="F867" s="288" t="s">
        <v>712</v>
      </c>
      <c r="G867" s="236" t="s">
        <v>1537</v>
      </c>
      <c r="H867" s="475" t="s">
        <v>1138</v>
      </c>
      <c r="I867" s="477">
        <v>1</v>
      </c>
      <c r="J867" s="274">
        <v>935.4</v>
      </c>
      <c r="K867" s="274">
        <v>586.20000000000005</v>
      </c>
      <c r="L867" s="274">
        <v>349.2</v>
      </c>
    </row>
    <row r="868" spans="1:12" ht="26.4" customHeight="1">
      <c r="A868" s="224">
        <v>73</v>
      </c>
      <c r="B868" s="531"/>
      <c r="C868" s="288" t="s">
        <v>13242</v>
      </c>
      <c r="D868" s="288" t="s">
        <v>1453</v>
      </c>
      <c r="E868" s="288" t="s">
        <v>711</v>
      </c>
      <c r="F868" s="288" t="s">
        <v>710</v>
      </c>
      <c r="G868" s="236" t="s">
        <v>1537</v>
      </c>
      <c r="H868" s="475" t="s">
        <v>1138</v>
      </c>
      <c r="I868" s="477">
        <v>1</v>
      </c>
      <c r="J868" s="274">
        <v>213.5</v>
      </c>
      <c r="K868" s="274">
        <v>213.5</v>
      </c>
      <c r="L868" s="274">
        <v>0</v>
      </c>
    </row>
    <row r="869" spans="1:12" ht="26.4" customHeight="1">
      <c r="A869" s="224">
        <v>74</v>
      </c>
      <c r="B869" s="531"/>
      <c r="C869" s="288" t="s">
        <v>13242</v>
      </c>
      <c r="D869" s="288" t="s">
        <v>1453</v>
      </c>
      <c r="E869" s="288" t="s">
        <v>2224</v>
      </c>
      <c r="F869" s="288" t="s">
        <v>709</v>
      </c>
      <c r="G869" s="236" t="s">
        <v>1537</v>
      </c>
      <c r="H869" s="475" t="s">
        <v>1138</v>
      </c>
      <c r="I869" s="477">
        <v>1</v>
      </c>
      <c r="J869" s="274">
        <v>14.8</v>
      </c>
      <c r="K869" s="274">
        <v>14.2</v>
      </c>
      <c r="L869" s="274">
        <v>0.7</v>
      </c>
    </row>
    <row r="870" spans="1:12" ht="26.4" customHeight="1">
      <c r="A870" s="224">
        <v>75</v>
      </c>
      <c r="B870" s="531"/>
      <c r="C870" s="288" t="s">
        <v>13242</v>
      </c>
      <c r="D870" s="288" t="s">
        <v>1454</v>
      </c>
      <c r="E870" s="288" t="s">
        <v>1202</v>
      </c>
      <c r="F870" s="288" t="s">
        <v>708</v>
      </c>
      <c r="G870" s="236" t="s">
        <v>1537</v>
      </c>
      <c r="H870" s="475" t="s">
        <v>1138</v>
      </c>
      <c r="I870" s="477">
        <v>1</v>
      </c>
      <c r="J870" s="274">
        <v>17.3</v>
      </c>
      <c r="K870" s="274">
        <v>13.6</v>
      </c>
      <c r="L870" s="274">
        <v>3.7</v>
      </c>
    </row>
    <row r="871" spans="1:12" ht="26.4" customHeight="1">
      <c r="A871" s="224">
        <v>76</v>
      </c>
      <c r="B871" s="531"/>
      <c r="C871" s="288" t="s">
        <v>13242</v>
      </c>
      <c r="D871" s="288" t="s">
        <v>1454</v>
      </c>
      <c r="E871" s="208" t="s">
        <v>12658</v>
      </c>
      <c r="F871" s="288" t="s">
        <v>707</v>
      </c>
      <c r="G871" s="236" t="s">
        <v>1537</v>
      </c>
      <c r="H871" s="475" t="s">
        <v>1138</v>
      </c>
      <c r="I871" s="477">
        <v>1</v>
      </c>
      <c r="J871" s="274">
        <v>164.59</v>
      </c>
      <c r="K871" s="274">
        <v>94.7</v>
      </c>
      <c r="L871" s="274">
        <v>69.8</v>
      </c>
    </row>
    <row r="872" spans="1:12" ht="26.4" customHeight="1">
      <c r="A872" s="224">
        <v>77</v>
      </c>
      <c r="B872" s="531"/>
      <c r="C872" s="288" t="s">
        <v>13242</v>
      </c>
      <c r="D872" s="288" t="s">
        <v>1454</v>
      </c>
      <c r="E872" s="288" t="s">
        <v>2225</v>
      </c>
      <c r="F872" s="288" t="s">
        <v>706</v>
      </c>
      <c r="G872" s="236" t="s">
        <v>1537</v>
      </c>
      <c r="H872" s="475" t="s">
        <v>1138</v>
      </c>
      <c r="I872" s="477">
        <v>1</v>
      </c>
      <c r="J872" s="274">
        <v>92.6</v>
      </c>
      <c r="K872" s="274">
        <v>49.5</v>
      </c>
      <c r="L872" s="274">
        <v>43</v>
      </c>
    </row>
    <row r="873" spans="1:12" ht="26.4" customHeight="1">
      <c r="A873" s="224">
        <v>78</v>
      </c>
      <c r="B873" s="531"/>
      <c r="C873" s="288" t="s">
        <v>13242</v>
      </c>
      <c r="D873" s="288" t="s">
        <v>1454</v>
      </c>
      <c r="E873" s="288" t="s">
        <v>1203</v>
      </c>
      <c r="F873" s="288" t="s">
        <v>705</v>
      </c>
      <c r="G873" s="236" t="s">
        <v>1537</v>
      </c>
      <c r="H873" s="475" t="s">
        <v>1149</v>
      </c>
      <c r="I873" s="477">
        <v>582</v>
      </c>
      <c r="J873" s="274">
        <v>634.9</v>
      </c>
      <c r="K873" s="274">
        <v>473.9</v>
      </c>
      <c r="L873" s="274">
        <v>161</v>
      </c>
    </row>
    <row r="874" spans="1:12" ht="26.4" customHeight="1">
      <c r="A874" s="224">
        <v>79</v>
      </c>
      <c r="B874" s="531"/>
      <c r="C874" s="288" t="s">
        <v>13242</v>
      </c>
      <c r="D874" s="288" t="s">
        <v>1454</v>
      </c>
      <c r="E874" s="288" t="s">
        <v>2011</v>
      </c>
      <c r="F874" s="288" t="s">
        <v>704</v>
      </c>
      <c r="G874" s="236" t="s">
        <v>1537</v>
      </c>
      <c r="H874" s="475" t="s">
        <v>1138</v>
      </c>
      <c r="I874" s="477">
        <v>1</v>
      </c>
      <c r="J874" s="274">
        <v>286.5</v>
      </c>
      <c r="K874" s="274">
        <v>90.7</v>
      </c>
      <c r="L874" s="274">
        <v>195.8</v>
      </c>
    </row>
    <row r="875" spans="1:12" ht="26.4" customHeight="1">
      <c r="A875" s="224">
        <v>80</v>
      </c>
      <c r="B875" s="531"/>
      <c r="C875" s="288" t="s">
        <v>13242</v>
      </c>
      <c r="D875" s="288" t="s">
        <v>1454</v>
      </c>
      <c r="E875" s="288" t="s">
        <v>2455</v>
      </c>
      <c r="F875" s="288" t="s">
        <v>703</v>
      </c>
      <c r="G875" s="236" t="s">
        <v>1537</v>
      </c>
      <c r="H875" s="475" t="s">
        <v>1138</v>
      </c>
      <c r="I875" s="477">
        <v>1</v>
      </c>
      <c r="J875" s="274">
        <v>147.9</v>
      </c>
      <c r="K875" s="274">
        <v>147.9</v>
      </c>
      <c r="L875" s="274">
        <v>0</v>
      </c>
    </row>
    <row r="876" spans="1:12" ht="26.4" customHeight="1">
      <c r="A876" s="224">
        <v>81</v>
      </c>
      <c r="B876" s="531"/>
      <c r="C876" s="288" t="s">
        <v>13242</v>
      </c>
      <c r="D876" s="288" t="s">
        <v>1454</v>
      </c>
      <c r="E876" s="288" t="s">
        <v>1894</v>
      </c>
      <c r="F876" s="288" t="s">
        <v>702</v>
      </c>
      <c r="G876" s="236" t="s">
        <v>1537</v>
      </c>
      <c r="H876" s="475" t="s">
        <v>1138</v>
      </c>
      <c r="I876" s="477">
        <v>1</v>
      </c>
      <c r="J876" s="274">
        <v>79.400000000000006</v>
      </c>
      <c r="K876" s="274">
        <v>63</v>
      </c>
      <c r="L876" s="274">
        <v>16.399999999999999</v>
      </c>
    </row>
    <row r="877" spans="1:12" ht="26.4" customHeight="1">
      <c r="A877" s="224">
        <v>82</v>
      </c>
      <c r="B877" s="531"/>
      <c r="C877" s="288" t="s">
        <v>13242</v>
      </c>
      <c r="D877" s="288" t="s">
        <v>1454</v>
      </c>
      <c r="E877" s="288" t="s">
        <v>12766</v>
      </c>
      <c r="F877" s="288" t="s">
        <v>701</v>
      </c>
      <c r="G877" s="236" t="s">
        <v>1537</v>
      </c>
      <c r="H877" s="475" t="s">
        <v>1138</v>
      </c>
      <c r="I877" s="477">
        <v>1</v>
      </c>
      <c r="J877" s="274">
        <v>199.8</v>
      </c>
      <c r="K877" s="274">
        <v>148.1</v>
      </c>
      <c r="L877" s="274">
        <v>51.8</v>
      </c>
    </row>
    <row r="878" spans="1:12" ht="26.4" customHeight="1">
      <c r="A878" s="224">
        <v>83</v>
      </c>
      <c r="B878" s="531"/>
      <c r="C878" s="515" t="s">
        <v>13242</v>
      </c>
      <c r="D878" s="288" t="s">
        <v>1454</v>
      </c>
      <c r="E878" s="288" t="s">
        <v>1204</v>
      </c>
      <c r="F878" s="288" t="s">
        <v>700</v>
      </c>
      <c r="G878" s="236" t="s">
        <v>1537</v>
      </c>
      <c r="H878" s="475" t="s">
        <v>1138</v>
      </c>
      <c r="I878" s="477">
        <v>1</v>
      </c>
      <c r="J878" s="274">
        <v>75.2</v>
      </c>
      <c r="K878" s="274">
        <v>75.2</v>
      </c>
      <c r="L878" s="274">
        <v>0</v>
      </c>
    </row>
    <row r="879" spans="1:12" ht="26.4" customHeight="1">
      <c r="A879" s="224">
        <v>84</v>
      </c>
      <c r="B879" s="531"/>
      <c r="C879" s="515" t="s">
        <v>13242</v>
      </c>
      <c r="D879" s="288" t="s">
        <v>1454</v>
      </c>
      <c r="E879" s="208" t="s">
        <v>2334</v>
      </c>
      <c r="F879" s="288" t="s">
        <v>699</v>
      </c>
      <c r="G879" s="236" t="s">
        <v>1537</v>
      </c>
      <c r="H879" s="475" t="s">
        <v>1138</v>
      </c>
      <c r="I879" s="477">
        <v>1</v>
      </c>
      <c r="J879" s="274">
        <v>28.9</v>
      </c>
      <c r="K879" s="274">
        <v>28.9</v>
      </c>
      <c r="L879" s="274">
        <v>0</v>
      </c>
    </row>
    <row r="880" spans="1:12" ht="26.4" customHeight="1">
      <c r="A880" s="224">
        <v>85</v>
      </c>
      <c r="B880" s="531"/>
      <c r="C880" s="515" t="s">
        <v>13242</v>
      </c>
      <c r="D880" s="288" t="s">
        <v>1454</v>
      </c>
      <c r="E880" s="208" t="s">
        <v>2457</v>
      </c>
      <c r="F880" s="288" t="s">
        <v>698</v>
      </c>
      <c r="G880" s="236" t="s">
        <v>1537</v>
      </c>
      <c r="H880" s="475" t="s">
        <v>1138</v>
      </c>
      <c r="I880" s="477">
        <v>1</v>
      </c>
      <c r="J880" s="274">
        <v>73.8</v>
      </c>
      <c r="K880" s="274">
        <v>18.7</v>
      </c>
      <c r="L880" s="274">
        <v>55.1</v>
      </c>
    </row>
    <row r="881" spans="1:12" ht="26.4" customHeight="1">
      <c r="A881" s="224">
        <v>86</v>
      </c>
      <c r="B881" s="531"/>
      <c r="C881" s="515" t="s">
        <v>13242</v>
      </c>
      <c r="D881" s="288" t="s">
        <v>1454</v>
      </c>
      <c r="E881" s="208" t="s">
        <v>2458</v>
      </c>
      <c r="F881" s="288" t="s">
        <v>697</v>
      </c>
      <c r="G881" s="236" t="s">
        <v>1537</v>
      </c>
      <c r="H881" s="475" t="s">
        <v>1138</v>
      </c>
      <c r="I881" s="477">
        <v>1</v>
      </c>
      <c r="J881" s="274">
        <v>9.1</v>
      </c>
      <c r="K881" s="274">
        <v>7</v>
      </c>
      <c r="L881" s="274">
        <v>2.1</v>
      </c>
    </row>
    <row r="882" spans="1:12" ht="26.4" customHeight="1">
      <c r="A882" s="224">
        <v>87</v>
      </c>
      <c r="B882" s="531"/>
      <c r="C882" s="515" t="s">
        <v>13242</v>
      </c>
      <c r="D882" s="288" t="s">
        <v>1454</v>
      </c>
      <c r="E882" s="208" t="s">
        <v>2456</v>
      </c>
      <c r="F882" s="288" t="s">
        <v>696</v>
      </c>
      <c r="G882" s="236" t="s">
        <v>1537</v>
      </c>
      <c r="H882" s="475" t="s">
        <v>1138</v>
      </c>
      <c r="I882" s="477">
        <v>1</v>
      </c>
      <c r="J882" s="274">
        <v>6.2</v>
      </c>
      <c r="K882" s="274">
        <v>5.4</v>
      </c>
      <c r="L882" s="274">
        <v>0.8</v>
      </c>
    </row>
    <row r="883" spans="1:12" ht="26.4" customHeight="1">
      <c r="A883" s="224">
        <v>88</v>
      </c>
      <c r="B883" s="531"/>
      <c r="C883" s="515" t="s">
        <v>13242</v>
      </c>
      <c r="D883" s="288" t="s">
        <v>1454</v>
      </c>
      <c r="E883" s="208" t="s">
        <v>2459</v>
      </c>
      <c r="F883" s="288" t="s">
        <v>695</v>
      </c>
      <c r="G883" s="236" t="s">
        <v>1537</v>
      </c>
      <c r="H883" s="475" t="s">
        <v>1138</v>
      </c>
      <c r="I883" s="477">
        <v>1</v>
      </c>
      <c r="J883" s="274">
        <v>1.9</v>
      </c>
      <c r="K883" s="274">
        <v>1.7</v>
      </c>
      <c r="L883" s="274">
        <v>0.2</v>
      </c>
    </row>
    <row r="884" spans="1:12" ht="26.4" customHeight="1">
      <c r="A884" s="224">
        <v>89</v>
      </c>
      <c r="B884" s="531"/>
      <c r="C884" s="515" t="s">
        <v>13242</v>
      </c>
      <c r="D884" s="288" t="s">
        <v>1454</v>
      </c>
      <c r="E884" s="208" t="s">
        <v>2460</v>
      </c>
      <c r="F884" s="288" t="s">
        <v>694</v>
      </c>
      <c r="G884" s="236" t="s">
        <v>1537</v>
      </c>
      <c r="H884" s="475" t="s">
        <v>1138</v>
      </c>
      <c r="I884" s="477">
        <v>1</v>
      </c>
      <c r="J884" s="274">
        <v>6.9</v>
      </c>
      <c r="K884" s="274">
        <v>5.4</v>
      </c>
      <c r="L884" s="274">
        <v>1.5</v>
      </c>
    </row>
    <row r="885" spans="1:12" ht="26.4" customHeight="1">
      <c r="A885" s="224">
        <v>90</v>
      </c>
      <c r="B885" s="531"/>
      <c r="C885" s="515" t="s">
        <v>13242</v>
      </c>
      <c r="D885" s="288" t="s">
        <v>1454</v>
      </c>
      <c r="E885" s="208" t="s">
        <v>13009</v>
      </c>
      <c r="F885" s="288" t="s">
        <v>693</v>
      </c>
      <c r="G885" s="236" t="s">
        <v>1537</v>
      </c>
      <c r="H885" s="475" t="s">
        <v>1138</v>
      </c>
      <c r="I885" s="477">
        <v>1</v>
      </c>
      <c r="J885" s="274">
        <v>9.8000000000000007</v>
      </c>
      <c r="K885" s="274">
        <v>9.8000000000000007</v>
      </c>
      <c r="L885" s="274">
        <v>0</v>
      </c>
    </row>
    <row r="886" spans="1:12" ht="26.4" customHeight="1">
      <c r="A886" s="224">
        <v>91</v>
      </c>
      <c r="B886" s="531"/>
      <c r="C886" s="515" t="s">
        <v>13242</v>
      </c>
      <c r="D886" s="288" t="s">
        <v>1454</v>
      </c>
      <c r="E886" s="208" t="s">
        <v>13010</v>
      </c>
      <c r="F886" s="288" t="s">
        <v>692</v>
      </c>
      <c r="G886" s="236" t="s">
        <v>1537</v>
      </c>
      <c r="H886" s="475" t="s">
        <v>1138</v>
      </c>
      <c r="I886" s="477">
        <v>1</v>
      </c>
      <c r="J886" s="274">
        <v>31</v>
      </c>
      <c r="K886" s="274">
        <v>17.7</v>
      </c>
      <c r="L886" s="274">
        <v>13.3</v>
      </c>
    </row>
    <row r="887" spans="1:12" ht="26.4" customHeight="1">
      <c r="A887" s="224">
        <v>92</v>
      </c>
      <c r="B887" s="531"/>
      <c r="C887" s="515" t="s">
        <v>13242</v>
      </c>
      <c r="D887" s="288" t="s">
        <v>1454</v>
      </c>
      <c r="E887" s="208" t="s">
        <v>13011</v>
      </c>
      <c r="F887" s="288" t="s">
        <v>691</v>
      </c>
      <c r="G887" s="236" t="s">
        <v>1537</v>
      </c>
      <c r="H887" s="475" t="s">
        <v>1138</v>
      </c>
      <c r="I887" s="477">
        <v>1</v>
      </c>
      <c r="J887" s="274">
        <v>4.0999999999999996</v>
      </c>
      <c r="K887" s="274">
        <v>4.0999999999999996</v>
      </c>
      <c r="L887" s="274">
        <v>0</v>
      </c>
    </row>
    <row r="888" spans="1:12" ht="26.4" customHeight="1">
      <c r="A888" s="224">
        <v>93</v>
      </c>
      <c r="B888" s="531"/>
      <c r="C888" s="515" t="s">
        <v>13242</v>
      </c>
      <c r="D888" s="288" t="s">
        <v>1454</v>
      </c>
      <c r="E888" s="208" t="s">
        <v>2461</v>
      </c>
      <c r="F888" s="288" t="s">
        <v>690</v>
      </c>
      <c r="G888" s="236" t="s">
        <v>1537</v>
      </c>
      <c r="H888" s="475" t="s">
        <v>1138</v>
      </c>
      <c r="I888" s="477">
        <v>1</v>
      </c>
      <c r="J888" s="274">
        <v>3.5</v>
      </c>
      <c r="K888" s="274">
        <v>3.5</v>
      </c>
      <c r="L888" s="274">
        <v>0</v>
      </c>
    </row>
    <row r="889" spans="1:12" ht="26.4" customHeight="1">
      <c r="A889" s="224">
        <v>94</v>
      </c>
      <c r="B889" s="531"/>
      <c r="C889" s="288" t="s">
        <v>15</v>
      </c>
      <c r="D889" s="288" t="s">
        <v>2112</v>
      </c>
      <c r="E889" s="288" t="s">
        <v>1310</v>
      </c>
      <c r="F889" s="288" t="s">
        <v>689</v>
      </c>
      <c r="G889" s="236" t="s">
        <v>1574</v>
      </c>
      <c r="H889" s="475" t="s">
        <v>1149</v>
      </c>
      <c r="I889" s="477">
        <v>59</v>
      </c>
      <c r="J889" s="274">
        <v>532.20000000000005</v>
      </c>
      <c r="K889" s="274">
        <v>191.6</v>
      </c>
      <c r="L889" s="274">
        <v>340.6</v>
      </c>
    </row>
    <row r="890" spans="1:12" ht="26.4" customHeight="1">
      <c r="A890" s="224">
        <v>95</v>
      </c>
      <c r="B890" s="531"/>
      <c r="C890" s="288" t="s">
        <v>15</v>
      </c>
      <c r="D890" s="288" t="s">
        <v>2112</v>
      </c>
      <c r="E890" s="288" t="s">
        <v>1820</v>
      </c>
      <c r="F890" s="288" t="s">
        <v>688</v>
      </c>
      <c r="G890" s="236" t="s">
        <v>1574</v>
      </c>
      <c r="H890" s="475" t="s">
        <v>1138</v>
      </c>
      <c r="I890" s="242">
        <v>1</v>
      </c>
      <c r="J890" s="274">
        <v>18.399999999999999</v>
      </c>
      <c r="K890" s="274">
        <v>8.1</v>
      </c>
      <c r="L890" s="274">
        <v>10.3</v>
      </c>
    </row>
    <row r="891" spans="1:12" ht="26.4" customHeight="1">
      <c r="A891" s="224">
        <v>96</v>
      </c>
      <c r="B891" s="531"/>
      <c r="C891" s="288" t="s">
        <v>15</v>
      </c>
      <c r="D891" s="288" t="s">
        <v>2112</v>
      </c>
      <c r="E891" s="288" t="s">
        <v>1205</v>
      </c>
      <c r="F891" s="288" t="s">
        <v>687</v>
      </c>
      <c r="G891" s="236" t="s">
        <v>1574</v>
      </c>
      <c r="H891" s="475" t="s">
        <v>1138</v>
      </c>
      <c r="I891" s="242">
        <v>1</v>
      </c>
      <c r="J891" s="274">
        <v>7.8</v>
      </c>
      <c r="K891" s="274">
        <v>3.2</v>
      </c>
      <c r="L891" s="274">
        <v>4.5999999999999996</v>
      </c>
    </row>
    <row r="892" spans="1:12" ht="26.4" customHeight="1">
      <c r="A892" s="224">
        <v>97</v>
      </c>
      <c r="B892" s="531"/>
      <c r="C892" s="288" t="s">
        <v>15</v>
      </c>
      <c r="D892" s="288" t="s">
        <v>2112</v>
      </c>
      <c r="E892" s="288" t="s">
        <v>1311</v>
      </c>
      <c r="F892" s="288" t="s">
        <v>686</v>
      </c>
      <c r="G892" s="236" t="s">
        <v>1574</v>
      </c>
      <c r="H892" s="475" t="s">
        <v>1138</v>
      </c>
      <c r="I892" s="242">
        <v>1</v>
      </c>
      <c r="J892" s="274">
        <v>48</v>
      </c>
      <c r="K892" s="274">
        <v>20.2</v>
      </c>
      <c r="L892" s="274">
        <v>27.8</v>
      </c>
    </row>
    <row r="893" spans="1:12" ht="26.4" customHeight="1">
      <c r="A893" s="224">
        <v>98</v>
      </c>
      <c r="B893" s="531"/>
      <c r="C893" s="288" t="s">
        <v>15</v>
      </c>
      <c r="D893" s="288" t="s">
        <v>2112</v>
      </c>
      <c r="E893" s="288" t="s">
        <v>1895</v>
      </c>
      <c r="F893" s="288" t="s">
        <v>685</v>
      </c>
      <c r="G893" s="236" t="s">
        <v>1574</v>
      </c>
      <c r="H893" s="475" t="s">
        <v>1138</v>
      </c>
      <c r="I893" s="242">
        <v>1</v>
      </c>
      <c r="J893" s="274">
        <v>37.5</v>
      </c>
      <c r="K893" s="274">
        <v>15.8</v>
      </c>
      <c r="L893" s="274">
        <v>21.7</v>
      </c>
    </row>
    <row r="894" spans="1:12" ht="26.4" customHeight="1">
      <c r="A894" s="224">
        <v>99</v>
      </c>
      <c r="B894" s="531"/>
      <c r="C894" s="288" t="s">
        <v>15</v>
      </c>
      <c r="D894" s="288" t="s">
        <v>2113</v>
      </c>
      <c r="E894" s="288" t="s">
        <v>1830</v>
      </c>
      <c r="F894" s="288" t="s">
        <v>684</v>
      </c>
      <c r="G894" s="236" t="s">
        <v>1574</v>
      </c>
      <c r="H894" s="475" t="s">
        <v>1138</v>
      </c>
      <c r="I894" s="242">
        <v>1</v>
      </c>
      <c r="J894" s="274">
        <v>46.1</v>
      </c>
      <c r="K894" s="274">
        <v>13.8</v>
      </c>
      <c r="L894" s="274">
        <v>32.299999999999997</v>
      </c>
    </row>
    <row r="895" spans="1:12" ht="26.4" customHeight="1">
      <c r="A895" s="224">
        <v>100</v>
      </c>
      <c r="B895" s="531"/>
      <c r="C895" s="288" t="s">
        <v>15</v>
      </c>
      <c r="D895" s="288" t="s">
        <v>2113</v>
      </c>
      <c r="E895" s="288" t="s">
        <v>1206</v>
      </c>
      <c r="F895" s="288" t="s">
        <v>683</v>
      </c>
      <c r="G895" s="236" t="s">
        <v>1574</v>
      </c>
      <c r="H895" s="475" t="s">
        <v>1138</v>
      </c>
      <c r="I895" s="242">
        <v>1</v>
      </c>
      <c r="J895" s="274">
        <v>25</v>
      </c>
      <c r="K895" s="274">
        <v>4.9000000000000004</v>
      </c>
      <c r="L895" s="274">
        <v>20.100000000000001</v>
      </c>
    </row>
    <row r="896" spans="1:12" ht="26.4" customHeight="1">
      <c r="A896" s="224">
        <v>101</v>
      </c>
      <c r="B896" s="531"/>
      <c r="C896" s="288" t="s">
        <v>15</v>
      </c>
      <c r="D896" s="288" t="s">
        <v>2114</v>
      </c>
      <c r="E896" s="288" t="s">
        <v>1246</v>
      </c>
      <c r="F896" s="288" t="s">
        <v>682</v>
      </c>
      <c r="G896" s="236" t="s">
        <v>1574</v>
      </c>
      <c r="H896" s="475" t="s">
        <v>1138</v>
      </c>
      <c r="I896" s="242">
        <v>1</v>
      </c>
      <c r="J896" s="274">
        <v>449.9</v>
      </c>
      <c r="K896" s="274">
        <v>234.4</v>
      </c>
      <c r="L896" s="274">
        <v>215.4</v>
      </c>
    </row>
    <row r="897" spans="1:12" ht="26.4" customHeight="1">
      <c r="A897" s="224">
        <v>102</v>
      </c>
      <c r="B897" s="531"/>
      <c r="C897" s="288" t="s">
        <v>15</v>
      </c>
      <c r="D897" s="288" t="s">
        <v>2114</v>
      </c>
      <c r="E897" s="288" t="s">
        <v>1896</v>
      </c>
      <c r="F897" s="288" t="s">
        <v>681</v>
      </c>
      <c r="G897" s="236" t="s">
        <v>1574</v>
      </c>
      <c r="H897" s="475" t="s">
        <v>1149</v>
      </c>
      <c r="I897" s="477">
        <v>499.9</v>
      </c>
      <c r="J897" s="274">
        <v>955.8</v>
      </c>
      <c r="K897" s="274">
        <v>183.9</v>
      </c>
      <c r="L897" s="274">
        <v>771.9</v>
      </c>
    </row>
    <row r="898" spans="1:12" ht="26.4" customHeight="1">
      <c r="A898" s="224">
        <v>103</v>
      </c>
      <c r="B898" s="531"/>
      <c r="C898" s="288" t="s">
        <v>15</v>
      </c>
      <c r="D898" s="288" t="s">
        <v>2114</v>
      </c>
      <c r="E898" s="288" t="s">
        <v>1263</v>
      </c>
      <c r="F898" s="288" t="s">
        <v>680</v>
      </c>
      <c r="G898" s="236" t="s">
        <v>1574</v>
      </c>
      <c r="H898" s="475" t="s">
        <v>631</v>
      </c>
      <c r="I898" s="242">
        <v>508</v>
      </c>
      <c r="J898" s="274">
        <v>42.9</v>
      </c>
      <c r="K898" s="274">
        <v>12.4</v>
      </c>
      <c r="L898" s="274">
        <v>30.6</v>
      </c>
    </row>
    <row r="899" spans="1:12" ht="26.4" customHeight="1">
      <c r="A899" s="224">
        <v>104</v>
      </c>
      <c r="B899" s="531"/>
      <c r="C899" s="288" t="s">
        <v>15</v>
      </c>
      <c r="D899" s="288" t="s">
        <v>2114</v>
      </c>
      <c r="E899" s="288" t="s">
        <v>1982</v>
      </c>
      <c r="F899" s="288" t="s">
        <v>679</v>
      </c>
      <c r="G899" s="236" t="s">
        <v>1574</v>
      </c>
      <c r="H899" s="475" t="s">
        <v>631</v>
      </c>
      <c r="I899" s="242">
        <v>62</v>
      </c>
      <c r="J899" s="274">
        <v>19.3</v>
      </c>
      <c r="K899" s="274">
        <v>5.6</v>
      </c>
      <c r="L899" s="274">
        <v>13.8</v>
      </c>
    </row>
    <row r="900" spans="1:12" ht="26.4" customHeight="1">
      <c r="A900" s="224">
        <v>105</v>
      </c>
      <c r="B900" s="531"/>
      <c r="C900" s="288" t="s">
        <v>15</v>
      </c>
      <c r="D900" s="288" t="s">
        <v>2114</v>
      </c>
      <c r="E900" s="288" t="s">
        <v>1983</v>
      </c>
      <c r="F900" s="288" t="s">
        <v>678</v>
      </c>
      <c r="G900" s="236" t="s">
        <v>1574</v>
      </c>
      <c r="H900" s="475" t="s">
        <v>631</v>
      </c>
      <c r="I900" s="242">
        <v>84</v>
      </c>
      <c r="J900" s="274">
        <v>10.6</v>
      </c>
      <c r="K900" s="274">
        <v>3</v>
      </c>
      <c r="L900" s="274">
        <v>7.5</v>
      </c>
    </row>
    <row r="901" spans="1:12" ht="39.6">
      <c r="A901" s="224">
        <v>106</v>
      </c>
      <c r="B901" s="531"/>
      <c r="C901" s="288" t="s">
        <v>15</v>
      </c>
      <c r="D901" s="288" t="s">
        <v>2114</v>
      </c>
      <c r="E901" s="288" t="s">
        <v>2462</v>
      </c>
      <c r="F901" s="288" t="s">
        <v>677</v>
      </c>
      <c r="G901" s="236" t="s">
        <v>1574</v>
      </c>
      <c r="H901" s="475" t="s">
        <v>1138</v>
      </c>
      <c r="I901" s="242">
        <v>1</v>
      </c>
      <c r="J901" s="274">
        <v>257.89999999999998</v>
      </c>
      <c r="K901" s="274">
        <v>115.9</v>
      </c>
      <c r="L901" s="274">
        <v>142</v>
      </c>
    </row>
    <row r="902" spans="1:12" ht="26.4" customHeight="1">
      <c r="A902" s="224">
        <v>107</v>
      </c>
      <c r="B902" s="531"/>
      <c r="C902" s="288" t="s">
        <v>15</v>
      </c>
      <c r="D902" s="288" t="s">
        <v>2114</v>
      </c>
      <c r="E902" s="288" t="s">
        <v>676</v>
      </c>
      <c r="F902" s="288" t="s">
        <v>675</v>
      </c>
      <c r="G902" s="236" t="s">
        <v>1574</v>
      </c>
      <c r="H902" s="475" t="s">
        <v>1138</v>
      </c>
      <c r="I902" s="242">
        <v>1</v>
      </c>
      <c r="J902" s="274">
        <v>60.1</v>
      </c>
      <c r="K902" s="274">
        <v>26.9</v>
      </c>
      <c r="L902" s="274">
        <v>33.200000000000003</v>
      </c>
    </row>
    <row r="903" spans="1:12" ht="26.4" customHeight="1">
      <c r="A903" s="224">
        <v>108</v>
      </c>
      <c r="B903" s="531"/>
      <c r="C903" s="288" t="s">
        <v>15</v>
      </c>
      <c r="D903" s="288" t="s">
        <v>2114</v>
      </c>
      <c r="E903" s="288" t="s">
        <v>674</v>
      </c>
      <c r="F903" s="288" t="s">
        <v>673</v>
      </c>
      <c r="G903" s="236" t="s">
        <v>1574</v>
      </c>
      <c r="H903" s="475" t="s">
        <v>1138</v>
      </c>
      <c r="I903" s="242">
        <v>1</v>
      </c>
      <c r="J903" s="274">
        <v>5.8</v>
      </c>
      <c r="K903" s="274">
        <v>2.9</v>
      </c>
      <c r="L903" s="274">
        <v>2.9</v>
      </c>
    </row>
    <row r="904" spans="1:12" ht="26.4" customHeight="1">
      <c r="A904" s="224">
        <v>109</v>
      </c>
      <c r="B904" s="531"/>
      <c r="C904" s="288" t="s">
        <v>15</v>
      </c>
      <c r="D904" s="288" t="s">
        <v>1455</v>
      </c>
      <c r="E904" s="288" t="s">
        <v>2463</v>
      </c>
      <c r="F904" s="288" t="s">
        <v>672</v>
      </c>
      <c r="G904" s="236" t="s">
        <v>1574</v>
      </c>
      <c r="H904" s="475" t="s">
        <v>1149</v>
      </c>
      <c r="I904" s="477">
        <v>553</v>
      </c>
      <c r="J904" s="274">
        <v>599.6</v>
      </c>
      <c r="K904" s="274">
        <v>104.2</v>
      </c>
      <c r="L904" s="274">
        <v>495.4</v>
      </c>
    </row>
    <row r="905" spans="1:12" ht="26.4" customHeight="1">
      <c r="A905" s="224">
        <v>110</v>
      </c>
      <c r="B905" s="531"/>
      <c r="C905" s="288" t="s">
        <v>15</v>
      </c>
      <c r="D905" s="288" t="s">
        <v>1456</v>
      </c>
      <c r="E905" s="288" t="s">
        <v>2226</v>
      </c>
      <c r="F905" s="288" t="s">
        <v>671</v>
      </c>
      <c r="G905" s="236" t="s">
        <v>1574</v>
      </c>
      <c r="H905" s="475" t="s">
        <v>631</v>
      </c>
      <c r="I905" s="242">
        <v>388</v>
      </c>
      <c r="J905" s="274">
        <v>88.8</v>
      </c>
      <c r="K905" s="274">
        <v>13.2</v>
      </c>
      <c r="L905" s="274">
        <v>75.599999999999994</v>
      </c>
    </row>
    <row r="906" spans="1:12" ht="26.4" customHeight="1">
      <c r="A906" s="224">
        <v>111</v>
      </c>
      <c r="B906" s="531"/>
      <c r="C906" s="288" t="s">
        <v>15</v>
      </c>
      <c r="D906" s="288" t="s">
        <v>1456</v>
      </c>
      <c r="E906" s="288" t="s">
        <v>1984</v>
      </c>
      <c r="F906" s="288" t="s">
        <v>670</v>
      </c>
      <c r="G906" s="236" t="s">
        <v>1574</v>
      </c>
      <c r="H906" s="475" t="s">
        <v>1138</v>
      </c>
      <c r="I906" s="242">
        <v>1</v>
      </c>
      <c r="J906" s="274">
        <v>6.6</v>
      </c>
      <c r="K906" s="274">
        <v>3.1</v>
      </c>
      <c r="L906" s="274">
        <v>3.5</v>
      </c>
    </row>
    <row r="907" spans="1:12" ht="26.4" customHeight="1">
      <c r="A907" s="224">
        <v>112</v>
      </c>
      <c r="B907" s="531"/>
      <c r="C907" s="288" t="s">
        <v>15</v>
      </c>
      <c r="D907" s="288" t="s">
        <v>2113</v>
      </c>
      <c r="E907" s="288" t="s">
        <v>2468</v>
      </c>
      <c r="F907" s="288" t="s">
        <v>669</v>
      </c>
      <c r="G907" s="236" t="s">
        <v>1574</v>
      </c>
      <c r="H907" s="475" t="s">
        <v>1149</v>
      </c>
      <c r="I907" s="477">
        <v>116.9</v>
      </c>
      <c r="J907" s="274">
        <v>465</v>
      </c>
      <c r="K907" s="274">
        <v>128.69999999999999</v>
      </c>
      <c r="L907" s="274">
        <v>336.2</v>
      </c>
    </row>
    <row r="908" spans="1:12" ht="26.4" customHeight="1">
      <c r="A908" s="224">
        <v>113</v>
      </c>
      <c r="B908" s="531"/>
      <c r="C908" s="288" t="s">
        <v>15</v>
      </c>
      <c r="D908" s="288" t="s">
        <v>2113</v>
      </c>
      <c r="E908" s="288" t="s">
        <v>2469</v>
      </c>
      <c r="F908" s="288" t="s">
        <v>668</v>
      </c>
      <c r="G908" s="236" t="s">
        <v>1574</v>
      </c>
      <c r="H908" s="475" t="s">
        <v>631</v>
      </c>
      <c r="I908" s="242">
        <v>28</v>
      </c>
      <c r="J908" s="274">
        <v>1.9</v>
      </c>
      <c r="K908" s="274">
        <v>0.7</v>
      </c>
      <c r="L908" s="274">
        <v>1.2</v>
      </c>
    </row>
    <row r="909" spans="1:12" ht="26.4" customHeight="1">
      <c r="A909" s="224">
        <v>114</v>
      </c>
      <c r="B909" s="531"/>
      <c r="C909" s="288" t="s">
        <v>15</v>
      </c>
      <c r="D909" s="288" t="s">
        <v>1457</v>
      </c>
      <c r="E909" s="288" t="s">
        <v>1262</v>
      </c>
      <c r="F909" s="288" t="s">
        <v>667</v>
      </c>
      <c r="G909" s="236" t="s">
        <v>1574</v>
      </c>
      <c r="H909" s="475" t="s">
        <v>631</v>
      </c>
      <c r="I909" s="242">
        <v>634</v>
      </c>
      <c r="J909" s="274">
        <v>824.2</v>
      </c>
      <c r="K909" s="274">
        <v>198.7</v>
      </c>
      <c r="L909" s="274">
        <v>625.5</v>
      </c>
    </row>
    <row r="910" spans="1:12" ht="26.4" customHeight="1">
      <c r="A910" s="224">
        <v>115</v>
      </c>
      <c r="B910" s="531"/>
      <c r="C910" s="288" t="s">
        <v>15</v>
      </c>
      <c r="D910" s="288" t="s">
        <v>1457</v>
      </c>
      <c r="E910" s="288" t="s">
        <v>2464</v>
      </c>
      <c r="F910" s="288" t="s">
        <v>666</v>
      </c>
      <c r="G910" s="236" t="s">
        <v>1574</v>
      </c>
      <c r="H910" s="475" t="s">
        <v>1138</v>
      </c>
      <c r="I910" s="242">
        <v>1</v>
      </c>
      <c r="J910" s="274">
        <v>497.1</v>
      </c>
      <c r="K910" s="274">
        <v>206.8</v>
      </c>
      <c r="L910" s="274">
        <v>290.2</v>
      </c>
    </row>
    <row r="911" spans="1:12" ht="26.4" customHeight="1">
      <c r="A911" s="224">
        <v>116</v>
      </c>
      <c r="B911" s="531"/>
      <c r="C911" s="288" t="s">
        <v>15</v>
      </c>
      <c r="D911" s="288" t="s">
        <v>1456</v>
      </c>
      <c r="E911" s="288" t="s">
        <v>2465</v>
      </c>
      <c r="F911" s="288" t="s">
        <v>665</v>
      </c>
      <c r="G911" s="236" t="s">
        <v>1574</v>
      </c>
      <c r="H911" s="475" t="s">
        <v>1138</v>
      </c>
      <c r="I911" s="242">
        <v>1</v>
      </c>
      <c r="J911" s="274">
        <v>657.7</v>
      </c>
      <c r="K911" s="274">
        <v>416.4</v>
      </c>
      <c r="L911" s="274">
        <v>241.3</v>
      </c>
    </row>
    <row r="912" spans="1:12" ht="26.4" customHeight="1">
      <c r="A912" s="224">
        <v>117</v>
      </c>
      <c r="B912" s="531"/>
      <c r="C912" s="288" t="s">
        <v>15</v>
      </c>
      <c r="D912" s="288" t="s">
        <v>2012</v>
      </c>
      <c r="E912" s="288" t="s">
        <v>1985</v>
      </c>
      <c r="F912" s="288" t="s">
        <v>664</v>
      </c>
      <c r="G912" s="236" t="s">
        <v>1574</v>
      </c>
      <c r="H912" s="475" t="s">
        <v>631</v>
      </c>
      <c r="I912" s="242">
        <v>417</v>
      </c>
      <c r="J912" s="274">
        <v>494.8</v>
      </c>
      <c r="K912" s="274">
        <v>318.10000000000002</v>
      </c>
      <c r="L912" s="274">
        <v>176.7</v>
      </c>
    </row>
    <row r="913" spans="1:12" ht="26.4" customHeight="1">
      <c r="A913" s="224">
        <v>118</v>
      </c>
      <c r="B913" s="531"/>
      <c r="C913" s="288" t="s">
        <v>15</v>
      </c>
      <c r="D913" s="288" t="s">
        <v>1458</v>
      </c>
      <c r="E913" s="288" t="s">
        <v>2013</v>
      </c>
      <c r="F913" s="288" t="s">
        <v>663</v>
      </c>
      <c r="G913" s="236" t="s">
        <v>1574</v>
      </c>
      <c r="H913" s="475" t="s">
        <v>1138</v>
      </c>
      <c r="I913" s="242">
        <v>1</v>
      </c>
      <c r="J913" s="274">
        <v>2.4</v>
      </c>
      <c r="K913" s="274">
        <v>0.5</v>
      </c>
      <c r="L913" s="274">
        <v>1.9</v>
      </c>
    </row>
    <row r="914" spans="1:12" ht="26.4" customHeight="1">
      <c r="A914" s="224">
        <v>119</v>
      </c>
      <c r="B914" s="531"/>
      <c r="C914" s="288" t="s">
        <v>15</v>
      </c>
      <c r="D914" s="288" t="s">
        <v>2115</v>
      </c>
      <c r="E914" s="288" t="s">
        <v>1261</v>
      </c>
      <c r="F914" s="288" t="s">
        <v>662</v>
      </c>
      <c r="G914" s="236" t="s">
        <v>1574</v>
      </c>
      <c r="H914" s="475" t="s">
        <v>631</v>
      </c>
      <c r="I914" s="242">
        <v>603</v>
      </c>
      <c r="J914" s="274">
        <v>260.2</v>
      </c>
      <c r="K914" s="274">
        <v>77</v>
      </c>
      <c r="L914" s="274">
        <v>183.3</v>
      </c>
    </row>
    <row r="915" spans="1:12" ht="26.4" customHeight="1">
      <c r="A915" s="224">
        <v>120</v>
      </c>
      <c r="B915" s="531"/>
      <c r="C915" s="288" t="s">
        <v>15</v>
      </c>
      <c r="D915" s="288" t="s">
        <v>2115</v>
      </c>
      <c r="E915" s="288" t="s">
        <v>2227</v>
      </c>
      <c r="F915" s="288" t="s">
        <v>661</v>
      </c>
      <c r="G915" s="236" t="s">
        <v>1574</v>
      </c>
      <c r="H915" s="475" t="s">
        <v>631</v>
      </c>
      <c r="I915" s="240">
        <v>1138</v>
      </c>
      <c r="J915" s="274">
        <v>4014</v>
      </c>
      <c r="K915" s="274">
        <v>899.1</v>
      </c>
      <c r="L915" s="274">
        <v>3114.8</v>
      </c>
    </row>
    <row r="916" spans="1:12" ht="26.4" customHeight="1">
      <c r="A916" s="224">
        <v>121</v>
      </c>
      <c r="B916" s="531"/>
      <c r="C916" s="288" t="s">
        <v>15</v>
      </c>
      <c r="D916" s="288" t="s">
        <v>2115</v>
      </c>
      <c r="E916" s="288" t="s">
        <v>2383</v>
      </c>
      <c r="F916" s="288" t="s">
        <v>660</v>
      </c>
      <c r="G916" s="236" t="s">
        <v>1574</v>
      </c>
      <c r="H916" s="475" t="s">
        <v>631</v>
      </c>
      <c r="I916" s="240">
        <v>1064</v>
      </c>
      <c r="J916" s="274">
        <v>17.5</v>
      </c>
      <c r="K916" s="274">
        <v>3.8</v>
      </c>
      <c r="L916" s="274">
        <v>13.7</v>
      </c>
    </row>
    <row r="917" spans="1:12" ht="26.4" customHeight="1">
      <c r="A917" s="224">
        <v>122</v>
      </c>
      <c r="B917" s="531"/>
      <c r="C917" s="288" t="s">
        <v>15</v>
      </c>
      <c r="D917" s="288" t="s">
        <v>2115</v>
      </c>
      <c r="E917" s="288" t="s">
        <v>2384</v>
      </c>
      <c r="F917" s="288" t="s">
        <v>659</v>
      </c>
      <c r="G917" s="236" t="s">
        <v>1574</v>
      </c>
      <c r="H917" s="475" t="s">
        <v>631</v>
      </c>
      <c r="I917" s="240">
        <v>1064</v>
      </c>
      <c r="J917" s="274">
        <v>127.1</v>
      </c>
      <c r="K917" s="274">
        <v>28.6</v>
      </c>
      <c r="L917" s="274">
        <v>98.5</v>
      </c>
    </row>
    <row r="918" spans="1:12" ht="26.4" customHeight="1">
      <c r="A918" s="224">
        <v>123</v>
      </c>
      <c r="B918" s="531"/>
      <c r="C918" s="288" t="s">
        <v>15</v>
      </c>
      <c r="D918" s="288" t="s">
        <v>2115</v>
      </c>
      <c r="E918" s="288" t="s">
        <v>2466</v>
      </c>
      <c r="F918" s="288" t="s">
        <v>658</v>
      </c>
      <c r="G918" s="236" t="s">
        <v>1574</v>
      </c>
      <c r="H918" s="475" t="s">
        <v>1149</v>
      </c>
      <c r="I918" s="477">
        <v>530.79999999999995</v>
      </c>
      <c r="J918" s="274">
        <v>1024.5</v>
      </c>
      <c r="K918" s="274">
        <v>467.3</v>
      </c>
      <c r="L918" s="274">
        <v>557.6</v>
      </c>
    </row>
    <row r="919" spans="1:12" ht="26.4" customHeight="1">
      <c r="A919" s="224">
        <v>124</v>
      </c>
      <c r="B919" s="531"/>
      <c r="C919" s="288" t="s">
        <v>1140</v>
      </c>
      <c r="D919" s="288" t="s">
        <v>2116</v>
      </c>
      <c r="E919" s="288" t="s">
        <v>1259</v>
      </c>
      <c r="F919" s="288" t="s">
        <v>657</v>
      </c>
      <c r="G919" s="236" t="s">
        <v>1575</v>
      </c>
      <c r="H919" s="475" t="s">
        <v>631</v>
      </c>
      <c r="I919" s="240">
        <v>725</v>
      </c>
      <c r="J919" s="274">
        <v>215</v>
      </c>
      <c r="K919" s="274">
        <v>30.5</v>
      </c>
      <c r="L919" s="274">
        <v>184.5</v>
      </c>
    </row>
    <row r="920" spans="1:12" ht="26.4" customHeight="1">
      <c r="A920" s="224">
        <v>125</v>
      </c>
      <c r="B920" s="531"/>
      <c r="C920" s="288" t="s">
        <v>1140</v>
      </c>
      <c r="D920" s="288" t="s">
        <v>2116</v>
      </c>
      <c r="E920" s="288" t="s">
        <v>1260</v>
      </c>
      <c r="F920" s="288" t="s">
        <v>656</v>
      </c>
      <c r="G920" s="236" t="s">
        <v>1575</v>
      </c>
      <c r="H920" s="475" t="s">
        <v>631</v>
      </c>
      <c r="I920" s="240">
        <v>2549</v>
      </c>
      <c r="J920" s="274">
        <v>755.8</v>
      </c>
      <c r="K920" s="274">
        <v>107.1</v>
      </c>
      <c r="L920" s="274">
        <v>648.70000000000005</v>
      </c>
    </row>
    <row r="921" spans="1:12" ht="26.4" customHeight="1">
      <c r="A921" s="224">
        <v>126</v>
      </c>
      <c r="B921" s="531"/>
      <c r="C921" s="288" t="s">
        <v>1140</v>
      </c>
      <c r="D921" s="288" t="s">
        <v>1459</v>
      </c>
      <c r="E921" s="288" t="s">
        <v>1260</v>
      </c>
      <c r="F921" s="288" t="s">
        <v>655</v>
      </c>
      <c r="G921" s="236" t="s">
        <v>1575</v>
      </c>
      <c r="H921" s="475" t="s">
        <v>631</v>
      </c>
      <c r="I921" s="240">
        <v>1789</v>
      </c>
      <c r="J921" s="274">
        <v>530.4</v>
      </c>
      <c r="K921" s="274">
        <v>75.099999999999994</v>
      </c>
      <c r="L921" s="274">
        <v>455.3</v>
      </c>
    </row>
    <row r="922" spans="1:12" ht="26.4" customHeight="1">
      <c r="A922" s="224">
        <v>127</v>
      </c>
      <c r="B922" s="531"/>
      <c r="C922" s="288" t="s">
        <v>1140</v>
      </c>
      <c r="D922" s="288" t="s">
        <v>1459</v>
      </c>
      <c r="E922" s="288" t="s">
        <v>1259</v>
      </c>
      <c r="F922" s="288" t="s">
        <v>654</v>
      </c>
      <c r="G922" s="236" t="s">
        <v>1575</v>
      </c>
      <c r="H922" s="475" t="s">
        <v>631</v>
      </c>
      <c r="I922" s="240">
        <v>598</v>
      </c>
      <c r="J922" s="274">
        <v>177.3</v>
      </c>
      <c r="K922" s="274">
        <v>25.1</v>
      </c>
      <c r="L922" s="274">
        <v>152.19999999999999</v>
      </c>
    </row>
    <row r="923" spans="1:12" ht="26.4" customHeight="1">
      <c r="A923" s="224">
        <v>128</v>
      </c>
      <c r="B923" s="531"/>
      <c r="C923" s="288" t="s">
        <v>1140</v>
      </c>
      <c r="D923" s="288" t="s">
        <v>1459</v>
      </c>
      <c r="E923" s="288" t="s">
        <v>2470</v>
      </c>
      <c r="F923" s="288" t="s">
        <v>653</v>
      </c>
      <c r="G923" s="236" t="s">
        <v>1575</v>
      </c>
      <c r="H923" s="475" t="s">
        <v>631</v>
      </c>
      <c r="I923" s="240">
        <v>18</v>
      </c>
      <c r="J923" s="274">
        <v>12</v>
      </c>
      <c r="K923" s="274">
        <v>1.7</v>
      </c>
      <c r="L923" s="274">
        <v>10.3</v>
      </c>
    </row>
    <row r="924" spans="1:12" ht="26.4" customHeight="1">
      <c r="A924" s="224">
        <v>129</v>
      </c>
      <c r="B924" s="531"/>
      <c r="C924" s="288" t="s">
        <v>1140</v>
      </c>
      <c r="D924" s="288" t="s">
        <v>1459</v>
      </c>
      <c r="E924" s="288" t="s">
        <v>1258</v>
      </c>
      <c r="F924" s="288" t="s">
        <v>652</v>
      </c>
      <c r="G924" s="236" t="s">
        <v>1575</v>
      </c>
      <c r="H924" s="475" t="s">
        <v>631</v>
      </c>
      <c r="I924" s="240">
        <v>18</v>
      </c>
      <c r="J924" s="274">
        <v>12</v>
      </c>
      <c r="K924" s="274">
        <v>1.7</v>
      </c>
      <c r="L924" s="274">
        <v>10.3</v>
      </c>
    </row>
    <row r="925" spans="1:12" ht="26.4" customHeight="1">
      <c r="A925" s="224">
        <v>130</v>
      </c>
      <c r="B925" s="532"/>
      <c r="C925" s="288" t="s">
        <v>1140</v>
      </c>
      <c r="D925" s="288" t="s">
        <v>1459</v>
      </c>
      <c r="E925" s="288" t="s">
        <v>1258</v>
      </c>
      <c r="F925" s="288" t="s">
        <v>651</v>
      </c>
      <c r="G925" s="236" t="s">
        <v>1575</v>
      </c>
      <c r="H925" s="475" t="s">
        <v>631</v>
      </c>
      <c r="I925" s="240">
        <v>18</v>
      </c>
      <c r="J925" s="274">
        <v>12</v>
      </c>
      <c r="K925" s="274">
        <v>1.7</v>
      </c>
      <c r="L925" s="274">
        <v>10.3</v>
      </c>
    </row>
    <row r="926" spans="1:12" ht="26.4" customHeight="1">
      <c r="A926" s="238"/>
      <c r="B926" s="303" t="s">
        <v>2215</v>
      </c>
      <c r="C926" s="303" t="s">
        <v>3</v>
      </c>
      <c r="D926" s="303" t="s">
        <v>3</v>
      </c>
      <c r="E926" s="303" t="s">
        <v>3</v>
      </c>
      <c r="F926" s="303" t="s">
        <v>3</v>
      </c>
      <c r="G926" s="303" t="s">
        <v>3</v>
      </c>
      <c r="H926" s="303" t="s">
        <v>3</v>
      </c>
      <c r="I926" s="303" t="s">
        <v>3</v>
      </c>
      <c r="J926" s="293">
        <f>SUM(J796:J925)</f>
        <v>49187.690000000024</v>
      </c>
      <c r="K926" s="293">
        <f>SUM(K796:K925)</f>
        <v>20343.200000000004</v>
      </c>
      <c r="L926" s="293">
        <f>SUM(L796:L925)</f>
        <v>28844.499999999993</v>
      </c>
    </row>
    <row r="927" spans="1:12" ht="26.4" customHeight="1">
      <c r="A927" s="288">
        <v>1</v>
      </c>
      <c r="B927" s="522" t="s">
        <v>13237</v>
      </c>
      <c r="C927" s="288" t="s">
        <v>1210</v>
      </c>
      <c r="D927" s="289" t="s">
        <v>2030</v>
      </c>
      <c r="E927" s="289" t="s">
        <v>1336</v>
      </c>
      <c r="F927" s="218">
        <v>1001</v>
      </c>
      <c r="G927" s="237" t="s">
        <v>1545</v>
      </c>
      <c r="H927" s="475" t="s">
        <v>1149</v>
      </c>
      <c r="I927" s="478">
        <v>148.5</v>
      </c>
      <c r="J927" s="243">
        <v>616.71411999999998</v>
      </c>
      <c r="K927" s="243">
        <v>407.80221</v>
      </c>
      <c r="L927" s="243">
        <v>208.91191000000001</v>
      </c>
    </row>
    <row r="928" spans="1:12" ht="26.4" customHeight="1">
      <c r="A928" s="288">
        <v>2</v>
      </c>
      <c r="B928" s="523"/>
      <c r="C928" s="288" t="s">
        <v>1210</v>
      </c>
      <c r="D928" s="289" t="s">
        <v>2030</v>
      </c>
      <c r="E928" s="289" t="s">
        <v>1931</v>
      </c>
      <c r="F928" s="218">
        <v>1000</v>
      </c>
      <c r="G928" s="237" t="s">
        <v>1545</v>
      </c>
      <c r="H928" s="475" t="s">
        <v>631</v>
      </c>
      <c r="I928" s="478">
        <v>92</v>
      </c>
      <c r="J928" s="243">
        <v>5.4234</v>
      </c>
      <c r="K928" s="243">
        <v>1.0812600000000001</v>
      </c>
      <c r="L928" s="243">
        <v>4.3421399999999997</v>
      </c>
    </row>
    <row r="929" spans="1:12" ht="26.4" customHeight="1">
      <c r="A929" s="288">
        <v>3</v>
      </c>
      <c r="B929" s="523"/>
      <c r="C929" s="288" t="s">
        <v>1210</v>
      </c>
      <c r="D929" s="289" t="s">
        <v>2030</v>
      </c>
      <c r="E929" s="289" t="s">
        <v>632</v>
      </c>
      <c r="F929" s="218">
        <v>1002</v>
      </c>
      <c r="G929" s="237" t="s">
        <v>1545</v>
      </c>
      <c r="H929" s="475" t="s">
        <v>1138</v>
      </c>
      <c r="I929" s="478">
        <v>1</v>
      </c>
      <c r="J929" s="243">
        <v>2.5510000000000002</v>
      </c>
      <c r="K929" s="243">
        <v>1.93866</v>
      </c>
      <c r="L929" s="243">
        <v>0.61234</v>
      </c>
    </row>
    <row r="930" spans="1:12" ht="26.4" customHeight="1">
      <c r="A930" s="288">
        <v>4</v>
      </c>
      <c r="B930" s="523"/>
      <c r="C930" s="288" t="s">
        <v>1210</v>
      </c>
      <c r="D930" s="289" t="s">
        <v>2030</v>
      </c>
      <c r="E930" s="289" t="s">
        <v>1931</v>
      </c>
      <c r="F930" s="218">
        <v>1004</v>
      </c>
      <c r="G930" s="237" t="s">
        <v>1545</v>
      </c>
      <c r="H930" s="475" t="s">
        <v>631</v>
      </c>
      <c r="I930" s="478">
        <v>111</v>
      </c>
      <c r="J930" s="243">
        <v>6.5401499999999997</v>
      </c>
      <c r="K930" s="243">
        <v>3.6911499999999999</v>
      </c>
      <c r="L930" s="243">
        <v>2.8490000000000002</v>
      </c>
    </row>
    <row r="931" spans="1:12" ht="26.4" customHeight="1">
      <c r="A931" s="288">
        <v>5</v>
      </c>
      <c r="B931" s="523"/>
      <c r="C931" s="288" t="s">
        <v>1210</v>
      </c>
      <c r="D931" s="289" t="s">
        <v>2030</v>
      </c>
      <c r="E931" s="289" t="s">
        <v>1931</v>
      </c>
      <c r="F931" s="218">
        <v>1005</v>
      </c>
      <c r="G931" s="237" t="s">
        <v>1545</v>
      </c>
      <c r="H931" s="475" t="s">
        <v>631</v>
      </c>
      <c r="I931" s="478">
        <v>184.48</v>
      </c>
      <c r="J931" s="243">
        <v>10.8751</v>
      </c>
      <c r="K931" s="243">
        <v>5.1299400000000004</v>
      </c>
      <c r="L931" s="243">
        <v>5.7451600000000003</v>
      </c>
    </row>
    <row r="932" spans="1:12" ht="26.4" customHeight="1">
      <c r="A932" s="288">
        <v>6</v>
      </c>
      <c r="B932" s="523"/>
      <c r="C932" s="288" t="s">
        <v>1210</v>
      </c>
      <c r="D932" s="289" t="s">
        <v>2030</v>
      </c>
      <c r="E932" s="289" t="s">
        <v>1931</v>
      </c>
      <c r="F932" s="218">
        <v>1008</v>
      </c>
      <c r="G932" s="237" t="s">
        <v>1545</v>
      </c>
      <c r="H932" s="475" t="s">
        <v>631</v>
      </c>
      <c r="I932" s="478">
        <v>59</v>
      </c>
      <c r="J932" s="243">
        <v>3.4780500000000001</v>
      </c>
      <c r="K932" s="243">
        <v>1.63602</v>
      </c>
      <c r="L932" s="243">
        <v>1.8420300000000001</v>
      </c>
    </row>
    <row r="933" spans="1:12" ht="26.4" customHeight="1">
      <c r="A933" s="288">
        <v>7</v>
      </c>
      <c r="B933" s="523"/>
      <c r="C933" s="288" t="s">
        <v>1210</v>
      </c>
      <c r="D933" s="289" t="s">
        <v>2030</v>
      </c>
      <c r="E933" s="289" t="s">
        <v>1931</v>
      </c>
      <c r="F933" s="218">
        <v>1010</v>
      </c>
      <c r="G933" s="237" t="s">
        <v>1545</v>
      </c>
      <c r="H933" s="475" t="s">
        <v>631</v>
      </c>
      <c r="I933" s="478">
        <v>84</v>
      </c>
      <c r="J933" s="243">
        <v>4.9518000000000004</v>
      </c>
      <c r="K933" s="243">
        <v>2.3213599999999999</v>
      </c>
      <c r="L933" s="243">
        <v>2.6304400000000001</v>
      </c>
    </row>
    <row r="934" spans="1:12" ht="26.4" customHeight="1">
      <c r="A934" s="288">
        <v>8</v>
      </c>
      <c r="B934" s="523"/>
      <c r="C934" s="288" t="s">
        <v>1210</v>
      </c>
      <c r="D934" s="289" t="s">
        <v>2030</v>
      </c>
      <c r="E934" s="289" t="s">
        <v>1931</v>
      </c>
      <c r="F934" s="218">
        <v>1012</v>
      </c>
      <c r="G934" s="237" t="s">
        <v>1545</v>
      </c>
      <c r="H934" s="475" t="s">
        <v>631</v>
      </c>
      <c r="I934" s="478">
        <v>96</v>
      </c>
      <c r="J934" s="243">
        <v>5.6592000000000002</v>
      </c>
      <c r="K934" s="243">
        <v>2.6621100000000002</v>
      </c>
      <c r="L934" s="243">
        <v>2.99709</v>
      </c>
    </row>
    <row r="935" spans="1:12" ht="26.4" customHeight="1">
      <c r="A935" s="288">
        <v>9</v>
      </c>
      <c r="B935" s="523"/>
      <c r="C935" s="288" t="s">
        <v>1210</v>
      </c>
      <c r="D935" s="289" t="s">
        <v>2030</v>
      </c>
      <c r="E935" s="289" t="s">
        <v>1919</v>
      </c>
      <c r="F935" s="218">
        <v>1013</v>
      </c>
      <c r="G935" s="237" t="s">
        <v>1545</v>
      </c>
      <c r="H935" s="475" t="s">
        <v>631</v>
      </c>
      <c r="I935" s="478">
        <v>93</v>
      </c>
      <c r="J935" s="243">
        <v>5.4823500000000003</v>
      </c>
      <c r="K935" s="243">
        <v>2.5878800000000002</v>
      </c>
      <c r="L935" s="243">
        <v>2.8944700000000001</v>
      </c>
    </row>
    <row r="936" spans="1:12" ht="26.4" customHeight="1">
      <c r="A936" s="288">
        <v>10</v>
      </c>
      <c r="B936" s="523"/>
      <c r="C936" s="288" t="s">
        <v>1210</v>
      </c>
      <c r="D936" s="289" t="s">
        <v>2030</v>
      </c>
      <c r="E936" s="289" t="s">
        <v>1919</v>
      </c>
      <c r="F936" s="218">
        <v>1017</v>
      </c>
      <c r="G936" s="237" t="s">
        <v>1545</v>
      </c>
      <c r="H936" s="475" t="s">
        <v>631</v>
      </c>
      <c r="I936" s="478" t="s">
        <v>650</v>
      </c>
      <c r="J936" s="243">
        <v>9.7715499999999995</v>
      </c>
      <c r="K936" s="243">
        <v>4.5915699999999999</v>
      </c>
      <c r="L936" s="243">
        <v>5.1799799999999996</v>
      </c>
    </row>
    <row r="937" spans="1:12" ht="26.4" customHeight="1">
      <c r="A937" s="288">
        <v>11</v>
      </c>
      <c r="B937" s="523"/>
      <c r="C937" s="288" t="s">
        <v>1210</v>
      </c>
      <c r="D937" s="289" t="s">
        <v>2030</v>
      </c>
      <c r="E937" s="289" t="s">
        <v>1919</v>
      </c>
      <c r="F937" s="218">
        <v>30002</v>
      </c>
      <c r="G937" s="237" t="s">
        <v>1576</v>
      </c>
      <c r="H937" s="475" t="s">
        <v>631</v>
      </c>
      <c r="I937" s="478">
        <v>98</v>
      </c>
      <c r="J937" s="243">
        <v>61.028759999999998</v>
      </c>
      <c r="K937" s="243">
        <v>25.937580000000001</v>
      </c>
      <c r="L937" s="243">
        <v>35.091180000000001</v>
      </c>
    </row>
    <row r="938" spans="1:12" ht="26.4" customHeight="1">
      <c r="A938" s="288">
        <v>12</v>
      </c>
      <c r="B938" s="523"/>
      <c r="C938" s="288" t="s">
        <v>1210</v>
      </c>
      <c r="D938" s="289" t="s">
        <v>2030</v>
      </c>
      <c r="E938" s="289" t="s">
        <v>1919</v>
      </c>
      <c r="F938" s="218">
        <v>30003</v>
      </c>
      <c r="G938" s="237" t="s">
        <v>1576</v>
      </c>
      <c r="H938" s="475" t="s">
        <v>631</v>
      </c>
      <c r="I938" s="478">
        <v>46</v>
      </c>
      <c r="J938" s="243">
        <v>46.502659999999999</v>
      </c>
      <c r="K938" s="243">
        <v>19.18224</v>
      </c>
      <c r="L938" s="243">
        <v>27.320419999999999</v>
      </c>
    </row>
    <row r="939" spans="1:12" ht="26.4" customHeight="1">
      <c r="A939" s="288">
        <v>13</v>
      </c>
      <c r="B939" s="523"/>
      <c r="C939" s="288" t="s">
        <v>1210</v>
      </c>
      <c r="D939" s="289" t="s">
        <v>2030</v>
      </c>
      <c r="E939" s="289" t="s">
        <v>1919</v>
      </c>
      <c r="F939" s="218">
        <v>30010</v>
      </c>
      <c r="G939" s="237" t="s">
        <v>1567</v>
      </c>
      <c r="H939" s="475" t="s">
        <v>631</v>
      </c>
      <c r="I939" s="478">
        <v>61.24</v>
      </c>
      <c r="J939" s="243">
        <v>61.034599999999998</v>
      </c>
      <c r="K939" s="243">
        <v>15.13204</v>
      </c>
      <c r="L939" s="243">
        <v>45.902560000000001</v>
      </c>
    </row>
    <row r="940" spans="1:12" ht="26.4" customHeight="1">
      <c r="A940" s="288">
        <v>14</v>
      </c>
      <c r="B940" s="523"/>
      <c r="C940" s="288" t="s">
        <v>1210</v>
      </c>
      <c r="D940" s="289" t="s">
        <v>2030</v>
      </c>
      <c r="E940" s="289" t="s">
        <v>1919</v>
      </c>
      <c r="F940" s="218">
        <v>41238</v>
      </c>
      <c r="G940" s="237" t="s">
        <v>1562</v>
      </c>
      <c r="H940" s="475" t="s">
        <v>631</v>
      </c>
      <c r="I940" s="478">
        <v>52.5</v>
      </c>
      <c r="J940" s="243">
        <v>54.405140000000003</v>
      </c>
      <c r="K940" s="243">
        <v>8.8393999999999995</v>
      </c>
      <c r="L940" s="243">
        <v>45.565739999999998</v>
      </c>
    </row>
    <row r="941" spans="1:12" ht="26.4" customHeight="1">
      <c r="A941" s="288">
        <v>15</v>
      </c>
      <c r="B941" s="523"/>
      <c r="C941" s="288" t="s">
        <v>1210</v>
      </c>
      <c r="D941" s="289" t="s">
        <v>2030</v>
      </c>
      <c r="E941" s="289" t="s">
        <v>1919</v>
      </c>
      <c r="F941" s="218">
        <v>41419</v>
      </c>
      <c r="G941" s="237" t="s">
        <v>1537</v>
      </c>
      <c r="H941" s="475" t="s">
        <v>631</v>
      </c>
      <c r="I941" s="478">
        <v>5.0199999999999996</v>
      </c>
      <c r="J941" s="243">
        <v>5.7022500000000003</v>
      </c>
      <c r="K941" s="243">
        <v>0.70337000000000005</v>
      </c>
      <c r="L941" s="243">
        <v>4.9988799999999998</v>
      </c>
    </row>
    <row r="942" spans="1:12" ht="26.4" customHeight="1">
      <c r="A942" s="288">
        <v>16</v>
      </c>
      <c r="B942" s="523"/>
      <c r="C942" s="288" t="s">
        <v>1210</v>
      </c>
      <c r="D942" s="289" t="s">
        <v>1460</v>
      </c>
      <c r="E942" s="289" t="s">
        <v>1203</v>
      </c>
      <c r="F942" s="218">
        <v>4094</v>
      </c>
      <c r="G942" s="237" t="s">
        <v>1528</v>
      </c>
      <c r="H942" s="475" t="s">
        <v>1149</v>
      </c>
      <c r="I942" s="207">
        <v>123.1</v>
      </c>
      <c r="J942" s="243">
        <v>148.27499</v>
      </c>
      <c r="K942" s="243">
        <v>68.402389999999997</v>
      </c>
      <c r="L942" s="243">
        <v>79.872600000000006</v>
      </c>
    </row>
    <row r="943" spans="1:12" ht="26.4" customHeight="1">
      <c r="A943" s="288">
        <v>17</v>
      </c>
      <c r="B943" s="523"/>
      <c r="C943" s="288" t="s">
        <v>1210</v>
      </c>
      <c r="D943" s="289" t="s">
        <v>1460</v>
      </c>
      <c r="E943" s="289" t="s">
        <v>1919</v>
      </c>
      <c r="F943" s="218">
        <v>1046</v>
      </c>
      <c r="G943" s="237" t="s">
        <v>1528</v>
      </c>
      <c r="H943" s="475" t="s">
        <v>631</v>
      </c>
      <c r="I943" s="478">
        <v>20</v>
      </c>
      <c r="J943" s="243">
        <v>1.2196</v>
      </c>
      <c r="K943" s="243">
        <v>1.20377</v>
      </c>
      <c r="L943" s="243">
        <v>1.583E-2</v>
      </c>
    </row>
    <row r="944" spans="1:12" ht="26.4" customHeight="1">
      <c r="A944" s="288">
        <v>18</v>
      </c>
      <c r="B944" s="523"/>
      <c r="C944" s="288" t="s">
        <v>1210</v>
      </c>
      <c r="D944" s="289" t="s">
        <v>1460</v>
      </c>
      <c r="E944" s="289" t="s">
        <v>1919</v>
      </c>
      <c r="F944" s="218">
        <v>1047</v>
      </c>
      <c r="G944" s="237" t="s">
        <v>1528</v>
      </c>
      <c r="H944" s="475" t="s">
        <v>631</v>
      </c>
      <c r="I944" s="478">
        <v>120</v>
      </c>
      <c r="J944" s="243">
        <v>7.3175999999999997</v>
      </c>
      <c r="K944" s="243">
        <v>7.22281</v>
      </c>
      <c r="L944" s="243">
        <v>9.4789999999999999E-2</v>
      </c>
    </row>
    <row r="945" spans="1:12" ht="26.4" customHeight="1">
      <c r="A945" s="288">
        <v>19</v>
      </c>
      <c r="B945" s="523"/>
      <c r="C945" s="288" t="s">
        <v>1210</v>
      </c>
      <c r="D945" s="289" t="s">
        <v>1460</v>
      </c>
      <c r="E945" s="289" t="s">
        <v>1919</v>
      </c>
      <c r="F945" s="218">
        <v>1048</v>
      </c>
      <c r="G945" s="237" t="s">
        <v>1528</v>
      </c>
      <c r="H945" s="475" t="s">
        <v>631</v>
      </c>
      <c r="I945" s="478">
        <v>220</v>
      </c>
      <c r="J945" s="243">
        <v>13.4156</v>
      </c>
      <c r="K945" s="243">
        <v>12.505240000000001</v>
      </c>
      <c r="L945" s="243">
        <v>0.91035999999999995</v>
      </c>
    </row>
    <row r="946" spans="1:12" ht="26.4" customHeight="1">
      <c r="A946" s="288">
        <v>20</v>
      </c>
      <c r="B946" s="523"/>
      <c r="C946" s="288" t="s">
        <v>1210</v>
      </c>
      <c r="D946" s="289" t="s">
        <v>1460</v>
      </c>
      <c r="E946" s="289" t="s">
        <v>1919</v>
      </c>
      <c r="F946" s="218">
        <v>1049</v>
      </c>
      <c r="G946" s="237" t="s">
        <v>1528</v>
      </c>
      <c r="H946" s="475" t="s">
        <v>631</v>
      </c>
      <c r="I946" s="478">
        <v>64</v>
      </c>
      <c r="J946" s="243">
        <v>3.90272</v>
      </c>
      <c r="K946" s="243">
        <v>3.85223</v>
      </c>
      <c r="L946" s="243">
        <v>5.049E-2</v>
      </c>
    </row>
    <row r="947" spans="1:12" ht="26.4" customHeight="1">
      <c r="A947" s="288">
        <v>21</v>
      </c>
      <c r="B947" s="523"/>
      <c r="C947" s="288" t="s">
        <v>1210</v>
      </c>
      <c r="D947" s="289" t="s">
        <v>1460</v>
      </c>
      <c r="E947" s="289" t="s">
        <v>1919</v>
      </c>
      <c r="F947" s="218">
        <v>1050</v>
      </c>
      <c r="G947" s="237" t="s">
        <v>1528</v>
      </c>
      <c r="H947" s="475" t="s">
        <v>631</v>
      </c>
      <c r="I947" s="478">
        <v>161</v>
      </c>
      <c r="J947" s="243">
        <v>9.8177800000000008</v>
      </c>
      <c r="K947" s="243">
        <v>9.6907200000000007</v>
      </c>
      <c r="L947" s="243">
        <v>0.12706000000000001</v>
      </c>
    </row>
    <row r="948" spans="1:12" ht="26.4" customHeight="1">
      <c r="A948" s="288">
        <v>22</v>
      </c>
      <c r="B948" s="523"/>
      <c r="C948" s="288" t="s">
        <v>1210</v>
      </c>
      <c r="D948" s="289" t="s">
        <v>1460</v>
      </c>
      <c r="E948" s="289" t="s">
        <v>1919</v>
      </c>
      <c r="F948" s="218">
        <v>4090</v>
      </c>
      <c r="G948" s="237" t="s">
        <v>1528</v>
      </c>
      <c r="H948" s="475" t="s">
        <v>631</v>
      </c>
      <c r="I948" s="306">
        <v>43225</v>
      </c>
      <c r="J948" s="243">
        <v>0.3357</v>
      </c>
      <c r="K948" s="243">
        <v>0.33134000000000002</v>
      </c>
      <c r="L948" s="243">
        <v>4.3600000000000002E-3</v>
      </c>
    </row>
    <row r="949" spans="1:12" ht="26.4" customHeight="1">
      <c r="A949" s="288">
        <v>23</v>
      </c>
      <c r="B949" s="523"/>
      <c r="C949" s="288" t="s">
        <v>1210</v>
      </c>
      <c r="D949" s="289" t="s">
        <v>1986</v>
      </c>
      <c r="E949" s="289" t="s">
        <v>632</v>
      </c>
      <c r="F949" s="218">
        <v>4093</v>
      </c>
      <c r="G949" s="237" t="s">
        <v>1528</v>
      </c>
      <c r="H949" s="475" t="s">
        <v>1138</v>
      </c>
      <c r="I949" s="478">
        <v>1</v>
      </c>
      <c r="J949" s="243">
        <v>2.52</v>
      </c>
      <c r="K949" s="243">
        <v>1.9550000000000001</v>
      </c>
      <c r="L949" s="243">
        <v>0.56499999999999995</v>
      </c>
    </row>
    <row r="950" spans="1:12" ht="26.4" customHeight="1">
      <c r="A950" s="288">
        <v>24</v>
      </c>
      <c r="B950" s="523"/>
      <c r="C950" s="288" t="s">
        <v>1210</v>
      </c>
      <c r="D950" s="289" t="s">
        <v>1460</v>
      </c>
      <c r="E950" s="289" t="s">
        <v>1919</v>
      </c>
      <c r="F950" s="218">
        <v>41054</v>
      </c>
      <c r="G950" s="237" t="s">
        <v>1577</v>
      </c>
      <c r="H950" s="475" t="s">
        <v>631</v>
      </c>
      <c r="I950" s="478">
        <v>31.5</v>
      </c>
      <c r="J950" s="243">
        <v>91.4148</v>
      </c>
      <c r="K950" s="243">
        <v>20.111519999999999</v>
      </c>
      <c r="L950" s="243">
        <v>71.303280000000001</v>
      </c>
    </row>
    <row r="951" spans="1:12" ht="26.4" customHeight="1">
      <c r="A951" s="288">
        <v>25</v>
      </c>
      <c r="B951" s="523"/>
      <c r="C951" s="288" t="s">
        <v>1210</v>
      </c>
      <c r="D951" s="289" t="s">
        <v>1460</v>
      </c>
      <c r="E951" s="289" t="s">
        <v>1919</v>
      </c>
      <c r="F951" s="218">
        <v>41055</v>
      </c>
      <c r="G951" s="237" t="s">
        <v>1577</v>
      </c>
      <c r="H951" s="475" t="s">
        <v>631</v>
      </c>
      <c r="I951" s="478">
        <v>37</v>
      </c>
      <c r="J951" s="243">
        <v>81.437100000000001</v>
      </c>
      <c r="K951" s="243">
        <v>17.916360000000001</v>
      </c>
      <c r="L951" s="243">
        <v>63.520740000000004</v>
      </c>
    </row>
    <row r="952" spans="1:12" ht="26.4" customHeight="1">
      <c r="A952" s="288">
        <v>26</v>
      </c>
      <c r="B952" s="523"/>
      <c r="C952" s="288" t="s">
        <v>1210</v>
      </c>
      <c r="D952" s="289" t="s">
        <v>1460</v>
      </c>
      <c r="E952" s="289" t="s">
        <v>1919</v>
      </c>
      <c r="F952" s="218">
        <v>41400</v>
      </c>
      <c r="G952" s="237" t="s">
        <v>1537</v>
      </c>
      <c r="H952" s="475" t="s">
        <v>631</v>
      </c>
      <c r="I952" s="478">
        <v>11</v>
      </c>
      <c r="J952" s="243">
        <v>29.793009999999999</v>
      </c>
      <c r="K952" s="243">
        <v>3.9723999999999999</v>
      </c>
      <c r="L952" s="243">
        <v>25.820609999999999</v>
      </c>
    </row>
    <row r="953" spans="1:12" ht="26.4" customHeight="1">
      <c r="A953" s="289">
        <v>27</v>
      </c>
      <c r="B953" s="523"/>
      <c r="C953" s="288" t="s">
        <v>1210</v>
      </c>
      <c r="D953" s="289" t="s">
        <v>1461</v>
      </c>
      <c r="E953" s="289" t="s">
        <v>456</v>
      </c>
      <c r="F953" s="218">
        <v>7164</v>
      </c>
      <c r="G953" s="237" t="s">
        <v>1552</v>
      </c>
      <c r="H953" s="475" t="s">
        <v>1149</v>
      </c>
      <c r="I953" s="207">
        <v>663.3</v>
      </c>
      <c r="J953" s="243">
        <v>1895.848</v>
      </c>
      <c r="K953" s="243">
        <v>1029.5170000000001</v>
      </c>
      <c r="L953" s="243">
        <v>866.33100000000002</v>
      </c>
    </row>
    <row r="954" spans="1:12" ht="26.4" customHeight="1">
      <c r="A954" s="288">
        <v>28</v>
      </c>
      <c r="B954" s="523"/>
      <c r="C954" s="288" t="s">
        <v>1210</v>
      </c>
      <c r="D954" s="289" t="s">
        <v>1461</v>
      </c>
      <c r="E954" s="289" t="s">
        <v>1919</v>
      </c>
      <c r="F954" s="218">
        <v>1078</v>
      </c>
      <c r="G954" s="237" t="s">
        <v>1552</v>
      </c>
      <c r="H954" s="475" t="s">
        <v>631</v>
      </c>
      <c r="I954" s="478">
        <v>228</v>
      </c>
      <c r="J954" s="243">
        <v>16.881119999999999</v>
      </c>
      <c r="K954" s="243">
        <v>16.019349999999999</v>
      </c>
      <c r="L954" s="243">
        <v>0.86177000000000004</v>
      </c>
    </row>
    <row r="955" spans="1:12" ht="26.4" customHeight="1">
      <c r="A955" s="288">
        <v>29</v>
      </c>
      <c r="B955" s="523"/>
      <c r="C955" s="288" t="s">
        <v>1210</v>
      </c>
      <c r="D955" s="289" t="s">
        <v>1461</v>
      </c>
      <c r="E955" s="289" t="s">
        <v>1919</v>
      </c>
      <c r="F955" s="218">
        <v>1079</v>
      </c>
      <c r="G955" s="237" t="s">
        <v>1552</v>
      </c>
      <c r="H955" s="475" t="s">
        <v>631</v>
      </c>
      <c r="I955" s="478">
        <v>102</v>
      </c>
      <c r="J955" s="243">
        <v>7.5520800000000001</v>
      </c>
      <c r="K955" s="243">
        <v>7.1665099999999997</v>
      </c>
      <c r="L955" s="243">
        <v>0.38557000000000002</v>
      </c>
    </row>
    <row r="956" spans="1:12" ht="26.4" customHeight="1">
      <c r="A956" s="288">
        <v>30</v>
      </c>
      <c r="B956" s="523"/>
      <c r="C956" s="288" t="s">
        <v>1210</v>
      </c>
      <c r="D956" s="289" t="s">
        <v>1461</v>
      </c>
      <c r="E956" s="289" t="s">
        <v>1919</v>
      </c>
      <c r="F956" s="218">
        <v>1080</v>
      </c>
      <c r="G956" s="237" t="s">
        <v>1552</v>
      </c>
      <c r="H956" s="475" t="s">
        <v>631</v>
      </c>
      <c r="I956" s="478">
        <v>42</v>
      </c>
      <c r="J956" s="243">
        <v>3.10968</v>
      </c>
      <c r="K956" s="243">
        <v>2.9509500000000002</v>
      </c>
      <c r="L956" s="243">
        <v>0.15873000000000001</v>
      </c>
    </row>
    <row r="957" spans="1:12" ht="26.4" customHeight="1">
      <c r="A957" s="288">
        <v>31</v>
      </c>
      <c r="B957" s="523"/>
      <c r="C957" s="288" t="s">
        <v>1210</v>
      </c>
      <c r="D957" s="289" t="s">
        <v>1461</v>
      </c>
      <c r="E957" s="289" t="s">
        <v>1919</v>
      </c>
      <c r="F957" s="218">
        <v>1081</v>
      </c>
      <c r="G957" s="237" t="s">
        <v>1552</v>
      </c>
      <c r="H957" s="475" t="s">
        <v>631</v>
      </c>
      <c r="I957" s="478">
        <v>205</v>
      </c>
      <c r="J957" s="243">
        <v>15.1782</v>
      </c>
      <c r="K957" s="243">
        <v>12.094799999999999</v>
      </c>
      <c r="L957" s="243">
        <v>3.0834000000000001</v>
      </c>
    </row>
    <row r="958" spans="1:12" ht="26.4" customHeight="1">
      <c r="A958" s="288">
        <v>32</v>
      </c>
      <c r="B958" s="523"/>
      <c r="C958" s="288" t="s">
        <v>1210</v>
      </c>
      <c r="D958" s="289" t="s">
        <v>1461</v>
      </c>
      <c r="E958" s="289" t="s">
        <v>1919</v>
      </c>
      <c r="F958" s="218">
        <v>1082</v>
      </c>
      <c r="G958" s="237" t="s">
        <v>1552</v>
      </c>
      <c r="H958" s="475" t="s">
        <v>631</v>
      </c>
      <c r="I958" s="478">
        <v>114</v>
      </c>
      <c r="J958" s="243">
        <v>8.4405599999999996</v>
      </c>
      <c r="K958" s="243">
        <v>6.7258500000000003</v>
      </c>
      <c r="L958" s="243">
        <v>1.71471</v>
      </c>
    </row>
    <row r="959" spans="1:12" ht="26.4" customHeight="1">
      <c r="A959" s="288">
        <v>33</v>
      </c>
      <c r="B959" s="523"/>
      <c r="C959" s="288" t="s">
        <v>1210</v>
      </c>
      <c r="D959" s="289" t="s">
        <v>1461</v>
      </c>
      <c r="E959" s="289" t="s">
        <v>1919</v>
      </c>
      <c r="F959" s="218">
        <v>1083</v>
      </c>
      <c r="G959" s="237" t="s">
        <v>1552</v>
      </c>
      <c r="H959" s="475" t="s">
        <v>631</v>
      </c>
      <c r="I959" s="478">
        <v>175</v>
      </c>
      <c r="J959" s="243">
        <v>12.957000000000001</v>
      </c>
      <c r="K959" s="243">
        <v>10.3249</v>
      </c>
      <c r="L959" s="243">
        <v>2.6320999999999999</v>
      </c>
    </row>
    <row r="960" spans="1:12" ht="26.4" customHeight="1">
      <c r="A960" s="288">
        <v>34</v>
      </c>
      <c r="B960" s="523"/>
      <c r="C960" s="288" t="s">
        <v>1210</v>
      </c>
      <c r="D960" s="289" t="s">
        <v>1461</v>
      </c>
      <c r="E960" s="289" t="s">
        <v>1919</v>
      </c>
      <c r="F960" s="218">
        <v>1084</v>
      </c>
      <c r="G960" s="237" t="s">
        <v>1552</v>
      </c>
      <c r="H960" s="475" t="s">
        <v>631</v>
      </c>
      <c r="I960" s="478">
        <v>89</v>
      </c>
      <c r="J960" s="243">
        <v>6.5895599999999996</v>
      </c>
      <c r="K960" s="243">
        <v>5.2509600000000001</v>
      </c>
      <c r="L960" s="243">
        <v>1.3386</v>
      </c>
    </row>
    <row r="961" spans="1:12" ht="26.4" customHeight="1">
      <c r="A961" s="288">
        <v>35</v>
      </c>
      <c r="B961" s="523"/>
      <c r="C961" s="288" t="s">
        <v>1210</v>
      </c>
      <c r="D961" s="289" t="s">
        <v>1461</v>
      </c>
      <c r="E961" s="289" t="s">
        <v>1919</v>
      </c>
      <c r="F961" s="218">
        <v>1085</v>
      </c>
      <c r="G961" s="237" t="s">
        <v>1552</v>
      </c>
      <c r="H961" s="475" t="s">
        <v>631</v>
      </c>
      <c r="I961" s="478">
        <v>263</v>
      </c>
      <c r="J961" s="243">
        <v>19.472519999999999</v>
      </c>
      <c r="K961" s="243">
        <v>15.516830000000001</v>
      </c>
      <c r="L961" s="243">
        <v>3.9556900000000002</v>
      </c>
    </row>
    <row r="962" spans="1:12" ht="26.4" customHeight="1">
      <c r="A962" s="288">
        <v>36</v>
      </c>
      <c r="B962" s="523"/>
      <c r="C962" s="288" t="s">
        <v>1210</v>
      </c>
      <c r="D962" s="289" t="s">
        <v>1461</v>
      </c>
      <c r="E962" s="289" t="s">
        <v>1919</v>
      </c>
      <c r="F962" s="218">
        <v>1086</v>
      </c>
      <c r="G962" s="237" t="s">
        <v>1552</v>
      </c>
      <c r="H962" s="475" t="s">
        <v>631</v>
      </c>
      <c r="I962" s="478">
        <v>80</v>
      </c>
      <c r="J962" s="243">
        <v>5.9231999999999996</v>
      </c>
      <c r="K962" s="243">
        <v>4.7199</v>
      </c>
      <c r="L962" s="243">
        <v>1.2033</v>
      </c>
    </row>
    <row r="963" spans="1:12" ht="26.4" customHeight="1">
      <c r="A963" s="288">
        <v>37</v>
      </c>
      <c r="B963" s="523"/>
      <c r="C963" s="288" t="s">
        <v>1210</v>
      </c>
      <c r="D963" s="289" t="s">
        <v>1461</v>
      </c>
      <c r="E963" s="289" t="s">
        <v>1919</v>
      </c>
      <c r="F963" s="218">
        <v>1087</v>
      </c>
      <c r="G963" s="237" t="s">
        <v>1552</v>
      </c>
      <c r="H963" s="475" t="s">
        <v>631</v>
      </c>
      <c r="I963" s="478">
        <v>88</v>
      </c>
      <c r="J963" s="243">
        <v>6.5155200000000004</v>
      </c>
      <c r="K963" s="243">
        <v>6.1829000000000001</v>
      </c>
      <c r="L963" s="243">
        <v>0.33262000000000003</v>
      </c>
    </row>
    <row r="964" spans="1:12" ht="26.4" customHeight="1">
      <c r="A964" s="288">
        <v>38</v>
      </c>
      <c r="B964" s="523"/>
      <c r="C964" s="288" t="s">
        <v>1210</v>
      </c>
      <c r="D964" s="289" t="s">
        <v>1461</v>
      </c>
      <c r="E964" s="289" t="s">
        <v>1919</v>
      </c>
      <c r="F964" s="218">
        <v>1088</v>
      </c>
      <c r="G964" s="237" t="s">
        <v>1552</v>
      </c>
      <c r="H964" s="475" t="s">
        <v>631</v>
      </c>
      <c r="I964" s="478">
        <v>147</v>
      </c>
      <c r="J964" s="243">
        <v>10.88388</v>
      </c>
      <c r="K964" s="243">
        <v>10.32827</v>
      </c>
      <c r="L964" s="243">
        <v>0.55561000000000005</v>
      </c>
    </row>
    <row r="965" spans="1:12" ht="26.4" customHeight="1">
      <c r="A965" s="288">
        <v>39</v>
      </c>
      <c r="B965" s="523"/>
      <c r="C965" s="288" t="s">
        <v>1210</v>
      </c>
      <c r="D965" s="289" t="s">
        <v>1461</v>
      </c>
      <c r="E965" s="289" t="s">
        <v>1919</v>
      </c>
      <c r="F965" s="218">
        <v>1089</v>
      </c>
      <c r="G965" s="237" t="s">
        <v>1552</v>
      </c>
      <c r="H965" s="475" t="s">
        <v>631</v>
      </c>
      <c r="I965" s="478">
        <v>260</v>
      </c>
      <c r="J965" s="243">
        <v>19.250399999999999</v>
      </c>
      <c r="K965" s="243">
        <v>18.267700000000001</v>
      </c>
      <c r="L965" s="243">
        <v>0.98270000000000002</v>
      </c>
    </row>
    <row r="966" spans="1:12" ht="26.4" customHeight="1">
      <c r="A966" s="288">
        <v>40</v>
      </c>
      <c r="B966" s="523"/>
      <c r="C966" s="288" t="s">
        <v>1210</v>
      </c>
      <c r="D966" s="289" t="s">
        <v>1461</v>
      </c>
      <c r="E966" s="289" t="s">
        <v>1919</v>
      </c>
      <c r="F966" s="218">
        <v>1090</v>
      </c>
      <c r="G966" s="237" t="s">
        <v>1552</v>
      </c>
      <c r="H966" s="475" t="s">
        <v>631</v>
      </c>
      <c r="I966" s="478">
        <v>366</v>
      </c>
      <c r="J966" s="243">
        <v>27.09864</v>
      </c>
      <c r="K966" s="243">
        <v>25.715319999999998</v>
      </c>
      <c r="L966" s="243">
        <v>1.3833200000000001</v>
      </c>
    </row>
    <row r="967" spans="1:12" ht="26.4" customHeight="1">
      <c r="A967" s="288">
        <v>41</v>
      </c>
      <c r="B967" s="523"/>
      <c r="C967" s="288" t="s">
        <v>1210</v>
      </c>
      <c r="D967" s="289" t="s">
        <v>1461</v>
      </c>
      <c r="E967" s="289" t="s">
        <v>1919</v>
      </c>
      <c r="F967" s="218">
        <v>1091</v>
      </c>
      <c r="G967" s="237" t="s">
        <v>1563</v>
      </c>
      <c r="H967" s="475" t="s">
        <v>631</v>
      </c>
      <c r="I967" s="478">
        <v>202</v>
      </c>
      <c r="J967" s="243">
        <v>14.95608</v>
      </c>
      <c r="K967" s="243">
        <v>9.07423</v>
      </c>
      <c r="L967" s="243">
        <v>5.88185</v>
      </c>
    </row>
    <row r="968" spans="1:12" ht="26.4" customHeight="1">
      <c r="A968" s="288">
        <v>42</v>
      </c>
      <c r="B968" s="523"/>
      <c r="C968" s="288" t="s">
        <v>1210</v>
      </c>
      <c r="D968" s="289" t="s">
        <v>1461</v>
      </c>
      <c r="E968" s="289" t="s">
        <v>1919</v>
      </c>
      <c r="F968" s="218">
        <v>1092</v>
      </c>
      <c r="G968" s="237" t="s">
        <v>1563</v>
      </c>
      <c r="H968" s="475" t="s">
        <v>631</v>
      </c>
      <c r="I968" s="478">
        <v>141.47999999999999</v>
      </c>
      <c r="J968" s="243">
        <v>10.475199999999999</v>
      </c>
      <c r="K968" s="243">
        <v>6.35562</v>
      </c>
      <c r="L968" s="243">
        <v>4.11958</v>
      </c>
    </row>
    <row r="969" spans="1:12" ht="26.4" customHeight="1">
      <c r="A969" s="288">
        <v>43</v>
      </c>
      <c r="B969" s="523"/>
      <c r="C969" s="288" t="s">
        <v>1210</v>
      </c>
      <c r="D969" s="289" t="s">
        <v>1461</v>
      </c>
      <c r="E969" s="289" t="s">
        <v>1919</v>
      </c>
      <c r="F969" s="218">
        <v>1093</v>
      </c>
      <c r="G969" s="237" t="s">
        <v>1563</v>
      </c>
      <c r="H969" s="475" t="s">
        <v>631</v>
      </c>
      <c r="I969" s="478">
        <v>152</v>
      </c>
      <c r="J969" s="243">
        <v>11.25408</v>
      </c>
      <c r="K969" s="243">
        <v>6.8281000000000001</v>
      </c>
      <c r="L969" s="243">
        <v>4.42598</v>
      </c>
    </row>
    <row r="970" spans="1:12" ht="26.4" customHeight="1">
      <c r="A970" s="288">
        <v>44</v>
      </c>
      <c r="B970" s="523"/>
      <c r="C970" s="288" t="s">
        <v>1210</v>
      </c>
      <c r="D970" s="289" t="s">
        <v>1461</v>
      </c>
      <c r="E970" s="289" t="s">
        <v>1919</v>
      </c>
      <c r="F970" s="218">
        <v>1094</v>
      </c>
      <c r="G970" s="237" t="s">
        <v>1563</v>
      </c>
      <c r="H970" s="475" t="s">
        <v>631</v>
      </c>
      <c r="I970" s="478">
        <v>273</v>
      </c>
      <c r="J970" s="243">
        <v>20.212900000000001</v>
      </c>
      <c r="K970" s="243">
        <v>12.26374</v>
      </c>
      <c r="L970" s="243">
        <v>7.94916</v>
      </c>
    </row>
    <row r="971" spans="1:12" ht="26.4" customHeight="1">
      <c r="A971" s="288">
        <v>45</v>
      </c>
      <c r="B971" s="523"/>
      <c r="C971" s="288" t="s">
        <v>1210</v>
      </c>
      <c r="D971" s="289" t="s">
        <v>1461</v>
      </c>
      <c r="E971" s="289" t="s">
        <v>1919</v>
      </c>
      <c r="F971" s="218">
        <v>1095</v>
      </c>
      <c r="G971" s="237" t="s">
        <v>1544</v>
      </c>
      <c r="H971" s="475" t="s">
        <v>631</v>
      </c>
      <c r="I971" s="478">
        <v>25</v>
      </c>
      <c r="J971" s="243">
        <v>1.851</v>
      </c>
      <c r="K971" s="243">
        <v>0.92645</v>
      </c>
      <c r="L971" s="243">
        <v>0.92454999999999998</v>
      </c>
    </row>
    <row r="972" spans="1:12" ht="26.4" customHeight="1">
      <c r="A972" s="288">
        <v>46</v>
      </c>
      <c r="B972" s="523"/>
      <c r="C972" s="288" t="s">
        <v>1210</v>
      </c>
      <c r="D972" s="289" t="s">
        <v>1461</v>
      </c>
      <c r="E972" s="289" t="s">
        <v>1919</v>
      </c>
      <c r="F972" s="218">
        <v>1096</v>
      </c>
      <c r="G972" s="237" t="s">
        <v>1544</v>
      </c>
      <c r="H972" s="475" t="s">
        <v>631</v>
      </c>
      <c r="I972" s="478">
        <v>10</v>
      </c>
      <c r="J972" s="243">
        <v>0.74039999999999995</v>
      </c>
      <c r="K972" s="243">
        <v>0.37053999999999998</v>
      </c>
      <c r="L972" s="243">
        <v>0.36986000000000002</v>
      </c>
    </row>
    <row r="973" spans="1:12" ht="26.4" customHeight="1">
      <c r="A973" s="288">
        <v>47</v>
      </c>
      <c r="B973" s="523"/>
      <c r="C973" s="288" t="s">
        <v>1210</v>
      </c>
      <c r="D973" s="289" t="s">
        <v>1461</v>
      </c>
      <c r="E973" s="289" t="s">
        <v>1919</v>
      </c>
      <c r="F973" s="218">
        <v>1097</v>
      </c>
      <c r="G973" s="237" t="s">
        <v>1544</v>
      </c>
      <c r="H973" s="475" t="s">
        <v>631</v>
      </c>
      <c r="I973" s="478">
        <v>42</v>
      </c>
      <c r="J973" s="243">
        <v>3.10968</v>
      </c>
      <c r="K973" s="243">
        <v>1.55647</v>
      </c>
      <c r="L973" s="243">
        <v>1.55321</v>
      </c>
    </row>
    <row r="974" spans="1:12" ht="26.4" customHeight="1">
      <c r="A974" s="288">
        <v>48</v>
      </c>
      <c r="B974" s="523"/>
      <c r="C974" s="288" t="s">
        <v>1210</v>
      </c>
      <c r="D974" s="289" t="s">
        <v>1461</v>
      </c>
      <c r="E974" s="289" t="s">
        <v>1919</v>
      </c>
      <c r="F974" s="218">
        <v>1098</v>
      </c>
      <c r="G974" s="237" t="s">
        <v>1544</v>
      </c>
      <c r="H974" s="475" t="s">
        <v>631</v>
      </c>
      <c r="I974" s="478">
        <v>70</v>
      </c>
      <c r="J974" s="243">
        <v>5.1828000000000003</v>
      </c>
      <c r="K974" s="243">
        <v>2.59409</v>
      </c>
      <c r="L974" s="243">
        <v>2.5887099999999998</v>
      </c>
    </row>
    <row r="975" spans="1:12" ht="26.4" customHeight="1">
      <c r="A975" s="288">
        <v>49</v>
      </c>
      <c r="B975" s="523"/>
      <c r="C975" s="288" t="s">
        <v>1210</v>
      </c>
      <c r="D975" s="289" t="s">
        <v>1461</v>
      </c>
      <c r="E975" s="289" t="s">
        <v>1919</v>
      </c>
      <c r="F975" s="218">
        <v>1099</v>
      </c>
      <c r="G975" s="237" t="s">
        <v>1544</v>
      </c>
      <c r="H975" s="475" t="s">
        <v>631</v>
      </c>
      <c r="I975" s="478">
        <v>103</v>
      </c>
      <c r="J975" s="243">
        <v>7.6261200000000002</v>
      </c>
      <c r="K975" s="243">
        <v>3.8170799999999998</v>
      </c>
      <c r="L975" s="243">
        <v>3.80904</v>
      </c>
    </row>
    <row r="976" spans="1:12" ht="26.4" customHeight="1">
      <c r="A976" s="288">
        <v>50</v>
      </c>
      <c r="B976" s="523"/>
      <c r="C976" s="288" t="s">
        <v>1210</v>
      </c>
      <c r="D976" s="289" t="s">
        <v>1461</v>
      </c>
      <c r="E976" s="289" t="s">
        <v>1919</v>
      </c>
      <c r="F976" s="218">
        <v>2000</v>
      </c>
      <c r="G976" s="237" t="s">
        <v>1544</v>
      </c>
      <c r="H976" s="475" t="s">
        <v>631</v>
      </c>
      <c r="I976" s="478">
        <v>65</v>
      </c>
      <c r="J976" s="243">
        <v>4.8125999999999998</v>
      </c>
      <c r="K976" s="243">
        <v>2.40882</v>
      </c>
      <c r="L976" s="243">
        <v>2.4037799999999998</v>
      </c>
    </row>
    <row r="977" spans="1:12" ht="26.4" customHeight="1">
      <c r="A977" s="288">
        <v>51</v>
      </c>
      <c r="B977" s="523"/>
      <c r="C977" s="288" t="s">
        <v>1210</v>
      </c>
      <c r="D977" s="289" t="s">
        <v>1461</v>
      </c>
      <c r="E977" s="289" t="s">
        <v>1919</v>
      </c>
      <c r="F977" s="218">
        <v>2001</v>
      </c>
      <c r="G977" s="237" t="s">
        <v>1544</v>
      </c>
      <c r="H977" s="475" t="s">
        <v>631</v>
      </c>
      <c r="I977" s="478">
        <v>52</v>
      </c>
      <c r="J977" s="243">
        <v>3.8500999999999999</v>
      </c>
      <c r="K977" s="243">
        <v>1.92713</v>
      </c>
      <c r="L977" s="243">
        <v>1.9229700000000001</v>
      </c>
    </row>
    <row r="978" spans="1:12" ht="26.4" customHeight="1">
      <c r="A978" s="288">
        <v>52</v>
      </c>
      <c r="B978" s="523"/>
      <c r="C978" s="288" t="s">
        <v>1210</v>
      </c>
      <c r="D978" s="289" t="s">
        <v>1461</v>
      </c>
      <c r="E978" s="289" t="s">
        <v>1919</v>
      </c>
      <c r="F978" s="218">
        <v>2002</v>
      </c>
      <c r="G978" s="237" t="s">
        <v>1544</v>
      </c>
      <c r="H978" s="475" t="s">
        <v>631</v>
      </c>
      <c r="I978" s="478">
        <v>150</v>
      </c>
      <c r="J978" s="243">
        <v>11.106</v>
      </c>
      <c r="K978" s="243">
        <v>5.5588199999999999</v>
      </c>
      <c r="L978" s="243">
        <v>5.54718</v>
      </c>
    </row>
    <row r="979" spans="1:12" ht="26.4" customHeight="1">
      <c r="A979" s="288">
        <v>53</v>
      </c>
      <c r="B979" s="523"/>
      <c r="C979" s="288" t="s">
        <v>1210</v>
      </c>
      <c r="D979" s="289" t="s">
        <v>1461</v>
      </c>
      <c r="E979" s="289" t="s">
        <v>1919</v>
      </c>
      <c r="F979" s="218">
        <v>7100</v>
      </c>
      <c r="G979" s="237" t="s">
        <v>1552</v>
      </c>
      <c r="H979" s="475" t="s">
        <v>631</v>
      </c>
      <c r="I979" s="478">
        <v>165</v>
      </c>
      <c r="J979" s="243">
        <v>12.2166</v>
      </c>
      <c r="K979" s="243">
        <v>11.575979999999999</v>
      </c>
      <c r="L979" s="243">
        <v>0.64061999999999997</v>
      </c>
    </row>
    <row r="980" spans="1:12" ht="26.4" customHeight="1">
      <c r="A980" s="288">
        <v>54</v>
      </c>
      <c r="B980" s="523"/>
      <c r="C980" s="288" t="s">
        <v>1210</v>
      </c>
      <c r="D980" s="289" t="s">
        <v>1461</v>
      </c>
      <c r="E980" s="289" t="s">
        <v>1919</v>
      </c>
      <c r="F980" s="218">
        <v>7165</v>
      </c>
      <c r="G980" s="237" t="s">
        <v>1552</v>
      </c>
      <c r="H980" s="475" t="s">
        <v>631</v>
      </c>
      <c r="I980" s="478">
        <v>60</v>
      </c>
      <c r="J980" s="243">
        <v>4.4424000000000001</v>
      </c>
      <c r="K980" s="243">
        <v>2.6033499999999998</v>
      </c>
      <c r="L980" s="243">
        <v>1.8390500000000001</v>
      </c>
    </row>
    <row r="981" spans="1:12" ht="26.4" customHeight="1">
      <c r="A981" s="288">
        <v>55</v>
      </c>
      <c r="B981" s="523"/>
      <c r="C981" s="288" t="s">
        <v>1210</v>
      </c>
      <c r="D981" s="289" t="s">
        <v>1461</v>
      </c>
      <c r="E981" s="289" t="s">
        <v>632</v>
      </c>
      <c r="F981" s="218">
        <v>7166</v>
      </c>
      <c r="G981" s="237" t="s">
        <v>1552</v>
      </c>
      <c r="H981" s="475" t="s">
        <v>1138</v>
      </c>
      <c r="I981" s="478">
        <v>1</v>
      </c>
      <c r="J981" s="243">
        <v>3.1</v>
      </c>
      <c r="K981" s="243">
        <v>2.1289400000000001</v>
      </c>
      <c r="L981" s="243">
        <v>0.97106000000000003</v>
      </c>
    </row>
    <row r="982" spans="1:12" ht="26.4" customHeight="1">
      <c r="A982" s="288">
        <v>56</v>
      </c>
      <c r="B982" s="523"/>
      <c r="C982" s="288" t="s">
        <v>1210</v>
      </c>
      <c r="D982" s="289" t="s">
        <v>1461</v>
      </c>
      <c r="E982" s="289" t="s">
        <v>1919</v>
      </c>
      <c r="F982" s="218">
        <v>7184</v>
      </c>
      <c r="G982" s="237" t="s">
        <v>1552</v>
      </c>
      <c r="H982" s="475" t="s">
        <v>631</v>
      </c>
      <c r="I982" s="478">
        <v>294</v>
      </c>
      <c r="J982" s="243">
        <v>21.767759999999999</v>
      </c>
      <c r="K982" s="243">
        <v>18.660630000000001</v>
      </c>
      <c r="L982" s="243">
        <v>3.1071300000000002</v>
      </c>
    </row>
    <row r="983" spans="1:12" ht="26.4" customHeight="1">
      <c r="A983" s="288">
        <v>57</v>
      </c>
      <c r="B983" s="523"/>
      <c r="C983" s="288" t="s">
        <v>1210</v>
      </c>
      <c r="D983" s="289" t="s">
        <v>1461</v>
      </c>
      <c r="E983" s="289" t="s">
        <v>1919</v>
      </c>
      <c r="F983" s="218">
        <v>28100</v>
      </c>
      <c r="G983" s="237" t="s">
        <v>1563</v>
      </c>
      <c r="H983" s="475" t="s">
        <v>631</v>
      </c>
      <c r="I983" s="478">
        <v>57</v>
      </c>
      <c r="J983" s="243">
        <v>4.2202799999999998</v>
      </c>
      <c r="K983" s="243">
        <v>2.52223</v>
      </c>
      <c r="L983" s="243">
        <v>1.6980500000000001</v>
      </c>
    </row>
    <row r="984" spans="1:12" ht="26.4" customHeight="1">
      <c r="A984" s="288">
        <v>58</v>
      </c>
      <c r="B984" s="523"/>
      <c r="C984" s="288" t="s">
        <v>1210</v>
      </c>
      <c r="D984" s="289" t="s">
        <v>1461</v>
      </c>
      <c r="E984" s="289" t="s">
        <v>1919</v>
      </c>
      <c r="F984" s="218">
        <v>29129</v>
      </c>
      <c r="G984" s="237" t="s">
        <v>1544</v>
      </c>
      <c r="H984" s="475" t="s">
        <v>631</v>
      </c>
      <c r="I984" s="478">
        <v>242</v>
      </c>
      <c r="J984" s="243">
        <v>17.900829999999999</v>
      </c>
      <c r="K984" s="243">
        <v>4.3917599999999997</v>
      </c>
      <c r="L984" s="243">
        <v>13.509069999999999</v>
      </c>
    </row>
    <row r="985" spans="1:12" ht="26.4" customHeight="1">
      <c r="A985" s="288">
        <v>59</v>
      </c>
      <c r="B985" s="523"/>
      <c r="C985" s="288" t="s">
        <v>1210</v>
      </c>
      <c r="D985" s="289" t="s">
        <v>1461</v>
      </c>
      <c r="E985" s="289" t="s">
        <v>649</v>
      </c>
      <c r="F985" s="218">
        <v>29827</v>
      </c>
      <c r="G985" s="237" t="s">
        <v>1570</v>
      </c>
      <c r="H985" s="475" t="s">
        <v>1138</v>
      </c>
      <c r="I985" s="478">
        <v>1</v>
      </c>
      <c r="J985" s="243">
        <v>0.41</v>
      </c>
      <c r="K985" s="243">
        <v>0.15698999999999999</v>
      </c>
      <c r="L985" s="243">
        <v>0.25301000000000001</v>
      </c>
    </row>
    <row r="986" spans="1:12" ht="26.4" customHeight="1">
      <c r="A986" s="288">
        <v>60</v>
      </c>
      <c r="B986" s="523"/>
      <c r="C986" s="288" t="s">
        <v>1210</v>
      </c>
      <c r="D986" s="289" t="s">
        <v>1461</v>
      </c>
      <c r="E986" s="289" t="s">
        <v>1255</v>
      </c>
      <c r="F986" s="218">
        <v>30007</v>
      </c>
      <c r="G986" s="237" t="s">
        <v>1576</v>
      </c>
      <c r="H986" s="475" t="s">
        <v>631</v>
      </c>
      <c r="I986" s="478">
        <v>11</v>
      </c>
      <c r="J986" s="243">
        <v>10.79692</v>
      </c>
      <c r="K986" s="243">
        <v>4.5889800000000003</v>
      </c>
      <c r="L986" s="243">
        <v>6.2079399999999998</v>
      </c>
    </row>
    <row r="987" spans="1:12" ht="26.4" customHeight="1">
      <c r="A987" s="288">
        <v>61</v>
      </c>
      <c r="B987" s="523"/>
      <c r="C987" s="288" t="s">
        <v>1210</v>
      </c>
      <c r="D987" s="289" t="s">
        <v>1461</v>
      </c>
      <c r="E987" s="289" t="s">
        <v>1255</v>
      </c>
      <c r="F987" s="218">
        <v>30021</v>
      </c>
      <c r="G987" s="237" t="s">
        <v>1571</v>
      </c>
      <c r="H987" s="475" t="s">
        <v>631</v>
      </c>
      <c r="I987" s="478">
        <v>117</v>
      </c>
      <c r="J987" s="243">
        <v>222.07624999999999</v>
      </c>
      <c r="K987" s="243">
        <v>83.278800000000004</v>
      </c>
      <c r="L987" s="243">
        <v>138.79745</v>
      </c>
    </row>
    <row r="988" spans="1:12" ht="26.4" customHeight="1">
      <c r="A988" s="288">
        <v>62</v>
      </c>
      <c r="B988" s="523"/>
      <c r="C988" s="288" t="s">
        <v>1210</v>
      </c>
      <c r="D988" s="289" t="s">
        <v>1461</v>
      </c>
      <c r="E988" s="289" t="s">
        <v>1255</v>
      </c>
      <c r="F988" s="218">
        <v>30022</v>
      </c>
      <c r="G988" s="237" t="s">
        <v>1571</v>
      </c>
      <c r="H988" s="475" t="s">
        <v>631</v>
      </c>
      <c r="I988" s="478">
        <v>79</v>
      </c>
      <c r="J988" s="243">
        <v>138.42639</v>
      </c>
      <c r="K988" s="243">
        <v>41.066380000000002</v>
      </c>
      <c r="L988" s="243">
        <v>97.360010000000003</v>
      </c>
    </row>
    <row r="989" spans="1:12" ht="26.4" customHeight="1">
      <c r="A989" s="288">
        <v>63</v>
      </c>
      <c r="B989" s="523"/>
      <c r="C989" s="288" t="s">
        <v>1210</v>
      </c>
      <c r="D989" s="289" t="s">
        <v>1461</v>
      </c>
      <c r="E989" s="289" t="s">
        <v>1919</v>
      </c>
      <c r="F989" s="218">
        <v>31700</v>
      </c>
      <c r="G989" s="237" t="s">
        <v>1569</v>
      </c>
      <c r="H989" s="475" t="s">
        <v>631</v>
      </c>
      <c r="I989" s="478">
        <v>346</v>
      </c>
      <c r="J989" s="243">
        <v>263.86412000000001</v>
      </c>
      <c r="K989" s="243">
        <v>94.107100000000003</v>
      </c>
      <c r="L989" s="243">
        <v>169.75702000000001</v>
      </c>
    </row>
    <row r="990" spans="1:12" ht="26.4" customHeight="1">
      <c r="A990" s="288">
        <v>64</v>
      </c>
      <c r="B990" s="523"/>
      <c r="C990" s="288" t="s">
        <v>1210</v>
      </c>
      <c r="D990" s="289" t="s">
        <v>1461</v>
      </c>
      <c r="E990" s="289" t="s">
        <v>1211</v>
      </c>
      <c r="F990" s="218">
        <v>37005</v>
      </c>
      <c r="G990" s="237" t="s">
        <v>1570</v>
      </c>
      <c r="H990" s="475" t="s">
        <v>1138</v>
      </c>
      <c r="I990" s="478">
        <v>1</v>
      </c>
      <c r="J990" s="243">
        <v>9.7000000000000003E-2</v>
      </c>
      <c r="K990" s="243">
        <v>3.5659999999999997E-2</v>
      </c>
      <c r="L990" s="243">
        <v>6.1339999999999999E-2</v>
      </c>
    </row>
    <row r="991" spans="1:12" ht="26.4" customHeight="1">
      <c r="A991" s="288">
        <v>65</v>
      </c>
      <c r="B991" s="523"/>
      <c r="C991" s="288" t="s">
        <v>1210</v>
      </c>
      <c r="D991" s="289" t="s">
        <v>1461</v>
      </c>
      <c r="E991" s="289" t="s">
        <v>1211</v>
      </c>
      <c r="F991" s="218">
        <v>37006</v>
      </c>
      <c r="G991" s="237" t="s">
        <v>1570</v>
      </c>
      <c r="H991" s="475" t="s">
        <v>1138</v>
      </c>
      <c r="I991" s="478">
        <v>1</v>
      </c>
      <c r="J991" s="243">
        <v>7.8E-2</v>
      </c>
      <c r="K991" s="243">
        <v>2.8879999999999999E-2</v>
      </c>
      <c r="L991" s="243">
        <v>4.9119999999999997E-2</v>
      </c>
    </row>
    <row r="992" spans="1:12" ht="26.4" customHeight="1">
      <c r="A992" s="288">
        <v>66</v>
      </c>
      <c r="B992" s="523"/>
      <c r="C992" s="288" t="s">
        <v>1210</v>
      </c>
      <c r="D992" s="289" t="s">
        <v>1461</v>
      </c>
      <c r="E992" s="289" t="s">
        <v>1212</v>
      </c>
      <c r="F992" s="218">
        <v>37007</v>
      </c>
      <c r="G992" s="237" t="s">
        <v>1570</v>
      </c>
      <c r="H992" s="475" t="s">
        <v>1138</v>
      </c>
      <c r="I992" s="478">
        <v>1</v>
      </c>
      <c r="J992" s="243">
        <v>0.28299999999999997</v>
      </c>
      <c r="K992" s="243">
        <v>0.10528</v>
      </c>
      <c r="L992" s="243">
        <v>0.17771999999999999</v>
      </c>
    </row>
    <row r="993" spans="1:12" ht="26.4" customHeight="1">
      <c r="A993" s="288">
        <v>67</v>
      </c>
      <c r="B993" s="523"/>
      <c r="C993" s="288" t="s">
        <v>1210</v>
      </c>
      <c r="D993" s="289" t="s">
        <v>1461</v>
      </c>
      <c r="E993" s="289" t="s">
        <v>1255</v>
      </c>
      <c r="F993" s="218">
        <v>37012</v>
      </c>
      <c r="G993" s="237" t="s">
        <v>1571</v>
      </c>
      <c r="H993" s="475" t="s">
        <v>631</v>
      </c>
      <c r="I993" s="478">
        <v>188.92</v>
      </c>
      <c r="J993" s="243">
        <v>465.34424999999999</v>
      </c>
      <c r="K993" s="243">
        <v>111.16672</v>
      </c>
      <c r="L993" s="243">
        <v>354.17752999999999</v>
      </c>
    </row>
    <row r="994" spans="1:12" ht="26.4" customHeight="1">
      <c r="A994" s="288">
        <v>68</v>
      </c>
      <c r="B994" s="523"/>
      <c r="C994" s="288" t="s">
        <v>1210</v>
      </c>
      <c r="D994" s="289" t="s">
        <v>1461</v>
      </c>
      <c r="E994" s="289" t="s">
        <v>1255</v>
      </c>
      <c r="F994" s="218">
        <v>37013</v>
      </c>
      <c r="G994" s="237" t="s">
        <v>1571</v>
      </c>
      <c r="H994" s="475" t="s">
        <v>631</v>
      </c>
      <c r="I994" s="478">
        <v>19</v>
      </c>
      <c r="J994" s="243">
        <v>18.694140000000001</v>
      </c>
      <c r="K994" s="243">
        <v>4.4140499999999996</v>
      </c>
      <c r="L994" s="243">
        <v>14.28009</v>
      </c>
    </row>
    <row r="995" spans="1:12" ht="26.4" customHeight="1">
      <c r="A995" s="288">
        <v>69</v>
      </c>
      <c r="B995" s="523"/>
      <c r="C995" s="288" t="s">
        <v>1210</v>
      </c>
      <c r="D995" s="289" t="s">
        <v>1461</v>
      </c>
      <c r="E995" s="289" t="s">
        <v>1213</v>
      </c>
      <c r="F995" s="218">
        <v>41089</v>
      </c>
      <c r="G995" s="237" t="s">
        <v>1552</v>
      </c>
      <c r="H995" s="475" t="s">
        <v>1138</v>
      </c>
      <c r="I995" s="478">
        <v>1</v>
      </c>
      <c r="J995" s="243">
        <v>8.0540000000000003</v>
      </c>
      <c r="K995" s="243">
        <v>4.3144600000000004</v>
      </c>
      <c r="L995" s="243">
        <v>3.7395399999999999</v>
      </c>
    </row>
    <row r="996" spans="1:12" ht="26.4" customHeight="1">
      <c r="A996" s="288">
        <v>70</v>
      </c>
      <c r="B996" s="523"/>
      <c r="C996" s="288" t="s">
        <v>1210</v>
      </c>
      <c r="D996" s="289" t="s">
        <v>1461</v>
      </c>
      <c r="E996" s="289" t="s">
        <v>1920</v>
      </c>
      <c r="F996" s="218">
        <v>41221</v>
      </c>
      <c r="G996" s="237" t="s">
        <v>1562</v>
      </c>
      <c r="H996" s="475" t="s">
        <v>631</v>
      </c>
      <c r="I996" s="478">
        <v>42.4</v>
      </c>
      <c r="J996" s="243">
        <v>49.220579999999998</v>
      </c>
      <c r="K996" s="243">
        <v>8.3635900000000003</v>
      </c>
      <c r="L996" s="243">
        <v>40.856990000000003</v>
      </c>
    </row>
    <row r="997" spans="1:12" ht="26.4" customHeight="1">
      <c r="A997" s="288">
        <v>71</v>
      </c>
      <c r="B997" s="523"/>
      <c r="C997" s="288" t="s">
        <v>1210</v>
      </c>
      <c r="D997" s="289" t="s">
        <v>1461</v>
      </c>
      <c r="E997" s="289" t="s">
        <v>1920</v>
      </c>
      <c r="F997" s="218">
        <v>41222</v>
      </c>
      <c r="G997" s="237" t="s">
        <v>1562</v>
      </c>
      <c r="H997" s="475" t="s">
        <v>631</v>
      </c>
      <c r="I997" s="478">
        <v>48.2</v>
      </c>
      <c r="J997" s="243">
        <v>57.39949</v>
      </c>
      <c r="K997" s="243">
        <v>9.7191500000000008</v>
      </c>
      <c r="L997" s="243">
        <v>47.680340000000001</v>
      </c>
    </row>
    <row r="998" spans="1:12" ht="26.4" customHeight="1">
      <c r="A998" s="288">
        <v>72</v>
      </c>
      <c r="B998" s="523"/>
      <c r="C998" s="288" t="s">
        <v>1210</v>
      </c>
      <c r="D998" s="289" t="s">
        <v>1461</v>
      </c>
      <c r="E998" s="289" t="s">
        <v>1920</v>
      </c>
      <c r="F998" s="218">
        <v>41244</v>
      </c>
      <c r="G998" s="237" t="s">
        <v>1562</v>
      </c>
      <c r="H998" s="475" t="s">
        <v>631</v>
      </c>
      <c r="I998" s="478">
        <v>61</v>
      </c>
      <c r="J998" s="243">
        <v>46.814729999999997</v>
      </c>
      <c r="K998" s="243">
        <v>7.6146700000000003</v>
      </c>
      <c r="L998" s="243">
        <v>39.200060000000001</v>
      </c>
    </row>
    <row r="999" spans="1:12" ht="26.4" customHeight="1">
      <c r="A999" s="288">
        <v>73</v>
      </c>
      <c r="B999" s="523"/>
      <c r="C999" s="288" t="s">
        <v>1210</v>
      </c>
      <c r="D999" s="289" t="s">
        <v>1461</v>
      </c>
      <c r="E999" s="289" t="s">
        <v>1255</v>
      </c>
      <c r="F999" s="218">
        <v>41383</v>
      </c>
      <c r="G999" s="237" t="s">
        <v>1537</v>
      </c>
      <c r="H999" s="475" t="s">
        <v>631</v>
      </c>
      <c r="I999" s="478">
        <v>56</v>
      </c>
      <c r="J999" s="243">
        <v>3.92</v>
      </c>
      <c r="K999" s="243">
        <v>0.99421999999999999</v>
      </c>
      <c r="L999" s="243">
        <v>2.92578</v>
      </c>
    </row>
    <row r="1000" spans="1:12" ht="26.4" customHeight="1">
      <c r="A1000" s="288">
        <v>74</v>
      </c>
      <c r="B1000" s="523"/>
      <c r="C1000" s="288" t="s">
        <v>1210</v>
      </c>
      <c r="D1000" s="289" t="s">
        <v>1461</v>
      </c>
      <c r="E1000" s="289" t="s">
        <v>1255</v>
      </c>
      <c r="F1000" s="218">
        <v>70300</v>
      </c>
      <c r="G1000" s="237" t="s">
        <v>1567</v>
      </c>
      <c r="H1000" s="475" t="s">
        <v>631</v>
      </c>
      <c r="I1000" s="478">
        <v>155</v>
      </c>
      <c r="J1000" s="243">
        <v>79.836399999999998</v>
      </c>
      <c r="K1000" s="243">
        <v>19.79327</v>
      </c>
      <c r="L1000" s="243">
        <v>60.043129999999998</v>
      </c>
    </row>
    <row r="1001" spans="1:12" ht="26.4" customHeight="1">
      <c r="A1001" s="288">
        <v>75</v>
      </c>
      <c r="B1001" s="523"/>
      <c r="C1001" s="288" t="s">
        <v>1210</v>
      </c>
      <c r="D1001" s="289" t="s">
        <v>1821</v>
      </c>
      <c r="E1001" s="289" t="s">
        <v>1337</v>
      </c>
      <c r="F1001" s="218">
        <v>8201</v>
      </c>
      <c r="G1001" s="237" t="s">
        <v>1528</v>
      </c>
      <c r="H1001" s="475" t="s">
        <v>1149</v>
      </c>
      <c r="I1001" s="207">
        <v>109.3</v>
      </c>
      <c r="J1001" s="243">
        <v>206.61350999999999</v>
      </c>
      <c r="K1001" s="243">
        <v>126.98316</v>
      </c>
      <c r="L1001" s="243">
        <v>79.630350000000007</v>
      </c>
    </row>
    <row r="1002" spans="1:12" ht="26.4" customHeight="1">
      <c r="A1002" s="288">
        <v>76</v>
      </c>
      <c r="B1002" s="523"/>
      <c r="C1002" s="288" t="s">
        <v>1210</v>
      </c>
      <c r="D1002" s="289" t="s">
        <v>1821</v>
      </c>
      <c r="E1002" s="289" t="s">
        <v>1920</v>
      </c>
      <c r="F1002" s="218">
        <v>2006</v>
      </c>
      <c r="G1002" s="237" t="s">
        <v>1528</v>
      </c>
      <c r="H1002" s="475" t="s">
        <v>631</v>
      </c>
      <c r="I1002" s="478">
        <v>40.200000000000003</v>
      </c>
      <c r="J1002" s="243">
        <v>1.13605</v>
      </c>
      <c r="K1002" s="243">
        <v>0.62092000000000003</v>
      </c>
      <c r="L1002" s="243">
        <v>0.51512999999999998</v>
      </c>
    </row>
    <row r="1003" spans="1:12" ht="26.4" customHeight="1">
      <c r="A1003" s="288">
        <v>77</v>
      </c>
      <c r="B1003" s="523"/>
      <c r="C1003" s="288" t="s">
        <v>1210</v>
      </c>
      <c r="D1003" s="289" t="s">
        <v>1821</v>
      </c>
      <c r="E1003" s="289" t="s">
        <v>1920</v>
      </c>
      <c r="F1003" s="218">
        <v>8200</v>
      </c>
      <c r="G1003" s="237" t="s">
        <v>1528</v>
      </c>
      <c r="H1003" s="475" t="s">
        <v>631</v>
      </c>
      <c r="I1003" s="478">
        <v>26.8</v>
      </c>
      <c r="J1003" s="243">
        <v>0.75795000000000001</v>
      </c>
      <c r="K1003" s="243">
        <v>0.41432999999999998</v>
      </c>
      <c r="L1003" s="243">
        <v>0.34361999999999998</v>
      </c>
    </row>
    <row r="1004" spans="1:12" ht="26.4" customHeight="1">
      <c r="A1004" s="288">
        <v>78</v>
      </c>
      <c r="B1004" s="523"/>
      <c r="C1004" s="288" t="s">
        <v>1210</v>
      </c>
      <c r="D1004" s="289" t="s">
        <v>1821</v>
      </c>
      <c r="E1004" s="289" t="s">
        <v>632</v>
      </c>
      <c r="F1004" s="218">
        <v>8203</v>
      </c>
      <c r="G1004" s="237" t="s">
        <v>1528</v>
      </c>
      <c r="H1004" s="475" t="s">
        <v>1138</v>
      </c>
      <c r="I1004" s="478">
        <v>1</v>
      </c>
      <c r="J1004" s="243">
        <v>2.4300000000000002</v>
      </c>
      <c r="K1004" s="243">
        <v>1.86467</v>
      </c>
      <c r="L1004" s="243">
        <v>0.56533</v>
      </c>
    </row>
    <row r="1005" spans="1:12" ht="26.4" customHeight="1">
      <c r="A1005" s="288">
        <v>79</v>
      </c>
      <c r="B1005" s="523"/>
      <c r="C1005" s="288" t="s">
        <v>1210</v>
      </c>
      <c r="D1005" s="289" t="s">
        <v>1821</v>
      </c>
      <c r="E1005" s="289" t="s">
        <v>1141</v>
      </c>
      <c r="F1005" s="218">
        <v>11144</v>
      </c>
      <c r="G1005" s="237" t="s">
        <v>1547</v>
      </c>
      <c r="H1005" s="475" t="s">
        <v>1138</v>
      </c>
      <c r="I1005" s="478">
        <v>1</v>
      </c>
      <c r="J1005" s="243">
        <v>6.40306</v>
      </c>
      <c r="K1005" s="243">
        <v>1.5410999999999999</v>
      </c>
      <c r="L1005" s="243">
        <v>4.8619599999999998</v>
      </c>
    </row>
    <row r="1006" spans="1:12" ht="26.4" customHeight="1">
      <c r="A1006" s="288">
        <v>80</v>
      </c>
      <c r="B1006" s="523"/>
      <c r="C1006" s="288" t="s">
        <v>1210</v>
      </c>
      <c r="D1006" s="289" t="s">
        <v>2117</v>
      </c>
      <c r="E1006" s="289" t="s">
        <v>2231</v>
      </c>
      <c r="F1006" s="218">
        <v>19420</v>
      </c>
      <c r="G1006" s="237" t="s">
        <v>1557</v>
      </c>
      <c r="H1006" s="475" t="s">
        <v>1149</v>
      </c>
      <c r="I1006" s="207">
        <v>502.7</v>
      </c>
      <c r="J1006" s="243">
        <v>1405.09771</v>
      </c>
      <c r="K1006" s="243">
        <v>865.83104000000003</v>
      </c>
      <c r="L1006" s="243">
        <v>539.26666999999998</v>
      </c>
    </row>
    <row r="1007" spans="1:12" ht="26.4" customHeight="1">
      <c r="A1007" s="288">
        <v>81</v>
      </c>
      <c r="B1007" s="523"/>
      <c r="C1007" s="288" t="s">
        <v>1210</v>
      </c>
      <c r="D1007" s="289" t="s">
        <v>2117</v>
      </c>
      <c r="E1007" s="289" t="s">
        <v>1920</v>
      </c>
      <c r="F1007" s="218">
        <v>2100</v>
      </c>
      <c r="G1007" s="237" t="s">
        <v>1557</v>
      </c>
      <c r="H1007" s="475" t="s">
        <v>631</v>
      </c>
      <c r="I1007" s="478">
        <v>110</v>
      </c>
      <c r="J1007" s="243">
        <v>1.5509999999999999</v>
      </c>
      <c r="K1007" s="243">
        <v>1.07267</v>
      </c>
      <c r="L1007" s="243">
        <v>0.47832999999999998</v>
      </c>
    </row>
    <row r="1008" spans="1:12" ht="26.4" customHeight="1">
      <c r="A1008" s="288">
        <v>82</v>
      </c>
      <c r="B1008" s="523"/>
      <c r="C1008" s="288" t="s">
        <v>1210</v>
      </c>
      <c r="D1008" s="289" t="s">
        <v>2117</v>
      </c>
      <c r="E1008" s="289" t="s">
        <v>1920</v>
      </c>
      <c r="F1008" s="218">
        <v>2101</v>
      </c>
      <c r="G1008" s="237" t="s">
        <v>1557</v>
      </c>
      <c r="H1008" s="475" t="s">
        <v>631</v>
      </c>
      <c r="I1008" s="478">
        <v>121</v>
      </c>
      <c r="J1008" s="243">
        <v>1.7060999999999999</v>
      </c>
      <c r="K1008" s="243">
        <v>1.1798999999999999</v>
      </c>
      <c r="L1008" s="243">
        <v>0.5262</v>
      </c>
    </row>
    <row r="1009" spans="1:12" ht="26.4" customHeight="1">
      <c r="A1009" s="288">
        <v>83</v>
      </c>
      <c r="B1009" s="523"/>
      <c r="C1009" s="288" t="s">
        <v>1210</v>
      </c>
      <c r="D1009" s="289" t="s">
        <v>2117</v>
      </c>
      <c r="E1009" s="289" t="s">
        <v>1920</v>
      </c>
      <c r="F1009" s="218">
        <v>2102</v>
      </c>
      <c r="G1009" s="237" t="s">
        <v>1557</v>
      </c>
      <c r="H1009" s="475" t="s">
        <v>631</v>
      </c>
      <c r="I1009" s="478">
        <v>188</v>
      </c>
      <c r="J1009" s="243">
        <v>2.6507999999999998</v>
      </c>
      <c r="K1009" s="243">
        <v>1.8332900000000001</v>
      </c>
      <c r="L1009" s="243">
        <v>0.81750999999999996</v>
      </c>
    </row>
    <row r="1010" spans="1:12" ht="26.4" customHeight="1">
      <c r="A1010" s="288">
        <v>84</v>
      </c>
      <c r="B1010" s="523"/>
      <c r="C1010" s="288" t="s">
        <v>1210</v>
      </c>
      <c r="D1010" s="289" t="s">
        <v>2117</v>
      </c>
      <c r="E1010" s="289" t="s">
        <v>1920</v>
      </c>
      <c r="F1010" s="218">
        <v>2103</v>
      </c>
      <c r="G1010" s="237" t="s">
        <v>1557</v>
      </c>
      <c r="H1010" s="475" t="s">
        <v>631</v>
      </c>
      <c r="I1010" s="478">
        <v>180</v>
      </c>
      <c r="J1010" s="243">
        <v>2.5379999999999998</v>
      </c>
      <c r="K1010" s="243">
        <v>1.7553300000000001</v>
      </c>
      <c r="L1010" s="243">
        <v>0.78266999999999998</v>
      </c>
    </row>
    <row r="1011" spans="1:12" ht="26.4" customHeight="1">
      <c r="A1011" s="288">
        <v>85</v>
      </c>
      <c r="B1011" s="523"/>
      <c r="C1011" s="288" t="s">
        <v>1210</v>
      </c>
      <c r="D1011" s="289" t="s">
        <v>2117</v>
      </c>
      <c r="E1011" s="289" t="s">
        <v>1920</v>
      </c>
      <c r="F1011" s="218">
        <v>2104</v>
      </c>
      <c r="G1011" s="237" t="s">
        <v>1557</v>
      </c>
      <c r="H1011" s="475" t="s">
        <v>631</v>
      </c>
      <c r="I1011" s="478">
        <v>338</v>
      </c>
      <c r="J1011" s="243">
        <v>4.7657999999999996</v>
      </c>
      <c r="K1011" s="243">
        <v>3.2960799999999999</v>
      </c>
      <c r="L1011" s="243">
        <v>1.4697199999999999</v>
      </c>
    </row>
    <row r="1012" spans="1:12" ht="26.4" customHeight="1">
      <c r="A1012" s="288">
        <v>86</v>
      </c>
      <c r="B1012" s="523"/>
      <c r="C1012" s="288" t="s">
        <v>1210</v>
      </c>
      <c r="D1012" s="289" t="s">
        <v>2117</v>
      </c>
      <c r="E1012" s="289" t="s">
        <v>1920</v>
      </c>
      <c r="F1012" s="218">
        <v>2105</v>
      </c>
      <c r="G1012" s="237" t="s">
        <v>1557</v>
      </c>
      <c r="H1012" s="475" t="s">
        <v>631</v>
      </c>
      <c r="I1012" s="478">
        <v>134</v>
      </c>
      <c r="J1012" s="243">
        <v>1.8894</v>
      </c>
      <c r="K1012" s="243">
        <v>1.3067599999999999</v>
      </c>
      <c r="L1012" s="243">
        <v>0.58264000000000005</v>
      </c>
    </row>
    <row r="1013" spans="1:12" ht="26.4" customHeight="1">
      <c r="A1013" s="288">
        <v>87</v>
      </c>
      <c r="B1013" s="523"/>
      <c r="C1013" s="288" t="s">
        <v>1210</v>
      </c>
      <c r="D1013" s="289" t="s">
        <v>2117</v>
      </c>
      <c r="E1013" s="289" t="s">
        <v>1920</v>
      </c>
      <c r="F1013" s="218">
        <v>2106</v>
      </c>
      <c r="G1013" s="237" t="s">
        <v>1557</v>
      </c>
      <c r="H1013" s="475" t="s">
        <v>631</v>
      </c>
      <c r="I1013" s="478">
        <v>124</v>
      </c>
      <c r="J1013" s="243">
        <v>1.6368</v>
      </c>
      <c r="K1013" s="243">
        <v>1.1285799999999999</v>
      </c>
      <c r="L1013" s="243">
        <v>0.50822000000000001</v>
      </c>
    </row>
    <row r="1014" spans="1:12" ht="26.4" customHeight="1">
      <c r="A1014" s="288">
        <v>88</v>
      </c>
      <c r="B1014" s="523"/>
      <c r="C1014" s="288" t="s">
        <v>1210</v>
      </c>
      <c r="D1014" s="289" t="s">
        <v>2117</v>
      </c>
      <c r="E1014" s="289" t="s">
        <v>1920</v>
      </c>
      <c r="F1014" s="218">
        <v>2107</v>
      </c>
      <c r="G1014" s="237" t="s">
        <v>1557</v>
      </c>
      <c r="H1014" s="475" t="s">
        <v>631</v>
      </c>
      <c r="I1014" s="478">
        <v>455.2</v>
      </c>
      <c r="J1014" s="243">
        <v>6.0086399999999998</v>
      </c>
      <c r="K1014" s="243">
        <v>4.1430199999999999</v>
      </c>
      <c r="L1014" s="243">
        <v>1.8656200000000001</v>
      </c>
    </row>
    <row r="1015" spans="1:12" ht="26.4" customHeight="1">
      <c r="A1015" s="288">
        <v>89</v>
      </c>
      <c r="B1015" s="523"/>
      <c r="C1015" s="288" t="s">
        <v>1210</v>
      </c>
      <c r="D1015" s="289" t="s">
        <v>2117</v>
      </c>
      <c r="E1015" s="289" t="s">
        <v>1920</v>
      </c>
      <c r="F1015" s="218">
        <v>2108</v>
      </c>
      <c r="G1015" s="237" t="s">
        <v>1557</v>
      </c>
      <c r="H1015" s="475" t="s">
        <v>631</v>
      </c>
      <c r="I1015" s="478">
        <v>152</v>
      </c>
      <c r="J1015" s="243">
        <v>2.0064000000000002</v>
      </c>
      <c r="K1015" s="243">
        <v>1.3834200000000001</v>
      </c>
      <c r="L1015" s="243">
        <v>0.62297999999999998</v>
      </c>
    </row>
    <row r="1016" spans="1:12" ht="26.4" customHeight="1">
      <c r="A1016" s="288">
        <v>90</v>
      </c>
      <c r="B1016" s="523"/>
      <c r="C1016" s="288" t="s">
        <v>1210</v>
      </c>
      <c r="D1016" s="289" t="s">
        <v>2117</v>
      </c>
      <c r="E1016" s="289" t="s">
        <v>1920</v>
      </c>
      <c r="F1016" s="218">
        <v>2109</v>
      </c>
      <c r="G1016" s="237" t="s">
        <v>1557</v>
      </c>
      <c r="H1016" s="475" t="s">
        <v>631</v>
      </c>
      <c r="I1016" s="478">
        <v>780</v>
      </c>
      <c r="J1016" s="243">
        <v>10.295999999999999</v>
      </c>
      <c r="K1016" s="243">
        <v>7.0991600000000004</v>
      </c>
      <c r="L1016" s="243">
        <v>3.1968399999999999</v>
      </c>
    </row>
    <row r="1017" spans="1:12" ht="26.4" customHeight="1">
      <c r="A1017" s="288">
        <v>91</v>
      </c>
      <c r="B1017" s="523"/>
      <c r="C1017" s="288" t="s">
        <v>1210</v>
      </c>
      <c r="D1017" s="289" t="s">
        <v>2117</v>
      </c>
      <c r="E1017" s="289" t="s">
        <v>1920</v>
      </c>
      <c r="F1017" s="218">
        <v>2110</v>
      </c>
      <c r="G1017" s="237" t="s">
        <v>1557</v>
      </c>
      <c r="H1017" s="475" t="s">
        <v>631</v>
      </c>
      <c r="I1017" s="478">
        <v>160</v>
      </c>
      <c r="J1017" s="243">
        <v>2.1120000000000001</v>
      </c>
      <c r="K1017" s="243">
        <v>1.4562299999999999</v>
      </c>
      <c r="L1017" s="243">
        <v>0.65576999999999996</v>
      </c>
    </row>
    <row r="1018" spans="1:12" ht="26.4" customHeight="1">
      <c r="A1018" s="288">
        <v>92</v>
      </c>
      <c r="B1018" s="523"/>
      <c r="C1018" s="288" t="s">
        <v>1210</v>
      </c>
      <c r="D1018" s="289" t="s">
        <v>2117</v>
      </c>
      <c r="E1018" s="289" t="s">
        <v>1920</v>
      </c>
      <c r="F1018" s="218">
        <v>2111</v>
      </c>
      <c r="G1018" s="237" t="s">
        <v>1563</v>
      </c>
      <c r="H1018" s="475" t="s">
        <v>631</v>
      </c>
      <c r="I1018" s="478">
        <v>46</v>
      </c>
      <c r="J1018" s="243">
        <v>17.541180000000001</v>
      </c>
      <c r="K1018" s="243">
        <v>10.77056</v>
      </c>
      <c r="L1018" s="243">
        <v>6.7706200000000001</v>
      </c>
    </row>
    <row r="1019" spans="1:12" ht="26.4" customHeight="1">
      <c r="A1019" s="288">
        <v>93</v>
      </c>
      <c r="B1019" s="523"/>
      <c r="C1019" s="288" t="s">
        <v>1210</v>
      </c>
      <c r="D1019" s="289" t="s">
        <v>2117</v>
      </c>
      <c r="E1019" s="289" t="s">
        <v>1255</v>
      </c>
      <c r="F1019" s="218">
        <v>14500</v>
      </c>
      <c r="G1019" s="237" t="s">
        <v>1567</v>
      </c>
      <c r="H1019" s="475" t="s">
        <v>631</v>
      </c>
      <c r="I1019" s="478">
        <v>196.6</v>
      </c>
      <c r="J1019" s="243">
        <v>276.18560000000002</v>
      </c>
      <c r="K1019" s="243">
        <v>68.471410000000006</v>
      </c>
      <c r="L1019" s="243">
        <v>207.71419</v>
      </c>
    </row>
    <row r="1020" spans="1:12" ht="26.4" customHeight="1">
      <c r="A1020" s="288">
        <v>94</v>
      </c>
      <c r="B1020" s="523"/>
      <c r="C1020" s="288" t="s">
        <v>1210</v>
      </c>
      <c r="D1020" s="289" t="s">
        <v>2117</v>
      </c>
      <c r="E1020" s="289" t="s">
        <v>1920</v>
      </c>
      <c r="F1020" s="218">
        <v>19400</v>
      </c>
      <c r="G1020" s="237" t="s">
        <v>1557</v>
      </c>
      <c r="H1020" s="475" t="s">
        <v>631</v>
      </c>
      <c r="I1020" s="478">
        <v>437.6</v>
      </c>
      <c r="J1020" s="243">
        <v>6.1804100000000002</v>
      </c>
      <c r="K1020" s="243">
        <v>4.2744600000000004</v>
      </c>
      <c r="L1020" s="243">
        <v>1.90595</v>
      </c>
    </row>
    <row r="1021" spans="1:12" ht="26.4" customHeight="1">
      <c r="A1021" s="288">
        <v>95</v>
      </c>
      <c r="B1021" s="523"/>
      <c r="C1021" s="288" t="s">
        <v>1210</v>
      </c>
      <c r="D1021" s="289" t="s">
        <v>2117</v>
      </c>
      <c r="E1021" s="289" t="s">
        <v>632</v>
      </c>
      <c r="F1021" s="218">
        <v>19419</v>
      </c>
      <c r="G1021" s="237" t="s">
        <v>1557</v>
      </c>
      <c r="H1021" s="475" t="s">
        <v>1138</v>
      </c>
      <c r="I1021" s="478">
        <v>1</v>
      </c>
      <c r="J1021" s="243">
        <v>9.32</v>
      </c>
      <c r="K1021" s="243">
        <v>5.9101600000000003</v>
      </c>
      <c r="L1021" s="243">
        <v>3.40984</v>
      </c>
    </row>
    <row r="1022" spans="1:12" ht="26.4" customHeight="1">
      <c r="A1022" s="288">
        <v>96</v>
      </c>
      <c r="B1022" s="523"/>
      <c r="C1022" s="288" t="s">
        <v>1210</v>
      </c>
      <c r="D1022" s="289" t="s">
        <v>2117</v>
      </c>
      <c r="E1022" s="289" t="s">
        <v>1919</v>
      </c>
      <c r="F1022" s="218">
        <v>19421</v>
      </c>
      <c r="G1022" s="237" t="s">
        <v>1557</v>
      </c>
      <c r="H1022" s="475" t="s">
        <v>631</v>
      </c>
      <c r="I1022" s="478">
        <v>78.8</v>
      </c>
      <c r="J1022" s="243">
        <v>1.04176</v>
      </c>
      <c r="K1022" s="243">
        <v>0.71830000000000005</v>
      </c>
      <c r="L1022" s="243">
        <v>0.32346000000000003</v>
      </c>
    </row>
    <row r="1023" spans="1:12" ht="26.4" customHeight="1">
      <c r="A1023" s="288">
        <v>97</v>
      </c>
      <c r="B1023" s="523"/>
      <c r="C1023" s="288" t="s">
        <v>1210</v>
      </c>
      <c r="D1023" s="289" t="s">
        <v>2117</v>
      </c>
      <c r="E1023" s="289" t="s">
        <v>2303</v>
      </c>
      <c r="F1023" s="218">
        <v>19433</v>
      </c>
      <c r="G1023" s="237" t="s">
        <v>1557</v>
      </c>
      <c r="H1023" s="475" t="s">
        <v>1149</v>
      </c>
      <c r="I1023" s="207">
        <v>275.10000000000002</v>
      </c>
      <c r="J1023" s="243">
        <v>190.49105</v>
      </c>
      <c r="K1023" s="243">
        <v>75.864320000000006</v>
      </c>
      <c r="L1023" s="243">
        <v>114.62672999999999</v>
      </c>
    </row>
    <row r="1024" spans="1:12" ht="26.4" customHeight="1">
      <c r="A1024" s="288">
        <v>98</v>
      </c>
      <c r="B1024" s="523"/>
      <c r="C1024" s="288" t="s">
        <v>1210</v>
      </c>
      <c r="D1024" s="289" t="s">
        <v>2117</v>
      </c>
      <c r="E1024" s="289" t="s">
        <v>1214</v>
      </c>
      <c r="F1024" s="218">
        <v>19455</v>
      </c>
      <c r="G1024" s="237" t="s">
        <v>1557</v>
      </c>
      <c r="H1024" s="475" t="s">
        <v>1138</v>
      </c>
      <c r="I1024" s="478">
        <v>1</v>
      </c>
      <c r="J1024" s="243">
        <v>7.7</v>
      </c>
      <c r="K1024" s="243">
        <v>3.76403</v>
      </c>
      <c r="L1024" s="243">
        <v>3.9359700000000002</v>
      </c>
    </row>
    <row r="1025" spans="1:12" ht="26.4" customHeight="1">
      <c r="A1025" s="288">
        <v>99</v>
      </c>
      <c r="B1025" s="523"/>
      <c r="C1025" s="288" t="s">
        <v>1210</v>
      </c>
      <c r="D1025" s="289" t="s">
        <v>2117</v>
      </c>
      <c r="E1025" s="289" t="s">
        <v>1919</v>
      </c>
      <c r="F1025" s="218">
        <v>28011</v>
      </c>
      <c r="G1025" s="237" t="s">
        <v>1563</v>
      </c>
      <c r="H1025" s="475" t="s">
        <v>631</v>
      </c>
      <c r="I1025" s="478">
        <v>99</v>
      </c>
      <c r="J1025" s="243">
        <v>37.753019999999999</v>
      </c>
      <c r="K1025" s="243">
        <v>23.180900000000001</v>
      </c>
      <c r="L1025" s="243">
        <v>14.57212</v>
      </c>
    </row>
    <row r="1026" spans="1:12" ht="26.4" customHeight="1">
      <c r="A1026" s="288">
        <v>100</v>
      </c>
      <c r="B1026" s="523"/>
      <c r="C1026" s="288" t="s">
        <v>1210</v>
      </c>
      <c r="D1026" s="289" t="s">
        <v>2117</v>
      </c>
      <c r="E1026" s="289" t="s">
        <v>1211</v>
      </c>
      <c r="F1026" s="218">
        <v>31905</v>
      </c>
      <c r="G1026" s="237" t="s">
        <v>1570</v>
      </c>
      <c r="H1026" s="475" t="s">
        <v>1138</v>
      </c>
      <c r="I1026" s="478">
        <v>1</v>
      </c>
      <c r="J1026" s="243">
        <v>6.4000000000000001E-2</v>
      </c>
      <c r="K1026" s="243">
        <v>2.3779999999999999E-2</v>
      </c>
      <c r="L1026" s="243">
        <v>4.0219999999999999E-2</v>
      </c>
    </row>
    <row r="1027" spans="1:12" ht="26.4" customHeight="1">
      <c r="A1027" s="288">
        <v>101</v>
      </c>
      <c r="B1027" s="523"/>
      <c r="C1027" s="288" t="s">
        <v>1210</v>
      </c>
      <c r="D1027" s="289" t="s">
        <v>2117</v>
      </c>
      <c r="E1027" s="289" t="s">
        <v>1212</v>
      </c>
      <c r="F1027" s="218">
        <v>31906</v>
      </c>
      <c r="G1027" s="237" t="s">
        <v>1570</v>
      </c>
      <c r="H1027" s="475" t="s">
        <v>1138</v>
      </c>
      <c r="I1027" s="478">
        <v>1</v>
      </c>
      <c r="J1027" s="243">
        <v>0.27400000000000002</v>
      </c>
      <c r="K1027" s="243">
        <v>9.9260000000000001E-2</v>
      </c>
      <c r="L1027" s="243">
        <v>0.17474000000000001</v>
      </c>
    </row>
    <row r="1028" spans="1:12" ht="26.4" customHeight="1">
      <c r="A1028" s="288">
        <v>102</v>
      </c>
      <c r="B1028" s="523"/>
      <c r="C1028" s="288" t="s">
        <v>1210</v>
      </c>
      <c r="D1028" s="289" t="s">
        <v>2117</v>
      </c>
      <c r="E1028" s="289" t="s">
        <v>1211</v>
      </c>
      <c r="F1028" s="218">
        <v>31907</v>
      </c>
      <c r="G1028" s="237" t="s">
        <v>1570</v>
      </c>
      <c r="H1028" s="475" t="s">
        <v>1138</v>
      </c>
      <c r="I1028" s="478">
        <v>1</v>
      </c>
      <c r="J1028" s="243">
        <v>6.9000000000000006E-2</v>
      </c>
      <c r="K1028" s="243">
        <v>2.5479999999999999E-2</v>
      </c>
      <c r="L1028" s="243">
        <v>4.3520000000000003E-2</v>
      </c>
    </row>
    <row r="1029" spans="1:12" ht="26.4" customHeight="1">
      <c r="A1029" s="288">
        <v>103</v>
      </c>
      <c r="B1029" s="523"/>
      <c r="C1029" s="288" t="s">
        <v>1210</v>
      </c>
      <c r="D1029" s="289" t="s">
        <v>2117</v>
      </c>
      <c r="E1029" s="289" t="s">
        <v>928</v>
      </c>
      <c r="F1029" s="218">
        <v>31919</v>
      </c>
      <c r="G1029" s="237" t="s">
        <v>1569</v>
      </c>
      <c r="H1029" s="475" t="s">
        <v>1138</v>
      </c>
      <c r="I1029" s="478">
        <v>1</v>
      </c>
      <c r="J1029" s="243">
        <v>0.1</v>
      </c>
      <c r="K1029" s="243">
        <v>9.0469999999999995E-2</v>
      </c>
      <c r="L1029" s="243">
        <v>9.5300000000000003E-3</v>
      </c>
    </row>
    <row r="1030" spans="1:12" ht="26.4" customHeight="1">
      <c r="A1030" s="288">
        <v>104</v>
      </c>
      <c r="B1030" s="523"/>
      <c r="C1030" s="288" t="s">
        <v>1210</v>
      </c>
      <c r="D1030" s="289" t="s">
        <v>2117</v>
      </c>
      <c r="E1030" s="289" t="s">
        <v>1255</v>
      </c>
      <c r="F1030" s="218">
        <v>31920</v>
      </c>
      <c r="G1030" s="237" t="s">
        <v>1569</v>
      </c>
      <c r="H1030" s="475" t="s">
        <v>631</v>
      </c>
      <c r="I1030" s="478">
        <v>65</v>
      </c>
      <c r="J1030" s="243">
        <v>59.065519999999999</v>
      </c>
      <c r="K1030" s="243">
        <v>21.062480000000001</v>
      </c>
      <c r="L1030" s="243">
        <v>38.003039999999999</v>
      </c>
    </row>
    <row r="1031" spans="1:12" ht="26.4" customHeight="1">
      <c r="A1031" s="288">
        <v>105</v>
      </c>
      <c r="B1031" s="523"/>
      <c r="C1031" s="288" t="s">
        <v>1210</v>
      </c>
      <c r="D1031" s="289" t="s">
        <v>2117</v>
      </c>
      <c r="E1031" s="289" t="s">
        <v>1921</v>
      </c>
      <c r="F1031" s="218">
        <v>31926</v>
      </c>
      <c r="G1031" s="237" t="s">
        <v>1576</v>
      </c>
      <c r="H1031" s="475" t="s">
        <v>631</v>
      </c>
      <c r="I1031" s="478">
        <v>74.5</v>
      </c>
      <c r="J1031" s="243">
        <v>46.391359999999999</v>
      </c>
      <c r="K1031" s="243">
        <v>19.7166</v>
      </c>
      <c r="L1031" s="243">
        <v>26.674759999999999</v>
      </c>
    </row>
    <row r="1032" spans="1:12" ht="26.4" customHeight="1">
      <c r="A1032" s="288">
        <v>106</v>
      </c>
      <c r="B1032" s="523"/>
      <c r="C1032" s="288" t="s">
        <v>1210</v>
      </c>
      <c r="D1032" s="289" t="s">
        <v>2117</v>
      </c>
      <c r="E1032" s="289" t="s">
        <v>1919</v>
      </c>
      <c r="F1032" s="218">
        <v>37014</v>
      </c>
      <c r="G1032" s="237" t="s">
        <v>1571</v>
      </c>
      <c r="H1032" s="475" t="s">
        <v>631</v>
      </c>
      <c r="I1032" s="478">
        <v>31.5</v>
      </c>
      <c r="J1032" s="243">
        <v>30.403390000000002</v>
      </c>
      <c r="K1032" s="243">
        <v>7.2964799999999999</v>
      </c>
      <c r="L1032" s="243">
        <v>23.106909999999999</v>
      </c>
    </row>
    <row r="1033" spans="1:12" ht="26.4" customHeight="1">
      <c r="A1033" s="288">
        <v>107</v>
      </c>
      <c r="B1033" s="523"/>
      <c r="C1033" s="288" t="s">
        <v>1210</v>
      </c>
      <c r="D1033" s="289" t="s">
        <v>2117</v>
      </c>
      <c r="E1033" s="289" t="s">
        <v>1919</v>
      </c>
      <c r="F1033" s="218">
        <v>41190</v>
      </c>
      <c r="G1033" s="237" t="s">
        <v>1562</v>
      </c>
      <c r="H1033" s="475" t="s">
        <v>631</v>
      </c>
      <c r="I1033" s="478">
        <v>88.8</v>
      </c>
      <c r="J1033" s="243">
        <v>260.86678999999998</v>
      </c>
      <c r="K1033" s="243">
        <v>45.905479999999997</v>
      </c>
      <c r="L1033" s="243">
        <v>214.96131</v>
      </c>
    </row>
    <row r="1034" spans="1:12" ht="26.4" customHeight="1">
      <c r="A1034" s="288">
        <v>108</v>
      </c>
      <c r="B1034" s="523"/>
      <c r="C1034" s="288" t="s">
        <v>1210</v>
      </c>
      <c r="D1034" s="289" t="s">
        <v>2117</v>
      </c>
      <c r="E1034" s="289" t="s">
        <v>1919</v>
      </c>
      <c r="F1034" s="218">
        <v>93101</v>
      </c>
      <c r="G1034" s="237" t="s">
        <v>1567</v>
      </c>
      <c r="H1034" s="475" t="s">
        <v>631</v>
      </c>
      <c r="I1034" s="478">
        <v>107</v>
      </c>
      <c r="J1034" s="243">
        <v>96.720070000000007</v>
      </c>
      <c r="K1034" s="243">
        <v>52.389780000000002</v>
      </c>
      <c r="L1034" s="243">
        <v>44.330289999999998</v>
      </c>
    </row>
    <row r="1035" spans="1:12" ht="26.4" customHeight="1">
      <c r="A1035" s="288">
        <v>109</v>
      </c>
      <c r="B1035" s="523"/>
      <c r="C1035" s="288" t="s">
        <v>1210</v>
      </c>
      <c r="D1035" s="289" t="s">
        <v>1462</v>
      </c>
      <c r="E1035" s="289" t="s">
        <v>2232</v>
      </c>
      <c r="F1035" s="218">
        <v>2016</v>
      </c>
      <c r="G1035" s="237" t="s">
        <v>1529</v>
      </c>
      <c r="H1035" s="475" t="s">
        <v>1149</v>
      </c>
      <c r="I1035" s="207">
        <v>341.1</v>
      </c>
      <c r="J1035" s="243">
        <v>1139.2618299999999</v>
      </c>
      <c r="K1035" s="243">
        <v>818.61046999999996</v>
      </c>
      <c r="L1035" s="243">
        <v>320.65136000000001</v>
      </c>
    </row>
    <row r="1036" spans="1:12" ht="26.4" customHeight="1">
      <c r="A1036" s="288">
        <v>110</v>
      </c>
      <c r="B1036" s="523"/>
      <c r="C1036" s="288" t="s">
        <v>1210</v>
      </c>
      <c r="D1036" s="289" t="s">
        <v>1462</v>
      </c>
      <c r="E1036" s="289" t="s">
        <v>1919</v>
      </c>
      <c r="F1036" s="218">
        <v>1018</v>
      </c>
      <c r="G1036" s="237" t="s">
        <v>1529</v>
      </c>
      <c r="H1036" s="475" t="s">
        <v>631</v>
      </c>
      <c r="I1036" s="478">
        <v>302</v>
      </c>
      <c r="J1036" s="243">
        <v>20.451440000000002</v>
      </c>
      <c r="K1036" s="243">
        <v>17.644639999999999</v>
      </c>
      <c r="L1036" s="243">
        <v>2.8068</v>
      </c>
    </row>
    <row r="1037" spans="1:12" ht="26.4" customHeight="1">
      <c r="A1037" s="288">
        <v>111</v>
      </c>
      <c r="B1037" s="523"/>
      <c r="C1037" s="288" t="s">
        <v>1210</v>
      </c>
      <c r="D1037" s="289" t="s">
        <v>1462</v>
      </c>
      <c r="E1037" s="289" t="s">
        <v>1919</v>
      </c>
      <c r="F1037" s="218">
        <v>1022</v>
      </c>
      <c r="G1037" s="237" t="s">
        <v>1529</v>
      </c>
      <c r="H1037" s="475" t="s">
        <v>631</v>
      </c>
      <c r="I1037" s="478">
        <v>90</v>
      </c>
      <c r="J1037" s="243">
        <v>6.0948000000000002</v>
      </c>
      <c r="K1037" s="243">
        <v>5.2583099999999998</v>
      </c>
      <c r="L1037" s="243">
        <v>0.83648999999999996</v>
      </c>
    </row>
    <row r="1038" spans="1:12" ht="26.4" customHeight="1">
      <c r="A1038" s="288">
        <v>112</v>
      </c>
      <c r="B1038" s="523"/>
      <c r="C1038" s="288" t="s">
        <v>1210</v>
      </c>
      <c r="D1038" s="289" t="s">
        <v>1462</v>
      </c>
      <c r="E1038" s="289" t="s">
        <v>1919</v>
      </c>
      <c r="F1038" s="218">
        <v>1023</v>
      </c>
      <c r="G1038" s="237" t="s">
        <v>1529</v>
      </c>
      <c r="H1038" s="475" t="s">
        <v>631</v>
      </c>
      <c r="I1038" s="478">
        <v>124</v>
      </c>
      <c r="J1038" s="243">
        <v>8.3972800000000003</v>
      </c>
      <c r="K1038" s="243">
        <v>7.2448100000000002</v>
      </c>
      <c r="L1038" s="243">
        <v>1.1524700000000001</v>
      </c>
    </row>
    <row r="1039" spans="1:12" ht="26.4" customHeight="1">
      <c r="A1039" s="288">
        <v>113</v>
      </c>
      <c r="B1039" s="523"/>
      <c r="C1039" s="288" t="s">
        <v>1210</v>
      </c>
      <c r="D1039" s="289" t="s">
        <v>1462</v>
      </c>
      <c r="E1039" s="289" t="s">
        <v>1919</v>
      </c>
      <c r="F1039" s="218">
        <v>1024</v>
      </c>
      <c r="G1039" s="237" t="s">
        <v>1529</v>
      </c>
      <c r="H1039" s="475" t="s">
        <v>631</v>
      </c>
      <c r="I1039" s="478">
        <v>60</v>
      </c>
      <c r="J1039" s="243">
        <v>4.0632000000000001</v>
      </c>
      <c r="K1039" s="243">
        <v>3.5055299999999998</v>
      </c>
      <c r="L1039" s="243">
        <v>0.55767</v>
      </c>
    </row>
    <row r="1040" spans="1:12" ht="26.4" customHeight="1">
      <c r="A1040" s="288">
        <v>114</v>
      </c>
      <c r="B1040" s="523"/>
      <c r="C1040" s="288" t="s">
        <v>1210</v>
      </c>
      <c r="D1040" s="289" t="s">
        <v>1462</v>
      </c>
      <c r="E1040" s="289" t="s">
        <v>1919</v>
      </c>
      <c r="F1040" s="218">
        <v>1025</v>
      </c>
      <c r="G1040" s="237" t="s">
        <v>1529</v>
      </c>
      <c r="H1040" s="475" t="s">
        <v>631</v>
      </c>
      <c r="I1040" s="478">
        <v>114</v>
      </c>
      <c r="J1040" s="243">
        <v>7.7200800000000003</v>
      </c>
      <c r="K1040" s="243">
        <v>6.6605699999999999</v>
      </c>
      <c r="L1040" s="243">
        <v>1.05951</v>
      </c>
    </row>
    <row r="1041" spans="1:12" ht="26.4" customHeight="1">
      <c r="A1041" s="288">
        <v>115</v>
      </c>
      <c r="B1041" s="523"/>
      <c r="C1041" s="288" t="s">
        <v>1210</v>
      </c>
      <c r="D1041" s="289" t="s">
        <v>1462</v>
      </c>
      <c r="E1041" s="289" t="s">
        <v>1919</v>
      </c>
      <c r="F1041" s="218">
        <v>1026</v>
      </c>
      <c r="G1041" s="237" t="s">
        <v>1529</v>
      </c>
      <c r="H1041" s="475" t="s">
        <v>631</v>
      </c>
      <c r="I1041" s="478">
        <v>288</v>
      </c>
      <c r="J1041" s="243">
        <v>19.503360000000001</v>
      </c>
      <c r="K1041" s="243">
        <v>16.826789999999999</v>
      </c>
      <c r="L1041" s="243">
        <v>2.6765699999999999</v>
      </c>
    </row>
    <row r="1042" spans="1:12" ht="26.4" customHeight="1">
      <c r="A1042" s="288">
        <v>116</v>
      </c>
      <c r="B1042" s="523"/>
      <c r="C1042" s="288" t="s">
        <v>1210</v>
      </c>
      <c r="D1042" s="289" t="s">
        <v>1462</v>
      </c>
      <c r="E1042" s="289" t="s">
        <v>1919</v>
      </c>
      <c r="F1042" s="218">
        <v>1027</v>
      </c>
      <c r="G1042" s="237" t="s">
        <v>1529</v>
      </c>
      <c r="H1042" s="475" t="s">
        <v>631</v>
      </c>
      <c r="I1042" s="478">
        <v>26</v>
      </c>
      <c r="J1042" s="243">
        <v>1.7607200000000001</v>
      </c>
      <c r="K1042" s="243">
        <v>1.51912</v>
      </c>
      <c r="L1042" s="243">
        <v>0.24160000000000001</v>
      </c>
    </row>
    <row r="1043" spans="1:12" ht="26.4" customHeight="1">
      <c r="A1043" s="288">
        <v>117</v>
      </c>
      <c r="B1043" s="523"/>
      <c r="C1043" s="288" t="s">
        <v>1210</v>
      </c>
      <c r="D1043" s="289" t="s">
        <v>1462</v>
      </c>
      <c r="E1043" s="289" t="s">
        <v>1919</v>
      </c>
      <c r="F1043" s="218">
        <v>1028</v>
      </c>
      <c r="G1043" s="237" t="s">
        <v>1529</v>
      </c>
      <c r="H1043" s="475" t="s">
        <v>631</v>
      </c>
      <c r="I1043" s="478">
        <v>30</v>
      </c>
      <c r="J1043" s="243">
        <v>2.0316000000000001</v>
      </c>
      <c r="K1043" s="243">
        <v>1.75282</v>
      </c>
      <c r="L1043" s="243">
        <v>0.27877999999999997</v>
      </c>
    </row>
    <row r="1044" spans="1:12" ht="26.4" customHeight="1">
      <c r="A1044" s="288">
        <v>118</v>
      </c>
      <c r="B1044" s="523"/>
      <c r="C1044" s="288" t="s">
        <v>1210</v>
      </c>
      <c r="D1044" s="289" t="s">
        <v>1462</v>
      </c>
      <c r="E1044" s="289" t="s">
        <v>1919</v>
      </c>
      <c r="F1044" s="218">
        <v>1029</v>
      </c>
      <c r="G1044" s="237" t="s">
        <v>1529</v>
      </c>
      <c r="H1044" s="475" t="s">
        <v>631</v>
      </c>
      <c r="I1044" s="478">
        <v>130</v>
      </c>
      <c r="J1044" s="243">
        <v>8.8035999999999994</v>
      </c>
      <c r="K1044" s="243">
        <v>7.5953799999999996</v>
      </c>
      <c r="L1044" s="243">
        <v>1.2082200000000001</v>
      </c>
    </row>
    <row r="1045" spans="1:12" ht="26.4" customHeight="1">
      <c r="A1045" s="288">
        <v>119</v>
      </c>
      <c r="B1045" s="523"/>
      <c r="C1045" s="288" t="s">
        <v>1210</v>
      </c>
      <c r="D1045" s="289" t="s">
        <v>1462</v>
      </c>
      <c r="E1045" s="289" t="s">
        <v>1919</v>
      </c>
      <c r="F1045" s="218">
        <v>1030</v>
      </c>
      <c r="G1045" s="237" t="s">
        <v>1529</v>
      </c>
      <c r="H1045" s="475" t="s">
        <v>631</v>
      </c>
      <c r="I1045" s="478">
        <v>67.5</v>
      </c>
      <c r="J1045" s="243">
        <v>4.5711000000000004</v>
      </c>
      <c r="K1045" s="243">
        <v>3.9438300000000002</v>
      </c>
      <c r="L1045" s="243">
        <v>0.62726999999999999</v>
      </c>
    </row>
    <row r="1046" spans="1:12" ht="26.4" customHeight="1">
      <c r="A1046" s="288">
        <v>120</v>
      </c>
      <c r="B1046" s="523"/>
      <c r="C1046" s="288" t="s">
        <v>1210</v>
      </c>
      <c r="D1046" s="289" t="s">
        <v>1462</v>
      </c>
      <c r="E1046" s="289" t="s">
        <v>1919</v>
      </c>
      <c r="F1046" s="218">
        <v>2009</v>
      </c>
      <c r="G1046" s="237" t="s">
        <v>1529</v>
      </c>
      <c r="H1046" s="475" t="s">
        <v>631</v>
      </c>
      <c r="I1046" s="478">
        <v>41</v>
      </c>
      <c r="J1046" s="243">
        <v>2.7765200000000001</v>
      </c>
      <c r="K1046" s="243">
        <v>0.33337</v>
      </c>
      <c r="L1046" s="243">
        <v>2.4431500000000002</v>
      </c>
    </row>
    <row r="1047" spans="1:12" ht="26.4" customHeight="1">
      <c r="A1047" s="288">
        <v>121</v>
      </c>
      <c r="B1047" s="523"/>
      <c r="C1047" s="288" t="s">
        <v>1210</v>
      </c>
      <c r="D1047" s="289" t="s">
        <v>1462</v>
      </c>
      <c r="E1047" s="289" t="s">
        <v>1919</v>
      </c>
      <c r="F1047" s="218">
        <v>2010</v>
      </c>
      <c r="G1047" s="237" t="s">
        <v>1529</v>
      </c>
      <c r="H1047" s="475" t="s">
        <v>631</v>
      </c>
      <c r="I1047" s="478">
        <v>13</v>
      </c>
      <c r="J1047" s="243">
        <v>0.88378999999999996</v>
      </c>
      <c r="K1047" s="243">
        <v>0.58606999999999998</v>
      </c>
      <c r="L1047" s="243">
        <v>0.29771999999999998</v>
      </c>
    </row>
    <row r="1048" spans="1:12" ht="26.4" customHeight="1">
      <c r="A1048" s="288">
        <v>122</v>
      </c>
      <c r="B1048" s="523"/>
      <c r="C1048" s="288" t="s">
        <v>1210</v>
      </c>
      <c r="D1048" s="289" t="s">
        <v>1462</v>
      </c>
      <c r="E1048" s="289" t="s">
        <v>1919</v>
      </c>
      <c r="F1048" s="218">
        <v>20002</v>
      </c>
      <c r="G1048" s="237" t="s">
        <v>1576</v>
      </c>
      <c r="H1048" s="475" t="s">
        <v>631</v>
      </c>
      <c r="I1048" s="478">
        <v>145</v>
      </c>
      <c r="J1048" s="243">
        <v>87.670019999999994</v>
      </c>
      <c r="K1048" s="243">
        <v>36.894289999999998</v>
      </c>
      <c r="L1048" s="243">
        <v>50.775730000000003</v>
      </c>
    </row>
    <row r="1049" spans="1:12" ht="26.4" customHeight="1">
      <c r="A1049" s="288">
        <v>123</v>
      </c>
      <c r="B1049" s="523"/>
      <c r="C1049" s="288" t="s">
        <v>1210</v>
      </c>
      <c r="D1049" s="289" t="s">
        <v>1462</v>
      </c>
      <c r="E1049" s="289" t="s">
        <v>1919</v>
      </c>
      <c r="F1049" s="218">
        <v>20004</v>
      </c>
      <c r="G1049" s="237" t="s">
        <v>1576</v>
      </c>
      <c r="H1049" s="475" t="s">
        <v>631</v>
      </c>
      <c r="I1049" s="478">
        <v>43</v>
      </c>
      <c r="J1049" s="243">
        <v>36.772120000000001</v>
      </c>
      <c r="K1049" s="243">
        <v>15.628439999999999</v>
      </c>
      <c r="L1049" s="243">
        <v>21.14368</v>
      </c>
    </row>
    <row r="1050" spans="1:12" ht="26.4" customHeight="1">
      <c r="A1050" s="288">
        <v>124</v>
      </c>
      <c r="B1050" s="523"/>
      <c r="C1050" s="288" t="s">
        <v>1210</v>
      </c>
      <c r="D1050" s="289" t="s">
        <v>1462</v>
      </c>
      <c r="E1050" s="289" t="s">
        <v>1919</v>
      </c>
      <c r="F1050" s="218">
        <v>20005</v>
      </c>
      <c r="G1050" s="237" t="s">
        <v>1576</v>
      </c>
      <c r="H1050" s="475" t="s">
        <v>631</v>
      </c>
      <c r="I1050" s="478">
        <v>18</v>
      </c>
      <c r="J1050" s="243">
        <v>15.39298</v>
      </c>
      <c r="K1050" s="243">
        <v>6.5422799999999999</v>
      </c>
      <c r="L1050" s="243">
        <v>8.8506999999999998</v>
      </c>
    </row>
    <row r="1051" spans="1:12" ht="26.4" customHeight="1">
      <c r="A1051" s="288">
        <v>125</v>
      </c>
      <c r="B1051" s="523"/>
      <c r="C1051" s="288" t="s">
        <v>1210</v>
      </c>
      <c r="D1051" s="289" t="s">
        <v>1462</v>
      </c>
      <c r="E1051" s="289" t="s">
        <v>1919</v>
      </c>
      <c r="F1051" s="218">
        <v>20006</v>
      </c>
      <c r="G1051" s="237" t="s">
        <v>1576</v>
      </c>
      <c r="H1051" s="475" t="s">
        <v>631</v>
      </c>
      <c r="I1051" s="478">
        <v>124</v>
      </c>
      <c r="J1051" s="243">
        <v>122.47447</v>
      </c>
      <c r="K1051" s="243">
        <v>51.030999999999999</v>
      </c>
      <c r="L1051" s="243">
        <v>71.443470000000005</v>
      </c>
    </row>
    <row r="1052" spans="1:12" ht="26.4" customHeight="1">
      <c r="A1052" s="288">
        <v>126</v>
      </c>
      <c r="B1052" s="523"/>
      <c r="C1052" s="288" t="s">
        <v>1210</v>
      </c>
      <c r="D1052" s="289" t="s">
        <v>1462</v>
      </c>
      <c r="E1052" s="289" t="s">
        <v>1919</v>
      </c>
      <c r="F1052" s="218">
        <v>20007</v>
      </c>
      <c r="G1052" s="237" t="s">
        <v>1576</v>
      </c>
      <c r="H1052" s="475" t="s">
        <v>631</v>
      </c>
      <c r="I1052" s="478">
        <v>31</v>
      </c>
      <c r="J1052" s="243">
        <v>14.57835</v>
      </c>
      <c r="K1052" s="243">
        <v>6.0132599999999998</v>
      </c>
      <c r="L1052" s="243">
        <v>8.5650899999999996</v>
      </c>
    </row>
    <row r="1053" spans="1:12" ht="26.4" customHeight="1">
      <c r="A1053" s="288">
        <v>127</v>
      </c>
      <c r="B1053" s="523"/>
      <c r="C1053" s="288" t="s">
        <v>1210</v>
      </c>
      <c r="D1053" s="289" t="s">
        <v>1462</v>
      </c>
      <c r="E1053" s="289" t="s">
        <v>1919</v>
      </c>
      <c r="F1053" s="218">
        <v>20118</v>
      </c>
      <c r="G1053" s="237" t="s">
        <v>1571</v>
      </c>
      <c r="H1053" s="475" t="s">
        <v>631</v>
      </c>
      <c r="I1053" s="478">
        <v>88</v>
      </c>
      <c r="J1053" s="243">
        <v>173.45078000000001</v>
      </c>
      <c r="K1053" s="243">
        <v>40.953850000000003</v>
      </c>
      <c r="L1053" s="243">
        <v>132.49692999999999</v>
      </c>
    </row>
    <row r="1054" spans="1:12" ht="26.4" customHeight="1">
      <c r="A1054" s="288">
        <v>128</v>
      </c>
      <c r="B1054" s="523"/>
      <c r="C1054" s="288" t="s">
        <v>1210</v>
      </c>
      <c r="D1054" s="289" t="s">
        <v>1462</v>
      </c>
      <c r="E1054" s="289" t="s">
        <v>1919</v>
      </c>
      <c r="F1054" s="218">
        <v>21022</v>
      </c>
      <c r="G1054" s="237" t="s">
        <v>1547</v>
      </c>
      <c r="H1054" s="475" t="s">
        <v>631</v>
      </c>
      <c r="I1054" s="478">
        <v>67.5</v>
      </c>
      <c r="J1054" s="243">
        <v>162.66367</v>
      </c>
      <c r="K1054" s="243">
        <v>34.339840000000002</v>
      </c>
      <c r="L1054" s="243">
        <v>128.32382999999999</v>
      </c>
    </row>
    <row r="1055" spans="1:12" ht="26.4" customHeight="1">
      <c r="A1055" s="288">
        <v>129</v>
      </c>
      <c r="B1055" s="523"/>
      <c r="C1055" s="288" t="s">
        <v>1210</v>
      </c>
      <c r="D1055" s="289" t="s">
        <v>1462</v>
      </c>
      <c r="E1055" s="289" t="s">
        <v>1212</v>
      </c>
      <c r="F1055" s="218">
        <v>22001</v>
      </c>
      <c r="G1055" s="237" t="s">
        <v>1570</v>
      </c>
      <c r="H1055" s="475" t="s">
        <v>1138</v>
      </c>
      <c r="I1055" s="478">
        <v>1</v>
      </c>
      <c r="J1055" s="243">
        <v>5.8000000000000003E-2</v>
      </c>
      <c r="K1055" s="243">
        <v>2.0400000000000001E-2</v>
      </c>
      <c r="L1055" s="243">
        <v>3.7600000000000001E-2</v>
      </c>
    </row>
    <row r="1056" spans="1:12" ht="26.4" customHeight="1">
      <c r="A1056" s="288">
        <v>130</v>
      </c>
      <c r="B1056" s="523"/>
      <c r="C1056" s="288" t="s">
        <v>1210</v>
      </c>
      <c r="D1056" s="289" t="s">
        <v>1462</v>
      </c>
      <c r="E1056" s="289" t="s">
        <v>1247</v>
      </c>
      <c r="F1056" s="218">
        <v>22002</v>
      </c>
      <c r="G1056" s="237" t="s">
        <v>1570</v>
      </c>
      <c r="H1056" s="475" t="s">
        <v>1138</v>
      </c>
      <c r="I1056" s="478">
        <v>1</v>
      </c>
      <c r="J1056" s="243">
        <v>4.7E-2</v>
      </c>
      <c r="K1056" s="243">
        <v>1.7000000000000001E-2</v>
      </c>
      <c r="L1056" s="243">
        <v>0.03</v>
      </c>
    </row>
    <row r="1057" spans="1:12" ht="26.4" customHeight="1">
      <c r="A1057" s="288">
        <v>131</v>
      </c>
      <c r="B1057" s="523"/>
      <c r="C1057" s="288" t="s">
        <v>1210</v>
      </c>
      <c r="D1057" s="289" t="s">
        <v>1462</v>
      </c>
      <c r="E1057" s="289" t="s">
        <v>1215</v>
      </c>
      <c r="F1057" s="218">
        <v>41226</v>
      </c>
      <c r="G1057" s="237" t="s">
        <v>1562</v>
      </c>
      <c r="H1057" s="475" t="s">
        <v>1138</v>
      </c>
      <c r="I1057" s="478">
        <v>1</v>
      </c>
      <c r="J1057" s="243">
        <v>227.24483000000001</v>
      </c>
      <c r="K1057" s="243">
        <v>47.142189999999999</v>
      </c>
      <c r="L1057" s="243">
        <v>180.10264000000001</v>
      </c>
    </row>
    <row r="1058" spans="1:12" ht="26.4" customHeight="1">
      <c r="A1058" s="288">
        <v>132</v>
      </c>
      <c r="B1058" s="523"/>
      <c r="C1058" s="288" t="s">
        <v>1210</v>
      </c>
      <c r="D1058" s="289" t="s">
        <v>1463</v>
      </c>
      <c r="E1058" s="289" t="s">
        <v>458</v>
      </c>
      <c r="F1058" s="218">
        <v>3051</v>
      </c>
      <c r="G1058" s="237" t="s">
        <v>1578</v>
      </c>
      <c r="H1058" s="475" t="s">
        <v>1149</v>
      </c>
      <c r="I1058" s="207">
        <v>1037.2</v>
      </c>
      <c r="J1058" s="243">
        <v>2425.4281099999998</v>
      </c>
      <c r="K1058" s="243">
        <v>1559.36565</v>
      </c>
      <c r="L1058" s="243">
        <v>866.06245999999999</v>
      </c>
    </row>
    <row r="1059" spans="1:12" ht="26.4" customHeight="1">
      <c r="A1059" s="288">
        <v>133</v>
      </c>
      <c r="B1059" s="523"/>
      <c r="C1059" s="288" t="s">
        <v>1210</v>
      </c>
      <c r="D1059" s="289" t="s">
        <v>1463</v>
      </c>
      <c r="E1059" s="289" t="s">
        <v>1920</v>
      </c>
      <c r="F1059" s="218">
        <v>1031</v>
      </c>
      <c r="G1059" s="237" t="s">
        <v>1578</v>
      </c>
      <c r="H1059" s="475" t="s">
        <v>631</v>
      </c>
      <c r="I1059" s="478">
        <v>330</v>
      </c>
      <c r="J1059" s="243">
        <v>32.135399999999997</v>
      </c>
      <c r="K1059" s="243">
        <v>25.656120000000001</v>
      </c>
      <c r="L1059" s="243">
        <v>6.4792800000000002</v>
      </c>
    </row>
    <row r="1060" spans="1:12" ht="26.4" customHeight="1">
      <c r="A1060" s="288">
        <v>134</v>
      </c>
      <c r="B1060" s="523"/>
      <c r="C1060" s="288" t="s">
        <v>1210</v>
      </c>
      <c r="D1060" s="289" t="s">
        <v>1464</v>
      </c>
      <c r="E1060" s="289" t="s">
        <v>1920</v>
      </c>
      <c r="F1060" s="218">
        <v>1032</v>
      </c>
      <c r="G1060" s="237" t="s">
        <v>1578</v>
      </c>
      <c r="H1060" s="475" t="s">
        <v>631</v>
      </c>
      <c r="I1060" s="478">
        <v>50</v>
      </c>
      <c r="J1060" s="243">
        <v>4.8689999999999998</v>
      </c>
      <c r="K1060" s="243">
        <v>3.8952900000000001</v>
      </c>
      <c r="L1060" s="243">
        <v>0.97370999999999996</v>
      </c>
    </row>
    <row r="1061" spans="1:12" ht="26.4" customHeight="1">
      <c r="A1061" s="288">
        <v>135</v>
      </c>
      <c r="B1061" s="523"/>
      <c r="C1061" s="288" t="s">
        <v>1210</v>
      </c>
      <c r="D1061" s="289" t="s">
        <v>1464</v>
      </c>
      <c r="E1061" s="289" t="s">
        <v>1920</v>
      </c>
      <c r="F1061" s="218">
        <v>1033</v>
      </c>
      <c r="G1061" s="237" t="s">
        <v>1578</v>
      </c>
      <c r="H1061" s="475" t="s">
        <v>631</v>
      </c>
      <c r="I1061" s="478">
        <v>220</v>
      </c>
      <c r="J1061" s="243">
        <v>21.4236</v>
      </c>
      <c r="K1061" s="243">
        <v>17.103339999999999</v>
      </c>
      <c r="L1061" s="243">
        <v>4.3202600000000002</v>
      </c>
    </row>
    <row r="1062" spans="1:12" ht="26.4" customHeight="1">
      <c r="A1062" s="288">
        <v>136</v>
      </c>
      <c r="B1062" s="523"/>
      <c r="C1062" s="288" t="s">
        <v>1210</v>
      </c>
      <c r="D1062" s="289" t="s">
        <v>1464</v>
      </c>
      <c r="E1062" s="289" t="s">
        <v>1920</v>
      </c>
      <c r="F1062" s="218">
        <v>1034</v>
      </c>
      <c r="G1062" s="237" t="s">
        <v>1578</v>
      </c>
      <c r="H1062" s="475" t="s">
        <v>631</v>
      </c>
      <c r="I1062" s="478">
        <v>374</v>
      </c>
      <c r="J1062" s="243">
        <v>36.420119999999997</v>
      </c>
      <c r="K1062" s="243">
        <v>29.07572</v>
      </c>
      <c r="L1062" s="243">
        <v>7.3444000000000003</v>
      </c>
    </row>
    <row r="1063" spans="1:12" ht="26.4" customHeight="1">
      <c r="A1063" s="288">
        <v>137</v>
      </c>
      <c r="B1063" s="523"/>
      <c r="C1063" s="288" t="s">
        <v>1210</v>
      </c>
      <c r="D1063" s="289" t="s">
        <v>1464</v>
      </c>
      <c r="E1063" s="289" t="s">
        <v>1920</v>
      </c>
      <c r="F1063" s="218">
        <v>1035</v>
      </c>
      <c r="G1063" s="237" t="s">
        <v>1578</v>
      </c>
      <c r="H1063" s="475" t="s">
        <v>631</v>
      </c>
      <c r="I1063" s="478">
        <v>388</v>
      </c>
      <c r="J1063" s="243">
        <v>37.783439999999999</v>
      </c>
      <c r="K1063" s="243">
        <v>30.16413</v>
      </c>
      <c r="L1063" s="243">
        <v>7.6193099999999996</v>
      </c>
    </row>
    <row r="1064" spans="1:12" ht="26.4" customHeight="1">
      <c r="A1064" s="288">
        <v>138</v>
      </c>
      <c r="B1064" s="523"/>
      <c r="C1064" s="288" t="s">
        <v>1210</v>
      </c>
      <c r="D1064" s="289" t="s">
        <v>1987</v>
      </c>
      <c r="E1064" s="289" t="s">
        <v>1920</v>
      </c>
      <c r="F1064" s="218">
        <v>1036</v>
      </c>
      <c r="G1064" s="237" t="s">
        <v>1578</v>
      </c>
      <c r="H1064" s="475" t="s">
        <v>631</v>
      </c>
      <c r="I1064" s="478">
        <v>52</v>
      </c>
      <c r="J1064" s="243">
        <v>5.0637600000000003</v>
      </c>
      <c r="K1064" s="243">
        <v>4.0426599999999997</v>
      </c>
      <c r="L1064" s="243">
        <v>1.0210999999999999</v>
      </c>
    </row>
    <row r="1065" spans="1:12" ht="26.4" customHeight="1">
      <c r="A1065" s="288">
        <v>139</v>
      </c>
      <c r="B1065" s="523"/>
      <c r="C1065" s="288" t="s">
        <v>1210</v>
      </c>
      <c r="D1065" s="289" t="s">
        <v>1464</v>
      </c>
      <c r="E1065" s="289" t="s">
        <v>1920</v>
      </c>
      <c r="F1065" s="218">
        <v>1037</v>
      </c>
      <c r="G1065" s="237" t="s">
        <v>1578</v>
      </c>
      <c r="H1065" s="475" t="s">
        <v>631</v>
      </c>
      <c r="I1065" s="478">
        <v>50</v>
      </c>
      <c r="J1065" s="243">
        <v>4.8689999999999998</v>
      </c>
      <c r="K1065" s="243">
        <v>3.8871699999999998</v>
      </c>
      <c r="L1065" s="243">
        <v>0.98182999999999998</v>
      </c>
    </row>
    <row r="1066" spans="1:12" ht="26.4" customHeight="1">
      <c r="A1066" s="288">
        <v>140</v>
      </c>
      <c r="B1066" s="523"/>
      <c r="C1066" s="288" t="s">
        <v>1210</v>
      </c>
      <c r="D1066" s="289" t="s">
        <v>1464</v>
      </c>
      <c r="E1066" s="289" t="s">
        <v>1919</v>
      </c>
      <c r="F1066" s="218">
        <v>1038</v>
      </c>
      <c r="G1066" s="237" t="s">
        <v>1578</v>
      </c>
      <c r="H1066" s="475" t="s">
        <v>631</v>
      </c>
      <c r="I1066" s="478">
        <v>148</v>
      </c>
      <c r="J1066" s="243">
        <v>14.412240000000001</v>
      </c>
      <c r="K1066" s="243">
        <v>11.50592</v>
      </c>
      <c r="L1066" s="243">
        <v>2.90632</v>
      </c>
    </row>
    <row r="1067" spans="1:12" ht="26.4" customHeight="1">
      <c r="A1067" s="288">
        <v>141</v>
      </c>
      <c r="B1067" s="523"/>
      <c r="C1067" s="288" t="s">
        <v>1210</v>
      </c>
      <c r="D1067" s="289" t="s">
        <v>1464</v>
      </c>
      <c r="E1067" s="289" t="s">
        <v>1919</v>
      </c>
      <c r="F1067" s="218">
        <v>1039</v>
      </c>
      <c r="G1067" s="237" t="s">
        <v>1578</v>
      </c>
      <c r="H1067" s="475" t="s">
        <v>631</v>
      </c>
      <c r="I1067" s="478">
        <v>120</v>
      </c>
      <c r="J1067" s="243">
        <v>11.685600000000001</v>
      </c>
      <c r="K1067" s="243">
        <v>9.32911</v>
      </c>
      <c r="L1067" s="243">
        <v>2.35649</v>
      </c>
    </row>
    <row r="1068" spans="1:12" ht="26.4" customHeight="1">
      <c r="A1068" s="288">
        <v>142</v>
      </c>
      <c r="B1068" s="523"/>
      <c r="C1068" s="288" t="s">
        <v>1210</v>
      </c>
      <c r="D1068" s="289" t="s">
        <v>1464</v>
      </c>
      <c r="E1068" s="289" t="s">
        <v>1919</v>
      </c>
      <c r="F1068" s="218">
        <v>1040</v>
      </c>
      <c r="G1068" s="237" t="s">
        <v>1578</v>
      </c>
      <c r="H1068" s="475" t="s">
        <v>631</v>
      </c>
      <c r="I1068" s="478">
        <v>492</v>
      </c>
      <c r="J1068" s="243">
        <v>47.910960000000003</v>
      </c>
      <c r="K1068" s="243">
        <v>38.249339999999997</v>
      </c>
      <c r="L1068" s="243">
        <v>9.6616199999999992</v>
      </c>
    </row>
    <row r="1069" spans="1:12" ht="26.4" customHeight="1">
      <c r="A1069" s="288">
        <v>143</v>
      </c>
      <c r="B1069" s="523"/>
      <c r="C1069" s="288" t="s">
        <v>1210</v>
      </c>
      <c r="D1069" s="289" t="s">
        <v>1464</v>
      </c>
      <c r="E1069" s="289" t="s">
        <v>1919</v>
      </c>
      <c r="F1069" s="218">
        <v>1041</v>
      </c>
      <c r="G1069" s="237" t="s">
        <v>1578</v>
      </c>
      <c r="H1069" s="475" t="s">
        <v>631</v>
      </c>
      <c r="I1069" s="478">
        <v>130</v>
      </c>
      <c r="J1069" s="243">
        <v>12.6594</v>
      </c>
      <c r="K1069" s="243">
        <v>10.106540000000001</v>
      </c>
      <c r="L1069" s="243">
        <v>2.5528599999999999</v>
      </c>
    </row>
    <row r="1070" spans="1:12" ht="26.4" customHeight="1">
      <c r="A1070" s="288">
        <v>144</v>
      </c>
      <c r="B1070" s="523"/>
      <c r="C1070" s="288" t="s">
        <v>1210</v>
      </c>
      <c r="D1070" s="289" t="s">
        <v>1464</v>
      </c>
      <c r="E1070" s="289" t="s">
        <v>1919</v>
      </c>
      <c r="F1070" s="218">
        <v>1042</v>
      </c>
      <c r="G1070" s="237" t="s">
        <v>1578</v>
      </c>
      <c r="H1070" s="475" t="s">
        <v>631</v>
      </c>
      <c r="I1070" s="478">
        <v>627</v>
      </c>
      <c r="J1070" s="243">
        <v>61.057259999999999</v>
      </c>
      <c r="K1070" s="243">
        <v>48.747369999999997</v>
      </c>
      <c r="L1070" s="243">
        <v>12.309889999999999</v>
      </c>
    </row>
    <row r="1071" spans="1:12" ht="26.4" customHeight="1">
      <c r="A1071" s="288">
        <v>145</v>
      </c>
      <c r="B1071" s="523"/>
      <c r="C1071" s="288" t="s">
        <v>1210</v>
      </c>
      <c r="D1071" s="289" t="s">
        <v>1464</v>
      </c>
      <c r="E1071" s="289" t="s">
        <v>1919</v>
      </c>
      <c r="F1071" s="218">
        <v>1043</v>
      </c>
      <c r="G1071" s="237" t="s">
        <v>1578</v>
      </c>
      <c r="H1071" s="475" t="s">
        <v>631</v>
      </c>
      <c r="I1071" s="478">
        <v>194</v>
      </c>
      <c r="J1071" s="243">
        <v>18.891719999999999</v>
      </c>
      <c r="K1071" s="243">
        <v>15.08287</v>
      </c>
      <c r="L1071" s="243">
        <v>3.8088500000000001</v>
      </c>
    </row>
    <row r="1072" spans="1:12" ht="26.4" customHeight="1">
      <c r="A1072" s="288">
        <v>146</v>
      </c>
      <c r="B1072" s="523"/>
      <c r="C1072" s="288" t="s">
        <v>1210</v>
      </c>
      <c r="D1072" s="289" t="s">
        <v>1464</v>
      </c>
      <c r="E1072" s="289" t="s">
        <v>1919</v>
      </c>
      <c r="F1072" s="218">
        <v>1044</v>
      </c>
      <c r="G1072" s="237" t="s">
        <v>1578</v>
      </c>
      <c r="H1072" s="475" t="s">
        <v>631</v>
      </c>
      <c r="I1072" s="478">
        <v>736</v>
      </c>
      <c r="J1072" s="243">
        <v>71.671679999999995</v>
      </c>
      <c r="K1072" s="243">
        <v>57.221789999999999</v>
      </c>
      <c r="L1072" s="243">
        <v>14.44989</v>
      </c>
    </row>
    <row r="1073" spans="1:12" ht="26.4" customHeight="1">
      <c r="A1073" s="288">
        <v>147</v>
      </c>
      <c r="B1073" s="523"/>
      <c r="C1073" s="288" t="s">
        <v>1210</v>
      </c>
      <c r="D1073" s="289" t="s">
        <v>1464</v>
      </c>
      <c r="E1073" s="289" t="s">
        <v>1919</v>
      </c>
      <c r="F1073" s="218">
        <v>1045</v>
      </c>
      <c r="G1073" s="237" t="s">
        <v>1578</v>
      </c>
      <c r="H1073" s="475" t="s">
        <v>631</v>
      </c>
      <c r="I1073" s="478">
        <v>20</v>
      </c>
      <c r="J1073" s="243">
        <v>1.9476</v>
      </c>
      <c r="K1073" s="243">
        <v>1.5549599999999999</v>
      </c>
      <c r="L1073" s="243">
        <v>0.39263999999999999</v>
      </c>
    </row>
    <row r="1074" spans="1:12" ht="26.4" customHeight="1">
      <c r="A1074" s="288">
        <v>148</v>
      </c>
      <c r="B1074" s="523"/>
      <c r="C1074" s="288" t="s">
        <v>1210</v>
      </c>
      <c r="D1074" s="289" t="s">
        <v>1464</v>
      </c>
      <c r="E1074" s="289" t="s">
        <v>1919</v>
      </c>
      <c r="F1074" s="218">
        <v>3000</v>
      </c>
      <c r="G1074" s="237" t="s">
        <v>1578</v>
      </c>
      <c r="H1074" s="475" t="s">
        <v>631</v>
      </c>
      <c r="I1074" s="478">
        <v>1100.4000000000001</v>
      </c>
      <c r="J1074" s="243">
        <v>107.15694999999999</v>
      </c>
      <c r="K1074" s="243">
        <v>98.590869999999995</v>
      </c>
      <c r="L1074" s="243">
        <v>8.5660799999999995</v>
      </c>
    </row>
    <row r="1075" spans="1:12" ht="26.4" customHeight="1">
      <c r="A1075" s="288">
        <v>149</v>
      </c>
      <c r="B1075" s="523"/>
      <c r="C1075" s="288" t="s">
        <v>1210</v>
      </c>
      <c r="D1075" s="289" t="s">
        <v>1464</v>
      </c>
      <c r="E1075" s="289" t="s">
        <v>1919</v>
      </c>
      <c r="F1075" s="218">
        <v>3050</v>
      </c>
      <c r="G1075" s="237" t="s">
        <v>1578</v>
      </c>
      <c r="H1075" s="475" t="s">
        <v>631</v>
      </c>
      <c r="I1075" s="478">
        <v>973</v>
      </c>
      <c r="J1075" s="243">
        <v>94.750739999999993</v>
      </c>
      <c r="K1075" s="243">
        <v>54.303489999999996</v>
      </c>
      <c r="L1075" s="243">
        <v>40.447249999999997</v>
      </c>
    </row>
    <row r="1076" spans="1:12" ht="26.4" customHeight="1">
      <c r="A1076" s="288">
        <v>150</v>
      </c>
      <c r="B1076" s="523"/>
      <c r="C1076" s="288" t="s">
        <v>1210</v>
      </c>
      <c r="D1076" s="289" t="s">
        <v>1464</v>
      </c>
      <c r="E1076" s="289" t="s">
        <v>632</v>
      </c>
      <c r="F1076" s="218">
        <v>3052</v>
      </c>
      <c r="G1076" s="237" t="s">
        <v>1578</v>
      </c>
      <c r="H1076" s="475" t="s">
        <v>1138</v>
      </c>
      <c r="I1076" s="478">
        <v>1</v>
      </c>
      <c r="J1076" s="243">
        <v>14.271000000000001</v>
      </c>
      <c r="K1076" s="243">
        <v>11.5114</v>
      </c>
      <c r="L1076" s="243">
        <v>2.7595999999999998</v>
      </c>
    </row>
    <row r="1077" spans="1:12" ht="26.4" customHeight="1">
      <c r="A1077" s="288">
        <v>151</v>
      </c>
      <c r="B1077" s="523"/>
      <c r="C1077" s="288" t="s">
        <v>1210</v>
      </c>
      <c r="D1077" s="289" t="s">
        <v>1987</v>
      </c>
      <c r="E1077" s="289" t="s">
        <v>1922</v>
      </c>
      <c r="F1077" s="218">
        <v>3053</v>
      </c>
      <c r="G1077" s="237" t="s">
        <v>1578</v>
      </c>
      <c r="H1077" s="475" t="s">
        <v>631</v>
      </c>
      <c r="I1077" s="478">
        <v>23.24</v>
      </c>
      <c r="J1077" s="243">
        <v>2.2717999999999998</v>
      </c>
      <c r="K1077" s="243">
        <v>2.2717999999999998</v>
      </c>
      <c r="L1077" s="243">
        <v>0</v>
      </c>
    </row>
    <row r="1078" spans="1:12" ht="26.4" customHeight="1">
      <c r="A1078" s="288">
        <v>152</v>
      </c>
      <c r="B1078" s="523"/>
      <c r="C1078" s="288" t="s">
        <v>1210</v>
      </c>
      <c r="D1078" s="289" t="s">
        <v>1464</v>
      </c>
      <c r="E1078" s="289" t="s">
        <v>648</v>
      </c>
      <c r="F1078" s="218">
        <v>3061</v>
      </c>
      <c r="G1078" s="237" t="s">
        <v>1578</v>
      </c>
      <c r="H1078" s="475" t="s">
        <v>1138</v>
      </c>
      <c r="I1078" s="478">
        <v>1</v>
      </c>
      <c r="J1078" s="243">
        <v>23.678999999999998</v>
      </c>
      <c r="K1078" s="243">
        <v>23.678999999999998</v>
      </c>
      <c r="L1078" s="243">
        <v>0</v>
      </c>
    </row>
    <row r="1079" spans="1:12" ht="26.4" customHeight="1">
      <c r="A1079" s="288">
        <v>153</v>
      </c>
      <c r="B1079" s="523"/>
      <c r="C1079" s="288" t="s">
        <v>1210</v>
      </c>
      <c r="D1079" s="289" t="s">
        <v>1465</v>
      </c>
      <c r="E1079" s="289" t="s">
        <v>2014</v>
      </c>
      <c r="F1079" s="218">
        <v>3855</v>
      </c>
      <c r="G1079" s="237" t="s">
        <v>1578</v>
      </c>
      <c r="H1079" s="475" t="s">
        <v>1138</v>
      </c>
      <c r="I1079" s="478">
        <v>1</v>
      </c>
      <c r="J1079" s="243">
        <v>29.074999999999999</v>
      </c>
      <c r="K1079" s="243">
        <v>18.693000000000001</v>
      </c>
      <c r="L1079" s="243">
        <v>10.382</v>
      </c>
    </row>
    <row r="1080" spans="1:12" ht="26.4" customHeight="1">
      <c r="A1080" s="288">
        <v>154</v>
      </c>
      <c r="B1080" s="523"/>
      <c r="C1080" s="288" t="s">
        <v>1210</v>
      </c>
      <c r="D1080" s="289" t="s">
        <v>1466</v>
      </c>
      <c r="E1080" s="289" t="s">
        <v>1248</v>
      </c>
      <c r="F1080" s="218">
        <v>20003</v>
      </c>
      <c r="G1080" s="237" t="s">
        <v>1576</v>
      </c>
      <c r="H1080" s="475" t="s">
        <v>631</v>
      </c>
      <c r="I1080" s="478">
        <v>48</v>
      </c>
      <c r="J1080" s="243">
        <v>33.2515</v>
      </c>
      <c r="K1080" s="243">
        <v>13.993550000000001</v>
      </c>
      <c r="L1080" s="243">
        <v>19.257950000000001</v>
      </c>
    </row>
    <row r="1081" spans="1:12" ht="26.4" customHeight="1">
      <c r="A1081" s="288">
        <v>155</v>
      </c>
      <c r="B1081" s="523"/>
      <c r="C1081" s="288" t="s">
        <v>1210</v>
      </c>
      <c r="D1081" s="289" t="s">
        <v>1467</v>
      </c>
      <c r="E1081" s="289" t="s">
        <v>1255</v>
      </c>
      <c r="F1081" s="218">
        <v>20030</v>
      </c>
      <c r="G1081" s="237" t="s">
        <v>1569</v>
      </c>
      <c r="H1081" s="475" t="s">
        <v>631</v>
      </c>
      <c r="I1081" s="478">
        <v>37.200000000000003</v>
      </c>
      <c r="J1081" s="243">
        <v>86.79665</v>
      </c>
      <c r="K1081" s="243">
        <v>30.957239999999999</v>
      </c>
      <c r="L1081" s="243">
        <v>55.839410000000001</v>
      </c>
    </row>
    <row r="1082" spans="1:12" ht="26.4" customHeight="1">
      <c r="A1082" s="288">
        <v>156</v>
      </c>
      <c r="B1082" s="523"/>
      <c r="C1082" s="288" t="s">
        <v>1210</v>
      </c>
      <c r="D1082" s="289" t="s">
        <v>1468</v>
      </c>
      <c r="E1082" s="289" t="s">
        <v>1919</v>
      </c>
      <c r="F1082" s="218">
        <v>20031</v>
      </c>
      <c r="G1082" s="237" t="s">
        <v>1569</v>
      </c>
      <c r="H1082" s="475" t="s">
        <v>631</v>
      </c>
      <c r="I1082" s="478">
        <v>120.7</v>
      </c>
      <c r="J1082" s="243">
        <v>153.22499999999999</v>
      </c>
      <c r="K1082" s="243">
        <v>54.646009999999997</v>
      </c>
      <c r="L1082" s="243">
        <v>98.578990000000005</v>
      </c>
    </row>
    <row r="1083" spans="1:12" ht="26.4" customHeight="1">
      <c r="A1083" s="288">
        <v>157</v>
      </c>
      <c r="B1083" s="523"/>
      <c r="C1083" s="288" t="s">
        <v>1210</v>
      </c>
      <c r="D1083" s="289" t="s">
        <v>1469</v>
      </c>
      <c r="E1083" s="289" t="s">
        <v>1919</v>
      </c>
      <c r="F1083" s="218">
        <v>20050</v>
      </c>
      <c r="G1083" s="237" t="s">
        <v>1576</v>
      </c>
      <c r="H1083" s="475" t="s">
        <v>631</v>
      </c>
      <c r="I1083" s="478">
        <v>95</v>
      </c>
      <c r="J1083" s="243">
        <v>95.079139999999995</v>
      </c>
      <c r="K1083" s="243">
        <v>39.616</v>
      </c>
      <c r="L1083" s="243">
        <v>55.463140000000003</v>
      </c>
    </row>
    <row r="1084" spans="1:12" ht="26.4" customHeight="1">
      <c r="A1084" s="288">
        <v>158</v>
      </c>
      <c r="B1084" s="523"/>
      <c r="C1084" s="288" t="s">
        <v>1210</v>
      </c>
      <c r="D1084" s="289" t="s">
        <v>1470</v>
      </c>
      <c r="E1084" s="289" t="s">
        <v>1255</v>
      </c>
      <c r="F1084" s="218">
        <v>20051</v>
      </c>
      <c r="G1084" s="237" t="s">
        <v>1576</v>
      </c>
      <c r="H1084" s="475" t="s">
        <v>631</v>
      </c>
      <c r="I1084" s="478">
        <v>92.5</v>
      </c>
      <c r="J1084" s="243">
        <v>159.1</v>
      </c>
      <c r="K1084" s="243">
        <v>65.629080000000002</v>
      </c>
      <c r="L1084" s="243">
        <v>93.470920000000007</v>
      </c>
    </row>
    <row r="1085" spans="1:12" ht="26.4" customHeight="1">
      <c r="A1085" s="288">
        <v>159</v>
      </c>
      <c r="B1085" s="523"/>
      <c r="C1085" s="288" t="s">
        <v>1210</v>
      </c>
      <c r="D1085" s="289" t="s">
        <v>1471</v>
      </c>
      <c r="E1085" s="289" t="s">
        <v>1255</v>
      </c>
      <c r="F1085" s="218">
        <v>20052</v>
      </c>
      <c r="G1085" s="237" t="s">
        <v>1576</v>
      </c>
      <c r="H1085" s="475" t="s">
        <v>631</v>
      </c>
      <c r="I1085" s="478">
        <v>103</v>
      </c>
      <c r="J1085" s="243">
        <v>100.54810000000001</v>
      </c>
      <c r="K1085" s="243">
        <v>41.476089999999999</v>
      </c>
      <c r="L1085" s="243">
        <v>59.072009999999999</v>
      </c>
    </row>
    <row r="1086" spans="1:12" ht="26.4" customHeight="1">
      <c r="A1086" s="288">
        <v>160</v>
      </c>
      <c r="B1086" s="523"/>
      <c r="C1086" s="288" t="s">
        <v>1210</v>
      </c>
      <c r="D1086" s="289" t="s">
        <v>1472</v>
      </c>
      <c r="E1086" s="289" t="s">
        <v>1919</v>
      </c>
      <c r="F1086" s="218">
        <v>20053</v>
      </c>
      <c r="G1086" s="237" t="s">
        <v>1576</v>
      </c>
      <c r="H1086" s="475" t="s">
        <v>631</v>
      </c>
      <c r="I1086" s="478">
        <v>120</v>
      </c>
      <c r="J1086" s="243">
        <v>63.249450000000003</v>
      </c>
      <c r="K1086" s="243">
        <v>25.826920000000001</v>
      </c>
      <c r="L1086" s="243">
        <v>37.422530000000002</v>
      </c>
    </row>
    <row r="1087" spans="1:12" ht="26.4" customHeight="1">
      <c r="A1087" s="288">
        <v>161</v>
      </c>
      <c r="B1087" s="523"/>
      <c r="C1087" s="288" t="s">
        <v>1210</v>
      </c>
      <c r="D1087" s="289" t="s">
        <v>1473</v>
      </c>
      <c r="E1087" s="289" t="s">
        <v>1919</v>
      </c>
      <c r="F1087" s="218">
        <v>20054</v>
      </c>
      <c r="G1087" s="237" t="s">
        <v>1576</v>
      </c>
      <c r="H1087" s="475" t="s">
        <v>631</v>
      </c>
      <c r="I1087" s="478">
        <v>152</v>
      </c>
      <c r="J1087" s="243">
        <v>80.115970000000004</v>
      </c>
      <c r="K1087" s="243">
        <v>32.714359999999999</v>
      </c>
      <c r="L1087" s="243">
        <v>47.401609999999998</v>
      </c>
    </row>
    <row r="1088" spans="1:12" ht="26.4" customHeight="1">
      <c r="A1088" s="288">
        <v>162</v>
      </c>
      <c r="B1088" s="523"/>
      <c r="C1088" s="288" t="s">
        <v>1210</v>
      </c>
      <c r="D1088" s="289" t="s">
        <v>1474</v>
      </c>
      <c r="E1088" s="289" t="s">
        <v>1255</v>
      </c>
      <c r="F1088" s="218">
        <v>20056</v>
      </c>
      <c r="G1088" s="237" t="s">
        <v>1576</v>
      </c>
      <c r="H1088" s="475" t="s">
        <v>631</v>
      </c>
      <c r="I1088" s="478">
        <v>49.3</v>
      </c>
      <c r="J1088" s="243">
        <v>54.96425</v>
      </c>
      <c r="K1088" s="243">
        <v>17.771370000000001</v>
      </c>
      <c r="L1088" s="243">
        <v>37.192880000000002</v>
      </c>
    </row>
    <row r="1089" spans="1:12" ht="26.4" customHeight="1">
      <c r="A1089" s="288">
        <v>163</v>
      </c>
      <c r="B1089" s="523"/>
      <c r="C1089" s="288" t="s">
        <v>1210</v>
      </c>
      <c r="D1089" s="289" t="s">
        <v>1475</v>
      </c>
      <c r="E1089" s="289" t="s">
        <v>1255</v>
      </c>
      <c r="F1089" s="218">
        <v>20114</v>
      </c>
      <c r="G1089" s="237" t="s">
        <v>1576</v>
      </c>
      <c r="H1089" s="475" t="s">
        <v>631</v>
      </c>
      <c r="I1089" s="478">
        <v>242.77</v>
      </c>
      <c r="J1089" s="243">
        <v>130.88491999999999</v>
      </c>
      <c r="K1089" s="243">
        <v>51.808250000000001</v>
      </c>
      <c r="L1089" s="243">
        <v>79.076669999999993</v>
      </c>
    </row>
    <row r="1090" spans="1:12" ht="26.4" customHeight="1">
      <c r="A1090" s="288">
        <v>164</v>
      </c>
      <c r="B1090" s="523"/>
      <c r="C1090" s="288" t="s">
        <v>1210</v>
      </c>
      <c r="D1090" s="289" t="s">
        <v>1476</v>
      </c>
      <c r="E1090" s="289" t="s">
        <v>1919</v>
      </c>
      <c r="F1090" s="218">
        <v>20116</v>
      </c>
      <c r="G1090" s="237" t="s">
        <v>1571</v>
      </c>
      <c r="H1090" s="475" t="s">
        <v>631</v>
      </c>
      <c r="I1090" s="478">
        <v>154.25</v>
      </c>
      <c r="J1090" s="243">
        <v>274.13938000000002</v>
      </c>
      <c r="K1090" s="243">
        <v>81.327479999999994</v>
      </c>
      <c r="L1090" s="243">
        <v>192.81190000000001</v>
      </c>
    </row>
    <row r="1091" spans="1:12" ht="26.4" customHeight="1">
      <c r="A1091" s="288">
        <v>165</v>
      </c>
      <c r="B1091" s="523"/>
      <c r="C1091" s="288" t="s">
        <v>1210</v>
      </c>
      <c r="D1091" s="289" t="s">
        <v>1477</v>
      </c>
      <c r="E1091" s="289" t="s">
        <v>1255</v>
      </c>
      <c r="F1091" s="218">
        <v>20117</v>
      </c>
      <c r="G1091" s="237" t="s">
        <v>1571</v>
      </c>
      <c r="H1091" s="475" t="s">
        <v>631</v>
      </c>
      <c r="I1091" s="478">
        <v>213.89</v>
      </c>
      <c r="J1091" s="243">
        <v>378.48570000000001</v>
      </c>
      <c r="K1091" s="243">
        <v>90.415850000000006</v>
      </c>
      <c r="L1091" s="243">
        <v>288.06984999999997</v>
      </c>
    </row>
    <row r="1092" spans="1:12" ht="26.4" customHeight="1">
      <c r="A1092" s="288">
        <v>166</v>
      </c>
      <c r="B1092" s="523"/>
      <c r="C1092" s="288" t="s">
        <v>1210</v>
      </c>
      <c r="D1092" s="289" t="s">
        <v>1478</v>
      </c>
      <c r="E1092" s="289" t="s">
        <v>1212</v>
      </c>
      <c r="F1092" s="218">
        <v>23000</v>
      </c>
      <c r="G1092" s="237" t="s">
        <v>1570</v>
      </c>
      <c r="H1092" s="475" t="s">
        <v>631</v>
      </c>
      <c r="I1092" s="478" t="s">
        <v>3</v>
      </c>
      <c r="J1092" s="243">
        <v>18.60445</v>
      </c>
      <c r="K1092" s="243">
        <v>6.1477399999999998</v>
      </c>
      <c r="L1092" s="243">
        <v>12.456709999999999</v>
      </c>
    </row>
    <row r="1093" spans="1:12" ht="26.4" customHeight="1">
      <c r="A1093" s="288">
        <v>167</v>
      </c>
      <c r="B1093" s="523"/>
      <c r="C1093" s="288" t="s">
        <v>1210</v>
      </c>
      <c r="D1093" s="289" t="s">
        <v>1479</v>
      </c>
      <c r="E1093" s="289" t="s">
        <v>623</v>
      </c>
      <c r="F1093" s="218">
        <v>29180</v>
      </c>
      <c r="G1093" s="237" t="s">
        <v>1551</v>
      </c>
      <c r="H1093" s="475" t="s">
        <v>1138</v>
      </c>
      <c r="I1093" s="478">
        <v>1</v>
      </c>
      <c r="J1093" s="243">
        <v>1.2410000000000001</v>
      </c>
      <c r="K1093" s="243">
        <v>0.51622999999999997</v>
      </c>
      <c r="L1093" s="243">
        <v>0.72477000000000003</v>
      </c>
    </row>
    <row r="1094" spans="1:12" ht="26.4" customHeight="1">
      <c r="A1094" s="288">
        <v>168</v>
      </c>
      <c r="B1094" s="523"/>
      <c r="C1094" s="288" t="s">
        <v>1210</v>
      </c>
      <c r="D1094" s="289" t="s">
        <v>1480</v>
      </c>
      <c r="E1094" s="289" t="s">
        <v>647</v>
      </c>
      <c r="F1094" s="218">
        <v>29183</v>
      </c>
      <c r="G1094" s="237" t="s">
        <v>1551</v>
      </c>
      <c r="H1094" s="475" t="s">
        <v>1138</v>
      </c>
      <c r="I1094" s="478">
        <v>1</v>
      </c>
      <c r="J1094" s="243">
        <v>7.0339999999999998</v>
      </c>
      <c r="K1094" s="243">
        <v>2.88334</v>
      </c>
      <c r="L1094" s="243">
        <v>4.1506600000000002</v>
      </c>
    </row>
    <row r="1095" spans="1:12" ht="26.4" customHeight="1">
      <c r="A1095" s="288">
        <v>169</v>
      </c>
      <c r="B1095" s="523"/>
      <c r="C1095" s="288" t="s">
        <v>1210</v>
      </c>
      <c r="D1095" s="289" t="s">
        <v>1481</v>
      </c>
      <c r="E1095" s="289" t="s">
        <v>1919</v>
      </c>
      <c r="F1095" s="218">
        <v>41049</v>
      </c>
      <c r="G1095" s="237" t="s">
        <v>1577</v>
      </c>
      <c r="H1095" s="475" t="s">
        <v>631</v>
      </c>
      <c r="I1095" s="478">
        <v>30</v>
      </c>
      <c r="J1095" s="243">
        <v>35.348230000000001</v>
      </c>
      <c r="K1095" s="243">
        <v>7.8946100000000001</v>
      </c>
      <c r="L1095" s="243">
        <v>27.453620000000001</v>
      </c>
    </row>
    <row r="1096" spans="1:12" s="197" customFormat="1" ht="26.4" customHeight="1">
      <c r="A1096" s="208">
        <v>170</v>
      </c>
      <c r="B1096" s="523"/>
      <c r="C1096" s="208" t="s">
        <v>1210</v>
      </c>
      <c r="D1096" s="289" t="s">
        <v>1482</v>
      </c>
      <c r="E1096" s="289" t="s">
        <v>1919</v>
      </c>
      <c r="F1096" s="244">
        <v>41219</v>
      </c>
      <c r="G1096" s="245" t="s">
        <v>1562</v>
      </c>
      <c r="H1096" s="262" t="s">
        <v>631</v>
      </c>
      <c r="I1096" s="204">
        <v>102</v>
      </c>
      <c r="J1096" s="243">
        <v>142.86895000000001</v>
      </c>
      <c r="K1096" s="243">
        <v>24.078530000000001</v>
      </c>
      <c r="L1096" s="243">
        <v>118.79042</v>
      </c>
    </row>
    <row r="1097" spans="1:12" ht="26.4" customHeight="1">
      <c r="A1097" s="288">
        <v>171</v>
      </c>
      <c r="B1097" s="523"/>
      <c r="C1097" s="288" t="s">
        <v>1210</v>
      </c>
      <c r="D1097" s="289" t="s">
        <v>1483</v>
      </c>
      <c r="E1097" s="289" t="s">
        <v>1919</v>
      </c>
      <c r="F1097" s="218">
        <v>41399</v>
      </c>
      <c r="G1097" s="237" t="s">
        <v>1537</v>
      </c>
      <c r="H1097" s="475" t="s">
        <v>631</v>
      </c>
      <c r="I1097" s="478">
        <v>55</v>
      </c>
      <c r="J1097" s="243">
        <v>83.733580000000003</v>
      </c>
      <c r="K1097" s="243">
        <v>11.164400000000001</v>
      </c>
      <c r="L1097" s="243">
        <v>72.569180000000003</v>
      </c>
    </row>
    <row r="1098" spans="1:12" ht="26.4" customHeight="1">
      <c r="A1098" s="288">
        <v>172</v>
      </c>
      <c r="B1098" s="523"/>
      <c r="C1098" s="288" t="s">
        <v>1210</v>
      </c>
      <c r="D1098" s="289" t="s">
        <v>1484</v>
      </c>
      <c r="E1098" s="289" t="s">
        <v>1919</v>
      </c>
      <c r="F1098" s="218">
        <v>41440</v>
      </c>
      <c r="G1098" s="237" t="s">
        <v>1574</v>
      </c>
      <c r="H1098" s="475" t="s">
        <v>631</v>
      </c>
      <c r="I1098" s="478">
        <v>52.75</v>
      </c>
      <c r="J1098" s="243">
        <v>56.462969999999999</v>
      </c>
      <c r="K1098" s="243">
        <v>5.6994600000000002</v>
      </c>
      <c r="L1098" s="243">
        <v>50.763509999999997</v>
      </c>
    </row>
    <row r="1099" spans="1:12" ht="26.4" customHeight="1">
      <c r="A1099" s="288">
        <v>173</v>
      </c>
      <c r="B1099" s="523"/>
      <c r="C1099" s="288" t="s">
        <v>1210</v>
      </c>
      <c r="D1099" s="289" t="s">
        <v>1464</v>
      </c>
      <c r="E1099" s="289" t="s">
        <v>1919</v>
      </c>
      <c r="F1099" s="218">
        <v>41444</v>
      </c>
      <c r="G1099" s="237" t="s">
        <v>1574</v>
      </c>
      <c r="H1099" s="475" t="s">
        <v>631</v>
      </c>
      <c r="I1099" s="478">
        <v>22</v>
      </c>
      <c r="J1099" s="243">
        <v>47.526479999999999</v>
      </c>
      <c r="K1099" s="243">
        <v>8.0100300000000004</v>
      </c>
      <c r="L1099" s="243">
        <v>39.516449999999999</v>
      </c>
    </row>
    <row r="1100" spans="1:12" ht="26.4" customHeight="1">
      <c r="A1100" s="288">
        <v>174</v>
      </c>
      <c r="B1100" s="523"/>
      <c r="C1100" s="288" t="s">
        <v>1210</v>
      </c>
      <c r="D1100" s="289" t="s">
        <v>1464</v>
      </c>
      <c r="E1100" s="289" t="s">
        <v>635</v>
      </c>
      <c r="F1100" s="218">
        <v>56000</v>
      </c>
      <c r="G1100" s="237" t="s">
        <v>1567</v>
      </c>
      <c r="H1100" s="475" t="s">
        <v>1138</v>
      </c>
      <c r="I1100" s="478">
        <v>1</v>
      </c>
      <c r="J1100" s="243">
        <v>0.1</v>
      </c>
      <c r="K1100" s="243">
        <v>0.1</v>
      </c>
      <c r="L1100" s="243">
        <v>0</v>
      </c>
    </row>
    <row r="1101" spans="1:12" ht="26.4" customHeight="1">
      <c r="A1101" s="288">
        <v>175</v>
      </c>
      <c r="B1101" s="523"/>
      <c r="C1101" s="288" t="s">
        <v>1210</v>
      </c>
      <c r="D1101" s="289" t="s">
        <v>2118</v>
      </c>
      <c r="E1101" s="289" t="s">
        <v>812</v>
      </c>
      <c r="F1101" s="218">
        <v>9211</v>
      </c>
      <c r="G1101" s="237" t="s">
        <v>1550</v>
      </c>
      <c r="H1101" s="475" t="s">
        <v>1149</v>
      </c>
      <c r="I1101" s="207">
        <v>685.6</v>
      </c>
      <c r="J1101" s="243">
        <v>1617.4030600000001</v>
      </c>
      <c r="K1101" s="243">
        <v>954.21271999999999</v>
      </c>
      <c r="L1101" s="243">
        <v>663.19033999999999</v>
      </c>
    </row>
    <row r="1102" spans="1:12" ht="26.4" customHeight="1">
      <c r="A1102" s="288">
        <v>176</v>
      </c>
      <c r="B1102" s="523"/>
      <c r="C1102" s="288" t="s">
        <v>1210</v>
      </c>
      <c r="D1102" s="289" t="s">
        <v>2118</v>
      </c>
      <c r="E1102" s="289" t="s">
        <v>1931</v>
      </c>
      <c r="F1102" s="218">
        <v>2007</v>
      </c>
      <c r="G1102" s="237" t="s">
        <v>1550</v>
      </c>
      <c r="H1102" s="475" t="s">
        <v>631</v>
      </c>
      <c r="I1102" s="478">
        <v>69.5</v>
      </c>
      <c r="J1102" s="243">
        <v>2.9169100000000001</v>
      </c>
      <c r="K1102" s="243">
        <v>2.7213699999999998</v>
      </c>
      <c r="L1102" s="243">
        <v>0.19553999999999999</v>
      </c>
    </row>
    <row r="1103" spans="1:12" ht="26.4" customHeight="1">
      <c r="A1103" s="288">
        <v>177</v>
      </c>
      <c r="B1103" s="523"/>
      <c r="C1103" s="288" t="s">
        <v>1210</v>
      </c>
      <c r="D1103" s="289" t="s">
        <v>2118</v>
      </c>
      <c r="E1103" s="289" t="s">
        <v>1931</v>
      </c>
      <c r="F1103" s="218">
        <v>2008</v>
      </c>
      <c r="G1103" s="237" t="s">
        <v>1550</v>
      </c>
      <c r="H1103" s="475" t="s">
        <v>631</v>
      </c>
      <c r="I1103" s="478">
        <v>432.2</v>
      </c>
      <c r="J1103" s="243">
        <v>18.139430000000001</v>
      </c>
      <c r="K1103" s="243">
        <v>16.923500000000001</v>
      </c>
      <c r="L1103" s="243">
        <v>1.21593</v>
      </c>
    </row>
    <row r="1104" spans="1:12" ht="26.4" customHeight="1">
      <c r="A1104" s="288">
        <v>178</v>
      </c>
      <c r="B1104" s="523"/>
      <c r="C1104" s="288" t="s">
        <v>1210</v>
      </c>
      <c r="D1104" s="289" t="s">
        <v>2118</v>
      </c>
      <c r="E1104" s="289" t="s">
        <v>1931</v>
      </c>
      <c r="F1104" s="218">
        <v>2011</v>
      </c>
      <c r="G1104" s="237" t="s">
        <v>1550</v>
      </c>
      <c r="H1104" s="475" t="s">
        <v>631</v>
      </c>
      <c r="I1104" s="478">
        <v>196</v>
      </c>
      <c r="J1104" s="243">
        <v>8.2261199999999999</v>
      </c>
      <c r="K1104" s="243">
        <v>7.6746699999999999</v>
      </c>
      <c r="L1104" s="243">
        <v>0.55145</v>
      </c>
    </row>
    <row r="1105" spans="1:12" ht="26.4" customHeight="1">
      <c r="A1105" s="288">
        <v>179</v>
      </c>
      <c r="B1105" s="523"/>
      <c r="C1105" s="288" t="s">
        <v>1210</v>
      </c>
      <c r="D1105" s="289" t="s">
        <v>2118</v>
      </c>
      <c r="E1105" s="289" t="s">
        <v>1931</v>
      </c>
      <c r="F1105" s="218">
        <v>2012</v>
      </c>
      <c r="G1105" s="237" t="s">
        <v>1550</v>
      </c>
      <c r="H1105" s="475" t="s">
        <v>631</v>
      </c>
      <c r="I1105" s="478">
        <v>498</v>
      </c>
      <c r="J1105" s="243">
        <v>20.901060000000001</v>
      </c>
      <c r="K1105" s="243">
        <v>19.5</v>
      </c>
      <c r="L1105" s="243">
        <v>1.40106</v>
      </c>
    </row>
    <row r="1106" spans="1:12" ht="26.4" customHeight="1">
      <c r="A1106" s="288">
        <v>180</v>
      </c>
      <c r="B1106" s="523"/>
      <c r="C1106" s="288" t="s">
        <v>1210</v>
      </c>
      <c r="D1106" s="289" t="s">
        <v>2118</v>
      </c>
      <c r="E1106" s="289" t="s">
        <v>1931</v>
      </c>
      <c r="F1106" s="218">
        <v>2017</v>
      </c>
      <c r="G1106" s="237" t="s">
        <v>1550</v>
      </c>
      <c r="H1106" s="475" t="s">
        <v>631</v>
      </c>
      <c r="I1106" s="478">
        <v>286</v>
      </c>
      <c r="J1106" s="243">
        <v>12.00342</v>
      </c>
      <c r="K1106" s="243">
        <v>11.198790000000001</v>
      </c>
      <c r="L1106" s="243">
        <v>0.80462999999999996</v>
      </c>
    </row>
    <row r="1107" spans="1:12" ht="26.4" customHeight="1">
      <c r="A1107" s="288">
        <v>181</v>
      </c>
      <c r="B1107" s="523"/>
      <c r="C1107" s="288" t="s">
        <v>1210</v>
      </c>
      <c r="D1107" s="289" t="s">
        <v>2118</v>
      </c>
      <c r="E1107" s="289" t="s">
        <v>1931</v>
      </c>
      <c r="F1107" s="218">
        <v>2019</v>
      </c>
      <c r="G1107" s="237" t="s">
        <v>1550</v>
      </c>
      <c r="H1107" s="475" t="s">
        <v>631</v>
      </c>
      <c r="I1107" s="478">
        <v>342</v>
      </c>
      <c r="J1107" s="243">
        <v>14.35374</v>
      </c>
      <c r="K1107" s="243">
        <v>13.391590000000001</v>
      </c>
      <c r="L1107" s="243">
        <v>0.96214999999999995</v>
      </c>
    </row>
    <row r="1108" spans="1:12" ht="26.4" customHeight="1">
      <c r="A1108" s="288">
        <v>182</v>
      </c>
      <c r="B1108" s="523"/>
      <c r="C1108" s="288" t="s">
        <v>1210</v>
      </c>
      <c r="D1108" s="289" t="s">
        <v>2118</v>
      </c>
      <c r="E1108" s="289" t="s">
        <v>1931</v>
      </c>
      <c r="F1108" s="218">
        <v>2021</v>
      </c>
      <c r="G1108" s="237" t="s">
        <v>1550</v>
      </c>
      <c r="H1108" s="475" t="s">
        <v>631</v>
      </c>
      <c r="I1108" s="478">
        <v>73</v>
      </c>
      <c r="J1108" s="243">
        <v>3.0638100000000001</v>
      </c>
      <c r="K1108" s="243">
        <v>2.85846</v>
      </c>
      <c r="L1108" s="243">
        <v>0.20535</v>
      </c>
    </row>
    <row r="1109" spans="1:12" ht="26.4" customHeight="1">
      <c r="A1109" s="288">
        <v>183</v>
      </c>
      <c r="B1109" s="523"/>
      <c r="C1109" s="288" t="s">
        <v>1210</v>
      </c>
      <c r="D1109" s="289" t="s">
        <v>2118</v>
      </c>
      <c r="E1109" s="289" t="s">
        <v>1931</v>
      </c>
      <c r="F1109" s="218">
        <v>2023</v>
      </c>
      <c r="G1109" s="237" t="s">
        <v>1550</v>
      </c>
      <c r="H1109" s="475" t="s">
        <v>631</v>
      </c>
      <c r="I1109" s="478">
        <v>250</v>
      </c>
      <c r="J1109" s="243">
        <v>10.4925</v>
      </c>
      <c r="K1109" s="243">
        <v>9.7891600000000007</v>
      </c>
      <c r="L1109" s="243">
        <v>0.70333999999999997</v>
      </c>
    </row>
    <row r="1110" spans="1:12" ht="26.4" customHeight="1">
      <c r="A1110" s="288">
        <v>184</v>
      </c>
      <c r="B1110" s="523"/>
      <c r="C1110" s="288" t="s">
        <v>1210</v>
      </c>
      <c r="D1110" s="289" t="s">
        <v>2118</v>
      </c>
      <c r="E1110" s="289" t="s">
        <v>1919</v>
      </c>
      <c r="F1110" s="218">
        <v>2027</v>
      </c>
      <c r="G1110" s="237" t="s">
        <v>1544</v>
      </c>
      <c r="H1110" s="475" t="s">
        <v>631</v>
      </c>
      <c r="I1110" s="478">
        <v>120</v>
      </c>
      <c r="J1110" s="243">
        <v>3.7128000000000001</v>
      </c>
      <c r="K1110" s="243">
        <v>3.2498900000000002</v>
      </c>
      <c r="L1110" s="243">
        <v>0.46290999999999999</v>
      </c>
    </row>
    <row r="1111" spans="1:12" ht="26.4" customHeight="1">
      <c r="A1111" s="288">
        <v>185</v>
      </c>
      <c r="B1111" s="523"/>
      <c r="C1111" s="288" t="s">
        <v>1210</v>
      </c>
      <c r="D1111" s="289" t="s">
        <v>2118</v>
      </c>
      <c r="E1111" s="289" t="s">
        <v>1919</v>
      </c>
      <c r="F1111" s="218">
        <v>2028</v>
      </c>
      <c r="G1111" s="237" t="s">
        <v>1544</v>
      </c>
      <c r="H1111" s="475" t="s">
        <v>631</v>
      </c>
      <c r="I1111" s="478">
        <v>189</v>
      </c>
      <c r="J1111" s="243">
        <v>5.7476599999999998</v>
      </c>
      <c r="K1111" s="243">
        <v>5.0309400000000002</v>
      </c>
      <c r="L1111" s="243">
        <v>0.71672000000000002</v>
      </c>
    </row>
    <row r="1112" spans="1:12" ht="26.4" customHeight="1">
      <c r="A1112" s="288">
        <v>186</v>
      </c>
      <c r="B1112" s="523"/>
      <c r="C1112" s="288" t="s">
        <v>1210</v>
      </c>
      <c r="D1112" s="289" t="s">
        <v>2118</v>
      </c>
      <c r="E1112" s="289" t="s">
        <v>1919</v>
      </c>
      <c r="F1112" s="218">
        <v>2029</v>
      </c>
      <c r="G1112" s="237" t="s">
        <v>1544</v>
      </c>
      <c r="H1112" s="475" t="s">
        <v>631</v>
      </c>
      <c r="I1112" s="478">
        <v>529</v>
      </c>
      <c r="J1112" s="243">
        <v>16.367260000000002</v>
      </c>
      <c r="K1112" s="243">
        <v>14.32639</v>
      </c>
      <c r="L1112" s="243">
        <v>2.04087</v>
      </c>
    </row>
    <row r="1113" spans="1:12" ht="26.4" customHeight="1">
      <c r="A1113" s="288">
        <v>187</v>
      </c>
      <c r="B1113" s="523"/>
      <c r="C1113" s="288" t="s">
        <v>1210</v>
      </c>
      <c r="D1113" s="289" t="s">
        <v>2118</v>
      </c>
      <c r="E1113" s="289" t="s">
        <v>1919</v>
      </c>
      <c r="F1113" s="218">
        <v>2030</v>
      </c>
      <c r="G1113" s="237" t="s">
        <v>1544</v>
      </c>
      <c r="H1113" s="475" t="s">
        <v>631</v>
      </c>
      <c r="I1113" s="478">
        <v>54</v>
      </c>
      <c r="J1113" s="243">
        <v>1.67076</v>
      </c>
      <c r="K1113" s="243">
        <v>1.4624900000000001</v>
      </c>
      <c r="L1113" s="243">
        <v>0.20827000000000001</v>
      </c>
    </row>
    <row r="1114" spans="1:12" ht="26.4" customHeight="1">
      <c r="A1114" s="288">
        <v>188</v>
      </c>
      <c r="B1114" s="523"/>
      <c r="C1114" s="288" t="s">
        <v>1210</v>
      </c>
      <c r="D1114" s="289" t="s">
        <v>2118</v>
      </c>
      <c r="E1114" s="289" t="s">
        <v>1919</v>
      </c>
      <c r="F1114" s="218">
        <v>2031</v>
      </c>
      <c r="G1114" s="237" t="s">
        <v>1544</v>
      </c>
      <c r="H1114" s="475" t="s">
        <v>631</v>
      </c>
      <c r="I1114" s="478">
        <v>250</v>
      </c>
      <c r="J1114" s="243">
        <v>7.7350000000000003</v>
      </c>
      <c r="K1114" s="243">
        <v>6.7705599999999997</v>
      </c>
      <c r="L1114" s="243">
        <v>0.96443999999999996</v>
      </c>
    </row>
    <row r="1115" spans="1:12" ht="26.4" customHeight="1">
      <c r="A1115" s="288">
        <v>189</v>
      </c>
      <c r="B1115" s="523"/>
      <c r="C1115" s="288" t="s">
        <v>1210</v>
      </c>
      <c r="D1115" s="289" t="s">
        <v>2118</v>
      </c>
      <c r="E1115" s="289" t="s">
        <v>1919</v>
      </c>
      <c r="F1115" s="218">
        <v>2032</v>
      </c>
      <c r="G1115" s="237" t="s">
        <v>1544</v>
      </c>
      <c r="H1115" s="475" t="s">
        <v>631</v>
      </c>
      <c r="I1115" s="478">
        <v>132</v>
      </c>
      <c r="J1115" s="243">
        <v>4.0839999999999996</v>
      </c>
      <c r="K1115" s="243">
        <v>3.5747399999999998</v>
      </c>
      <c r="L1115" s="243">
        <v>0.50926000000000005</v>
      </c>
    </row>
    <row r="1116" spans="1:12" ht="26.4" customHeight="1">
      <c r="A1116" s="288">
        <v>190</v>
      </c>
      <c r="B1116" s="523"/>
      <c r="C1116" s="288" t="s">
        <v>1210</v>
      </c>
      <c r="D1116" s="289" t="s">
        <v>2118</v>
      </c>
      <c r="E1116" s="289" t="s">
        <v>1919</v>
      </c>
      <c r="F1116" s="218">
        <v>2033</v>
      </c>
      <c r="G1116" s="237" t="s">
        <v>1544</v>
      </c>
      <c r="H1116" s="475" t="s">
        <v>631</v>
      </c>
      <c r="I1116" s="478">
        <v>151</v>
      </c>
      <c r="J1116" s="243">
        <v>4.6718999999999999</v>
      </c>
      <c r="K1116" s="243">
        <v>4.0893699999999997</v>
      </c>
      <c r="L1116" s="243">
        <v>0.58252999999999999</v>
      </c>
    </row>
    <row r="1117" spans="1:12" ht="26.4" customHeight="1">
      <c r="A1117" s="288">
        <v>191</v>
      </c>
      <c r="B1117" s="523"/>
      <c r="C1117" s="288" t="s">
        <v>1210</v>
      </c>
      <c r="D1117" s="289" t="s">
        <v>2118</v>
      </c>
      <c r="E1117" s="289" t="s">
        <v>1919</v>
      </c>
      <c r="F1117" s="218">
        <v>2034</v>
      </c>
      <c r="G1117" s="237" t="s">
        <v>1555</v>
      </c>
      <c r="H1117" s="475" t="s">
        <v>631</v>
      </c>
      <c r="I1117" s="478">
        <v>311</v>
      </c>
      <c r="J1117" s="243">
        <v>3.1659799999999998</v>
      </c>
      <c r="K1117" s="243">
        <v>2.17625</v>
      </c>
      <c r="L1117" s="243">
        <v>0.98973</v>
      </c>
    </row>
    <row r="1118" spans="1:12" ht="26.4" customHeight="1">
      <c r="A1118" s="288">
        <v>192</v>
      </c>
      <c r="B1118" s="523"/>
      <c r="C1118" s="288" t="s">
        <v>1210</v>
      </c>
      <c r="D1118" s="289" t="s">
        <v>2118</v>
      </c>
      <c r="E1118" s="289" t="s">
        <v>1919</v>
      </c>
      <c r="F1118" s="218">
        <v>2035</v>
      </c>
      <c r="G1118" s="237" t="s">
        <v>1555</v>
      </c>
      <c r="H1118" s="475" t="s">
        <v>631</v>
      </c>
      <c r="I1118" s="478">
        <v>32</v>
      </c>
      <c r="J1118" s="243">
        <v>0.32575999999999999</v>
      </c>
      <c r="K1118" s="243">
        <v>0.22395999999999999</v>
      </c>
      <c r="L1118" s="243">
        <v>0.1018</v>
      </c>
    </row>
    <row r="1119" spans="1:12" ht="26.4" customHeight="1">
      <c r="A1119" s="288">
        <v>193</v>
      </c>
      <c r="B1119" s="523"/>
      <c r="C1119" s="288" t="s">
        <v>1210</v>
      </c>
      <c r="D1119" s="289" t="s">
        <v>2118</v>
      </c>
      <c r="E1119" s="289" t="s">
        <v>1919</v>
      </c>
      <c r="F1119" s="218">
        <v>2036</v>
      </c>
      <c r="G1119" s="237" t="s">
        <v>1555</v>
      </c>
      <c r="H1119" s="475" t="s">
        <v>631</v>
      </c>
      <c r="I1119" s="478">
        <v>178</v>
      </c>
      <c r="J1119" s="243">
        <v>1.8120000000000001</v>
      </c>
      <c r="K1119" s="243">
        <v>1.24556</v>
      </c>
      <c r="L1119" s="243">
        <v>0.56644000000000005</v>
      </c>
    </row>
    <row r="1120" spans="1:12" ht="26.4" customHeight="1">
      <c r="A1120" s="288">
        <v>194</v>
      </c>
      <c r="B1120" s="523"/>
      <c r="C1120" s="288" t="s">
        <v>1210</v>
      </c>
      <c r="D1120" s="289" t="s">
        <v>2118</v>
      </c>
      <c r="E1120" s="289" t="s">
        <v>1919</v>
      </c>
      <c r="F1120" s="218">
        <v>2037</v>
      </c>
      <c r="G1120" s="237" t="s">
        <v>1555</v>
      </c>
      <c r="H1120" s="475" t="s">
        <v>631</v>
      </c>
      <c r="I1120" s="478">
        <v>523</v>
      </c>
      <c r="J1120" s="243">
        <v>5.3241399999999999</v>
      </c>
      <c r="K1120" s="243">
        <v>3.65971</v>
      </c>
      <c r="L1120" s="243">
        <v>1.6644300000000001</v>
      </c>
    </row>
    <row r="1121" spans="1:12" ht="26.4" customHeight="1">
      <c r="A1121" s="288">
        <v>195</v>
      </c>
      <c r="B1121" s="523"/>
      <c r="C1121" s="288" t="s">
        <v>1210</v>
      </c>
      <c r="D1121" s="289" t="s">
        <v>2118</v>
      </c>
      <c r="E1121" s="289" t="s">
        <v>1919</v>
      </c>
      <c r="F1121" s="218">
        <v>2038</v>
      </c>
      <c r="G1121" s="237" t="s">
        <v>1555</v>
      </c>
      <c r="H1121" s="475" t="s">
        <v>631</v>
      </c>
      <c r="I1121" s="478">
        <v>177</v>
      </c>
      <c r="J1121" s="243">
        <v>1.80186</v>
      </c>
      <c r="K1121" s="243">
        <v>1.23858</v>
      </c>
      <c r="L1121" s="243">
        <v>0.56328</v>
      </c>
    </row>
    <row r="1122" spans="1:12" ht="26.4" customHeight="1">
      <c r="A1122" s="288">
        <v>196</v>
      </c>
      <c r="B1122" s="523"/>
      <c r="C1122" s="288" t="s">
        <v>1210</v>
      </c>
      <c r="D1122" s="289" t="s">
        <v>2118</v>
      </c>
      <c r="E1122" s="289" t="s">
        <v>1919</v>
      </c>
      <c r="F1122" s="218">
        <v>2039</v>
      </c>
      <c r="G1122" s="237" t="s">
        <v>1555</v>
      </c>
      <c r="H1122" s="475" t="s">
        <v>631</v>
      </c>
      <c r="I1122" s="478">
        <v>146</v>
      </c>
      <c r="J1122" s="243">
        <v>1.48628</v>
      </c>
      <c r="K1122" s="243">
        <v>1.02163</v>
      </c>
      <c r="L1122" s="243">
        <v>0.46465000000000001</v>
      </c>
    </row>
    <row r="1123" spans="1:12" ht="26.4" customHeight="1">
      <c r="A1123" s="288">
        <v>197</v>
      </c>
      <c r="B1123" s="523"/>
      <c r="C1123" s="288" t="s">
        <v>1210</v>
      </c>
      <c r="D1123" s="289" t="s">
        <v>2118</v>
      </c>
      <c r="E1123" s="289" t="s">
        <v>1919</v>
      </c>
      <c r="F1123" s="218">
        <v>2040</v>
      </c>
      <c r="G1123" s="237" t="s">
        <v>1555</v>
      </c>
      <c r="H1123" s="475" t="s">
        <v>631</v>
      </c>
      <c r="I1123" s="478">
        <v>316</v>
      </c>
      <c r="J1123" s="243">
        <v>3.2168800000000002</v>
      </c>
      <c r="K1123" s="243">
        <v>2.2111700000000001</v>
      </c>
      <c r="L1123" s="243">
        <v>1.0057100000000001</v>
      </c>
    </row>
    <row r="1124" spans="1:12" ht="26.4" customHeight="1">
      <c r="A1124" s="288">
        <v>198</v>
      </c>
      <c r="B1124" s="523"/>
      <c r="C1124" s="288" t="s">
        <v>1210</v>
      </c>
      <c r="D1124" s="289" t="s">
        <v>2118</v>
      </c>
      <c r="E1124" s="289" t="s">
        <v>1919</v>
      </c>
      <c r="F1124" s="218">
        <v>2041</v>
      </c>
      <c r="G1124" s="237" t="s">
        <v>1555</v>
      </c>
      <c r="H1124" s="475" t="s">
        <v>631</v>
      </c>
      <c r="I1124" s="478">
        <v>164</v>
      </c>
      <c r="J1124" s="243">
        <v>1.6695199999999999</v>
      </c>
      <c r="K1124" s="243">
        <v>1.1476200000000001</v>
      </c>
      <c r="L1124" s="243">
        <v>0.52190000000000003</v>
      </c>
    </row>
    <row r="1125" spans="1:12" ht="26.4" customHeight="1">
      <c r="A1125" s="288">
        <v>199</v>
      </c>
      <c r="B1125" s="523"/>
      <c r="C1125" s="288" t="s">
        <v>1210</v>
      </c>
      <c r="D1125" s="289" t="s">
        <v>2118</v>
      </c>
      <c r="E1125" s="289" t="s">
        <v>1919</v>
      </c>
      <c r="F1125" s="218">
        <v>2047</v>
      </c>
      <c r="G1125" s="237" t="s">
        <v>1555</v>
      </c>
      <c r="H1125" s="475" t="s">
        <v>631</v>
      </c>
      <c r="I1125" s="478">
        <v>83</v>
      </c>
      <c r="J1125" s="243">
        <v>0.84494000000000002</v>
      </c>
      <c r="K1125" s="243">
        <v>0.58082</v>
      </c>
      <c r="L1125" s="243">
        <v>0.26412000000000002</v>
      </c>
    </row>
    <row r="1126" spans="1:12" ht="26.4" customHeight="1">
      <c r="A1126" s="288">
        <v>200</v>
      </c>
      <c r="B1126" s="523"/>
      <c r="C1126" s="288" t="s">
        <v>1210</v>
      </c>
      <c r="D1126" s="289" t="s">
        <v>2118</v>
      </c>
      <c r="E1126" s="289" t="s">
        <v>1919</v>
      </c>
      <c r="F1126" s="218">
        <v>2050</v>
      </c>
      <c r="G1126" s="237" t="s">
        <v>1555</v>
      </c>
      <c r="H1126" s="475" t="s">
        <v>631</v>
      </c>
      <c r="I1126" s="478">
        <v>130</v>
      </c>
      <c r="J1126" s="243">
        <v>1.3233999999999999</v>
      </c>
      <c r="K1126" s="243">
        <v>0.90964</v>
      </c>
      <c r="L1126" s="243">
        <v>0.41376000000000002</v>
      </c>
    </row>
    <row r="1127" spans="1:12" ht="26.4" customHeight="1">
      <c r="A1127" s="288">
        <v>201</v>
      </c>
      <c r="B1127" s="523"/>
      <c r="C1127" s="288" t="s">
        <v>1210</v>
      </c>
      <c r="D1127" s="289" t="s">
        <v>2118</v>
      </c>
      <c r="E1127" s="289" t="s">
        <v>1919</v>
      </c>
      <c r="F1127" s="218">
        <v>9212</v>
      </c>
      <c r="G1127" s="237" t="s">
        <v>1550</v>
      </c>
      <c r="H1127" s="475" t="s">
        <v>631</v>
      </c>
      <c r="I1127" s="478">
        <v>71.17</v>
      </c>
      <c r="J1127" s="243">
        <v>3.00901</v>
      </c>
      <c r="K1127" s="243">
        <v>2.80728</v>
      </c>
      <c r="L1127" s="243">
        <v>0.20172999999999999</v>
      </c>
    </row>
    <row r="1128" spans="1:12" ht="26.4" customHeight="1">
      <c r="A1128" s="288">
        <v>202</v>
      </c>
      <c r="B1128" s="523"/>
      <c r="C1128" s="288" t="s">
        <v>1210</v>
      </c>
      <c r="D1128" s="289" t="s">
        <v>2118</v>
      </c>
      <c r="E1128" s="289" t="s">
        <v>632</v>
      </c>
      <c r="F1128" s="218">
        <v>9213</v>
      </c>
      <c r="G1128" s="237" t="s">
        <v>1550</v>
      </c>
      <c r="H1128" s="475" t="s">
        <v>1138</v>
      </c>
      <c r="I1128" s="478">
        <v>1</v>
      </c>
      <c r="J1128" s="243">
        <v>11.737</v>
      </c>
      <c r="K1128" s="243">
        <v>8.8862400000000008</v>
      </c>
      <c r="L1128" s="243">
        <v>2.8507600000000002</v>
      </c>
    </row>
    <row r="1129" spans="1:12" ht="26.4" customHeight="1">
      <c r="A1129" s="288">
        <v>203</v>
      </c>
      <c r="B1129" s="523"/>
      <c r="C1129" s="288" t="s">
        <v>1210</v>
      </c>
      <c r="D1129" s="289" t="s">
        <v>2118</v>
      </c>
      <c r="E1129" s="289" t="s">
        <v>2298</v>
      </c>
      <c r="F1129" s="218">
        <v>9242</v>
      </c>
      <c r="G1129" s="237" t="s">
        <v>1550</v>
      </c>
      <c r="H1129" s="475" t="s">
        <v>1149</v>
      </c>
      <c r="I1129" s="207">
        <v>152.69999999999999</v>
      </c>
      <c r="J1129" s="243">
        <v>67.988</v>
      </c>
      <c r="K1129" s="243">
        <v>67.988</v>
      </c>
      <c r="L1129" s="243">
        <v>0</v>
      </c>
    </row>
    <row r="1130" spans="1:12" ht="26.4" customHeight="1">
      <c r="A1130" s="288">
        <v>204</v>
      </c>
      <c r="B1130" s="523"/>
      <c r="C1130" s="288" t="s">
        <v>1210</v>
      </c>
      <c r="D1130" s="289" t="s">
        <v>2118</v>
      </c>
      <c r="E1130" s="289" t="s">
        <v>1919</v>
      </c>
      <c r="F1130" s="218">
        <v>9594</v>
      </c>
      <c r="G1130" s="237" t="s">
        <v>1544</v>
      </c>
      <c r="H1130" s="475" t="s">
        <v>631</v>
      </c>
      <c r="I1130" s="478">
        <v>27</v>
      </c>
      <c r="J1130" s="243">
        <v>0.94062000000000001</v>
      </c>
      <c r="K1130" s="243">
        <v>0.82337000000000005</v>
      </c>
      <c r="L1130" s="243">
        <v>0.11724999999999999</v>
      </c>
    </row>
    <row r="1131" spans="1:12" ht="26.4" customHeight="1">
      <c r="A1131" s="288">
        <v>205</v>
      </c>
      <c r="B1131" s="523"/>
      <c r="C1131" s="288" t="s">
        <v>1210</v>
      </c>
      <c r="D1131" s="289" t="s">
        <v>2118</v>
      </c>
      <c r="E1131" s="289" t="s">
        <v>1919</v>
      </c>
      <c r="F1131" s="218">
        <v>20045</v>
      </c>
      <c r="G1131" s="237" t="s">
        <v>1576</v>
      </c>
      <c r="H1131" s="475" t="s">
        <v>631</v>
      </c>
      <c r="I1131" s="478">
        <v>122</v>
      </c>
      <c r="J1131" s="243">
        <v>146.9143</v>
      </c>
      <c r="K1131" s="243">
        <v>53.868319999999997</v>
      </c>
      <c r="L1131" s="243">
        <v>93.04598</v>
      </c>
    </row>
    <row r="1132" spans="1:12" ht="26.4" customHeight="1">
      <c r="A1132" s="288">
        <v>206</v>
      </c>
      <c r="B1132" s="523"/>
      <c r="C1132" s="288" t="s">
        <v>1210</v>
      </c>
      <c r="D1132" s="289" t="s">
        <v>2118</v>
      </c>
      <c r="E1132" s="289" t="s">
        <v>1919</v>
      </c>
      <c r="F1132" s="218">
        <v>20046</v>
      </c>
      <c r="G1132" s="237" t="s">
        <v>1576</v>
      </c>
      <c r="H1132" s="475" t="s">
        <v>631</v>
      </c>
      <c r="I1132" s="478">
        <v>112.5</v>
      </c>
      <c r="J1132" s="243">
        <v>135.47425000000001</v>
      </c>
      <c r="K1132" s="243">
        <v>49.674239999999998</v>
      </c>
      <c r="L1132" s="243">
        <v>85.80001</v>
      </c>
    </row>
    <row r="1133" spans="1:12" ht="26.4" customHeight="1">
      <c r="A1133" s="288">
        <v>207</v>
      </c>
      <c r="B1133" s="523"/>
      <c r="C1133" s="288" t="s">
        <v>1210</v>
      </c>
      <c r="D1133" s="289" t="s">
        <v>2118</v>
      </c>
      <c r="E1133" s="289" t="s">
        <v>1255</v>
      </c>
      <c r="F1133" s="218">
        <v>20047</v>
      </c>
      <c r="G1133" s="237" t="s">
        <v>1576</v>
      </c>
      <c r="H1133" s="475" t="s">
        <v>631</v>
      </c>
      <c r="I1133" s="478">
        <v>73.23</v>
      </c>
      <c r="J1133" s="243">
        <v>88.184709999999995</v>
      </c>
      <c r="K1133" s="243">
        <v>32.334719999999997</v>
      </c>
      <c r="L1133" s="243">
        <v>55.849989999999998</v>
      </c>
    </row>
    <row r="1134" spans="1:12" ht="26.4" customHeight="1">
      <c r="A1134" s="288">
        <v>208</v>
      </c>
      <c r="B1134" s="523"/>
      <c r="C1134" s="288" t="s">
        <v>1210</v>
      </c>
      <c r="D1134" s="289" t="s">
        <v>2118</v>
      </c>
      <c r="E1134" s="289" t="s">
        <v>1255</v>
      </c>
      <c r="F1134" s="218">
        <v>20048</v>
      </c>
      <c r="G1134" s="237" t="s">
        <v>1576</v>
      </c>
      <c r="H1134" s="475" t="s">
        <v>631</v>
      </c>
      <c r="I1134" s="478">
        <v>41</v>
      </c>
      <c r="J1134" s="243">
        <v>49.37283</v>
      </c>
      <c r="K1134" s="243">
        <v>18.103359999999999</v>
      </c>
      <c r="L1134" s="243">
        <v>31.269469999999998</v>
      </c>
    </row>
    <row r="1135" spans="1:12" ht="26.4" customHeight="1">
      <c r="A1135" s="288">
        <v>209</v>
      </c>
      <c r="B1135" s="523"/>
      <c r="C1135" s="288" t="s">
        <v>1210</v>
      </c>
      <c r="D1135" s="289" t="s">
        <v>2118</v>
      </c>
      <c r="E1135" s="289" t="s">
        <v>1255</v>
      </c>
      <c r="F1135" s="218">
        <v>20049</v>
      </c>
      <c r="G1135" s="237" t="s">
        <v>1576</v>
      </c>
      <c r="H1135" s="475" t="s">
        <v>631</v>
      </c>
      <c r="I1135" s="478">
        <v>6</v>
      </c>
      <c r="J1135" s="243">
        <v>7.2252900000000002</v>
      </c>
      <c r="K1135" s="243">
        <v>2.64968</v>
      </c>
      <c r="L1135" s="243">
        <v>4.5756100000000002</v>
      </c>
    </row>
    <row r="1136" spans="1:12" ht="26.4" customHeight="1">
      <c r="A1136" s="288">
        <v>210</v>
      </c>
      <c r="B1136" s="523"/>
      <c r="C1136" s="288" t="s">
        <v>1210</v>
      </c>
      <c r="D1136" s="289" t="s">
        <v>2118</v>
      </c>
      <c r="E1136" s="289" t="s">
        <v>1255</v>
      </c>
      <c r="F1136" s="218">
        <v>21021</v>
      </c>
      <c r="G1136" s="237" t="s">
        <v>1547</v>
      </c>
      <c r="H1136" s="475" t="s">
        <v>631</v>
      </c>
      <c r="I1136" s="478">
        <v>189.9</v>
      </c>
      <c r="J1136" s="243">
        <v>211.90332000000001</v>
      </c>
      <c r="K1136" s="243">
        <v>44.735120000000002</v>
      </c>
      <c r="L1136" s="243">
        <v>167.16820000000001</v>
      </c>
    </row>
    <row r="1137" spans="1:12" ht="26.4" customHeight="1">
      <c r="A1137" s="288">
        <v>211</v>
      </c>
      <c r="B1137" s="523"/>
      <c r="C1137" s="288" t="s">
        <v>1210</v>
      </c>
      <c r="D1137" s="289" t="s">
        <v>2118</v>
      </c>
      <c r="E1137" s="289" t="s">
        <v>1255</v>
      </c>
      <c r="F1137" s="218">
        <v>21028</v>
      </c>
      <c r="G1137" s="237" t="s">
        <v>1547</v>
      </c>
      <c r="H1137" s="475" t="s">
        <v>631</v>
      </c>
      <c r="I1137" s="478">
        <v>158.5</v>
      </c>
      <c r="J1137" s="243">
        <v>124.00506</v>
      </c>
      <c r="K1137" s="243">
        <v>25.214469999999999</v>
      </c>
      <c r="L1137" s="243">
        <v>98.790589999999995</v>
      </c>
    </row>
    <row r="1138" spans="1:12" ht="26.4" customHeight="1">
      <c r="A1138" s="288">
        <v>212</v>
      </c>
      <c r="B1138" s="523"/>
      <c r="C1138" s="288" t="s">
        <v>1210</v>
      </c>
      <c r="D1138" s="289" t="s">
        <v>2118</v>
      </c>
      <c r="E1138" s="289" t="s">
        <v>1919</v>
      </c>
      <c r="F1138" s="218">
        <v>26779</v>
      </c>
      <c r="G1138" s="237" t="s">
        <v>1555</v>
      </c>
      <c r="H1138" s="475" t="s">
        <v>631</v>
      </c>
      <c r="I1138" s="478">
        <v>301</v>
      </c>
      <c r="J1138" s="243">
        <v>3.0662400000000001</v>
      </c>
      <c r="K1138" s="243">
        <v>2.1076600000000001</v>
      </c>
      <c r="L1138" s="243">
        <v>0.95857999999999999</v>
      </c>
    </row>
    <row r="1139" spans="1:12" ht="26.4" customHeight="1">
      <c r="A1139" s="288">
        <v>213</v>
      </c>
      <c r="B1139" s="523"/>
      <c r="C1139" s="288" t="s">
        <v>1210</v>
      </c>
      <c r="D1139" s="289" t="s">
        <v>2118</v>
      </c>
      <c r="E1139" s="289" t="s">
        <v>623</v>
      </c>
      <c r="F1139" s="218">
        <v>29175</v>
      </c>
      <c r="G1139" s="237" t="s">
        <v>1551</v>
      </c>
      <c r="H1139" s="475" t="s">
        <v>1138</v>
      </c>
      <c r="I1139" s="478">
        <v>1</v>
      </c>
      <c r="J1139" s="243">
        <v>9.0589999999999993</v>
      </c>
      <c r="K1139" s="243">
        <v>3.50284</v>
      </c>
      <c r="L1139" s="243">
        <v>5.5561600000000002</v>
      </c>
    </row>
    <row r="1140" spans="1:12" ht="26.4" customHeight="1">
      <c r="A1140" s="288">
        <v>214</v>
      </c>
      <c r="B1140" s="523"/>
      <c r="C1140" s="288" t="s">
        <v>1210</v>
      </c>
      <c r="D1140" s="289" t="s">
        <v>2118</v>
      </c>
      <c r="E1140" s="289" t="s">
        <v>646</v>
      </c>
      <c r="F1140" s="218">
        <v>29178</v>
      </c>
      <c r="G1140" s="237" t="s">
        <v>1551</v>
      </c>
      <c r="H1140" s="475" t="s">
        <v>1138</v>
      </c>
      <c r="I1140" s="478">
        <v>1</v>
      </c>
      <c r="J1140" s="243">
        <v>2.226</v>
      </c>
      <c r="K1140" s="243">
        <v>0.84214999999999995</v>
      </c>
      <c r="L1140" s="243">
        <v>1.38385</v>
      </c>
    </row>
    <row r="1141" spans="1:12" ht="26.4" customHeight="1">
      <c r="A1141" s="288">
        <v>215</v>
      </c>
      <c r="B1141" s="523"/>
      <c r="C1141" s="288" t="s">
        <v>1210</v>
      </c>
      <c r="D1141" s="289" t="s">
        <v>2118</v>
      </c>
      <c r="E1141" s="289" t="s">
        <v>1249</v>
      </c>
      <c r="F1141" s="218">
        <v>30090</v>
      </c>
      <c r="G1141" s="237" t="s">
        <v>1569</v>
      </c>
      <c r="H1141" s="475" t="s">
        <v>631</v>
      </c>
      <c r="I1141" s="478">
        <v>72.5</v>
      </c>
      <c r="J1141" s="243">
        <v>53.165790000000001</v>
      </c>
      <c r="K1141" s="243">
        <v>16.477039999999999</v>
      </c>
      <c r="L1141" s="243">
        <v>36.688749999999999</v>
      </c>
    </row>
    <row r="1142" spans="1:12" ht="26.4" customHeight="1">
      <c r="A1142" s="288">
        <v>216</v>
      </c>
      <c r="B1142" s="523"/>
      <c r="C1142" s="288" t="s">
        <v>1210</v>
      </c>
      <c r="D1142" s="289" t="s">
        <v>2118</v>
      </c>
      <c r="E1142" s="289" t="s">
        <v>1919</v>
      </c>
      <c r="F1142" s="218">
        <v>41245</v>
      </c>
      <c r="G1142" s="237" t="s">
        <v>1562</v>
      </c>
      <c r="H1142" s="475" t="s">
        <v>631</v>
      </c>
      <c r="I1142" s="478">
        <v>191</v>
      </c>
      <c r="J1142" s="243">
        <v>139.02645999999999</v>
      </c>
      <c r="K1142" s="243">
        <v>22.613099999999999</v>
      </c>
      <c r="L1142" s="243">
        <v>116.41336</v>
      </c>
    </row>
    <row r="1143" spans="1:12" ht="26.4" customHeight="1">
      <c r="A1143" s="288">
        <v>217</v>
      </c>
      <c r="B1143" s="523"/>
      <c r="C1143" s="288" t="s">
        <v>1210</v>
      </c>
      <c r="D1143" s="289" t="s">
        <v>2118</v>
      </c>
      <c r="E1143" s="289" t="s">
        <v>1919</v>
      </c>
      <c r="F1143" s="218">
        <v>41397</v>
      </c>
      <c r="G1143" s="237" t="s">
        <v>1537</v>
      </c>
      <c r="H1143" s="475" t="s">
        <v>631</v>
      </c>
      <c r="I1143" s="478">
        <v>238</v>
      </c>
      <c r="J1143" s="243">
        <v>659.05669</v>
      </c>
      <c r="K1143" s="243">
        <v>87.874399999999994</v>
      </c>
      <c r="L1143" s="243">
        <v>571.18228999999997</v>
      </c>
    </row>
    <row r="1144" spans="1:12" ht="26.4" customHeight="1">
      <c r="A1144" s="288">
        <v>218</v>
      </c>
      <c r="B1144" s="523"/>
      <c r="C1144" s="288" t="s">
        <v>1210</v>
      </c>
      <c r="D1144" s="289" t="s">
        <v>2118</v>
      </c>
      <c r="E1144" s="289" t="s">
        <v>1919</v>
      </c>
      <c r="F1144" s="218">
        <v>41433</v>
      </c>
      <c r="G1144" s="237" t="s">
        <v>1574</v>
      </c>
      <c r="H1144" s="475" t="s">
        <v>631</v>
      </c>
      <c r="I1144" s="478">
        <v>10.5</v>
      </c>
      <c r="J1144" s="243">
        <v>13.521129999999999</v>
      </c>
      <c r="K1144" s="243">
        <v>1.57745</v>
      </c>
      <c r="L1144" s="243">
        <v>11.943680000000001</v>
      </c>
    </row>
    <row r="1145" spans="1:12" ht="26.4" customHeight="1">
      <c r="A1145" s="288">
        <v>219</v>
      </c>
      <c r="B1145" s="523"/>
      <c r="C1145" s="288" t="s">
        <v>1210</v>
      </c>
      <c r="D1145" s="289" t="s">
        <v>2118</v>
      </c>
      <c r="E1145" s="289" t="s">
        <v>1250</v>
      </c>
      <c r="F1145" s="218">
        <v>90003</v>
      </c>
      <c r="G1145" s="237" t="s">
        <v>1567</v>
      </c>
      <c r="H1145" s="475" t="s">
        <v>1138</v>
      </c>
      <c r="I1145" s="478">
        <v>1</v>
      </c>
      <c r="J1145" s="243">
        <v>34.120449999999998</v>
      </c>
      <c r="K1145" s="243">
        <v>8.38096</v>
      </c>
      <c r="L1145" s="243">
        <v>25.73949</v>
      </c>
    </row>
    <row r="1146" spans="1:12" ht="26.4" customHeight="1">
      <c r="A1146" s="288">
        <v>220</v>
      </c>
      <c r="B1146" s="523"/>
      <c r="C1146" s="288" t="s">
        <v>1210</v>
      </c>
      <c r="D1146" s="289" t="s">
        <v>2118</v>
      </c>
      <c r="E1146" s="289" t="s">
        <v>1141</v>
      </c>
      <c r="F1146" s="218">
        <v>90021</v>
      </c>
      <c r="G1146" s="237" t="s">
        <v>1576</v>
      </c>
      <c r="H1146" s="475" t="s">
        <v>1138</v>
      </c>
      <c r="I1146" s="478">
        <v>1</v>
      </c>
      <c r="J1146" s="243">
        <v>36.690240000000003</v>
      </c>
      <c r="K1146" s="243">
        <v>8.4593600000000002</v>
      </c>
      <c r="L1146" s="243">
        <v>28.230879999999999</v>
      </c>
    </row>
    <row r="1147" spans="1:12" ht="26.4" customHeight="1">
      <c r="A1147" s="288">
        <v>221</v>
      </c>
      <c r="B1147" s="523"/>
      <c r="C1147" s="288" t="s">
        <v>1210</v>
      </c>
      <c r="D1147" s="289" t="s">
        <v>2118</v>
      </c>
      <c r="E1147" s="289" t="s">
        <v>635</v>
      </c>
      <c r="F1147" s="218">
        <v>92000</v>
      </c>
      <c r="G1147" s="237" t="s">
        <v>1569</v>
      </c>
      <c r="H1147" s="475" t="s">
        <v>1138</v>
      </c>
      <c r="I1147" s="478">
        <v>1</v>
      </c>
      <c r="J1147" s="243">
        <v>0.1</v>
      </c>
      <c r="K1147" s="243">
        <v>7.8850000000000003E-2</v>
      </c>
      <c r="L1147" s="243">
        <v>2.1149999999999999E-2</v>
      </c>
    </row>
    <row r="1148" spans="1:12" ht="26.4" customHeight="1">
      <c r="A1148" s="288">
        <v>222</v>
      </c>
      <c r="B1148" s="523"/>
      <c r="C1148" s="288" t="s">
        <v>1210</v>
      </c>
      <c r="D1148" s="289" t="s">
        <v>2119</v>
      </c>
      <c r="E1148" s="289" t="s">
        <v>2299</v>
      </c>
      <c r="F1148" s="218">
        <v>92431</v>
      </c>
      <c r="G1148" s="237" t="s">
        <v>1550</v>
      </c>
      <c r="H1148" s="475" t="s">
        <v>1149</v>
      </c>
      <c r="I1148" s="207">
        <v>271.39999999999998</v>
      </c>
      <c r="J1148" s="243">
        <v>67.988</v>
      </c>
      <c r="K1148" s="243">
        <v>67.988</v>
      </c>
      <c r="L1148" s="243">
        <v>0</v>
      </c>
    </row>
    <row r="1149" spans="1:12" ht="26.4" customHeight="1">
      <c r="A1149" s="288">
        <v>223</v>
      </c>
      <c r="B1149" s="523"/>
      <c r="C1149" s="288" t="s">
        <v>1210</v>
      </c>
      <c r="D1149" s="289" t="s">
        <v>1485</v>
      </c>
      <c r="E1149" s="289" t="s">
        <v>770</v>
      </c>
      <c r="F1149" s="218">
        <v>16360</v>
      </c>
      <c r="G1149" s="237" t="s">
        <v>1529</v>
      </c>
      <c r="H1149" s="475" t="s">
        <v>1149</v>
      </c>
      <c r="I1149" s="207">
        <v>108.2</v>
      </c>
      <c r="J1149" s="243">
        <v>160.08367999999999</v>
      </c>
      <c r="K1149" s="243">
        <v>68.720789999999994</v>
      </c>
      <c r="L1149" s="243">
        <v>91.362889999999993</v>
      </c>
    </row>
    <row r="1150" spans="1:12" ht="26.4" customHeight="1">
      <c r="A1150" s="288">
        <v>224</v>
      </c>
      <c r="B1150" s="523"/>
      <c r="C1150" s="288" t="s">
        <v>1210</v>
      </c>
      <c r="D1150" s="289" t="s">
        <v>1486</v>
      </c>
      <c r="E1150" s="289" t="s">
        <v>1919</v>
      </c>
      <c r="F1150" s="218">
        <v>2125</v>
      </c>
      <c r="G1150" s="237" t="s">
        <v>1529</v>
      </c>
      <c r="H1150" s="475" t="s">
        <v>631</v>
      </c>
      <c r="I1150" s="478">
        <v>68</v>
      </c>
      <c r="J1150" s="243">
        <v>3.859</v>
      </c>
      <c r="K1150" s="243">
        <v>3.69041</v>
      </c>
      <c r="L1150" s="243">
        <v>0.16858999999999999</v>
      </c>
    </row>
    <row r="1151" spans="1:12" ht="26.4" customHeight="1">
      <c r="A1151" s="288">
        <v>225</v>
      </c>
      <c r="B1151" s="523"/>
      <c r="C1151" s="288" t="s">
        <v>1210</v>
      </c>
      <c r="D1151" s="289" t="s">
        <v>1487</v>
      </c>
      <c r="E1151" s="289" t="s">
        <v>1919</v>
      </c>
      <c r="F1151" s="218">
        <v>2126</v>
      </c>
      <c r="G1151" s="237" t="s">
        <v>1529</v>
      </c>
      <c r="H1151" s="475" t="s">
        <v>631</v>
      </c>
      <c r="I1151" s="478">
        <v>205.6</v>
      </c>
      <c r="J1151" s="243">
        <v>11.6678</v>
      </c>
      <c r="K1151" s="243">
        <v>11.15818</v>
      </c>
      <c r="L1151" s="243">
        <v>0.50961999999999996</v>
      </c>
    </row>
    <row r="1152" spans="1:12" ht="26.4" customHeight="1">
      <c r="A1152" s="288">
        <v>226</v>
      </c>
      <c r="B1152" s="523"/>
      <c r="C1152" s="288" t="s">
        <v>1210</v>
      </c>
      <c r="D1152" s="289" t="s">
        <v>1488</v>
      </c>
      <c r="E1152" s="289" t="s">
        <v>1919</v>
      </c>
      <c r="F1152" s="218">
        <v>2127</v>
      </c>
      <c r="G1152" s="237" t="s">
        <v>1529</v>
      </c>
      <c r="H1152" s="475" t="s">
        <v>631</v>
      </c>
      <c r="I1152" s="478">
        <v>42</v>
      </c>
      <c r="J1152" s="243">
        <v>2.3835000000000002</v>
      </c>
      <c r="K1152" s="243">
        <v>2.2794300000000001</v>
      </c>
      <c r="L1152" s="243">
        <v>0.10407</v>
      </c>
    </row>
    <row r="1153" spans="1:12" ht="26.4" customHeight="1">
      <c r="A1153" s="288">
        <v>227</v>
      </c>
      <c r="B1153" s="523"/>
      <c r="C1153" s="288" t="s">
        <v>1210</v>
      </c>
      <c r="D1153" s="289" t="s">
        <v>1489</v>
      </c>
      <c r="E1153" s="289" t="s">
        <v>632</v>
      </c>
      <c r="F1153" s="218">
        <v>16358</v>
      </c>
      <c r="G1153" s="237" t="s">
        <v>1529</v>
      </c>
      <c r="H1153" s="475" t="s">
        <v>1138</v>
      </c>
      <c r="I1153" s="478">
        <v>1</v>
      </c>
      <c r="J1153" s="243">
        <v>10.994</v>
      </c>
      <c r="K1153" s="243">
        <v>2.6513900000000001</v>
      </c>
      <c r="L1153" s="243">
        <v>8.3426100000000005</v>
      </c>
    </row>
    <row r="1154" spans="1:12" ht="26.4" customHeight="1">
      <c r="A1154" s="288">
        <v>228</v>
      </c>
      <c r="B1154" s="523"/>
      <c r="C1154" s="288" t="s">
        <v>1210</v>
      </c>
      <c r="D1154" s="289" t="s">
        <v>1988</v>
      </c>
      <c r="E1154" s="289" t="s">
        <v>1919</v>
      </c>
      <c r="F1154" s="218">
        <v>16363</v>
      </c>
      <c r="G1154" s="237" t="s">
        <v>1529</v>
      </c>
      <c r="H1154" s="475" t="s">
        <v>631</v>
      </c>
      <c r="I1154" s="478">
        <v>123.4</v>
      </c>
      <c r="J1154" s="243">
        <v>7.0046999999999997</v>
      </c>
      <c r="K1154" s="243">
        <v>6.6987399999999999</v>
      </c>
      <c r="L1154" s="243">
        <v>0.30596000000000001</v>
      </c>
    </row>
    <row r="1155" spans="1:12" ht="26.4" customHeight="1">
      <c r="A1155" s="288">
        <v>229</v>
      </c>
      <c r="B1155" s="523"/>
      <c r="C1155" s="288" t="s">
        <v>2472</v>
      </c>
      <c r="D1155" s="289" t="s">
        <v>2120</v>
      </c>
      <c r="E1155" s="289" t="s">
        <v>2233</v>
      </c>
      <c r="F1155" s="218">
        <v>23800</v>
      </c>
      <c r="G1155" s="237" t="s">
        <v>1558</v>
      </c>
      <c r="H1155" s="475" t="s">
        <v>1149</v>
      </c>
      <c r="I1155" s="207">
        <v>478.2</v>
      </c>
      <c r="J1155" s="243">
        <v>691.81114000000002</v>
      </c>
      <c r="K1155" s="243">
        <v>184.4452</v>
      </c>
      <c r="L1155" s="243">
        <v>507.36594000000002</v>
      </c>
    </row>
    <row r="1156" spans="1:12" ht="26.4" customHeight="1">
      <c r="A1156" s="288">
        <v>230</v>
      </c>
      <c r="B1156" s="523"/>
      <c r="C1156" s="288" t="s">
        <v>1210</v>
      </c>
      <c r="D1156" s="289" t="s">
        <v>2120</v>
      </c>
      <c r="E1156" s="289" t="s">
        <v>1919</v>
      </c>
      <c r="F1156" s="218">
        <v>2240</v>
      </c>
      <c r="G1156" s="237" t="s">
        <v>1558</v>
      </c>
      <c r="H1156" s="475" t="s">
        <v>631</v>
      </c>
      <c r="I1156" s="478">
        <v>193</v>
      </c>
      <c r="J1156" s="243">
        <v>21.422999999999998</v>
      </c>
      <c r="K1156" s="243">
        <v>9.0881699999999999</v>
      </c>
      <c r="L1156" s="243">
        <v>12.33483</v>
      </c>
    </row>
    <row r="1157" spans="1:12" ht="26.4" customHeight="1">
      <c r="A1157" s="288">
        <v>231</v>
      </c>
      <c r="B1157" s="523"/>
      <c r="C1157" s="288" t="s">
        <v>1210</v>
      </c>
      <c r="D1157" s="289" t="s">
        <v>2121</v>
      </c>
      <c r="E1157" s="289" t="s">
        <v>1919</v>
      </c>
      <c r="F1157" s="218">
        <v>2241</v>
      </c>
      <c r="G1157" s="237" t="s">
        <v>1558</v>
      </c>
      <c r="H1157" s="475" t="s">
        <v>631</v>
      </c>
      <c r="I1157" s="478">
        <v>27.5</v>
      </c>
      <c r="J1157" s="243">
        <v>3.0525000000000002</v>
      </c>
      <c r="K1157" s="243">
        <v>1.2949999999999999</v>
      </c>
      <c r="L1157" s="243">
        <v>1.7575000000000001</v>
      </c>
    </row>
    <row r="1158" spans="1:12" ht="26.4" customHeight="1">
      <c r="A1158" s="288">
        <v>232</v>
      </c>
      <c r="B1158" s="523"/>
      <c r="C1158" s="288" t="s">
        <v>1210</v>
      </c>
      <c r="D1158" s="289" t="s">
        <v>2121</v>
      </c>
      <c r="E1158" s="289" t="s">
        <v>1919</v>
      </c>
      <c r="F1158" s="218">
        <v>2242</v>
      </c>
      <c r="G1158" s="237" t="s">
        <v>1558</v>
      </c>
      <c r="H1158" s="475" t="s">
        <v>631</v>
      </c>
      <c r="I1158" s="478">
        <v>35</v>
      </c>
      <c r="J1158" s="243">
        <v>3.8849999999999998</v>
      </c>
      <c r="K1158" s="243">
        <v>1.64811</v>
      </c>
      <c r="L1158" s="243">
        <v>2.2368899999999998</v>
      </c>
    </row>
    <row r="1159" spans="1:12" ht="26.4" customHeight="1">
      <c r="A1159" s="288">
        <v>233</v>
      </c>
      <c r="B1159" s="523"/>
      <c r="C1159" s="288" t="s">
        <v>1210</v>
      </c>
      <c r="D1159" s="289" t="s">
        <v>2121</v>
      </c>
      <c r="E1159" s="289" t="s">
        <v>1919</v>
      </c>
      <c r="F1159" s="218">
        <v>2243</v>
      </c>
      <c r="G1159" s="237" t="s">
        <v>1558</v>
      </c>
      <c r="H1159" s="475" t="s">
        <v>631</v>
      </c>
      <c r="I1159" s="478">
        <v>122</v>
      </c>
      <c r="J1159" s="243">
        <v>13.542</v>
      </c>
      <c r="K1159" s="243">
        <v>5.7448499999999996</v>
      </c>
      <c r="L1159" s="243">
        <v>7.7971500000000002</v>
      </c>
    </row>
    <row r="1160" spans="1:12" ht="26.4" customHeight="1">
      <c r="A1160" s="288">
        <v>234</v>
      </c>
      <c r="B1160" s="523"/>
      <c r="C1160" s="288" t="s">
        <v>1210</v>
      </c>
      <c r="D1160" s="289" t="s">
        <v>2121</v>
      </c>
      <c r="E1160" s="289" t="s">
        <v>1919</v>
      </c>
      <c r="F1160" s="218">
        <v>2244</v>
      </c>
      <c r="G1160" s="237" t="s">
        <v>1558</v>
      </c>
      <c r="H1160" s="475" t="s">
        <v>631</v>
      </c>
      <c r="I1160" s="478">
        <v>169</v>
      </c>
      <c r="J1160" s="243">
        <v>18.759</v>
      </c>
      <c r="K1160" s="243">
        <v>7.9580299999999999</v>
      </c>
      <c r="L1160" s="243">
        <v>10.80097</v>
      </c>
    </row>
    <row r="1161" spans="1:12" ht="26.4" customHeight="1">
      <c r="A1161" s="288">
        <v>235</v>
      </c>
      <c r="B1161" s="523"/>
      <c r="C1161" s="288" t="s">
        <v>1210</v>
      </c>
      <c r="D1161" s="289" t="s">
        <v>2121</v>
      </c>
      <c r="E1161" s="289" t="s">
        <v>1919</v>
      </c>
      <c r="F1161" s="218">
        <v>2245</v>
      </c>
      <c r="G1161" s="237" t="s">
        <v>1558</v>
      </c>
      <c r="H1161" s="475" t="s">
        <v>631</v>
      </c>
      <c r="I1161" s="478">
        <v>8</v>
      </c>
      <c r="J1161" s="243">
        <v>0.88800000000000001</v>
      </c>
      <c r="K1161" s="243">
        <v>0.37670999999999999</v>
      </c>
      <c r="L1161" s="243">
        <v>0.51129000000000002</v>
      </c>
    </row>
    <row r="1162" spans="1:12" ht="26.4" customHeight="1">
      <c r="A1162" s="288">
        <v>236</v>
      </c>
      <c r="B1162" s="523"/>
      <c r="C1162" s="288" t="s">
        <v>1210</v>
      </c>
      <c r="D1162" s="289" t="s">
        <v>2121</v>
      </c>
      <c r="E1162" s="289" t="s">
        <v>1919</v>
      </c>
      <c r="F1162" s="218">
        <v>2246</v>
      </c>
      <c r="G1162" s="237" t="s">
        <v>1558</v>
      </c>
      <c r="H1162" s="475" t="s">
        <v>631</v>
      </c>
      <c r="I1162" s="478">
        <v>122</v>
      </c>
      <c r="J1162" s="243">
        <v>13.542</v>
      </c>
      <c r="K1162" s="243">
        <v>5.7448499999999996</v>
      </c>
      <c r="L1162" s="243">
        <v>7.7971500000000002</v>
      </c>
    </row>
    <row r="1163" spans="1:12" ht="26.4" customHeight="1">
      <c r="A1163" s="288">
        <v>237</v>
      </c>
      <c r="B1163" s="523"/>
      <c r="C1163" s="288" t="s">
        <v>1210</v>
      </c>
      <c r="D1163" s="289" t="s">
        <v>2121</v>
      </c>
      <c r="E1163" s="289" t="s">
        <v>1919</v>
      </c>
      <c r="F1163" s="218">
        <v>2247</v>
      </c>
      <c r="G1163" s="237" t="s">
        <v>1558</v>
      </c>
      <c r="H1163" s="475" t="s">
        <v>631</v>
      </c>
      <c r="I1163" s="478">
        <v>100</v>
      </c>
      <c r="J1163" s="243">
        <v>11.1</v>
      </c>
      <c r="K1163" s="243">
        <v>4.7088999999999999</v>
      </c>
      <c r="L1163" s="243">
        <v>6.3910999999999998</v>
      </c>
    </row>
    <row r="1164" spans="1:12" ht="26.4" customHeight="1">
      <c r="A1164" s="288">
        <v>238</v>
      </c>
      <c r="B1164" s="523"/>
      <c r="C1164" s="288" t="s">
        <v>1210</v>
      </c>
      <c r="D1164" s="289" t="s">
        <v>2121</v>
      </c>
      <c r="E1164" s="289" t="s">
        <v>1919</v>
      </c>
      <c r="F1164" s="218">
        <v>2248</v>
      </c>
      <c r="G1164" s="237" t="s">
        <v>1558</v>
      </c>
      <c r="H1164" s="475" t="s">
        <v>631</v>
      </c>
      <c r="I1164" s="478">
        <v>55.34</v>
      </c>
      <c r="J1164" s="243">
        <v>6.1427399999999999</v>
      </c>
      <c r="K1164" s="243">
        <v>2.60595</v>
      </c>
      <c r="L1164" s="243">
        <v>3.5367899999999999</v>
      </c>
    </row>
    <row r="1165" spans="1:12" ht="26.4" customHeight="1">
      <c r="A1165" s="288">
        <v>239</v>
      </c>
      <c r="B1165" s="523"/>
      <c r="C1165" s="288" t="s">
        <v>1210</v>
      </c>
      <c r="D1165" s="289" t="s">
        <v>2121</v>
      </c>
      <c r="E1165" s="289" t="s">
        <v>1919</v>
      </c>
      <c r="F1165" s="218">
        <v>2249</v>
      </c>
      <c r="G1165" s="237" t="s">
        <v>1558</v>
      </c>
      <c r="H1165" s="475" t="s">
        <v>631</v>
      </c>
      <c r="I1165" s="478">
        <v>67</v>
      </c>
      <c r="J1165" s="243">
        <v>7.4370000000000003</v>
      </c>
      <c r="K1165" s="243">
        <v>3.15496</v>
      </c>
      <c r="L1165" s="243">
        <v>4.2820400000000003</v>
      </c>
    </row>
    <row r="1166" spans="1:12" ht="26.4" customHeight="1">
      <c r="A1166" s="288">
        <v>240</v>
      </c>
      <c r="B1166" s="523"/>
      <c r="C1166" s="288" t="s">
        <v>1210</v>
      </c>
      <c r="D1166" s="289" t="s">
        <v>2121</v>
      </c>
      <c r="E1166" s="289" t="s">
        <v>1919</v>
      </c>
      <c r="F1166" s="218">
        <v>2250</v>
      </c>
      <c r="G1166" s="237" t="s">
        <v>1558</v>
      </c>
      <c r="H1166" s="475" t="s">
        <v>631</v>
      </c>
      <c r="I1166" s="478">
        <v>27</v>
      </c>
      <c r="J1166" s="243">
        <v>2.9969999999999999</v>
      </c>
      <c r="K1166" s="243">
        <v>1.2714000000000001</v>
      </c>
      <c r="L1166" s="243">
        <v>1.7256</v>
      </c>
    </row>
    <row r="1167" spans="1:12" ht="26.4" customHeight="1">
      <c r="A1167" s="288">
        <v>241</v>
      </c>
      <c r="B1167" s="523"/>
      <c r="C1167" s="288" t="s">
        <v>1210</v>
      </c>
      <c r="D1167" s="289" t="s">
        <v>2121</v>
      </c>
      <c r="E1167" s="289" t="s">
        <v>1919</v>
      </c>
      <c r="F1167" s="218">
        <v>2251</v>
      </c>
      <c r="G1167" s="237" t="s">
        <v>1558</v>
      </c>
      <c r="H1167" s="475" t="s">
        <v>631</v>
      </c>
      <c r="I1167" s="478">
        <v>38</v>
      </c>
      <c r="J1167" s="243">
        <v>4.218</v>
      </c>
      <c r="K1167" s="243">
        <v>1.78938</v>
      </c>
      <c r="L1167" s="243">
        <v>2.42862</v>
      </c>
    </row>
    <row r="1168" spans="1:12" ht="26.4" customHeight="1">
      <c r="A1168" s="288">
        <v>242</v>
      </c>
      <c r="B1168" s="523"/>
      <c r="C1168" s="288" t="s">
        <v>1210</v>
      </c>
      <c r="D1168" s="289" t="s">
        <v>2121</v>
      </c>
      <c r="E1168" s="289" t="s">
        <v>1919</v>
      </c>
      <c r="F1168" s="218">
        <v>2252</v>
      </c>
      <c r="G1168" s="237" t="s">
        <v>1558</v>
      </c>
      <c r="H1168" s="475" t="s">
        <v>631</v>
      </c>
      <c r="I1168" s="478">
        <v>125</v>
      </c>
      <c r="J1168" s="243">
        <v>13.875</v>
      </c>
      <c r="K1168" s="243">
        <v>5.88612</v>
      </c>
      <c r="L1168" s="243">
        <v>7.98888</v>
      </c>
    </row>
    <row r="1169" spans="1:12" ht="26.4" customHeight="1">
      <c r="A1169" s="288">
        <v>243</v>
      </c>
      <c r="B1169" s="523"/>
      <c r="C1169" s="288" t="s">
        <v>1210</v>
      </c>
      <c r="D1169" s="289" t="s">
        <v>2121</v>
      </c>
      <c r="E1169" s="289" t="s">
        <v>1919</v>
      </c>
      <c r="F1169" s="218">
        <v>23801</v>
      </c>
      <c r="G1169" s="237" t="s">
        <v>1558</v>
      </c>
      <c r="H1169" s="475" t="s">
        <v>631</v>
      </c>
      <c r="I1169" s="478">
        <v>247</v>
      </c>
      <c r="J1169" s="243">
        <v>27.419550000000001</v>
      </c>
      <c r="K1169" s="243">
        <v>11.632070000000001</v>
      </c>
      <c r="L1169" s="243">
        <v>15.78748</v>
      </c>
    </row>
    <row r="1170" spans="1:12" ht="26.4" customHeight="1">
      <c r="A1170" s="288">
        <v>244</v>
      </c>
      <c r="B1170" s="523"/>
      <c r="C1170" s="288" t="s">
        <v>1210</v>
      </c>
      <c r="D1170" s="289" t="s">
        <v>2121</v>
      </c>
      <c r="E1170" s="289" t="s">
        <v>1924</v>
      </c>
      <c r="F1170" s="218">
        <v>23802</v>
      </c>
      <c r="G1170" s="237" t="s">
        <v>1558</v>
      </c>
      <c r="H1170" s="475" t="s">
        <v>1138</v>
      </c>
      <c r="I1170" s="478">
        <v>1</v>
      </c>
      <c r="J1170" s="243">
        <v>11.05771</v>
      </c>
      <c r="K1170" s="243">
        <v>6.0351699999999999</v>
      </c>
      <c r="L1170" s="243">
        <v>5.0225400000000002</v>
      </c>
    </row>
    <row r="1171" spans="1:12" s="197" customFormat="1" ht="26.4" customHeight="1">
      <c r="A1171" s="208">
        <v>245</v>
      </c>
      <c r="B1171" s="523"/>
      <c r="C1171" s="208" t="s">
        <v>1210</v>
      </c>
      <c r="D1171" s="289" t="s">
        <v>2121</v>
      </c>
      <c r="E1171" s="204" t="s">
        <v>641</v>
      </c>
      <c r="F1171" s="244">
        <v>23811</v>
      </c>
      <c r="G1171" s="245" t="s">
        <v>1558</v>
      </c>
      <c r="H1171" s="262" t="s">
        <v>1138</v>
      </c>
      <c r="I1171" s="204">
        <v>1</v>
      </c>
      <c r="J1171" s="243">
        <v>23</v>
      </c>
      <c r="K1171" s="243">
        <v>13.948880000000001</v>
      </c>
      <c r="L1171" s="243">
        <v>9.0511199999999992</v>
      </c>
    </row>
    <row r="1172" spans="1:12" ht="26.4" customHeight="1">
      <c r="A1172" s="288">
        <v>246</v>
      </c>
      <c r="B1172" s="523"/>
      <c r="C1172" s="288" t="s">
        <v>1210</v>
      </c>
      <c r="D1172" s="289" t="s">
        <v>2121</v>
      </c>
      <c r="E1172" s="289" t="s">
        <v>1255</v>
      </c>
      <c r="F1172" s="218">
        <v>28322</v>
      </c>
      <c r="G1172" s="237" t="s">
        <v>1567</v>
      </c>
      <c r="H1172" s="475" t="s">
        <v>631</v>
      </c>
      <c r="I1172" s="478">
        <v>315</v>
      </c>
      <c r="J1172" s="243">
        <v>231.50380000000001</v>
      </c>
      <c r="K1172" s="243">
        <v>57.393729999999998</v>
      </c>
      <c r="L1172" s="243">
        <v>174.11007000000001</v>
      </c>
    </row>
    <row r="1173" spans="1:12" ht="26.4" customHeight="1">
      <c r="A1173" s="288">
        <v>247</v>
      </c>
      <c r="B1173" s="523"/>
      <c r="C1173" s="288" t="s">
        <v>1210</v>
      </c>
      <c r="D1173" s="289" t="s">
        <v>2121</v>
      </c>
      <c r="E1173" s="289" t="s">
        <v>1255</v>
      </c>
      <c r="F1173" s="218">
        <v>28323</v>
      </c>
      <c r="G1173" s="237" t="s">
        <v>1567</v>
      </c>
      <c r="H1173" s="475" t="s">
        <v>631</v>
      </c>
      <c r="I1173" s="478">
        <v>173.53</v>
      </c>
      <c r="J1173" s="243">
        <v>80.301599999999993</v>
      </c>
      <c r="K1173" s="243">
        <v>19.9087</v>
      </c>
      <c r="L1173" s="243">
        <v>60.392899999999997</v>
      </c>
    </row>
    <row r="1174" spans="1:12" ht="26.4" customHeight="1">
      <c r="A1174" s="288">
        <v>248</v>
      </c>
      <c r="B1174" s="523"/>
      <c r="C1174" s="288" t="s">
        <v>1210</v>
      </c>
      <c r="D1174" s="289" t="s">
        <v>2121</v>
      </c>
      <c r="E1174" s="289" t="s">
        <v>1251</v>
      </c>
      <c r="F1174" s="218">
        <v>41437</v>
      </c>
      <c r="G1174" s="237" t="s">
        <v>1574</v>
      </c>
      <c r="H1174" s="475" t="s">
        <v>631</v>
      </c>
      <c r="I1174" s="478">
        <v>6.63</v>
      </c>
      <c r="J1174" s="243">
        <v>14.036160000000001</v>
      </c>
      <c r="K1174" s="243">
        <v>1.5440700000000001</v>
      </c>
      <c r="L1174" s="243">
        <v>12.492089999999999</v>
      </c>
    </row>
    <row r="1175" spans="1:12" ht="26.4" customHeight="1">
      <c r="A1175" s="288">
        <v>249</v>
      </c>
      <c r="B1175" s="523"/>
      <c r="C1175" s="288" t="s">
        <v>1210</v>
      </c>
      <c r="D1175" s="289" t="s">
        <v>1822</v>
      </c>
      <c r="E1175" s="289" t="s">
        <v>868</v>
      </c>
      <c r="F1175" s="218">
        <v>5112</v>
      </c>
      <c r="G1175" s="237" t="s">
        <v>1556</v>
      </c>
      <c r="H1175" s="475" t="s">
        <v>1149</v>
      </c>
      <c r="I1175" s="207">
        <v>795.7</v>
      </c>
      <c r="J1175" s="243">
        <v>1737.8687</v>
      </c>
      <c r="K1175" s="243">
        <v>1270.2713200000001</v>
      </c>
      <c r="L1175" s="243">
        <v>467.59737999999999</v>
      </c>
    </row>
    <row r="1176" spans="1:12" ht="26.4" customHeight="1">
      <c r="A1176" s="288">
        <v>250</v>
      </c>
      <c r="B1176" s="523"/>
      <c r="C1176" s="288" t="s">
        <v>1210</v>
      </c>
      <c r="D1176" s="289" t="s">
        <v>1823</v>
      </c>
      <c r="E1176" s="289" t="s">
        <v>1919</v>
      </c>
      <c r="F1176" s="218">
        <v>1051</v>
      </c>
      <c r="G1176" s="237" t="s">
        <v>1545</v>
      </c>
      <c r="H1176" s="475" t="s">
        <v>631</v>
      </c>
      <c r="I1176" s="478">
        <v>167</v>
      </c>
      <c r="J1176" s="243">
        <v>26.785129999999999</v>
      </c>
      <c r="K1176" s="243">
        <v>18.49972</v>
      </c>
      <c r="L1176" s="243">
        <v>8.2854100000000006</v>
      </c>
    </row>
    <row r="1177" spans="1:12" ht="26.4" customHeight="1">
      <c r="A1177" s="288">
        <v>251</v>
      </c>
      <c r="B1177" s="523"/>
      <c r="C1177" s="288" t="s">
        <v>1210</v>
      </c>
      <c r="D1177" s="289" t="s">
        <v>1823</v>
      </c>
      <c r="E1177" s="289" t="s">
        <v>1919</v>
      </c>
      <c r="F1177" s="218">
        <v>1052</v>
      </c>
      <c r="G1177" s="237" t="s">
        <v>1545</v>
      </c>
      <c r="H1177" s="475" t="s">
        <v>631</v>
      </c>
      <c r="I1177" s="478">
        <v>57</v>
      </c>
      <c r="J1177" s="243">
        <v>9.1422299999999996</v>
      </c>
      <c r="K1177" s="243">
        <v>6.3142199999999997</v>
      </c>
      <c r="L1177" s="243">
        <v>2.8280099999999999</v>
      </c>
    </row>
    <row r="1178" spans="1:12" ht="26.4" customHeight="1">
      <c r="A1178" s="288">
        <v>252</v>
      </c>
      <c r="B1178" s="523"/>
      <c r="C1178" s="288" t="s">
        <v>1210</v>
      </c>
      <c r="D1178" s="289" t="s">
        <v>1823</v>
      </c>
      <c r="E1178" s="289" t="s">
        <v>1919</v>
      </c>
      <c r="F1178" s="218">
        <v>1053</v>
      </c>
      <c r="G1178" s="237" t="s">
        <v>1545</v>
      </c>
      <c r="H1178" s="475" t="s">
        <v>631</v>
      </c>
      <c r="I1178" s="478">
        <v>356.5</v>
      </c>
      <c r="J1178" s="243">
        <v>57.179040000000001</v>
      </c>
      <c r="K1178" s="243">
        <v>39.491810000000001</v>
      </c>
      <c r="L1178" s="243">
        <v>17.68723</v>
      </c>
    </row>
    <row r="1179" spans="1:12" ht="26.4" customHeight="1">
      <c r="A1179" s="288">
        <v>253</v>
      </c>
      <c r="B1179" s="523"/>
      <c r="C1179" s="288" t="s">
        <v>1210</v>
      </c>
      <c r="D1179" s="289" t="s">
        <v>1823</v>
      </c>
      <c r="E1179" s="289" t="s">
        <v>1919</v>
      </c>
      <c r="F1179" s="218">
        <v>1054</v>
      </c>
      <c r="G1179" s="237" t="s">
        <v>1545</v>
      </c>
      <c r="H1179" s="475" t="s">
        <v>631</v>
      </c>
      <c r="I1179" s="478">
        <v>275</v>
      </c>
      <c r="J1179" s="243">
        <v>44.107250000000001</v>
      </c>
      <c r="K1179" s="243">
        <v>30.463529999999999</v>
      </c>
      <c r="L1179" s="243">
        <v>13.64372</v>
      </c>
    </row>
    <row r="1180" spans="1:12" ht="26.4" customHeight="1">
      <c r="A1180" s="288">
        <v>254</v>
      </c>
      <c r="B1180" s="523"/>
      <c r="C1180" s="288" t="s">
        <v>1210</v>
      </c>
      <c r="D1180" s="289" t="s">
        <v>1824</v>
      </c>
      <c r="E1180" s="289" t="s">
        <v>1919</v>
      </c>
      <c r="F1180" s="218">
        <v>1055</v>
      </c>
      <c r="G1180" s="237" t="s">
        <v>1545</v>
      </c>
      <c r="H1180" s="475" t="s">
        <v>631</v>
      </c>
      <c r="I1180" s="478">
        <v>50</v>
      </c>
      <c r="J1180" s="243">
        <v>8.0195000000000007</v>
      </c>
      <c r="K1180" s="243">
        <v>5.5388000000000002</v>
      </c>
      <c r="L1180" s="243">
        <v>2.4807000000000001</v>
      </c>
    </row>
    <row r="1181" spans="1:12" ht="26.4" customHeight="1">
      <c r="A1181" s="288">
        <v>255</v>
      </c>
      <c r="B1181" s="523"/>
      <c r="C1181" s="288" t="s">
        <v>1210</v>
      </c>
      <c r="D1181" s="289" t="s">
        <v>1824</v>
      </c>
      <c r="E1181" s="289" t="s">
        <v>1919</v>
      </c>
      <c r="F1181" s="218">
        <v>1056</v>
      </c>
      <c r="G1181" s="237" t="s">
        <v>1545</v>
      </c>
      <c r="H1181" s="475" t="s">
        <v>631</v>
      </c>
      <c r="I1181" s="478">
        <v>175</v>
      </c>
      <c r="J1181" s="243">
        <v>28.068249999999999</v>
      </c>
      <c r="K1181" s="243">
        <v>19.385919999999999</v>
      </c>
      <c r="L1181" s="243">
        <v>8.6823300000000003</v>
      </c>
    </row>
    <row r="1182" spans="1:12" ht="26.4" customHeight="1">
      <c r="A1182" s="288">
        <v>256</v>
      </c>
      <c r="B1182" s="523"/>
      <c r="C1182" s="288" t="s">
        <v>1210</v>
      </c>
      <c r="D1182" s="289" t="s">
        <v>1824</v>
      </c>
      <c r="E1182" s="289" t="s">
        <v>1919</v>
      </c>
      <c r="F1182" s="218">
        <v>1057</v>
      </c>
      <c r="G1182" s="237" t="s">
        <v>1545</v>
      </c>
      <c r="H1182" s="475" t="s">
        <v>631</v>
      </c>
      <c r="I1182" s="478">
        <v>117</v>
      </c>
      <c r="J1182" s="243">
        <v>18.765630000000002</v>
      </c>
      <c r="K1182" s="243">
        <v>12.960800000000001</v>
      </c>
      <c r="L1182" s="243">
        <v>5.8048299999999999</v>
      </c>
    </row>
    <row r="1183" spans="1:12" ht="26.4" customHeight="1">
      <c r="A1183" s="288">
        <v>257</v>
      </c>
      <c r="B1183" s="523"/>
      <c r="C1183" s="288" t="s">
        <v>1210</v>
      </c>
      <c r="D1183" s="289" t="s">
        <v>1824</v>
      </c>
      <c r="E1183" s="289" t="s">
        <v>1919</v>
      </c>
      <c r="F1183" s="218">
        <v>1058</v>
      </c>
      <c r="G1183" s="237" t="s">
        <v>1545</v>
      </c>
      <c r="H1183" s="475" t="s">
        <v>631</v>
      </c>
      <c r="I1183" s="478">
        <v>68</v>
      </c>
      <c r="J1183" s="243">
        <v>10.90652</v>
      </c>
      <c r="K1183" s="243">
        <v>7.5327900000000003</v>
      </c>
      <c r="L1183" s="243">
        <v>3.3737300000000001</v>
      </c>
    </row>
    <row r="1184" spans="1:12" ht="26.4" customHeight="1">
      <c r="A1184" s="288">
        <v>258</v>
      </c>
      <c r="B1184" s="523"/>
      <c r="C1184" s="288" t="s">
        <v>1210</v>
      </c>
      <c r="D1184" s="289" t="s">
        <v>1824</v>
      </c>
      <c r="E1184" s="289" t="s">
        <v>1919</v>
      </c>
      <c r="F1184" s="218">
        <v>1059</v>
      </c>
      <c r="G1184" s="237" t="s">
        <v>1545</v>
      </c>
      <c r="H1184" s="475" t="s">
        <v>631</v>
      </c>
      <c r="I1184" s="478">
        <v>107</v>
      </c>
      <c r="J1184" s="243">
        <v>17.16179</v>
      </c>
      <c r="K1184" s="243">
        <v>11.85317</v>
      </c>
      <c r="L1184" s="243">
        <v>5.3086200000000003</v>
      </c>
    </row>
    <row r="1185" spans="1:12" ht="26.4" customHeight="1">
      <c r="A1185" s="288">
        <v>259</v>
      </c>
      <c r="B1185" s="523"/>
      <c r="C1185" s="288" t="s">
        <v>1210</v>
      </c>
      <c r="D1185" s="289" t="s">
        <v>1824</v>
      </c>
      <c r="E1185" s="289" t="s">
        <v>1919</v>
      </c>
      <c r="F1185" s="218">
        <v>1060</v>
      </c>
      <c r="G1185" s="237" t="s">
        <v>1545</v>
      </c>
      <c r="H1185" s="475" t="s">
        <v>631</v>
      </c>
      <c r="I1185" s="478">
        <v>282</v>
      </c>
      <c r="J1185" s="243">
        <v>45.229979999999998</v>
      </c>
      <c r="K1185" s="243">
        <v>31.238939999999999</v>
      </c>
      <c r="L1185" s="243">
        <v>13.99104</v>
      </c>
    </row>
    <row r="1186" spans="1:12" ht="26.4" customHeight="1">
      <c r="A1186" s="288">
        <v>260</v>
      </c>
      <c r="B1186" s="523"/>
      <c r="C1186" s="288" t="s">
        <v>1210</v>
      </c>
      <c r="D1186" s="289" t="s">
        <v>1824</v>
      </c>
      <c r="E1186" s="289" t="s">
        <v>1919</v>
      </c>
      <c r="F1186" s="218">
        <v>1061</v>
      </c>
      <c r="G1186" s="237" t="s">
        <v>1545</v>
      </c>
      <c r="H1186" s="475" t="s">
        <v>631</v>
      </c>
      <c r="I1186" s="478">
        <v>33</v>
      </c>
      <c r="J1186" s="243">
        <v>5.2928699999999997</v>
      </c>
      <c r="K1186" s="243">
        <v>3.6556099999999998</v>
      </c>
      <c r="L1186" s="243">
        <v>1.6372599999999999</v>
      </c>
    </row>
    <row r="1187" spans="1:12" ht="26.4" customHeight="1">
      <c r="A1187" s="288">
        <v>261</v>
      </c>
      <c r="B1187" s="523"/>
      <c r="C1187" s="288" t="s">
        <v>1210</v>
      </c>
      <c r="D1187" s="289" t="s">
        <v>1824</v>
      </c>
      <c r="E1187" s="289" t="s">
        <v>1919</v>
      </c>
      <c r="F1187" s="218">
        <v>1062</v>
      </c>
      <c r="G1187" s="237" t="s">
        <v>1545</v>
      </c>
      <c r="H1187" s="475" t="s">
        <v>631</v>
      </c>
      <c r="I1187" s="478">
        <v>103</v>
      </c>
      <c r="J1187" s="243">
        <v>16.52017</v>
      </c>
      <c r="K1187" s="243">
        <v>11.40997</v>
      </c>
      <c r="L1187" s="243">
        <v>5.1101999999999999</v>
      </c>
    </row>
    <row r="1188" spans="1:12" ht="26.4" customHeight="1">
      <c r="A1188" s="288">
        <v>262</v>
      </c>
      <c r="B1188" s="523"/>
      <c r="C1188" s="288" t="s">
        <v>1210</v>
      </c>
      <c r="D1188" s="289" t="s">
        <v>1824</v>
      </c>
      <c r="E1188" s="289" t="s">
        <v>1919</v>
      </c>
      <c r="F1188" s="218">
        <v>1063</v>
      </c>
      <c r="G1188" s="237" t="s">
        <v>1545</v>
      </c>
      <c r="H1188" s="475" t="s">
        <v>631</v>
      </c>
      <c r="I1188" s="478" t="s">
        <v>645</v>
      </c>
      <c r="J1188" s="243">
        <v>19.327000000000002</v>
      </c>
      <c r="K1188" s="243">
        <v>13.417439999999999</v>
      </c>
      <c r="L1188" s="243">
        <v>5.9095599999999999</v>
      </c>
    </row>
    <row r="1189" spans="1:12" ht="26.4" customHeight="1">
      <c r="A1189" s="288">
        <v>263</v>
      </c>
      <c r="B1189" s="523"/>
      <c r="C1189" s="288" t="s">
        <v>1210</v>
      </c>
      <c r="D1189" s="289" t="s">
        <v>1824</v>
      </c>
      <c r="E1189" s="289" t="s">
        <v>1919</v>
      </c>
      <c r="F1189" s="218">
        <v>1064</v>
      </c>
      <c r="G1189" s="237" t="s">
        <v>1545</v>
      </c>
      <c r="H1189" s="475" t="s">
        <v>631</v>
      </c>
      <c r="I1189" s="478">
        <v>64.5</v>
      </c>
      <c r="J1189" s="243">
        <v>10.34515</v>
      </c>
      <c r="K1189" s="243">
        <v>7.1402099999999997</v>
      </c>
      <c r="L1189" s="243">
        <v>3.2049400000000001</v>
      </c>
    </row>
    <row r="1190" spans="1:12" ht="26.4" customHeight="1">
      <c r="A1190" s="288">
        <v>264</v>
      </c>
      <c r="B1190" s="523"/>
      <c r="C1190" s="288" t="s">
        <v>1210</v>
      </c>
      <c r="D1190" s="289" t="s">
        <v>1824</v>
      </c>
      <c r="E1190" s="289" t="s">
        <v>1919</v>
      </c>
      <c r="F1190" s="218">
        <v>1065</v>
      </c>
      <c r="G1190" s="237" t="s">
        <v>1545</v>
      </c>
      <c r="H1190" s="475" t="s">
        <v>631</v>
      </c>
      <c r="I1190" s="478">
        <v>49</v>
      </c>
      <c r="J1190" s="243">
        <v>7.8591100000000003</v>
      </c>
      <c r="K1190" s="243">
        <v>5.4243199999999998</v>
      </c>
      <c r="L1190" s="243">
        <v>2.43479</v>
      </c>
    </row>
    <row r="1191" spans="1:12" ht="26.4" customHeight="1">
      <c r="A1191" s="288">
        <v>265</v>
      </c>
      <c r="B1191" s="523"/>
      <c r="C1191" s="288" t="s">
        <v>1210</v>
      </c>
      <c r="D1191" s="289" t="s">
        <v>1824</v>
      </c>
      <c r="E1191" s="289" t="s">
        <v>1919</v>
      </c>
      <c r="F1191" s="218">
        <v>1066</v>
      </c>
      <c r="G1191" s="237" t="s">
        <v>1545</v>
      </c>
      <c r="H1191" s="475" t="s">
        <v>631</v>
      </c>
      <c r="I1191" s="478">
        <v>64</v>
      </c>
      <c r="J1191" s="243">
        <v>10.26496</v>
      </c>
      <c r="K1191" s="243">
        <v>7.0849099999999998</v>
      </c>
      <c r="L1191" s="243">
        <v>3.18005</v>
      </c>
    </row>
    <row r="1192" spans="1:12" ht="26.4" customHeight="1">
      <c r="A1192" s="288">
        <v>266</v>
      </c>
      <c r="B1192" s="523"/>
      <c r="C1192" s="288" t="s">
        <v>1210</v>
      </c>
      <c r="D1192" s="289" t="s">
        <v>1824</v>
      </c>
      <c r="E1192" s="289" t="s">
        <v>1919</v>
      </c>
      <c r="F1192" s="218">
        <v>1067</v>
      </c>
      <c r="G1192" s="237" t="s">
        <v>1545</v>
      </c>
      <c r="H1192" s="475" t="s">
        <v>631</v>
      </c>
      <c r="I1192" s="478">
        <v>79.5</v>
      </c>
      <c r="J1192" s="243">
        <v>12.750999999999999</v>
      </c>
      <c r="K1192" s="243">
        <v>8.8007000000000009</v>
      </c>
      <c r="L1192" s="243">
        <v>3.9502999999999999</v>
      </c>
    </row>
    <row r="1193" spans="1:12" ht="26.4" customHeight="1">
      <c r="A1193" s="288">
        <v>267</v>
      </c>
      <c r="B1193" s="523"/>
      <c r="C1193" s="288" t="s">
        <v>1210</v>
      </c>
      <c r="D1193" s="289" t="s">
        <v>1824</v>
      </c>
      <c r="E1193" s="289" t="s">
        <v>1919</v>
      </c>
      <c r="F1193" s="218">
        <v>1068</v>
      </c>
      <c r="G1193" s="237" t="s">
        <v>1545</v>
      </c>
      <c r="H1193" s="475" t="s">
        <v>631</v>
      </c>
      <c r="I1193" s="478">
        <v>155</v>
      </c>
      <c r="J1193" s="243">
        <v>24.86045</v>
      </c>
      <c r="K1193" s="243">
        <v>17.158660000000001</v>
      </c>
      <c r="L1193" s="243">
        <v>7.7017899999999999</v>
      </c>
    </row>
    <row r="1194" spans="1:12" ht="26.4" customHeight="1">
      <c r="A1194" s="288">
        <v>268</v>
      </c>
      <c r="B1194" s="523"/>
      <c r="C1194" s="288" t="s">
        <v>1210</v>
      </c>
      <c r="D1194" s="289" t="s">
        <v>1824</v>
      </c>
      <c r="E1194" s="289" t="s">
        <v>1919</v>
      </c>
      <c r="F1194" s="218">
        <v>1069</v>
      </c>
      <c r="G1194" s="237" t="s">
        <v>1545</v>
      </c>
      <c r="H1194" s="475" t="s">
        <v>631</v>
      </c>
      <c r="I1194" s="478">
        <v>116</v>
      </c>
      <c r="J1194" s="243">
        <v>18.605239999999998</v>
      </c>
      <c r="K1194" s="243">
        <v>12.84137</v>
      </c>
      <c r="L1194" s="243">
        <v>5.7638699999999998</v>
      </c>
    </row>
    <row r="1195" spans="1:12" ht="26.4" customHeight="1">
      <c r="A1195" s="288">
        <v>269</v>
      </c>
      <c r="B1195" s="523"/>
      <c r="C1195" s="288" t="s">
        <v>1210</v>
      </c>
      <c r="D1195" s="289" t="s">
        <v>1824</v>
      </c>
      <c r="E1195" s="289" t="s">
        <v>1919</v>
      </c>
      <c r="F1195" s="218">
        <v>1070</v>
      </c>
      <c r="G1195" s="237" t="s">
        <v>1545</v>
      </c>
      <c r="H1195" s="475" t="s">
        <v>631</v>
      </c>
      <c r="I1195" s="478">
        <v>377</v>
      </c>
      <c r="J1195" s="243">
        <v>60.467030000000001</v>
      </c>
      <c r="K1195" s="243">
        <v>41.734259999999999</v>
      </c>
      <c r="L1195" s="243">
        <v>18.732769999999999</v>
      </c>
    </row>
    <row r="1196" spans="1:12" ht="26.4" customHeight="1">
      <c r="A1196" s="288">
        <v>270</v>
      </c>
      <c r="B1196" s="523"/>
      <c r="C1196" s="288" t="s">
        <v>1210</v>
      </c>
      <c r="D1196" s="289" t="s">
        <v>1824</v>
      </c>
      <c r="E1196" s="289" t="s">
        <v>1919</v>
      </c>
      <c r="F1196" s="218">
        <v>1071</v>
      </c>
      <c r="G1196" s="237" t="s">
        <v>1538</v>
      </c>
      <c r="H1196" s="475" t="s">
        <v>631</v>
      </c>
      <c r="I1196" s="478">
        <v>24</v>
      </c>
      <c r="J1196" s="243">
        <v>3.8493599999999999</v>
      </c>
      <c r="K1196" s="243">
        <v>3.0685699999999998</v>
      </c>
      <c r="L1196" s="243">
        <v>0.78078999999999998</v>
      </c>
    </row>
    <row r="1197" spans="1:12" ht="26.4" customHeight="1">
      <c r="A1197" s="288">
        <v>271</v>
      </c>
      <c r="B1197" s="523"/>
      <c r="C1197" s="288" t="s">
        <v>1210</v>
      </c>
      <c r="D1197" s="289" t="s">
        <v>1824</v>
      </c>
      <c r="E1197" s="289" t="s">
        <v>1919</v>
      </c>
      <c r="F1197" s="218">
        <v>1072</v>
      </c>
      <c r="G1197" s="237" t="s">
        <v>1538</v>
      </c>
      <c r="H1197" s="475" t="s">
        <v>631</v>
      </c>
      <c r="I1197" s="478">
        <v>326.5</v>
      </c>
      <c r="J1197" s="243">
        <v>52.367350000000002</v>
      </c>
      <c r="K1197" s="243">
        <v>41.745229999999999</v>
      </c>
      <c r="L1197" s="243">
        <v>10.622120000000001</v>
      </c>
    </row>
    <row r="1198" spans="1:12" ht="26.4" customHeight="1">
      <c r="A1198" s="288">
        <v>272</v>
      </c>
      <c r="B1198" s="523"/>
      <c r="C1198" s="288" t="s">
        <v>1210</v>
      </c>
      <c r="D1198" s="289" t="s">
        <v>1824</v>
      </c>
      <c r="E1198" s="289" t="s">
        <v>1919</v>
      </c>
      <c r="F1198" s="218">
        <v>1073</v>
      </c>
      <c r="G1198" s="237" t="s">
        <v>1538</v>
      </c>
      <c r="H1198" s="475" t="s">
        <v>631</v>
      </c>
      <c r="I1198" s="478">
        <v>132</v>
      </c>
      <c r="J1198" s="243">
        <v>21.171479999999999</v>
      </c>
      <c r="K1198" s="243">
        <v>16.877020000000002</v>
      </c>
      <c r="L1198" s="243">
        <v>4.2944599999999999</v>
      </c>
    </row>
    <row r="1199" spans="1:12" ht="26.4" customHeight="1">
      <c r="A1199" s="288">
        <v>273</v>
      </c>
      <c r="B1199" s="523"/>
      <c r="C1199" s="288" t="s">
        <v>1210</v>
      </c>
      <c r="D1199" s="289" t="s">
        <v>1824</v>
      </c>
      <c r="E1199" s="289" t="s">
        <v>1919</v>
      </c>
      <c r="F1199" s="218">
        <v>1074</v>
      </c>
      <c r="G1199" s="237" t="s">
        <v>1538</v>
      </c>
      <c r="H1199" s="475" t="s">
        <v>631</v>
      </c>
      <c r="I1199" s="478">
        <v>284</v>
      </c>
      <c r="J1199" s="243">
        <v>45.550759999999997</v>
      </c>
      <c r="K1199" s="243">
        <v>36.311219999999999</v>
      </c>
      <c r="L1199" s="243">
        <v>9.2395399999999999</v>
      </c>
    </row>
    <row r="1200" spans="1:12" ht="26.4" customHeight="1">
      <c r="A1200" s="288">
        <v>274</v>
      </c>
      <c r="B1200" s="523"/>
      <c r="C1200" s="288" t="s">
        <v>1210</v>
      </c>
      <c r="D1200" s="289" t="s">
        <v>1823</v>
      </c>
      <c r="E1200" s="289" t="s">
        <v>1919</v>
      </c>
      <c r="F1200" s="218">
        <v>1075</v>
      </c>
      <c r="G1200" s="237" t="s">
        <v>1538</v>
      </c>
      <c r="H1200" s="475" t="s">
        <v>631</v>
      </c>
      <c r="I1200" s="478">
        <v>148.5</v>
      </c>
      <c r="J1200" s="243">
        <v>23.817920000000001</v>
      </c>
      <c r="K1200" s="243">
        <v>18.986699999999999</v>
      </c>
      <c r="L1200" s="243">
        <v>4.8312200000000001</v>
      </c>
    </row>
    <row r="1201" spans="1:12" ht="26.4" customHeight="1">
      <c r="A1201" s="288">
        <v>275</v>
      </c>
      <c r="B1201" s="523"/>
      <c r="C1201" s="288" t="s">
        <v>1210</v>
      </c>
      <c r="D1201" s="289" t="s">
        <v>1823</v>
      </c>
      <c r="E1201" s="289" t="s">
        <v>1919</v>
      </c>
      <c r="F1201" s="218">
        <v>1076</v>
      </c>
      <c r="G1201" s="237" t="s">
        <v>1538</v>
      </c>
      <c r="H1201" s="475" t="s">
        <v>631</v>
      </c>
      <c r="I1201" s="478">
        <v>349</v>
      </c>
      <c r="J1201" s="243">
        <v>55.976109999999998</v>
      </c>
      <c r="K1201" s="243">
        <v>44.621920000000003</v>
      </c>
      <c r="L1201" s="243">
        <v>11.354189999999999</v>
      </c>
    </row>
    <row r="1202" spans="1:12" ht="26.4" customHeight="1">
      <c r="A1202" s="288">
        <v>276</v>
      </c>
      <c r="B1202" s="523"/>
      <c r="C1202" s="288" t="s">
        <v>1210</v>
      </c>
      <c r="D1202" s="289" t="s">
        <v>1823</v>
      </c>
      <c r="E1202" s="289" t="s">
        <v>1919</v>
      </c>
      <c r="F1202" s="218">
        <v>1077</v>
      </c>
      <c r="G1202" s="237" t="s">
        <v>1538</v>
      </c>
      <c r="H1202" s="475" t="s">
        <v>631</v>
      </c>
      <c r="I1202" s="478">
        <v>197.5</v>
      </c>
      <c r="J1202" s="243">
        <v>31.677019999999999</v>
      </c>
      <c r="K1202" s="243">
        <v>25.2517</v>
      </c>
      <c r="L1202" s="243">
        <v>6.4253200000000001</v>
      </c>
    </row>
    <row r="1203" spans="1:12" ht="26.4" customHeight="1">
      <c r="A1203" s="288">
        <v>277</v>
      </c>
      <c r="B1203" s="523"/>
      <c r="C1203" s="288" t="s">
        <v>1210</v>
      </c>
      <c r="D1203" s="289" t="s">
        <v>1823</v>
      </c>
      <c r="E1203" s="289" t="s">
        <v>1252</v>
      </c>
      <c r="F1203" s="218">
        <v>5000</v>
      </c>
      <c r="G1203" s="237" t="s">
        <v>1545</v>
      </c>
      <c r="H1203" s="475" t="s">
        <v>1138</v>
      </c>
      <c r="I1203" s="478">
        <v>1</v>
      </c>
      <c r="J1203" s="243">
        <v>2</v>
      </c>
      <c r="K1203" s="243">
        <v>1.46563</v>
      </c>
      <c r="L1203" s="243">
        <v>0.53437000000000001</v>
      </c>
    </row>
    <row r="1204" spans="1:12" ht="26.4" customHeight="1">
      <c r="A1204" s="288">
        <v>278</v>
      </c>
      <c r="B1204" s="523"/>
      <c r="C1204" s="288" t="s">
        <v>1210</v>
      </c>
      <c r="D1204" s="289" t="s">
        <v>1823</v>
      </c>
      <c r="E1204" s="289" t="s">
        <v>632</v>
      </c>
      <c r="F1204" s="218">
        <v>5113</v>
      </c>
      <c r="G1204" s="237" t="s">
        <v>1545</v>
      </c>
      <c r="H1204" s="475" t="s">
        <v>1138</v>
      </c>
      <c r="I1204" s="478">
        <v>1</v>
      </c>
      <c r="J1204" s="243">
        <v>11.737</v>
      </c>
      <c r="K1204" s="243">
        <v>10.18699</v>
      </c>
      <c r="L1204" s="243">
        <v>1.5500100000000001</v>
      </c>
    </row>
    <row r="1205" spans="1:12" ht="26.4" customHeight="1">
      <c r="A1205" s="288">
        <v>279</v>
      </c>
      <c r="B1205" s="523"/>
      <c r="C1205" s="288" t="s">
        <v>1210</v>
      </c>
      <c r="D1205" s="289" t="s">
        <v>1823</v>
      </c>
      <c r="E1205" s="289" t="s">
        <v>1919</v>
      </c>
      <c r="F1205" s="218">
        <v>5114</v>
      </c>
      <c r="G1205" s="237" t="s">
        <v>1545</v>
      </c>
      <c r="H1205" s="475" t="s">
        <v>631</v>
      </c>
      <c r="I1205" s="478">
        <v>31</v>
      </c>
      <c r="J1205" s="243">
        <v>4.9720899999999997</v>
      </c>
      <c r="K1205" s="243">
        <v>0.80364000000000002</v>
      </c>
      <c r="L1205" s="243">
        <v>4.16845</v>
      </c>
    </row>
    <row r="1206" spans="1:12" ht="26.4" customHeight="1">
      <c r="A1206" s="288">
        <v>280</v>
      </c>
      <c r="B1206" s="523"/>
      <c r="C1206" s="288" t="s">
        <v>1210</v>
      </c>
      <c r="D1206" s="289" t="s">
        <v>1823</v>
      </c>
      <c r="E1206" s="289" t="s">
        <v>1919</v>
      </c>
      <c r="F1206" s="218">
        <v>10500</v>
      </c>
      <c r="G1206" s="237" t="s">
        <v>1567</v>
      </c>
      <c r="H1206" s="475" t="s">
        <v>631</v>
      </c>
      <c r="I1206" s="478">
        <v>188</v>
      </c>
      <c r="J1206" s="243">
        <v>113.7568</v>
      </c>
      <c r="K1206" s="243">
        <v>24.883949999999999</v>
      </c>
      <c r="L1206" s="243">
        <v>88.87285</v>
      </c>
    </row>
    <row r="1207" spans="1:12" ht="26.4" customHeight="1">
      <c r="A1207" s="288">
        <v>281</v>
      </c>
      <c r="B1207" s="523"/>
      <c r="C1207" s="288" t="s">
        <v>1210</v>
      </c>
      <c r="D1207" s="289" t="s">
        <v>1823</v>
      </c>
      <c r="E1207" s="289" t="s">
        <v>1919</v>
      </c>
      <c r="F1207" s="218">
        <v>21025</v>
      </c>
      <c r="G1207" s="237" t="s">
        <v>1547</v>
      </c>
      <c r="H1207" s="475" t="s">
        <v>631</v>
      </c>
      <c r="I1207" s="478">
        <v>26.85</v>
      </c>
      <c r="J1207" s="243">
        <v>18.744209999999999</v>
      </c>
      <c r="K1207" s="243">
        <v>3.8115199999999998</v>
      </c>
      <c r="L1207" s="243">
        <v>14.932689999999999</v>
      </c>
    </row>
    <row r="1208" spans="1:12" ht="26.4" customHeight="1">
      <c r="A1208" s="288">
        <v>282</v>
      </c>
      <c r="B1208" s="523"/>
      <c r="C1208" s="288" t="s">
        <v>1210</v>
      </c>
      <c r="D1208" s="289" t="s">
        <v>1823</v>
      </c>
      <c r="E1208" s="289" t="s">
        <v>1919</v>
      </c>
      <c r="F1208" s="218">
        <v>21026</v>
      </c>
      <c r="G1208" s="237" t="s">
        <v>1547</v>
      </c>
      <c r="H1208" s="475" t="s">
        <v>631</v>
      </c>
      <c r="I1208" s="478">
        <v>30.88</v>
      </c>
      <c r="J1208" s="243">
        <v>79.345609999999994</v>
      </c>
      <c r="K1208" s="243">
        <v>16.133289999999999</v>
      </c>
      <c r="L1208" s="243">
        <v>63.212319999999998</v>
      </c>
    </row>
    <row r="1209" spans="1:12" ht="26.4" customHeight="1">
      <c r="A1209" s="288">
        <v>283</v>
      </c>
      <c r="B1209" s="523"/>
      <c r="C1209" s="288" t="s">
        <v>1210</v>
      </c>
      <c r="D1209" s="289" t="s">
        <v>1823</v>
      </c>
      <c r="E1209" s="289" t="s">
        <v>1919</v>
      </c>
      <c r="F1209" s="218">
        <v>21027</v>
      </c>
      <c r="G1209" s="237" t="s">
        <v>1547</v>
      </c>
      <c r="H1209" s="475" t="s">
        <v>631</v>
      </c>
      <c r="I1209" s="478">
        <v>39.200000000000003</v>
      </c>
      <c r="J1209" s="243">
        <v>49.02196</v>
      </c>
      <c r="K1209" s="243">
        <v>9.9676500000000008</v>
      </c>
      <c r="L1209" s="243">
        <v>39.054310000000001</v>
      </c>
    </row>
    <row r="1210" spans="1:12" ht="26.4" customHeight="1">
      <c r="A1210" s="288">
        <v>284</v>
      </c>
      <c r="B1210" s="523"/>
      <c r="C1210" s="288" t="s">
        <v>1210</v>
      </c>
      <c r="D1210" s="289" t="s">
        <v>1823</v>
      </c>
      <c r="E1210" s="289" t="s">
        <v>2473</v>
      </c>
      <c r="F1210" s="218">
        <v>26701</v>
      </c>
      <c r="G1210" s="237" t="s">
        <v>1556</v>
      </c>
      <c r="H1210" s="475" t="s">
        <v>1138</v>
      </c>
      <c r="I1210" s="478">
        <v>1</v>
      </c>
      <c r="J1210" s="243">
        <v>2</v>
      </c>
      <c r="K1210" s="243">
        <v>1.4656199999999999</v>
      </c>
      <c r="L1210" s="243">
        <v>0.53437999999999997</v>
      </c>
    </row>
    <row r="1211" spans="1:12" ht="26.4" customHeight="1">
      <c r="A1211" s="288">
        <v>285</v>
      </c>
      <c r="B1211" s="523"/>
      <c r="C1211" s="288" t="s">
        <v>1210</v>
      </c>
      <c r="D1211" s="289" t="s">
        <v>1823</v>
      </c>
      <c r="E1211" s="289" t="s">
        <v>1919</v>
      </c>
      <c r="F1211" s="218">
        <v>27085</v>
      </c>
      <c r="G1211" s="237" t="s">
        <v>1538</v>
      </c>
      <c r="H1211" s="475" t="s">
        <v>631</v>
      </c>
      <c r="I1211" s="478">
        <v>126</v>
      </c>
      <c r="J1211" s="243">
        <v>20.209140000000001</v>
      </c>
      <c r="K1211" s="243">
        <v>11.91198</v>
      </c>
      <c r="L1211" s="243">
        <v>8.2971599999999999</v>
      </c>
    </row>
    <row r="1212" spans="1:12" ht="26.4" customHeight="1">
      <c r="A1212" s="288">
        <v>286</v>
      </c>
      <c r="B1212" s="523"/>
      <c r="C1212" s="288" t="s">
        <v>1210</v>
      </c>
      <c r="D1212" s="289" t="s">
        <v>1823</v>
      </c>
      <c r="E1212" s="289" t="s">
        <v>1919</v>
      </c>
      <c r="F1212" s="218">
        <v>28003</v>
      </c>
      <c r="G1212" s="237" t="s">
        <v>1563</v>
      </c>
      <c r="H1212" s="475" t="s">
        <v>631</v>
      </c>
      <c r="I1212" s="478">
        <v>143</v>
      </c>
      <c r="J1212" s="243">
        <v>22.935770000000002</v>
      </c>
      <c r="K1212" s="243">
        <v>8.8331099999999996</v>
      </c>
      <c r="L1212" s="243">
        <v>14.10266</v>
      </c>
    </row>
    <row r="1213" spans="1:12" ht="26.4" customHeight="1">
      <c r="A1213" s="288">
        <v>287</v>
      </c>
      <c r="B1213" s="523"/>
      <c r="C1213" s="288" t="s">
        <v>1210</v>
      </c>
      <c r="D1213" s="289" t="s">
        <v>1823</v>
      </c>
      <c r="E1213" s="289" t="s">
        <v>1919</v>
      </c>
      <c r="F1213" s="218">
        <v>28006</v>
      </c>
      <c r="G1213" s="237" t="s">
        <v>1563</v>
      </c>
      <c r="H1213" s="475" t="s">
        <v>631</v>
      </c>
      <c r="I1213" s="478">
        <v>158</v>
      </c>
      <c r="J1213" s="243">
        <v>21.353860000000001</v>
      </c>
      <c r="K1213" s="243">
        <v>5.4729900000000002</v>
      </c>
      <c r="L1213" s="243">
        <v>15.88087</v>
      </c>
    </row>
    <row r="1214" spans="1:12" ht="26.4" customHeight="1">
      <c r="A1214" s="288">
        <v>288</v>
      </c>
      <c r="B1214" s="523"/>
      <c r="C1214" s="288" t="s">
        <v>1210</v>
      </c>
      <c r="D1214" s="289" t="s">
        <v>2471</v>
      </c>
      <c r="E1214" s="289" t="s">
        <v>1925</v>
      </c>
      <c r="F1214" s="218">
        <v>28012</v>
      </c>
      <c r="G1214" s="237" t="s">
        <v>1563</v>
      </c>
      <c r="H1214" s="475" t="s">
        <v>1149</v>
      </c>
      <c r="I1214" s="207">
        <v>25.9</v>
      </c>
      <c r="J1214" s="243">
        <v>1.1962900000000001</v>
      </c>
      <c r="K1214" s="243">
        <v>0.57199999999999995</v>
      </c>
      <c r="L1214" s="243">
        <v>0.62429000000000001</v>
      </c>
    </row>
    <row r="1215" spans="1:12" ht="26.4" customHeight="1">
      <c r="A1215" s="288">
        <v>289</v>
      </c>
      <c r="B1215" s="523"/>
      <c r="C1215" s="288" t="s">
        <v>1210</v>
      </c>
      <c r="D1215" s="289" t="s">
        <v>1822</v>
      </c>
      <c r="E1215" s="289" t="s">
        <v>1919</v>
      </c>
      <c r="F1215" s="218">
        <v>28020</v>
      </c>
      <c r="G1215" s="237" t="s">
        <v>1563</v>
      </c>
      <c r="H1215" s="475" t="s">
        <v>631</v>
      </c>
      <c r="I1215" s="478">
        <v>25</v>
      </c>
      <c r="J1215" s="243">
        <v>4.0097500000000004</v>
      </c>
      <c r="K1215" s="243">
        <v>1.0158</v>
      </c>
      <c r="L1215" s="243">
        <v>2.9939499999999999</v>
      </c>
    </row>
    <row r="1216" spans="1:12" ht="26.4" customHeight="1">
      <c r="A1216" s="288">
        <v>290</v>
      </c>
      <c r="B1216" s="523"/>
      <c r="C1216" s="288" t="s">
        <v>1210</v>
      </c>
      <c r="D1216" s="289" t="s">
        <v>2122</v>
      </c>
      <c r="E1216" s="289" t="s">
        <v>1925</v>
      </c>
      <c r="F1216" s="218">
        <v>28021</v>
      </c>
      <c r="G1216" s="237" t="s">
        <v>1563</v>
      </c>
      <c r="H1216" s="475" t="s">
        <v>1149</v>
      </c>
      <c r="I1216" s="207">
        <v>17.399999999999999</v>
      </c>
      <c r="J1216" s="243">
        <v>2.7762899999999999</v>
      </c>
      <c r="K1216" s="243">
        <v>1.59151</v>
      </c>
      <c r="L1216" s="243">
        <v>1.1847799999999999</v>
      </c>
    </row>
    <row r="1217" spans="1:12" ht="26.4" customHeight="1">
      <c r="A1217" s="288">
        <v>291</v>
      </c>
      <c r="B1217" s="523"/>
      <c r="C1217" s="288" t="s">
        <v>1210</v>
      </c>
      <c r="D1217" s="289" t="s">
        <v>1822</v>
      </c>
      <c r="E1217" s="289" t="s">
        <v>1919</v>
      </c>
      <c r="F1217" s="218">
        <v>28095</v>
      </c>
      <c r="G1217" s="237" t="s">
        <v>1563</v>
      </c>
      <c r="H1217" s="475" t="s">
        <v>631</v>
      </c>
      <c r="I1217" s="478">
        <v>164.68</v>
      </c>
      <c r="J1217" s="243">
        <v>26.413029999999999</v>
      </c>
      <c r="K1217" s="243">
        <v>14.18619</v>
      </c>
      <c r="L1217" s="243">
        <v>12.226839999999999</v>
      </c>
    </row>
    <row r="1218" spans="1:12" ht="26.4" customHeight="1">
      <c r="A1218" s="288">
        <v>292</v>
      </c>
      <c r="B1218" s="523"/>
      <c r="C1218" s="288" t="s">
        <v>1210</v>
      </c>
      <c r="D1218" s="289" t="s">
        <v>1822</v>
      </c>
      <c r="E1218" s="289" t="s">
        <v>1919</v>
      </c>
      <c r="F1218" s="218">
        <v>29127</v>
      </c>
      <c r="G1218" s="237" t="s">
        <v>1538</v>
      </c>
      <c r="H1218" s="475" t="s">
        <v>631</v>
      </c>
      <c r="I1218" s="478">
        <v>315</v>
      </c>
      <c r="J1218" s="243">
        <v>50.522849999999998</v>
      </c>
      <c r="K1218" s="243">
        <v>35.879539999999999</v>
      </c>
      <c r="L1218" s="243">
        <v>14.64331</v>
      </c>
    </row>
    <row r="1219" spans="1:12" ht="26.4" customHeight="1">
      <c r="A1219" s="288">
        <v>293</v>
      </c>
      <c r="B1219" s="523"/>
      <c r="C1219" s="288" t="s">
        <v>1210</v>
      </c>
      <c r="D1219" s="289" t="s">
        <v>1823</v>
      </c>
      <c r="E1219" s="289" t="s">
        <v>1919</v>
      </c>
      <c r="F1219" s="218">
        <v>29300</v>
      </c>
      <c r="G1219" s="237" t="s">
        <v>1548</v>
      </c>
      <c r="H1219" s="475" t="s">
        <v>631</v>
      </c>
      <c r="I1219" s="478">
        <v>141.63</v>
      </c>
      <c r="J1219" s="243">
        <v>120</v>
      </c>
      <c r="K1219" s="243">
        <v>48.148099999999999</v>
      </c>
      <c r="L1219" s="243">
        <v>71.851900000000001</v>
      </c>
    </row>
    <row r="1220" spans="1:12" s="200" customFormat="1" ht="26.4" customHeight="1">
      <c r="A1220" s="288">
        <v>294</v>
      </c>
      <c r="B1220" s="523"/>
      <c r="C1220" s="288" t="s">
        <v>1210</v>
      </c>
      <c r="D1220" s="289" t="s">
        <v>1823</v>
      </c>
      <c r="E1220" s="289" t="s">
        <v>644</v>
      </c>
      <c r="F1220" s="218">
        <v>29345</v>
      </c>
      <c r="G1220" s="237" t="s">
        <v>1551</v>
      </c>
      <c r="H1220" s="475" t="s">
        <v>1149</v>
      </c>
      <c r="I1220" s="246">
        <v>46</v>
      </c>
      <c r="J1220" s="243">
        <v>8.1</v>
      </c>
      <c r="K1220" s="243">
        <v>3.0625</v>
      </c>
      <c r="L1220" s="243">
        <v>5.0374999999999996</v>
      </c>
    </row>
    <row r="1221" spans="1:12" s="200" customFormat="1" ht="26.4" customHeight="1">
      <c r="A1221" s="288">
        <v>295</v>
      </c>
      <c r="B1221" s="523"/>
      <c r="C1221" s="288" t="s">
        <v>1210</v>
      </c>
      <c r="D1221" s="289" t="s">
        <v>1823</v>
      </c>
      <c r="E1221" s="289" t="s">
        <v>643</v>
      </c>
      <c r="F1221" s="218">
        <v>29346</v>
      </c>
      <c r="G1221" s="237" t="s">
        <v>1551</v>
      </c>
      <c r="H1221" s="475" t="s">
        <v>1149</v>
      </c>
      <c r="I1221" s="246">
        <v>18.7</v>
      </c>
      <c r="J1221" s="243">
        <v>12.37</v>
      </c>
      <c r="K1221" s="243">
        <v>4.7825100000000003</v>
      </c>
      <c r="L1221" s="243">
        <v>7.5874899999999998</v>
      </c>
    </row>
    <row r="1222" spans="1:12" ht="26.4" customHeight="1">
      <c r="A1222" s="288">
        <v>296</v>
      </c>
      <c r="B1222" s="523"/>
      <c r="C1222" s="288" t="s">
        <v>1210</v>
      </c>
      <c r="D1222" s="289" t="s">
        <v>1823</v>
      </c>
      <c r="E1222" s="289" t="s">
        <v>1919</v>
      </c>
      <c r="F1222" s="218">
        <v>41050</v>
      </c>
      <c r="G1222" s="237" t="s">
        <v>1577</v>
      </c>
      <c r="H1222" s="475" t="s">
        <v>631</v>
      </c>
      <c r="I1222" s="478">
        <v>121</v>
      </c>
      <c r="J1222" s="243">
        <v>158.53626</v>
      </c>
      <c r="K1222" s="243">
        <v>35.406149999999997</v>
      </c>
      <c r="L1222" s="243">
        <v>123.13011</v>
      </c>
    </row>
    <row r="1223" spans="1:12" ht="26.4" customHeight="1">
      <c r="A1223" s="288">
        <v>297</v>
      </c>
      <c r="B1223" s="523"/>
      <c r="C1223" s="288" t="s">
        <v>1210</v>
      </c>
      <c r="D1223" s="289" t="s">
        <v>1823</v>
      </c>
      <c r="E1223" s="289" t="s">
        <v>1919</v>
      </c>
      <c r="F1223" s="218">
        <v>41191</v>
      </c>
      <c r="G1223" s="237" t="s">
        <v>1562</v>
      </c>
      <c r="H1223" s="475" t="s">
        <v>631</v>
      </c>
      <c r="I1223" s="478">
        <v>58.25</v>
      </c>
      <c r="J1223" s="243">
        <v>79.916659999999993</v>
      </c>
      <c r="K1223" s="243">
        <v>14.05387</v>
      </c>
      <c r="L1223" s="243">
        <v>65.862790000000004</v>
      </c>
    </row>
    <row r="1224" spans="1:12" ht="26.4" customHeight="1">
      <c r="A1224" s="288">
        <v>298</v>
      </c>
      <c r="B1224" s="523"/>
      <c r="C1224" s="288" t="s">
        <v>1210</v>
      </c>
      <c r="D1224" s="289" t="s">
        <v>1823</v>
      </c>
      <c r="E1224" s="289" t="s">
        <v>1919</v>
      </c>
      <c r="F1224" s="218">
        <v>41246</v>
      </c>
      <c r="G1224" s="237" t="s">
        <v>1562</v>
      </c>
      <c r="H1224" s="475" t="s">
        <v>631</v>
      </c>
      <c r="I1224" s="478">
        <v>10</v>
      </c>
      <c r="J1224" s="243">
        <v>8.6510300000000004</v>
      </c>
      <c r="K1224" s="243">
        <v>1.4029700000000001</v>
      </c>
      <c r="L1224" s="243">
        <v>7.2480599999999997</v>
      </c>
    </row>
    <row r="1225" spans="1:12" ht="26.4" customHeight="1">
      <c r="A1225" s="288">
        <v>299</v>
      </c>
      <c r="B1225" s="523"/>
      <c r="C1225" s="288" t="s">
        <v>1210</v>
      </c>
      <c r="D1225" s="289" t="s">
        <v>1823</v>
      </c>
      <c r="E1225" s="289" t="s">
        <v>1919</v>
      </c>
      <c r="F1225" s="218">
        <v>41247</v>
      </c>
      <c r="G1225" s="237" t="s">
        <v>1562</v>
      </c>
      <c r="H1225" s="475" t="s">
        <v>631</v>
      </c>
      <c r="I1225" s="478">
        <v>89</v>
      </c>
      <c r="J1225" s="243">
        <v>69.764480000000006</v>
      </c>
      <c r="K1225" s="243">
        <v>11.337910000000001</v>
      </c>
      <c r="L1225" s="243">
        <v>58.426569999999998</v>
      </c>
    </row>
    <row r="1226" spans="1:12" ht="26.4" customHeight="1">
      <c r="A1226" s="288">
        <v>300</v>
      </c>
      <c r="B1226" s="523"/>
      <c r="C1226" s="288" t="s">
        <v>1210</v>
      </c>
      <c r="D1226" s="289" t="s">
        <v>1823</v>
      </c>
      <c r="E1226" s="289" t="s">
        <v>1919</v>
      </c>
      <c r="F1226" s="218">
        <v>41248</v>
      </c>
      <c r="G1226" s="237" t="s">
        <v>1562</v>
      </c>
      <c r="H1226" s="475" t="s">
        <v>631</v>
      </c>
      <c r="I1226" s="478">
        <v>66</v>
      </c>
      <c r="J1226" s="243">
        <v>51.673250000000003</v>
      </c>
      <c r="K1226" s="243">
        <v>8.4154</v>
      </c>
      <c r="L1226" s="243">
        <v>43.257849999999998</v>
      </c>
    </row>
    <row r="1227" spans="1:12" ht="26.4" customHeight="1">
      <c r="A1227" s="288">
        <v>301</v>
      </c>
      <c r="B1227" s="523"/>
      <c r="C1227" s="288" t="s">
        <v>1210</v>
      </c>
      <c r="D1227" s="289" t="s">
        <v>1823</v>
      </c>
      <c r="E1227" s="289" t="s">
        <v>1919</v>
      </c>
      <c r="F1227" s="218">
        <v>41249</v>
      </c>
      <c r="G1227" s="237" t="s">
        <v>1562</v>
      </c>
      <c r="H1227" s="475" t="s">
        <v>631</v>
      </c>
      <c r="I1227" s="478">
        <v>38</v>
      </c>
      <c r="J1227" s="243">
        <v>30.19744</v>
      </c>
      <c r="K1227" s="243">
        <v>4.9150900000000002</v>
      </c>
      <c r="L1227" s="243">
        <v>25.282350000000001</v>
      </c>
    </row>
    <row r="1228" spans="1:12" ht="26.4" customHeight="1">
      <c r="A1228" s="288">
        <v>302</v>
      </c>
      <c r="B1228" s="523"/>
      <c r="C1228" s="288" t="s">
        <v>1210</v>
      </c>
      <c r="D1228" s="289" t="s">
        <v>1823</v>
      </c>
      <c r="E1228" s="289" t="s">
        <v>1919</v>
      </c>
      <c r="F1228" s="218">
        <v>41250</v>
      </c>
      <c r="G1228" s="237" t="s">
        <v>1562</v>
      </c>
      <c r="H1228" s="475" t="s">
        <v>631</v>
      </c>
      <c r="I1228" s="478">
        <v>61</v>
      </c>
      <c r="J1228" s="243">
        <v>48.147559999999999</v>
      </c>
      <c r="K1228" s="243">
        <v>7.8326799999999999</v>
      </c>
      <c r="L1228" s="243">
        <v>40.314880000000002</v>
      </c>
    </row>
    <row r="1229" spans="1:12" ht="26.4" customHeight="1">
      <c r="A1229" s="288">
        <v>303</v>
      </c>
      <c r="B1229" s="523"/>
      <c r="C1229" s="288" t="s">
        <v>1210</v>
      </c>
      <c r="D1229" s="289" t="s">
        <v>1823</v>
      </c>
      <c r="E1229" s="289" t="s">
        <v>1919</v>
      </c>
      <c r="F1229" s="218">
        <v>41341</v>
      </c>
      <c r="G1229" s="237" t="s">
        <v>1562</v>
      </c>
      <c r="H1229" s="475" t="s">
        <v>631</v>
      </c>
      <c r="I1229" s="478">
        <v>93.5</v>
      </c>
      <c r="J1229" s="243">
        <v>108.84113000000001</v>
      </c>
      <c r="K1229" s="243">
        <v>19.535430000000002</v>
      </c>
      <c r="L1229" s="243">
        <v>89.305700000000002</v>
      </c>
    </row>
    <row r="1230" spans="1:12" ht="26.4" customHeight="1">
      <c r="A1230" s="288">
        <v>304</v>
      </c>
      <c r="B1230" s="523"/>
      <c r="C1230" s="288" t="s">
        <v>1210</v>
      </c>
      <c r="D1230" s="289" t="s">
        <v>1823</v>
      </c>
      <c r="E1230" s="289" t="s">
        <v>1919</v>
      </c>
      <c r="F1230" s="218">
        <v>41404</v>
      </c>
      <c r="G1230" s="237" t="s">
        <v>1537</v>
      </c>
      <c r="H1230" s="475" t="s">
        <v>631</v>
      </c>
      <c r="I1230" s="478">
        <v>5</v>
      </c>
      <c r="J1230" s="243">
        <v>8.8572600000000001</v>
      </c>
      <c r="K1230" s="243">
        <v>1.1512800000000001</v>
      </c>
      <c r="L1230" s="243">
        <v>7.7059800000000003</v>
      </c>
    </row>
    <row r="1231" spans="1:12" ht="26.4" customHeight="1">
      <c r="A1231" s="288">
        <v>305</v>
      </c>
      <c r="B1231" s="523"/>
      <c r="C1231" s="288" t="s">
        <v>1210</v>
      </c>
      <c r="D1231" s="289" t="s">
        <v>1823</v>
      </c>
      <c r="E1231" s="289" t="s">
        <v>1919</v>
      </c>
      <c r="F1231" s="218">
        <v>41442</v>
      </c>
      <c r="G1231" s="237" t="s">
        <v>1574</v>
      </c>
      <c r="H1231" s="475" t="s">
        <v>631</v>
      </c>
      <c r="I1231" s="478">
        <v>62</v>
      </c>
      <c r="J1231" s="243">
        <v>56.760089999999998</v>
      </c>
      <c r="K1231" s="243">
        <v>5.6136100000000004</v>
      </c>
      <c r="L1231" s="243">
        <v>51.146479999999997</v>
      </c>
    </row>
    <row r="1232" spans="1:12" ht="26.4" customHeight="1">
      <c r="A1232" s="288">
        <v>306</v>
      </c>
      <c r="B1232" s="523"/>
      <c r="C1232" s="288" t="s">
        <v>1210</v>
      </c>
      <c r="D1232" s="289" t="s">
        <v>1823</v>
      </c>
      <c r="E1232" s="289" t="s">
        <v>1919</v>
      </c>
      <c r="F1232" s="218">
        <v>41445</v>
      </c>
      <c r="G1232" s="237" t="s">
        <v>1574</v>
      </c>
      <c r="H1232" s="475" t="s">
        <v>631</v>
      </c>
      <c r="I1232" s="478">
        <v>41.46</v>
      </c>
      <c r="J1232" s="243">
        <v>47.128360000000001</v>
      </c>
      <c r="K1232" s="243">
        <v>7.9414999999999996</v>
      </c>
      <c r="L1232" s="243">
        <v>39.186860000000003</v>
      </c>
    </row>
    <row r="1233" spans="1:12" ht="26.4" customHeight="1">
      <c r="A1233" s="288">
        <v>307</v>
      </c>
      <c r="B1233" s="523"/>
      <c r="C1233" s="288" t="s">
        <v>1210</v>
      </c>
      <c r="D1233" s="289" t="s">
        <v>1823</v>
      </c>
      <c r="E1233" s="289" t="s">
        <v>1253</v>
      </c>
      <c r="F1233" s="218">
        <v>50000</v>
      </c>
      <c r="G1233" s="237" t="s">
        <v>1570</v>
      </c>
      <c r="H1233" s="475" t="s">
        <v>1138</v>
      </c>
      <c r="I1233" s="478">
        <v>1</v>
      </c>
      <c r="J1233" s="243">
        <v>0.59</v>
      </c>
      <c r="K1233" s="243">
        <v>0.20105000000000001</v>
      </c>
      <c r="L1233" s="243">
        <v>0.38895000000000002</v>
      </c>
    </row>
    <row r="1234" spans="1:12" ht="26.4" customHeight="1">
      <c r="A1234" s="288">
        <v>308</v>
      </c>
      <c r="B1234" s="523"/>
      <c r="C1234" s="288" t="s">
        <v>1210</v>
      </c>
      <c r="D1234" s="289" t="s">
        <v>1823</v>
      </c>
      <c r="E1234" s="289" t="s">
        <v>1919</v>
      </c>
      <c r="F1234" s="218">
        <v>51100</v>
      </c>
      <c r="G1234" s="237" t="s">
        <v>1576</v>
      </c>
      <c r="H1234" s="475" t="s">
        <v>631</v>
      </c>
      <c r="I1234" s="478">
        <v>8.8000000000000007</v>
      </c>
      <c r="J1234" s="243">
        <v>6.7054799999999997</v>
      </c>
      <c r="K1234" s="243">
        <v>2.3903400000000001</v>
      </c>
      <c r="L1234" s="243">
        <v>4.3151400000000004</v>
      </c>
    </row>
    <row r="1235" spans="1:12" ht="26.4" customHeight="1">
      <c r="A1235" s="288">
        <v>309</v>
      </c>
      <c r="B1235" s="523"/>
      <c r="C1235" s="288" t="s">
        <v>1210</v>
      </c>
      <c r="D1235" s="289" t="s">
        <v>1823</v>
      </c>
      <c r="E1235" s="289" t="s">
        <v>1919</v>
      </c>
      <c r="F1235" s="218">
        <v>51120</v>
      </c>
      <c r="G1235" s="237" t="s">
        <v>1571</v>
      </c>
      <c r="H1235" s="475" t="s">
        <v>631</v>
      </c>
      <c r="I1235" s="478">
        <v>103.5</v>
      </c>
      <c r="J1235" s="243">
        <v>137.48106999999999</v>
      </c>
      <c r="K1235" s="243">
        <v>43.53584</v>
      </c>
      <c r="L1235" s="243">
        <v>93.945229999999995</v>
      </c>
    </row>
    <row r="1236" spans="1:12" ht="26.4" customHeight="1">
      <c r="A1236" s="288">
        <v>310</v>
      </c>
      <c r="B1236" s="523"/>
      <c r="C1236" s="288" t="s">
        <v>1210</v>
      </c>
      <c r="D1236" s="289" t="s">
        <v>1823</v>
      </c>
      <c r="E1236" s="289" t="s">
        <v>1919</v>
      </c>
      <c r="F1236" s="218">
        <v>51125</v>
      </c>
      <c r="G1236" s="237" t="s">
        <v>1571</v>
      </c>
      <c r="H1236" s="475" t="s">
        <v>631</v>
      </c>
      <c r="I1236" s="478">
        <v>102.25</v>
      </c>
      <c r="J1236" s="243">
        <v>87.849320000000006</v>
      </c>
      <c r="K1236" s="243">
        <v>21.084119999999999</v>
      </c>
      <c r="L1236" s="243">
        <v>66.765199999999993</v>
      </c>
    </row>
    <row r="1237" spans="1:12" ht="26.4" customHeight="1">
      <c r="A1237" s="288">
        <v>311</v>
      </c>
      <c r="B1237" s="523"/>
      <c r="C1237" s="288" t="s">
        <v>1210</v>
      </c>
      <c r="D1237" s="289" t="s">
        <v>1823</v>
      </c>
      <c r="E1237" s="289" t="s">
        <v>1919</v>
      </c>
      <c r="F1237" s="218">
        <v>51126</v>
      </c>
      <c r="G1237" s="237" t="s">
        <v>1571</v>
      </c>
      <c r="H1237" s="475" t="s">
        <v>631</v>
      </c>
      <c r="I1237" s="478">
        <v>50.5</v>
      </c>
      <c r="J1237" s="243">
        <v>25.946619999999999</v>
      </c>
      <c r="K1237" s="243">
        <v>6.2269199999999998</v>
      </c>
      <c r="L1237" s="243">
        <v>19.7197</v>
      </c>
    </row>
    <row r="1238" spans="1:12" ht="26.4" customHeight="1">
      <c r="A1238" s="288">
        <v>312</v>
      </c>
      <c r="B1238" s="523"/>
      <c r="C1238" s="288" t="s">
        <v>1210</v>
      </c>
      <c r="D1238" s="289" t="s">
        <v>1823</v>
      </c>
      <c r="E1238" s="289" t="s">
        <v>1919</v>
      </c>
      <c r="F1238" s="218">
        <v>82003</v>
      </c>
      <c r="G1238" s="237" t="s">
        <v>1558</v>
      </c>
      <c r="H1238" s="475" t="s">
        <v>631</v>
      </c>
      <c r="I1238" s="478">
        <v>160</v>
      </c>
      <c r="J1238" s="243">
        <v>235.20361</v>
      </c>
      <c r="K1238" s="243">
        <v>91.524240000000006</v>
      </c>
      <c r="L1238" s="243">
        <v>143.67937000000001</v>
      </c>
    </row>
    <row r="1239" spans="1:12" ht="26.4" customHeight="1">
      <c r="A1239" s="288">
        <v>313</v>
      </c>
      <c r="B1239" s="523"/>
      <c r="C1239" s="288" t="s">
        <v>1210</v>
      </c>
      <c r="D1239" s="289" t="s">
        <v>2123</v>
      </c>
      <c r="E1239" s="289" t="s">
        <v>804</v>
      </c>
      <c r="F1239" s="218">
        <v>10247</v>
      </c>
      <c r="G1239" s="237" t="s">
        <v>1539</v>
      </c>
      <c r="H1239" s="475" t="s">
        <v>1149</v>
      </c>
      <c r="I1239" s="207">
        <v>670.6</v>
      </c>
      <c r="J1239" s="243">
        <v>1272.22001</v>
      </c>
      <c r="K1239" s="243">
        <v>817.26649999999995</v>
      </c>
      <c r="L1239" s="243">
        <v>454.95350999999999</v>
      </c>
    </row>
    <row r="1240" spans="1:12" ht="26.4" customHeight="1">
      <c r="A1240" s="288">
        <v>314</v>
      </c>
      <c r="B1240" s="523"/>
      <c r="C1240" s="288" t="s">
        <v>1210</v>
      </c>
      <c r="D1240" s="289" t="s">
        <v>2123</v>
      </c>
      <c r="E1240" s="289" t="s">
        <v>1919</v>
      </c>
      <c r="F1240" s="218">
        <v>2052</v>
      </c>
      <c r="G1240" s="237" t="s">
        <v>1539</v>
      </c>
      <c r="H1240" s="475" t="s">
        <v>631</v>
      </c>
      <c r="I1240" s="478">
        <v>331</v>
      </c>
      <c r="J1240" s="243">
        <v>216.47399999999999</v>
      </c>
      <c r="K1240" s="243">
        <v>202.76205999999999</v>
      </c>
      <c r="L1240" s="243">
        <v>13.71194</v>
      </c>
    </row>
    <row r="1241" spans="1:12" ht="26.4" customHeight="1">
      <c r="A1241" s="288">
        <v>315</v>
      </c>
      <c r="B1241" s="523"/>
      <c r="C1241" s="288" t="s">
        <v>1210</v>
      </c>
      <c r="D1241" s="289" t="s">
        <v>2123</v>
      </c>
      <c r="E1241" s="289" t="s">
        <v>1919</v>
      </c>
      <c r="F1241" s="218">
        <v>2055</v>
      </c>
      <c r="G1241" s="237" t="s">
        <v>1539</v>
      </c>
      <c r="H1241" s="475" t="s">
        <v>631</v>
      </c>
      <c r="I1241" s="478">
        <v>150</v>
      </c>
      <c r="J1241" s="243">
        <v>98.1</v>
      </c>
      <c r="K1241" s="243">
        <v>91.886170000000007</v>
      </c>
      <c r="L1241" s="243">
        <v>6.2138299999999997</v>
      </c>
    </row>
    <row r="1242" spans="1:12" ht="26.4" customHeight="1">
      <c r="A1242" s="288">
        <v>316</v>
      </c>
      <c r="B1242" s="523"/>
      <c r="C1242" s="288" t="s">
        <v>1210</v>
      </c>
      <c r="D1242" s="289" t="s">
        <v>2123</v>
      </c>
      <c r="E1242" s="289" t="s">
        <v>1919</v>
      </c>
      <c r="F1242" s="218">
        <v>2056</v>
      </c>
      <c r="G1242" s="237" t="s">
        <v>1539</v>
      </c>
      <c r="H1242" s="475" t="s">
        <v>631</v>
      </c>
      <c r="I1242" s="478">
        <v>108</v>
      </c>
      <c r="J1242" s="243">
        <v>70.632000000000005</v>
      </c>
      <c r="K1242" s="243">
        <v>66.158050000000003</v>
      </c>
      <c r="L1242" s="243">
        <v>4.4739500000000003</v>
      </c>
    </row>
    <row r="1243" spans="1:12" ht="26.4" customHeight="1">
      <c r="A1243" s="288">
        <v>317</v>
      </c>
      <c r="B1243" s="523"/>
      <c r="C1243" s="288" t="s">
        <v>1210</v>
      </c>
      <c r="D1243" s="289" t="s">
        <v>2123</v>
      </c>
      <c r="E1243" s="289" t="s">
        <v>1919</v>
      </c>
      <c r="F1243" s="218">
        <v>2057</v>
      </c>
      <c r="G1243" s="237" t="s">
        <v>1539</v>
      </c>
      <c r="H1243" s="475" t="s">
        <v>631</v>
      </c>
      <c r="I1243" s="478">
        <v>75</v>
      </c>
      <c r="J1243" s="243">
        <v>49.05</v>
      </c>
      <c r="K1243" s="243">
        <v>45.94303</v>
      </c>
      <c r="L1243" s="243">
        <v>3.10697</v>
      </c>
    </row>
    <row r="1244" spans="1:12" ht="26.4" customHeight="1">
      <c r="A1244" s="288">
        <v>318</v>
      </c>
      <c r="B1244" s="523"/>
      <c r="C1244" s="288" t="s">
        <v>1210</v>
      </c>
      <c r="D1244" s="289" t="s">
        <v>2123</v>
      </c>
      <c r="E1244" s="289" t="s">
        <v>1919</v>
      </c>
      <c r="F1244" s="218">
        <v>2058</v>
      </c>
      <c r="G1244" s="237" t="s">
        <v>1539</v>
      </c>
      <c r="H1244" s="475" t="s">
        <v>631</v>
      </c>
      <c r="I1244" s="478">
        <v>135</v>
      </c>
      <c r="J1244" s="243">
        <v>88.29</v>
      </c>
      <c r="K1244" s="243">
        <v>82.731300000000005</v>
      </c>
      <c r="L1244" s="243">
        <v>5.5587</v>
      </c>
    </row>
    <row r="1245" spans="1:12" ht="26.4" customHeight="1">
      <c r="A1245" s="288">
        <v>319</v>
      </c>
      <c r="B1245" s="523"/>
      <c r="C1245" s="288" t="s">
        <v>1210</v>
      </c>
      <c r="D1245" s="289" t="s">
        <v>2123</v>
      </c>
      <c r="E1245" s="289" t="s">
        <v>1919</v>
      </c>
      <c r="F1245" s="218">
        <v>2059</v>
      </c>
      <c r="G1245" s="237" t="s">
        <v>1539</v>
      </c>
      <c r="H1245" s="475" t="s">
        <v>631</v>
      </c>
      <c r="I1245" s="478">
        <v>66</v>
      </c>
      <c r="J1245" s="243">
        <v>43.164000000000001</v>
      </c>
      <c r="K1245" s="243">
        <v>40.474089999999997</v>
      </c>
      <c r="L1245" s="243">
        <v>2.6899099999999998</v>
      </c>
    </row>
    <row r="1246" spans="1:12" ht="26.4" customHeight="1">
      <c r="A1246" s="288">
        <v>320</v>
      </c>
      <c r="B1246" s="523"/>
      <c r="C1246" s="288" t="s">
        <v>1210</v>
      </c>
      <c r="D1246" s="289" t="s">
        <v>2123</v>
      </c>
      <c r="E1246" s="289" t="s">
        <v>1919</v>
      </c>
      <c r="F1246" s="218">
        <v>2060</v>
      </c>
      <c r="G1246" s="237" t="s">
        <v>1539</v>
      </c>
      <c r="H1246" s="475" t="s">
        <v>631</v>
      </c>
      <c r="I1246" s="478">
        <v>134.19999999999999</v>
      </c>
      <c r="J1246" s="243">
        <v>87.766000000000005</v>
      </c>
      <c r="K1246" s="243">
        <v>82.296559999999999</v>
      </c>
      <c r="L1246" s="243">
        <v>5.4694399999999996</v>
      </c>
    </row>
    <row r="1247" spans="1:12" ht="26.4" customHeight="1">
      <c r="A1247" s="288">
        <v>321</v>
      </c>
      <c r="B1247" s="523"/>
      <c r="C1247" s="288" t="s">
        <v>1210</v>
      </c>
      <c r="D1247" s="289" t="s">
        <v>2123</v>
      </c>
      <c r="E1247" s="289" t="s">
        <v>1919</v>
      </c>
      <c r="F1247" s="218">
        <v>2061</v>
      </c>
      <c r="G1247" s="237" t="s">
        <v>1539</v>
      </c>
      <c r="H1247" s="475" t="s">
        <v>631</v>
      </c>
      <c r="I1247" s="478">
        <v>53.2</v>
      </c>
      <c r="J1247" s="243">
        <v>34.792999999999999</v>
      </c>
      <c r="K1247" s="243">
        <v>32.624780000000001</v>
      </c>
      <c r="L1247" s="243">
        <v>2.1682199999999998</v>
      </c>
    </row>
    <row r="1248" spans="1:12" ht="26.4" customHeight="1">
      <c r="A1248" s="288">
        <v>322</v>
      </c>
      <c r="B1248" s="523"/>
      <c r="C1248" s="288" t="s">
        <v>1210</v>
      </c>
      <c r="D1248" s="289" t="s">
        <v>2123</v>
      </c>
      <c r="E1248" s="289" t="s">
        <v>1919</v>
      </c>
      <c r="F1248" s="218">
        <v>2062</v>
      </c>
      <c r="G1248" s="237" t="s">
        <v>1539</v>
      </c>
      <c r="H1248" s="475" t="s">
        <v>631</v>
      </c>
      <c r="I1248" s="478">
        <v>72.5</v>
      </c>
      <c r="J1248" s="243">
        <v>47.414999999999999</v>
      </c>
      <c r="K1248" s="243">
        <v>44.460129999999999</v>
      </c>
      <c r="L1248" s="243">
        <v>2.9548700000000001</v>
      </c>
    </row>
    <row r="1249" spans="1:12" ht="26.4" customHeight="1">
      <c r="A1249" s="288">
        <v>323</v>
      </c>
      <c r="B1249" s="523"/>
      <c r="C1249" s="288" t="s">
        <v>1210</v>
      </c>
      <c r="D1249" s="289" t="s">
        <v>2123</v>
      </c>
      <c r="E1249" s="289" t="s">
        <v>1919</v>
      </c>
      <c r="F1249" s="218">
        <v>2063</v>
      </c>
      <c r="G1249" s="237" t="s">
        <v>1579</v>
      </c>
      <c r="H1249" s="475" t="s">
        <v>631</v>
      </c>
      <c r="I1249" s="478">
        <v>32</v>
      </c>
      <c r="J1249" s="243">
        <v>0.73280000000000001</v>
      </c>
      <c r="K1249" s="243">
        <v>0.35160000000000002</v>
      </c>
      <c r="L1249" s="243">
        <v>0.38119999999999998</v>
      </c>
    </row>
    <row r="1250" spans="1:12" ht="26.4" customHeight="1">
      <c r="A1250" s="288">
        <v>324</v>
      </c>
      <c r="B1250" s="523"/>
      <c r="C1250" s="288" t="s">
        <v>1210</v>
      </c>
      <c r="D1250" s="289" t="s">
        <v>2123</v>
      </c>
      <c r="E1250" s="289" t="s">
        <v>1919</v>
      </c>
      <c r="F1250" s="218">
        <v>2064</v>
      </c>
      <c r="G1250" s="237" t="s">
        <v>1579</v>
      </c>
      <c r="H1250" s="475" t="s">
        <v>631</v>
      </c>
      <c r="I1250" s="478">
        <v>221</v>
      </c>
      <c r="J1250" s="243">
        <v>5.0609000000000002</v>
      </c>
      <c r="K1250" s="243">
        <v>2.4279199999999999</v>
      </c>
      <c r="L1250" s="243">
        <v>2.6329799999999999</v>
      </c>
    </row>
    <row r="1251" spans="1:12" ht="26.4" customHeight="1">
      <c r="A1251" s="288">
        <v>325</v>
      </c>
      <c r="B1251" s="523"/>
      <c r="C1251" s="288" t="s">
        <v>1210</v>
      </c>
      <c r="D1251" s="289" t="s">
        <v>2123</v>
      </c>
      <c r="E1251" s="289" t="s">
        <v>1919</v>
      </c>
      <c r="F1251" s="218">
        <v>2065</v>
      </c>
      <c r="G1251" s="237" t="s">
        <v>1579</v>
      </c>
      <c r="H1251" s="475" t="s">
        <v>631</v>
      </c>
      <c r="I1251" s="478">
        <v>295</v>
      </c>
      <c r="J1251" s="243">
        <v>6.7554999999999996</v>
      </c>
      <c r="K1251" s="243">
        <v>3.2408899999999998</v>
      </c>
      <c r="L1251" s="243">
        <v>3.5146099999999998</v>
      </c>
    </row>
    <row r="1252" spans="1:12" ht="26.4" customHeight="1">
      <c r="A1252" s="288">
        <v>326</v>
      </c>
      <c r="B1252" s="523"/>
      <c r="C1252" s="288" t="s">
        <v>1210</v>
      </c>
      <c r="D1252" s="289" t="s">
        <v>2123</v>
      </c>
      <c r="E1252" s="289" t="s">
        <v>1919</v>
      </c>
      <c r="F1252" s="218">
        <v>2066</v>
      </c>
      <c r="G1252" s="237" t="s">
        <v>1579</v>
      </c>
      <c r="H1252" s="475" t="s">
        <v>631</v>
      </c>
      <c r="I1252" s="478">
        <v>147.5</v>
      </c>
      <c r="J1252" s="243">
        <v>3.3776999999999999</v>
      </c>
      <c r="K1252" s="243">
        <v>1.6204799999999999</v>
      </c>
      <c r="L1252" s="243">
        <v>1.75722</v>
      </c>
    </row>
    <row r="1253" spans="1:12" ht="26.4" customHeight="1">
      <c r="A1253" s="288">
        <v>327</v>
      </c>
      <c r="B1253" s="523"/>
      <c r="C1253" s="288" t="s">
        <v>1210</v>
      </c>
      <c r="D1253" s="289" t="s">
        <v>2123</v>
      </c>
      <c r="E1253" s="289" t="s">
        <v>1919</v>
      </c>
      <c r="F1253" s="218">
        <v>2067</v>
      </c>
      <c r="G1253" s="237" t="s">
        <v>1579</v>
      </c>
      <c r="H1253" s="475" t="s">
        <v>631</v>
      </c>
      <c r="I1253" s="478">
        <v>134</v>
      </c>
      <c r="J1253" s="243">
        <v>3.0686</v>
      </c>
      <c r="K1253" s="243">
        <v>1.4721200000000001</v>
      </c>
      <c r="L1253" s="243">
        <v>1.5964799999999999</v>
      </c>
    </row>
    <row r="1254" spans="1:12" ht="26.4" customHeight="1">
      <c r="A1254" s="288">
        <v>328</v>
      </c>
      <c r="B1254" s="523"/>
      <c r="C1254" s="288" t="s">
        <v>1210</v>
      </c>
      <c r="D1254" s="289" t="s">
        <v>2123</v>
      </c>
      <c r="E1254" s="289" t="s">
        <v>1919</v>
      </c>
      <c r="F1254" s="218">
        <v>2068</v>
      </c>
      <c r="G1254" s="237" t="s">
        <v>1579</v>
      </c>
      <c r="H1254" s="475" t="s">
        <v>631</v>
      </c>
      <c r="I1254" s="478">
        <v>109</v>
      </c>
      <c r="J1254" s="243">
        <v>2.4961000000000002</v>
      </c>
      <c r="K1254" s="243">
        <v>1.1975</v>
      </c>
      <c r="L1254" s="243">
        <v>1.2986</v>
      </c>
    </row>
    <row r="1255" spans="1:12" ht="26.4" customHeight="1">
      <c r="A1255" s="288">
        <v>329</v>
      </c>
      <c r="B1255" s="523"/>
      <c r="C1255" s="288" t="s">
        <v>1210</v>
      </c>
      <c r="D1255" s="289" t="s">
        <v>2123</v>
      </c>
      <c r="E1255" s="289" t="s">
        <v>1919</v>
      </c>
      <c r="F1255" s="218">
        <v>2069</v>
      </c>
      <c r="G1255" s="237" t="s">
        <v>1579</v>
      </c>
      <c r="H1255" s="475" t="s">
        <v>631</v>
      </c>
      <c r="I1255" s="478">
        <v>59.5</v>
      </c>
      <c r="J1255" s="243">
        <v>1.3625499999999999</v>
      </c>
      <c r="K1255" s="243">
        <v>0.65369999999999995</v>
      </c>
      <c r="L1255" s="243">
        <v>0.70884999999999998</v>
      </c>
    </row>
    <row r="1256" spans="1:12" ht="26.4" customHeight="1">
      <c r="A1256" s="288">
        <v>330</v>
      </c>
      <c r="B1256" s="523"/>
      <c r="C1256" s="288" t="s">
        <v>1210</v>
      </c>
      <c r="D1256" s="289" t="s">
        <v>2123</v>
      </c>
      <c r="E1256" s="289" t="s">
        <v>1919</v>
      </c>
      <c r="F1256" s="218">
        <v>2070</v>
      </c>
      <c r="G1256" s="237" t="s">
        <v>1579</v>
      </c>
      <c r="H1256" s="475" t="s">
        <v>631</v>
      </c>
      <c r="I1256" s="478">
        <v>137</v>
      </c>
      <c r="J1256" s="243">
        <v>3.1373000000000002</v>
      </c>
      <c r="K1256" s="243">
        <v>1.5051600000000001</v>
      </c>
      <c r="L1256" s="243">
        <v>1.6321399999999999</v>
      </c>
    </row>
    <row r="1257" spans="1:12" ht="26.4" customHeight="1">
      <c r="A1257" s="288">
        <v>331</v>
      </c>
      <c r="B1257" s="523"/>
      <c r="C1257" s="288" t="s">
        <v>1210</v>
      </c>
      <c r="D1257" s="289" t="s">
        <v>2123</v>
      </c>
      <c r="E1257" s="289" t="s">
        <v>1919</v>
      </c>
      <c r="F1257" s="218">
        <v>2071</v>
      </c>
      <c r="G1257" s="237" t="s">
        <v>1579</v>
      </c>
      <c r="H1257" s="475" t="s">
        <v>631</v>
      </c>
      <c r="I1257" s="478">
        <v>105</v>
      </c>
      <c r="J1257" s="243">
        <v>2.4045000000000001</v>
      </c>
      <c r="K1257" s="243">
        <v>1.1535599999999999</v>
      </c>
      <c r="L1257" s="243">
        <v>1.2509399999999999</v>
      </c>
    </row>
    <row r="1258" spans="1:12" ht="26.4" customHeight="1">
      <c r="A1258" s="288">
        <v>332</v>
      </c>
      <c r="B1258" s="523"/>
      <c r="C1258" s="288" t="s">
        <v>1210</v>
      </c>
      <c r="D1258" s="289" t="s">
        <v>2123</v>
      </c>
      <c r="E1258" s="289" t="s">
        <v>1919</v>
      </c>
      <c r="F1258" s="218">
        <v>2072</v>
      </c>
      <c r="G1258" s="237" t="s">
        <v>1579</v>
      </c>
      <c r="H1258" s="475" t="s">
        <v>631</v>
      </c>
      <c r="I1258" s="478">
        <v>134</v>
      </c>
      <c r="J1258" s="243">
        <v>3.0686</v>
      </c>
      <c r="K1258" s="243">
        <v>1.4721200000000001</v>
      </c>
      <c r="L1258" s="243">
        <v>1.5964799999999999</v>
      </c>
    </row>
    <row r="1259" spans="1:12" ht="26.4" customHeight="1">
      <c r="A1259" s="288">
        <v>333</v>
      </c>
      <c r="B1259" s="523"/>
      <c r="C1259" s="288" t="s">
        <v>1210</v>
      </c>
      <c r="D1259" s="289" t="s">
        <v>2123</v>
      </c>
      <c r="E1259" s="289" t="s">
        <v>1919</v>
      </c>
      <c r="F1259" s="218">
        <v>2073</v>
      </c>
      <c r="G1259" s="237" t="s">
        <v>1579</v>
      </c>
      <c r="H1259" s="475" t="s">
        <v>631</v>
      </c>
      <c r="I1259" s="478">
        <v>253</v>
      </c>
      <c r="J1259" s="243">
        <v>5.7937000000000003</v>
      </c>
      <c r="K1259" s="243">
        <v>2.7795100000000001</v>
      </c>
      <c r="L1259" s="243">
        <v>3.0141900000000001</v>
      </c>
    </row>
    <row r="1260" spans="1:12" ht="26.4" customHeight="1">
      <c r="A1260" s="288">
        <v>334</v>
      </c>
      <c r="B1260" s="523"/>
      <c r="C1260" s="288" t="s">
        <v>1210</v>
      </c>
      <c r="D1260" s="289" t="s">
        <v>2123</v>
      </c>
      <c r="E1260" s="289" t="s">
        <v>1254</v>
      </c>
      <c r="F1260" s="218">
        <v>10000</v>
      </c>
      <c r="G1260" s="237" t="s">
        <v>1570</v>
      </c>
      <c r="H1260" s="475" t="s">
        <v>1138</v>
      </c>
      <c r="I1260" s="478">
        <v>1</v>
      </c>
      <c r="J1260" s="243">
        <v>2.8611599999999999</v>
      </c>
      <c r="K1260" s="243">
        <v>0.95247000000000004</v>
      </c>
      <c r="L1260" s="243">
        <v>1.90869</v>
      </c>
    </row>
    <row r="1261" spans="1:12" ht="26.4" customHeight="1">
      <c r="A1261" s="288">
        <v>335</v>
      </c>
      <c r="B1261" s="523"/>
      <c r="C1261" s="288" t="s">
        <v>1210</v>
      </c>
      <c r="D1261" s="289" t="s">
        <v>2123</v>
      </c>
      <c r="E1261" s="289" t="s">
        <v>1919</v>
      </c>
      <c r="F1261" s="218">
        <v>10007</v>
      </c>
      <c r="G1261" s="237" t="s">
        <v>1567</v>
      </c>
      <c r="H1261" s="475" t="s">
        <v>631</v>
      </c>
      <c r="I1261" s="478">
        <v>128.37</v>
      </c>
      <c r="J1261" s="243">
        <v>49.42895</v>
      </c>
      <c r="K1261" s="243">
        <v>23.8902</v>
      </c>
      <c r="L1261" s="243">
        <v>25.53875</v>
      </c>
    </row>
    <row r="1262" spans="1:12" ht="26.4" customHeight="1">
      <c r="A1262" s="288">
        <v>336</v>
      </c>
      <c r="B1262" s="523"/>
      <c r="C1262" s="288" t="s">
        <v>1210</v>
      </c>
      <c r="D1262" s="289" t="s">
        <v>2123</v>
      </c>
      <c r="E1262" s="289" t="s">
        <v>1919</v>
      </c>
      <c r="F1262" s="218">
        <v>10011</v>
      </c>
      <c r="G1262" s="237" t="s">
        <v>1576</v>
      </c>
      <c r="H1262" s="475" t="s">
        <v>631</v>
      </c>
      <c r="I1262" s="478">
        <v>103.3</v>
      </c>
      <c r="J1262" s="243">
        <v>76.900239999999997</v>
      </c>
      <c r="K1262" s="243">
        <v>28.196960000000001</v>
      </c>
      <c r="L1262" s="243">
        <v>48.703279999999999</v>
      </c>
    </row>
    <row r="1263" spans="1:12" ht="26.4" customHeight="1">
      <c r="A1263" s="288">
        <v>337</v>
      </c>
      <c r="B1263" s="523"/>
      <c r="C1263" s="288" t="s">
        <v>1210</v>
      </c>
      <c r="D1263" s="289" t="s">
        <v>2123</v>
      </c>
      <c r="E1263" s="289" t="s">
        <v>632</v>
      </c>
      <c r="F1263" s="218">
        <v>10246</v>
      </c>
      <c r="G1263" s="237" t="s">
        <v>1539</v>
      </c>
      <c r="H1263" s="475" t="s">
        <v>1138</v>
      </c>
      <c r="I1263" s="478">
        <v>1</v>
      </c>
      <c r="J1263" s="243">
        <v>8.56</v>
      </c>
      <c r="K1263" s="243">
        <v>6.3845000000000001</v>
      </c>
      <c r="L1263" s="243">
        <v>2.1755</v>
      </c>
    </row>
    <row r="1264" spans="1:12" ht="26.4" customHeight="1">
      <c r="A1264" s="288">
        <v>338</v>
      </c>
      <c r="B1264" s="523"/>
      <c r="C1264" s="288" t="s">
        <v>1210</v>
      </c>
      <c r="D1264" s="289" t="s">
        <v>2123</v>
      </c>
      <c r="E1264" s="289" t="s">
        <v>1919</v>
      </c>
      <c r="F1264" s="218">
        <v>10248</v>
      </c>
      <c r="G1264" s="237" t="s">
        <v>1539</v>
      </c>
      <c r="H1264" s="475" t="s">
        <v>631</v>
      </c>
      <c r="I1264" s="478" t="s">
        <v>642</v>
      </c>
      <c r="J1264" s="243">
        <v>46.368789999999997</v>
      </c>
      <c r="K1264" s="243">
        <v>43.479170000000003</v>
      </c>
      <c r="L1264" s="243">
        <v>2.8896199999999999</v>
      </c>
    </row>
    <row r="1265" spans="1:12" ht="26.4" customHeight="1">
      <c r="A1265" s="288">
        <v>339</v>
      </c>
      <c r="B1265" s="523"/>
      <c r="C1265" s="288" t="s">
        <v>1210</v>
      </c>
      <c r="D1265" s="289" t="s">
        <v>2123</v>
      </c>
      <c r="E1265" s="289" t="s">
        <v>1255</v>
      </c>
      <c r="F1265" s="218">
        <v>10302</v>
      </c>
      <c r="G1265" s="237" t="s">
        <v>1567</v>
      </c>
      <c r="H1265" s="475" t="s">
        <v>631</v>
      </c>
      <c r="I1265" s="478">
        <v>125.5</v>
      </c>
      <c r="J1265" s="243">
        <v>42.323529999999998</v>
      </c>
      <c r="K1265" s="243">
        <v>9.2065900000000003</v>
      </c>
      <c r="L1265" s="243">
        <v>33.11694</v>
      </c>
    </row>
    <row r="1266" spans="1:12" ht="26.4" customHeight="1">
      <c r="A1266" s="288">
        <v>340</v>
      </c>
      <c r="B1266" s="523"/>
      <c r="C1266" s="288" t="s">
        <v>1210</v>
      </c>
      <c r="D1266" s="289" t="s">
        <v>2123</v>
      </c>
      <c r="E1266" s="289" t="s">
        <v>1931</v>
      </c>
      <c r="F1266" s="218">
        <v>28102</v>
      </c>
      <c r="G1266" s="237" t="s">
        <v>1563</v>
      </c>
      <c r="H1266" s="475" t="s">
        <v>631</v>
      </c>
      <c r="I1266" s="478">
        <v>1138</v>
      </c>
      <c r="J1266" s="243">
        <v>94.264340000000004</v>
      </c>
      <c r="K1266" s="243">
        <v>52.67989</v>
      </c>
      <c r="L1266" s="243">
        <v>41.584449999999997</v>
      </c>
    </row>
    <row r="1267" spans="1:12" ht="26.4" customHeight="1">
      <c r="A1267" s="288">
        <v>341</v>
      </c>
      <c r="B1267" s="523"/>
      <c r="C1267" s="288" t="s">
        <v>1210</v>
      </c>
      <c r="D1267" s="289" t="s">
        <v>2123</v>
      </c>
      <c r="E1267" s="289" t="s">
        <v>1931</v>
      </c>
      <c r="F1267" s="218">
        <v>29128</v>
      </c>
      <c r="G1267" s="237" t="s">
        <v>1579</v>
      </c>
      <c r="H1267" s="475" t="s">
        <v>631</v>
      </c>
      <c r="I1267" s="478">
        <v>113</v>
      </c>
      <c r="J1267" s="243">
        <v>2.59158</v>
      </c>
      <c r="K1267" s="243">
        <v>1.24332</v>
      </c>
      <c r="L1267" s="243">
        <v>1.34826</v>
      </c>
    </row>
    <row r="1268" spans="1:12" ht="26.4" customHeight="1">
      <c r="A1268" s="288">
        <v>342</v>
      </c>
      <c r="B1268" s="523"/>
      <c r="C1268" s="288" t="s">
        <v>1210</v>
      </c>
      <c r="D1268" s="289" t="s">
        <v>2123</v>
      </c>
      <c r="E1268" s="289" t="s">
        <v>1141</v>
      </c>
      <c r="F1268" s="218">
        <v>41047</v>
      </c>
      <c r="G1268" s="237" t="s">
        <v>1577</v>
      </c>
      <c r="H1268" s="475" t="s">
        <v>1138</v>
      </c>
      <c r="I1268" s="478">
        <v>1</v>
      </c>
      <c r="J1268" s="243">
        <v>17.351009999999999</v>
      </c>
      <c r="K1268" s="243">
        <v>3.8752800000000001</v>
      </c>
      <c r="L1268" s="243">
        <v>13.47573</v>
      </c>
    </row>
    <row r="1269" spans="1:12" ht="26.4" customHeight="1">
      <c r="A1269" s="288">
        <v>343</v>
      </c>
      <c r="B1269" s="523"/>
      <c r="C1269" s="288" t="s">
        <v>1210</v>
      </c>
      <c r="D1269" s="289" t="s">
        <v>2123</v>
      </c>
      <c r="E1269" s="289" t="s">
        <v>1920</v>
      </c>
      <c r="F1269" s="218">
        <v>41053</v>
      </c>
      <c r="G1269" s="237" t="s">
        <v>1577</v>
      </c>
      <c r="H1269" s="475" t="s">
        <v>631</v>
      </c>
      <c r="I1269" s="478">
        <v>18</v>
      </c>
      <c r="J1269" s="243">
        <v>35.800460000000001</v>
      </c>
      <c r="K1269" s="243">
        <v>7.8757799999999998</v>
      </c>
      <c r="L1269" s="243">
        <v>27.924679999999999</v>
      </c>
    </row>
    <row r="1270" spans="1:12" ht="26.4" customHeight="1">
      <c r="A1270" s="288">
        <v>344</v>
      </c>
      <c r="B1270" s="523"/>
      <c r="C1270" s="288" t="s">
        <v>1210</v>
      </c>
      <c r="D1270" s="289" t="s">
        <v>2123</v>
      </c>
      <c r="E1270" s="289" t="s">
        <v>1920</v>
      </c>
      <c r="F1270" s="218">
        <v>41097</v>
      </c>
      <c r="G1270" s="237" t="s">
        <v>1562</v>
      </c>
      <c r="H1270" s="475" t="s">
        <v>631</v>
      </c>
      <c r="I1270" s="478">
        <v>38</v>
      </c>
      <c r="J1270" s="243">
        <v>26.10502</v>
      </c>
      <c r="K1270" s="243">
        <v>4.8731200000000001</v>
      </c>
      <c r="L1270" s="243">
        <v>21.2319</v>
      </c>
    </row>
    <row r="1271" spans="1:12" ht="26.4" customHeight="1">
      <c r="A1271" s="288">
        <v>345</v>
      </c>
      <c r="B1271" s="523"/>
      <c r="C1271" s="288" t="s">
        <v>1210</v>
      </c>
      <c r="D1271" s="289" t="s">
        <v>2123</v>
      </c>
      <c r="E1271" s="289" t="s">
        <v>1920</v>
      </c>
      <c r="F1271" s="218">
        <v>41188</v>
      </c>
      <c r="G1271" s="237" t="s">
        <v>1562</v>
      </c>
      <c r="H1271" s="475" t="s">
        <v>631</v>
      </c>
      <c r="I1271" s="478">
        <v>40.36</v>
      </c>
      <c r="J1271" s="243">
        <v>155.30190999999999</v>
      </c>
      <c r="K1271" s="243">
        <v>27.434259999999998</v>
      </c>
      <c r="L1271" s="243">
        <v>127.86765</v>
      </c>
    </row>
    <row r="1272" spans="1:12" ht="26.4" customHeight="1">
      <c r="A1272" s="288">
        <v>346</v>
      </c>
      <c r="B1272" s="523"/>
      <c r="C1272" s="288" t="s">
        <v>1210</v>
      </c>
      <c r="D1272" s="289" t="s">
        <v>2123</v>
      </c>
      <c r="E1272" s="289" t="s">
        <v>1920</v>
      </c>
      <c r="F1272" s="218">
        <v>41239</v>
      </c>
      <c r="G1272" s="237" t="s">
        <v>1562</v>
      </c>
      <c r="H1272" s="475" t="s">
        <v>631</v>
      </c>
      <c r="I1272" s="478">
        <v>24</v>
      </c>
      <c r="J1272" s="243">
        <v>55.801519999999996</v>
      </c>
      <c r="K1272" s="243">
        <v>8.9426199999999998</v>
      </c>
      <c r="L1272" s="243">
        <v>46.858899999999998</v>
      </c>
    </row>
    <row r="1273" spans="1:12" ht="26.4" customHeight="1">
      <c r="A1273" s="288">
        <v>347</v>
      </c>
      <c r="B1273" s="523"/>
      <c r="C1273" s="288" t="s">
        <v>1210</v>
      </c>
      <c r="D1273" s="289" t="s">
        <v>2123</v>
      </c>
      <c r="E1273" s="289" t="s">
        <v>1920</v>
      </c>
      <c r="F1273" s="218">
        <v>41392</v>
      </c>
      <c r="G1273" s="237" t="s">
        <v>1537</v>
      </c>
      <c r="H1273" s="475" t="s">
        <v>631</v>
      </c>
      <c r="I1273" s="478">
        <v>23</v>
      </c>
      <c r="J1273" s="243">
        <v>14.769909999999999</v>
      </c>
      <c r="K1273" s="243">
        <v>5.0462800000000003</v>
      </c>
      <c r="L1273" s="243">
        <v>9.72363</v>
      </c>
    </row>
    <row r="1274" spans="1:12" ht="26.4" customHeight="1">
      <c r="A1274" s="288">
        <v>348</v>
      </c>
      <c r="B1274" s="523"/>
      <c r="C1274" s="288" t="s">
        <v>1210</v>
      </c>
      <c r="D1274" s="289" t="s">
        <v>2123</v>
      </c>
      <c r="E1274" s="289" t="s">
        <v>1919</v>
      </c>
      <c r="F1274" s="218">
        <v>41402</v>
      </c>
      <c r="G1274" s="237" t="s">
        <v>1537</v>
      </c>
      <c r="H1274" s="475" t="s">
        <v>631</v>
      </c>
      <c r="I1274" s="478">
        <v>43.3</v>
      </c>
      <c r="J1274" s="243">
        <v>41.305039999999998</v>
      </c>
      <c r="K1274" s="243">
        <v>5.3695199999999996</v>
      </c>
      <c r="L1274" s="243">
        <v>35.935519999999997</v>
      </c>
    </row>
    <row r="1275" spans="1:12" ht="26.4" customHeight="1">
      <c r="A1275" s="288">
        <v>349</v>
      </c>
      <c r="B1275" s="523"/>
      <c r="C1275" s="288" t="s">
        <v>1210</v>
      </c>
      <c r="D1275" s="289" t="s">
        <v>2123</v>
      </c>
      <c r="E1275" s="289" t="s">
        <v>1919</v>
      </c>
      <c r="F1275" s="218">
        <v>41430</v>
      </c>
      <c r="G1275" s="237" t="s">
        <v>1574</v>
      </c>
      <c r="H1275" s="475" t="s">
        <v>631</v>
      </c>
      <c r="I1275" s="478">
        <v>30</v>
      </c>
      <c r="J1275" s="243">
        <v>28.820720000000001</v>
      </c>
      <c r="K1275" s="243">
        <v>3.3259300000000001</v>
      </c>
      <c r="L1275" s="243">
        <v>25.494789999999998</v>
      </c>
    </row>
    <row r="1276" spans="1:12" ht="26.4" customHeight="1">
      <c r="A1276" s="288">
        <v>350</v>
      </c>
      <c r="B1276" s="523"/>
      <c r="C1276" s="288" t="s">
        <v>1210</v>
      </c>
      <c r="D1276" s="289" t="s">
        <v>2123</v>
      </c>
      <c r="E1276" s="289" t="s">
        <v>1919</v>
      </c>
      <c r="F1276" s="218">
        <v>41443</v>
      </c>
      <c r="G1276" s="237" t="s">
        <v>1574</v>
      </c>
      <c r="H1276" s="475" t="s">
        <v>631</v>
      </c>
      <c r="I1276" s="478">
        <v>28.43</v>
      </c>
      <c r="J1276" s="243">
        <v>57.09104</v>
      </c>
      <c r="K1276" s="243">
        <v>5.29528</v>
      </c>
      <c r="L1276" s="243">
        <v>51.795760000000001</v>
      </c>
    </row>
    <row r="1277" spans="1:12" ht="26.4" customHeight="1">
      <c r="A1277" s="288">
        <v>351</v>
      </c>
      <c r="B1277" s="523"/>
      <c r="C1277" s="288" t="s">
        <v>1210</v>
      </c>
      <c r="D1277" s="289" t="s">
        <v>2123</v>
      </c>
      <c r="E1277" s="289" t="s">
        <v>1919</v>
      </c>
      <c r="F1277" s="218">
        <v>41651</v>
      </c>
      <c r="G1277" s="237" t="s">
        <v>1580</v>
      </c>
      <c r="H1277" s="475" t="s">
        <v>631</v>
      </c>
      <c r="I1277" s="478">
        <v>6</v>
      </c>
      <c r="J1277" s="243">
        <v>12.095000000000001</v>
      </c>
      <c r="K1277" s="243">
        <v>0.04</v>
      </c>
      <c r="L1277" s="243">
        <v>12.055</v>
      </c>
    </row>
    <row r="1278" spans="1:12" ht="26.4" customHeight="1">
      <c r="A1278" s="288">
        <v>352</v>
      </c>
      <c r="B1278" s="523"/>
      <c r="C1278" s="288" t="s">
        <v>1210</v>
      </c>
      <c r="D1278" s="289" t="s">
        <v>2123</v>
      </c>
      <c r="E1278" s="289" t="s">
        <v>1255</v>
      </c>
      <c r="F1278" s="218">
        <v>51101</v>
      </c>
      <c r="G1278" s="237" t="s">
        <v>1576</v>
      </c>
      <c r="H1278" s="475" t="s">
        <v>631</v>
      </c>
      <c r="I1278" s="478">
        <v>165.6</v>
      </c>
      <c r="J1278" s="243">
        <v>112.82708</v>
      </c>
      <c r="K1278" s="243">
        <v>41.369680000000002</v>
      </c>
      <c r="L1278" s="243">
        <v>71.457400000000007</v>
      </c>
    </row>
    <row r="1279" spans="1:12" ht="26.4" customHeight="1">
      <c r="A1279" s="288">
        <v>353</v>
      </c>
      <c r="B1279" s="523"/>
      <c r="C1279" s="288" t="s">
        <v>1210</v>
      </c>
      <c r="D1279" s="289" t="s">
        <v>2123</v>
      </c>
      <c r="E1279" s="289" t="s">
        <v>1255</v>
      </c>
      <c r="F1279" s="218">
        <v>51122</v>
      </c>
      <c r="G1279" s="237" t="s">
        <v>1571</v>
      </c>
      <c r="H1279" s="475" t="s">
        <v>631</v>
      </c>
      <c r="I1279" s="478">
        <v>32.35</v>
      </c>
      <c r="J1279" s="243">
        <v>59.79092</v>
      </c>
      <c r="K1279" s="243">
        <v>14.947509999999999</v>
      </c>
      <c r="L1279" s="243">
        <v>44.843409999999999</v>
      </c>
    </row>
    <row r="1280" spans="1:12" ht="26.4" customHeight="1">
      <c r="A1280" s="288">
        <v>354</v>
      </c>
      <c r="B1280" s="523"/>
      <c r="C1280" s="288" t="s">
        <v>1210</v>
      </c>
      <c r="D1280" s="289" t="s">
        <v>2123</v>
      </c>
      <c r="E1280" s="289" t="s">
        <v>1255</v>
      </c>
      <c r="F1280" s="218">
        <v>103001</v>
      </c>
      <c r="G1280" s="237" t="s">
        <v>1567</v>
      </c>
      <c r="H1280" s="475" t="s">
        <v>631</v>
      </c>
      <c r="I1280" s="478">
        <v>140</v>
      </c>
      <c r="J1280" s="243">
        <v>77.105999999999995</v>
      </c>
      <c r="K1280" s="243">
        <v>16.8672</v>
      </c>
      <c r="L1280" s="243">
        <v>60.238799999999998</v>
      </c>
    </row>
    <row r="1281" spans="1:12" ht="26.4" customHeight="1">
      <c r="A1281" s="288">
        <v>355</v>
      </c>
      <c r="B1281" s="523"/>
      <c r="C1281" s="288" t="s">
        <v>1210</v>
      </c>
      <c r="D1281" s="289" t="s">
        <v>2123</v>
      </c>
      <c r="E1281" s="289" t="s">
        <v>1255</v>
      </c>
      <c r="F1281" s="218">
        <v>103011</v>
      </c>
      <c r="G1281" s="237" t="s">
        <v>1567</v>
      </c>
      <c r="H1281" s="475" t="s">
        <v>631</v>
      </c>
      <c r="I1281" s="478">
        <v>423</v>
      </c>
      <c r="J1281" s="243">
        <v>527.48526000000004</v>
      </c>
      <c r="K1281" s="243">
        <v>115.38759</v>
      </c>
      <c r="L1281" s="243">
        <v>412.09766999999999</v>
      </c>
    </row>
    <row r="1282" spans="1:12" ht="26.4" customHeight="1">
      <c r="A1282" s="288">
        <v>356</v>
      </c>
      <c r="B1282" s="523"/>
      <c r="C1282" s="288" t="s">
        <v>1210</v>
      </c>
      <c r="D1282" s="289" t="s">
        <v>1490</v>
      </c>
      <c r="E1282" s="289" t="s">
        <v>2234</v>
      </c>
      <c r="F1282" s="218">
        <v>11293</v>
      </c>
      <c r="G1282" s="237" t="s">
        <v>1539</v>
      </c>
      <c r="H1282" s="475" t="s">
        <v>1149</v>
      </c>
      <c r="I1282" s="207">
        <v>344.9</v>
      </c>
      <c r="J1282" s="243">
        <v>332.53246000000001</v>
      </c>
      <c r="K1282" s="243">
        <v>109.97239999999999</v>
      </c>
      <c r="L1282" s="243">
        <v>222.56005999999999</v>
      </c>
    </row>
    <row r="1283" spans="1:12" ht="26.4" customHeight="1">
      <c r="A1283" s="288">
        <v>357</v>
      </c>
      <c r="B1283" s="523"/>
      <c r="C1283" s="288" t="s">
        <v>1210</v>
      </c>
      <c r="D1283" s="289" t="s">
        <v>1490</v>
      </c>
      <c r="E1283" s="289" t="s">
        <v>1919</v>
      </c>
      <c r="F1283" s="218">
        <v>2094</v>
      </c>
      <c r="G1283" s="237" t="s">
        <v>1550</v>
      </c>
      <c r="H1283" s="475" t="s">
        <v>631</v>
      </c>
      <c r="I1283" s="478">
        <v>38</v>
      </c>
      <c r="J1283" s="243">
        <v>4.2256</v>
      </c>
      <c r="K1283" s="243">
        <v>2.5733799999999998</v>
      </c>
      <c r="L1283" s="243">
        <v>1.65222</v>
      </c>
    </row>
    <row r="1284" spans="1:12" ht="26.4" customHeight="1">
      <c r="A1284" s="288">
        <v>358</v>
      </c>
      <c r="B1284" s="523"/>
      <c r="C1284" s="288" t="s">
        <v>1210</v>
      </c>
      <c r="D1284" s="289" t="s">
        <v>1490</v>
      </c>
      <c r="E1284" s="289" t="s">
        <v>1919</v>
      </c>
      <c r="F1284" s="218">
        <v>2095</v>
      </c>
      <c r="G1284" s="237" t="s">
        <v>1550</v>
      </c>
      <c r="H1284" s="475" t="s">
        <v>631</v>
      </c>
      <c r="I1284" s="478">
        <v>190.2</v>
      </c>
      <c r="J1284" s="243">
        <v>21.15024</v>
      </c>
      <c r="K1284" s="243">
        <v>12.880739999999999</v>
      </c>
      <c r="L1284" s="243">
        <v>8.2695000000000007</v>
      </c>
    </row>
    <row r="1285" spans="1:12" ht="26.4" customHeight="1">
      <c r="A1285" s="288">
        <v>359</v>
      </c>
      <c r="B1285" s="523"/>
      <c r="C1285" s="288" t="s">
        <v>1210</v>
      </c>
      <c r="D1285" s="289" t="s">
        <v>1490</v>
      </c>
      <c r="E1285" s="289" t="s">
        <v>1919</v>
      </c>
      <c r="F1285" s="218">
        <v>2096</v>
      </c>
      <c r="G1285" s="237" t="s">
        <v>1550</v>
      </c>
      <c r="H1285" s="475" t="s">
        <v>631</v>
      </c>
      <c r="I1285" s="478">
        <v>167.4</v>
      </c>
      <c r="J1285" s="243">
        <v>18.614879999999999</v>
      </c>
      <c r="K1285" s="243">
        <v>11.336650000000001</v>
      </c>
      <c r="L1285" s="243">
        <v>7.2782299999999998</v>
      </c>
    </row>
    <row r="1286" spans="1:12" ht="26.4" customHeight="1">
      <c r="A1286" s="288">
        <v>360</v>
      </c>
      <c r="B1286" s="523"/>
      <c r="C1286" s="288" t="s">
        <v>1210</v>
      </c>
      <c r="D1286" s="289" t="s">
        <v>1490</v>
      </c>
      <c r="E1286" s="289" t="s">
        <v>1923</v>
      </c>
      <c r="F1286" s="218">
        <v>2097</v>
      </c>
      <c r="G1286" s="237" t="s">
        <v>1550</v>
      </c>
      <c r="H1286" s="475" t="s">
        <v>631</v>
      </c>
      <c r="I1286" s="478">
        <v>127.3</v>
      </c>
      <c r="J1286" s="243">
        <v>14.155760000000001</v>
      </c>
      <c r="K1286" s="243">
        <v>8.6210100000000001</v>
      </c>
      <c r="L1286" s="243">
        <v>5.5347499999999998</v>
      </c>
    </row>
    <row r="1287" spans="1:12" ht="26.4" customHeight="1">
      <c r="A1287" s="288">
        <v>361</v>
      </c>
      <c r="B1287" s="523"/>
      <c r="C1287" s="288" t="s">
        <v>1210</v>
      </c>
      <c r="D1287" s="289" t="s">
        <v>1490</v>
      </c>
      <c r="E1287" s="289" t="s">
        <v>1928</v>
      </c>
      <c r="F1287" s="218">
        <v>2098</v>
      </c>
      <c r="G1287" s="237" t="s">
        <v>1550</v>
      </c>
      <c r="H1287" s="475" t="s">
        <v>631</v>
      </c>
      <c r="I1287" s="478">
        <v>137</v>
      </c>
      <c r="J1287" s="243">
        <v>4.1949399999999999</v>
      </c>
      <c r="K1287" s="243">
        <v>2.5272399999999999</v>
      </c>
      <c r="L1287" s="243">
        <v>1.6677</v>
      </c>
    </row>
    <row r="1288" spans="1:12" ht="26.4" customHeight="1">
      <c r="A1288" s="288">
        <v>362</v>
      </c>
      <c r="B1288" s="523"/>
      <c r="C1288" s="288" t="s">
        <v>1210</v>
      </c>
      <c r="D1288" s="289" t="s">
        <v>1490</v>
      </c>
      <c r="E1288" s="289" t="s">
        <v>1932</v>
      </c>
      <c r="F1288" s="218">
        <v>2099</v>
      </c>
      <c r="G1288" s="237" t="s">
        <v>1550</v>
      </c>
      <c r="H1288" s="475" t="s">
        <v>631</v>
      </c>
      <c r="I1288" s="478">
        <v>122</v>
      </c>
      <c r="J1288" s="243">
        <v>3.7356400000000001</v>
      </c>
      <c r="K1288" s="243">
        <v>2.2589399999999999</v>
      </c>
      <c r="L1288" s="243">
        <v>1.4766999999999999</v>
      </c>
    </row>
    <row r="1289" spans="1:12" ht="26.4" customHeight="1">
      <c r="A1289" s="288">
        <v>363</v>
      </c>
      <c r="B1289" s="523"/>
      <c r="C1289" s="288" t="s">
        <v>1210</v>
      </c>
      <c r="D1289" s="289" t="s">
        <v>1490</v>
      </c>
      <c r="E1289" s="289" t="s">
        <v>1919</v>
      </c>
      <c r="F1289" s="218">
        <v>11294</v>
      </c>
      <c r="G1289" s="237" t="s">
        <v>1550</v>
      </c>
      <c r="H1289" s="475" t="s">
        <v>631</v>
      </c>
      <c r="I1289" s="478">
        <v>178.1</v>
      </c>
      <c r="J1289" s="243">
        <v>19.806080000000001</v>
      </c>
      <c r="K1289" s="243">
        <v>12.06207</v>
      </c>
      <c r="L1289" s="243">
        <v>7.7440100000000003</v>
      </c>
    </row>
    <row r="1290" spans="1:12" ht="26.4" customHeight="1">
      <c r="A1290" s="288">
        <v>364</v>
      </c>
      <c r="B1290" s="523"/>
      <c r="C1290" s="288" t="s">
        <v>1210</v>
      </c>
      <c r="D1290" s="289" t="s">
        <v>1490</v>
      </c>
      <c r="E1290" s="289" t="s">
        <v>632</v>
      </c>
      <c r="F1290" s="218">
        <v>11296</v>
      </c>
      <c r="G1290" s="237" t="s">
        <v>1550</v>
      </c>
      <c r="H1290" s="475" t="s">
        <v>1138</v>
      </c>
      <c r="I1290" s="478">
        <v>1</v>
      </c>
      <c r="J1290" s="243">
        <v>4.07</v>
      </c>
      <c r="K1290" s="243">
        <v>2.4613800000000001</v>
      </c>
      <c r="L1290" s="243">
        <v>1.6086199999999999</v>
      </c>
    </row>
    <row r="1291" spans="1:12" ht="26.4" customHeight="1">
      <c r="A1291" s="288">
        <v>365</v>
      </c>
      <c r="B1291" s="523"/>
      <c r="C1291" s="288" t="s">
        <v>1210</v>
      </c>
      <c r="D1291" s="289" t="s">
        <v>1490</v>
      </c>
      <c r="E1291" s="289" t="s">
        <v>1927</v>
      </c>
      <c r="F1291" s="218">
        <v>11299</v>
      </c>
      <c r="G1291" s="237" t="s">
        <v>1550</v>
      </c>
      <c r="H1291" s="475" t="s">
        <v>631</v>
      </c>
      <c r="I1291" s="478">
        <v>186</v>
      </c>
      <c r="J1291" s="243">
        <v>5.6974400000000003</v>
      </c>
      <c r="K1291" s="243">
        <v>3.42388</v>
      </c>
      <c r="L1291" s="243">
        <v>2.2735599999999998</v>
      </c>
    </row>
    <row r="1292" spans="1:12" ht="26.4" customHeight="1">
      <c r="A1292" s="288">
        <v>366</v>
      </c>
      <c r="B1292" s="523"/>
      <c r="C1292" s="288" t="s">
        <v>1210</v>
      </c>
      <c r="D1292" s="289" t="s">
        <v>1490</v>
      </c>
      <c r="E1292" s="289" t="s">
        <v>1255</v>
      </c>
      <c r="F1292" s="218">
        <v>21040</v>
      </c>
      <c r="G1292" s="237" t="s">
        <v>1547</v>
      </c>
      <c r="H1292" s="475" t="s">
        <v>631</v>
      </c>
      <c r="I1292" s="478">
        <v>24</v>
      </c>
      <c r="J1292" s="243">
        <v>59.114409999999999</v>
      </c>
      <c r="K1292" s="243">
        <v>11.823119999999999</v>
      </c>
      <c r="L1292" s="243">
        <v>47.291289999999996</v>
      </c>
    </row>
    <row r="1293" spans="1:12" ht="26.4" customHeight="1">
      <c r="A1293" s="288">
        <v>367</v>
      </c>
      <c r="B1293" s="523"/>
      <c r="C1293" s="288" t="s">
        <v>1210</v>
      </c>
      <c r="D1293" s="289" t="s">
        <v>1490</v>
      </c>
      <c r="E1293" s="289" t="s">
        <v>1919</v>
      </c>
      <c r="F1293" s="218">
        <v>41240</v>
      </c>
      <c r="G1293" s="237" t="s">
        <v>1562</v>
      </c>
      <c r="H1293" s="475" t="s">
        <v>631</v>
      </c>
      <c r="I1293" s="478">
        <v>23.5</v>
      </c>
      <c r="J1293" s="243">
        <v>33.505549999999999</v>
      </c>
      <c r="K1293" s="243">
        <v>5.4616300000000004</v>
      </c>
      <c r="L1293" s="243">
        <v>28.04392</v>
      </c>
    </row>
    <row r="1294" spans="1:12" ht="26.4" customHeight="1">
      <c r="A1294" s="288">
        <v>368</v>
      </c>
      <c r="B1294" s="523"/>
      <c r="C1294" s="288" t="s">
        <v>1210</v>
      </c>
      <c r="D1294" s="289" t="s">
        <v>1490</v>
      </c>
      <c r="E1294" s="289" t="s">
        <v>1919</v>
      </c>
      <c r="F1294" s="218">
        <v>41431</v>
      </c>
      <c r="G1294" s="237" t="s">
        <v>1574</v>
      </c>
      <c r="H1294" s="475" t="s">
        <v>631</v>
      </c>
      <c r="I1294" s="478">
        <v>2.5</v>
      </c>
      <c r="J1294" s="243">
        <v>1.45818</v>
      </c>
      <c r="K1294" s="243">
        <v>0.1701</v>
      </c>
      <c r="L1294" s="243">
        <v>1.2880799999999999</v>
      </c>
    </row>
    <row r="1295" spans="1:12" ht="26.4" customHeight="1">
      <c r="A1295" s="288">
        <v>369</v>
      </c>
      <c r="B1295" s="523"/>
      <c r="C1295" s="288" t="s">
        <v>1210</v>
      </c>
      <c r="D1295" s="289" t="s">
        <v>1490</v>
      </c>
      <c r="E1295" s="289" t="s">
        <v>1255</v>
      </c>
      <c r="F1295" s="218">
        <v>51123</v>
      </c>
      <c r="G1295" s="237" t="s">
        <v>1571</v>
      </c>
      <c r="H1295" s="475" t="s">
        <v>631</v>
      </c>
      <c r="I1295" s="478">
        <v>65.5</v>
      </c>
      <c r="J1295" s="243">
        <v>150.94689</v>
      </c>
      <c r="K1295" s="243">
        <v>35.640500000000003</v>
      </c>
      <c r="L1295" s="243">
        <v>115.30638999999999</v>
      </c>
    </row>
    <row r="1296" spans="1:12" ht="26.4" customHeight="1">
      <c r="A1296" s="288">
        <v>370</v>
      </c>
      <c r="B1296" s="523"/>
      <c r="C1296" s="288" t="s">
        <v>1210</v>
      </c>
      <c r="D1296" s="289" t="s">
        <v>1491</v>
      </c>
      <c r="E1296" s="289" t="s">
        <v>768</v>
      </c>
      <c r="F1296" s="218">
        <v>17371</v>
      </c>
      <c r="G1296" s="237" t="s">
        <v>1529</v>
      </c>
      <c r="H1296" s="475" t="s">
        <v>1149</v>
      </c>
      <c r="I1296" s="207">
        <v>147.19999999999999</v>
      </c>
      <c r="J1296" s="243">
        <v>85.905029999999996</v>
      </c>
      <c r="K1296" s="243">
        <v>45.148209999999999</v>
      </c>
      <c r="L1296" s="243">
        <v>40.756819999999998</v>
      </c>
    </row>
    <row r="1297" spans="1:12" ht="26.4" customHeight="1">
      <c r="A1297" s="288">
        <v>371</v>
      </c>
      <c r="B1297" s="523"/>
      <c r="C1297" s="288" t="s">
        <v>1210</v>
      </c>
      <c r="D1297" s="289" t="s">
        <v>1491</v>
      </c>
      <c r="E1297" s="289" t="s">
        <v>1919</v>
      </c>
      <c r="F1297" s="218">
        <v>51127</v>
      </c>
      <c r="G1297" s="237" t="s">
        <v>1571</v>
      </c>
      <c r="H1297" s="475" t="s">
        <v>631</v>
      </c>
      <c r="I1297" s="478">
        <v>34.5</v>
      </c>
      <c r="J1297" s="243">
        <v>27.730730000000001</v>
      </c>
      <c r="K1297" s="243">
        <v>6.6554399999999996</v>
      </c>
      <c r="L1297" s="243">
        <v>21.075289999999999</v>
      </c>
    </row>
    <row r="1298" spans="1:12" ht="26.4" customHeight="1">
      <c r="A1298" s="288">
        <v>372</v>
      </c>
      <c r="B1298" s="523"/>
      <c r="C1298" s="288" t="s">
        <v>1210</v>
      </c>
      <c r="D1298" s="289" t="s">
        <v>1492</v>
      </c>
      <c r="E1298" s="289" t="s">
        <v>1919</v>
      </c>
      <c r="F1298" s="218">
        <v>2128</v>
      </c>
      <c r="G1298" s="237" t="s">
        <v>1529</v>
      </c>
      <c r="H1298" s="475" t="s">
        <v>631</v>
      </c>
      <c r="I1298" s="478">
        <v>191</v>
      </c>
      <c r="J1298" s="243">
        <v>3.2145299999999999</v>
      </c>
      <c r="K1298" s="243">
        <v>3.02101</v>
      </c>
      <c r="L1298" s="243">
        <v>0.19352</v>
      </c>
    </row>
    <row r="1299" spans="1:12" ht="26.4" customHeight="1">
      <c r="A1299" s="288">
        <v>373</v>
      </c>
      <c r="B1299" s="523"/>
      <c r="C1299" s="288" t="s">
        <v>1210</v>
      </c>
      <c r="D1299" s="289" t="s">
        <v>1492</v>
      </c>
      <c r="E1299" s="289" t="s">
        <v>1919</v>
      </c>
      <c r="F1299" s="218">
        <v>2129</v>
      </c>
      <c r="G1299" s="237" t="s">
        <v>1529</v>
      </c>
      <c r="H1299" s="475" t="s">
        <v>631</v>
      </c>
      <c r="I1299" s="478">
        <v>13.5</v>
      </c>
      <c r="J1299" s="243">
        <v>0.22721</v>
      </c>
      <c r="K1299" s="243">
        <v>0.2135</v>
      </c>
      <c r="L1299" s="243">
        <v>1.371E-2</v>
      </c>
    </row>
    <row r="1300" spans="1:12" ht="26.4" customHeight="1">
      <c r="A1300" s="288">
        <v>374</v>
      </c>
      <c r="B1300" s="523"/>
      <c r="C1300" s="288" t="s">
        <v>1210</v>
      </c>
      <c r="D1300" s="289" t="s">
        <v>1492</v>
      </c>
      <c r="E1300" s="289" t="s">
        <v>1919</v>
      </c>
      <c r="F1300" s="218">
        <v>2130</v>
      </c>
      <c r="G1300" s="237" t="s">
        <v>1529</v>
      </c>
      <c r="H1300" s="475" t="s">
        <v>631</v>
      </c>
      <c r="I1300" s="478">
        <v>58</v>
      </c>
      <c r="J1300" s="243">
        <v>0.97614000000000001</v>
      </c>
      <c r="K1300" s="243">
        <v>0.91735999999999995</v>
      </c>
      <c r="L1300" s="243">
        <v>5.8779999999999999E-2</v>
      </c>
    </row>
    <row r="1301" spans="1:12" ht="26.4" customHeight="1">
      <c r="A1301" s="288">
        <v>375</v>
      </c>
      <c r="B1301" s="523"/>
      <c r="C1301" s="288" t="s">
        <v>1210</v>
      </c>
      <c r="D1301" s="289" t="s">
        <v>1492</v>
      </c>
      <c r="E1301" s="289" t="s">
        <v>1919</v>
      </c>
      <c r="F1301" s="218">
        <v>2131</v>
      </c>
      <c r="G1301" s="237" t="s">
        <v>1529</v>
      </c>
      <c r="H1301" s="475" t="s">
        <v>631</v>
      </c>
      <c r="I1301" s="478">
        <v>8</v>
      </c>
      <c r="J1301" s="243">
        <v>0.13464000000000001</v>
      </c>
      <c r="K1301" s="243">
        <v>0.12655</v>
      </c>
      <c r="L1301" s="243">
        <v>8.09E-3</v>
      </c>
    </row>
    <row r="1302" spans="1:12" ht="26.4" customHeight="1">
      <c r="A1302" s="288">
        <v>376</v>
      </c>
      <c r="B1302" s="523"/>
      <c r="C1302" s="288" t="s">
        <v>1210</v>
      </c>
      <c r="D1302" s="289" t="s">
        <v>1492</v>
      </c>
      <c r="E1302" s="289" t="s">
        <v>1919</v>
      </c>
      <c r="F1302" s="218">
        <v>2132</v>
      </c>
      <c r="G1302" s="237" t="s">
        <v>1529</v>
      </c>
      <c r="H1302" s="475" t="s">
        <v>631</v>
      </c>
      <c r="I1302" s="478">
        <v>186</v>
      </c>
      <c r="J1302" s="243">
        <v>3.1303800000000002</v>
      </c>
      <c r="K1302" s="243">
        <v>2.9419200000000001</v>
      </c>
      <c r="L1302" s="243">
        <v>0.18845999999999999</v>
      </c>
    </row>
    <row r="1303" spans="1:12" ht="26.4" customHeight="1">
      <c r="A1303" s="288">
        <v>377</v>
      </c>
      <c r="B1303" s="523"/>
      <c r="C1303" s="288" t="s">
        <v>1210</v>
      </c>
      <c r="D1303" s="289" t="s">
        <v>1492</v>
      </c>
      <c r="E1303" s="289" t="s">
        <v>1919</v>
      </c>
      <c r="F1303" s="218">
        <v>2133</v>
      </c>
      <c r="G1303" s="237" t="s">
        <v>1529</v>
      </c>
      <c r="H1303" s="475" t="s">
        <v>631</v>
      </c>
      <c r="I1303" s="478">
        <v>51</v>
      </c>
      <c r="J1303" s="243">
        <v>0.85833000000000004</v>
      </c>
      <c r="K1303" s="243">
        <v>0.80662999999999996</v>
      </c>
      <c r="L1303" s="243">
        <v>5.1700000000000003E-2</v>
      </c>
    </row>
    <row r="1304" spans="1:12" ht="26.4" customHeight="1">
      <c r="A1304" s="288">
        <v>378</v>
      </c>
      <c r="B1304" s="523"/>
      <c r="C1304" s="288" t="s">
        <v>1210</v>
      </c>
      <c r="D1304" s="289" t="s">
        <v>1492</v>
      </c>
      <c r="E1304" s="289" t="s">
        <v>1919</v>
      </c>
      <c r="F1304" s="218">
        <v>2134</v>
      </c>
      <c r="G1304" s="237" t="s">
        <v>1529</v>
      </c>
      <c r="H1304" s="475" t="s">
        <v>631</v>
      </c>
      <c r="I1304" s="478">
        <v>134</v>
      </c>
      <c r="J1304" s="243">
        <v>2.25522</v>
      </c>
      <c r="K1304" s="243">
        <v>2.1194600000000001</v>
      </c>
      <c r="L1304" s="243">
        <v>0.13575999999999999</v>
      </c>
    </row>
    <row r="1305" spans="1:12" ht="26.4" customHeight="1">
      <c r="A1305" s="288">
        <v>379</v>
      </c>
      <c r="B1305" s="523"/>
      <c r="C1305" s="288" t="s">
        <v>1210</v>
      </c>
      <c r="D1305" s="289" t="s">
        <v>1492</v>
      </c>
      <c r="E1305" s="289" t="s">
        <v>1919</v>
      </c>
      <c r="F1305" s="218">
        <v>2135</v>
      </c>
      <c r="G1305" s="237" t="s">
        <v>1529</v>
      </c>
      <c r="H1305" s="475" t="s">
        <v>631</v>
      </c>
      <c r="I1305" s="478">
        <v>287.89999999999998</v>
      </c>
      <c r="J1305" s="243">
        <v>4.8453600000000003</v>
      </c>
      <c r="K1305" s="243">
        <v>4.5536399999999997</v>
      </c>
      <c r="L1305" s="243">
        <v>0.29171999999999998</v>
      </c>
    </row>
    <row r="1306" spans="1:12" ht="26.4" customHeight="1">
      <c r="A1306" s="288">
        <v>380</v>
      </c>
      <c r="B1306" s="523"/>
      <c r="C1306" s="288" t="s">
        <v>1210</v>
      </c>
      <c r="D1306" s="289" t="s">
        <v>1492</v>
      </c>
      <c r="E1306" s="289" t="s">
        <v>1919</v>
      </c>
      <c r="F1306" s="218">
        <v>2136</v>
      </c>
      <c r="G1306" s="237" t="s">
        <v>1529</v>
      </c>
      <c r="H1306" s="475" t="s">
        <v>631</v>
      </c>
      <c r="I1306" s="478">
        <v>80.599999999999994</v>
      </c>
      <c r="J1306" s="243">
        <v>1.3565</v>
      </c>
      <c r="K1306" s="243">
        <v>1.2748900000000001</v>
      </c>
      <c r="L1306" s="243">
        <v>8.1610000000000002E-2</v>
      </c>
    </row>
    <row r="1307" spans="1:12" ht="26.4" customHeight="1">
      <c r="A1307" s="288">
        <v>381</v>
      </c>
      <c r="B1307" s="523"/>
      <c r="C1307" s="288" t="s">
        <v>1210</v>
      </c>
      <c r="D1307" s="289" t="s">
        <v>1492</v>
      </c>
      <c r="E1307" s="289" t="s">
        <v>1919</v>
      </c>
      <c r="F1307" s="218">
        <v>2137</v>
      </c>
      <c r="G1307" s="237" t="s">
        <v>1529</v>
      </c>
      <c r="H1307" s="475" t="s">
        <v>631</v>
      </c>
      <c r="I1307" s="478">
        <v>140</v>
      </c>
      <c r="J1307" s="243">
        <v>2.3561999999999999</v>
      </c>
      <c r="K1307" s="243">
        <v>2.2143700000000002</v>
      </c>
      <c r="L1307" s="243">
        <v>0.14183000000000001</v>
      </c>
    </row>
    <row r="1308" spans="1:12" ht="26.4" customHeight="1">
      <c r="A1308" s="288">
        <v>382</v>
      </c>
      <c r="B1308" s="523"/>
      <c r="C1308" s="288" t="s">
        <v>1210</v>
      </c>
      <c r="D1308" s="289" t="s">
        <v>1492</v>
      </c>
      <c r="E1308" s="289" t="s">
        <v>1919</v>
      </c>
      <c r="F1308" s="218">
        <v>2138</v>
      </c>
      <c r="G1308" s="237" t="s">
        <v>1529</v>
      </c>
      <c r="H1308" s="475" t="s">
        <v>631</v>
      </c>
      <c r="I1308" s="478">
        <v>60</v>
      </c>
      <c r="J1308" s="243">
        <v>1.0098</v>
      </c>
      <c r="K1308" s="243">
        <v>0.94899999999999995</v>
      </c>
      <c r="L1308" s="243">
        <v>6.08E-2</v>
      </c>
    </row>
    <row r="1309" spans="1:12" ht="26.4" customHeight="1">
      <c r="A1309" s="288">
        <v>383</v>
      </c>
      <c r="B1309" s="523"/>
      <c r="C1309" s="288" t="s">
        <v>1210</v>
      </c>
      <c r="D1309" s="289" t="s">
        <v>1492</v>
      </c>
      <c r="E1309" s="289" t="s">
        <v>1919</v>
      </c>
      <c r="F1309" s="218">
        <v>2139</v>
      </c>
      <c r="G1309" s="237" t="s">
        <v>1529</v>
      </c>
      <c r="H1309" s="475" t="s">
        <v>631</v>
      </c>
      <c r="I1309" s="478">
        <v>35.5</v>
      </c>
      <c r="J1309" s="243">
        <v>0.59745999999999999</v>
      </c>
      <c r="K1309" s="243">
        <v>0.5615</v>
      </c>
      <c r="L1309" s="243">
        <v>3.5959999999999999E-2</v>
      </c>
    </row>
    <row r="1310" spans="1:12" ht="26.4" customHeight="1">
      <c r="A1310" s="288">
        <v>384</v>
      </c>
      <c r="B1310" s="523"/>
      <c r="C1310" s="288" t="s">
        <v>1210</v>
      </c>
      <c r="D1310" s="289" t="s">
        <v>1492</v>
      </c>
      <c r="E1310" s="289" t="s">
        <v>1919</v>
      </c>
      <c r="F1310" s="218">
        <v>2140</v>
      </c>
      <c r="G1310" s="237" t="s">
        <v>1529</v>
      </c>
      <c r="H1310" s="475" t="s">
        <v>631</v>
      </c>
      <c r="I1310" s="478">
        <v>37</v>
      </c>
      <c r="J1310" s="243">
        <v>0.62270999999999999</v>
      </c>
      <c r="K1310" s="243">
        <v>0.58518000000000003</v>
      </c>
      <c r="L1310" s="243">
        <v>3.7530000000000001E-2</v>
      </c>
    </row>
    <row r="1311" spans="1:12" ht="26.4" customHeight="1">
      <c r="A1311" s="288">
        <v>385</v>
      </c>
      <c r="B1311" s="523"/>
      <c r="C1311" s="288" t="s">
        <v>1210</v>
      </c>
      <c r="D1311" s="289" t="s">
        <v>1492</v>
      </c>
      <c r="E1311" s="289" t="s">
        <v>1919</v>
      </c>
      <c r="F1311" s="218">
        <v>2141</v>
      </c>
      <c r="G1311" s="237" t="s">
        <v>1529</v>
      </c>
      <c r="H1311" s="475" t="s">
        <v>631</v>
      </c>
      <c r="I1311" s="478">
        <v>26.5</v>
      </c>
      <c r="J1311" s="243">
        <v>0.44599</v>
      </c>
      <c r="K1311" s="243">
        <v>0.41913</v>
      </c>
      <c r="L1311" s="243">
        <v>2.6859999999999998E-2</v>
      </c>
    </row>
    <row r="1312" spans="1:12" ht="26.4" customHeight="1">
      <c r="A1312" s="288">
        <v>386</v>
      </c>
      <c r="B1312" s="523"/>
      <c r="C1312" s="288" t="s">
        <v>1210</v>
      </c>
      <c r="D1312" s="289" t="s">
        <v>1492</v>
      </c>
      <c r="E1312" s="289" t="s">
        <v>1141</v>
      </c>
      <c r="F1312" s="218">
        <v>11142</v>
      </c>
      <c r="G1312" s="237" t="s">
        <v>1547</v>
      </c>
      <c r="H1312" s="475" t="s">
        <v>1138</v>
      </c>
      <c r="I1312" s="478">
        <v>1</v>
      </c>
      <c r="J1312" s="243">
        <v>6.1907899999999998</v>
      </c>
      <c r="K1312" s="243">
        <v>1.4944</v>
      </c>
      <c r="L1312" s="243">
        <v>4.6963900000000001</v>
      </c>
    </row>
    <row r="1313" spans="1:12" ht="26.4" customHeight="1">
      <c r="A1313" s="288">
        <v>387</v>
      </c>
      <c r="B1313" s="523"/>
      <c r="C1313" s="288" t="s">
        <v>1210</v>
      </c>
      <c r="D1313" s="289" t="s">
        <v>1492</v>
      </c>
      <c r="E1313" s="289" t="s">
        <v>1919</v>
      </c>
      <c r="F1313" s="218">
        <v>17372</v>
      </c>
      <c r="G1313" s="237" t="s">
        <v>1529</v>
      </c>
      <c r="H1313" s="475" t="s">
        <v>631</v>
      </c>
      <c r="I1313" s="478">
        <v>37</v>
      </c>
      <c r="J1313" s="243">
        <v>0.63476999999999995</v>
      </c>
      <c r="K1313" s="243">
        <v>0.59660000000000002</v>
      </c>
      <c r="L1313" s="243">
        <v>3.8170000000000003E-2</v>
      </c>
    </row>
    <row r="1314" spans="1:12" ht="26.4" customHeight="1">
      <c r="A1314" s="288">
        <v>388</v>
      </c>
      <c r="B1314" s="523"/>
      <c r="C1314" s="288" t="s">
        <v>1210</v>
      </c>
      <c r="D1314" s="289" t="s">
        <v>1492</v>
      </c>
      <c r="E1314" s="289" t="s">
        <v>632</v>
      </c>
      <c r="F1314" s="218">
        <v>17374</v>
      </c>
      <c r="G1314" s="237" t="s">
        <v>1529</v>
      </c>
      <c r="H1314" s="475" t="s">
        <v>1138</v>
      </c>
      <c r="I1314" s="478">
        <v>1</v>
      </c>
      <c r="J1314" s="243">
        <v>2.56</v>
      </c>
      <c r="K1314" s="243">
        <v>1.95076</v>
      </c>
      <c r="L1314" s="243">
        <v>0.60924</v>
      </c>
    </row>
    <row r="1315" spans="1:12" ht="26.4" customHeight="1">
      <c r="A1315" s="288">
        <v>389</v>
      </c>
      <c r="B1315" s="523"/>
      <c r="C1315" s="288" t="s">
        <v>1210</v>
      </c>
      <c r="D1315" s="289" t="s">
        <v>1493</v>
      </c>
      <c r="E1315" s="289" t="s">
        <v>2235</v>
      </c>
      <c r="F1315" s="218">
        <v>21473</v>
      </c>
      <c r="G1315" s="237" t="s">
        <v>1534</v>
      </c>
      <c r="H1315" s="475" t="s">
        <v>1149</v>
      </c>
      <c r="I1315" s="207">
        <v>329.6</v>
      </c>
      <c r="J1315" s="243">
        <v>104.41104</v>
      </c>
      <c r="K1315" s="243">
        <v>31.065570000000001</v>
      </c>
      <c r="L1315" s="243">
        <v>73.345470000000006</v>
      </c>
    </row>
    <row r="1316" spans="1:12" ht="26.4" customHeight="1">
      <c r="A1316" s="288">
        <v>390</v>
      </c>
      <c r="B1316" s="523"/>
      <c r="C1316" s="288" t="s">
        <v>1210</v>
      </c>
      <c r="D1316" s="289" t="s">
        <v>1493</v>
      </c>
      <c r="E1316" s="289" t="s">
        <v>1919</v>
      </c>
      <c r="F1316" s="218">
        <v>2226</v>
      </c>
      <c r="G1316" s="237" t="s">
        <v>1538</v>
      </c>
      <c r="H1316" s="475" t="s">
        <v>631</v>
      </c>
      <c r="I1316" s="478">
        <v>359</v>
      </c>
      <c r="J1316" s="243">
        <v>7.5497699999999996</v>
      </c>
      <c r="K1316" s="243">
        <v>5.1551299999999998</v>
      </c>
      <c r="L1316" s="243">
        <v>2.3946399999999999</v>
      </c>
    </row>
    <row r="1317" spans="1:12" ht="26.4" customHeight="1">
      <c r="A1317" s="288">
        <v>391</v>
      </c>
      <c r="B1317" s="523"/>
      <c r="C1317" s="288" t="s">
        <v>1210</v>
      </c>
      <c r="D1317" s="289" t="s">
        <v>1493</v>
      </c>
      <c r="E1317" s="289" t="s">
        <v>1919</v>
      </c>
      <c r="F1317" s="218">
        <v>2227</v>
      </c>
      <c r="G1317" s="237" t="s">
        <v>1538</v>
      </c>
      <c r="H1317" s="475" t="s">
        <v>631</v>
      </c>
      <c r="I1317" s="478">
        <v>117</v>
      </c>
      <c r="J1317" s="243">
        <v>2.4605100000000002</v>
      </c>
      <c r="K1317" s="243">
        <v>1.6801200000000001</v>
      </c>
      <c r="L1317" s="243">
        <v>0.78039000000000003</v>
      </c>
    </row>
    <row r="1318" spans="1:12" ht="26.4" customHeight="1">
      <c r="A1318" s="288">
        <v>392</v>
      </c>
      <c r="B1318" s="523"/>
      <c r="C1318" s="288" t="s">
        <v>1210</v>
      </c>
      <c r="D1318" s="289" t="s">
        <v>1493</v>
      </c>
      <c r="E1318" s="289" t="s">
        <v>1141</v>
      </c>
      <c r="F1318" s="218">
        <v>21010</v>
      </c>
      <c r="G1318" s="237" t="s">
        <v>1547</v>
      </c>
      <c r="H1318" s="475" t="s">
        <v>1138</v>
      </c>
      <c r="I1318" s="478">
        <v>1</v>
      </c>
      <c r="J1318" s="243">
        <v>21.364260000000002</v>
      </c>
      <c r="K1318" s="243">
        <v>4.4512499999999999</v>
      </c>
      <c r="L1318" s="243">
        <v>16.91301</v>
      </c>
    </row>
    <row r="1319" spans="1:12" ht="26.4" customHeight="1">
      <c r="A1319" s="288">
        <v>393</v>
      </c>
      <c r="B1319" s="523"/>
      <c r="C1319" s="288" t="s">
        <v>1210</v>
      </c>
      <c r="D1319" s="289" t="s">
        <v>1493</v>
      </c>
      <c r="E1319" s="289" t="s">
        <v>632</v>
      </c>
      <c r="F1319" s="218">
        <v>21472</v>
      </c>
      <c r="G1319" s="237" t="s">
        <v>1535</v>
      </c>
      <c r="H1319" s="475" t="s">
        <v>1138</v>
      </c>
      <c r="I1319" s="478">
        <v>1</v>
      </c>
      <c r="J1319" s="243">
        <v>204.37092999999999</v>
      </c>
      <c r="K1319" s="243">
        <v>53.435830000000003</v>
      </c>
      <c r="L1319" s="243">
        <v>150.93510000000001</v>
      </c>
    </row>
    <row r="1320" spans="1:12" ht="26.4" customHeight="1">
      <c r="A1320" s="288">
        <v>394</v>
      </c>
      <c r="B1320" s="523"/>
      <c r="C1320" s="288" t="s">
        <v>1210</v>
      </c>
      <c r="D1320" s="289" t="s">
        <v>1493</v>
      </c>
      <c r="E1320" s="289" t="s">
        <v>1919</v>
      </c>
      <c r="F1320" s="218">
        <v>21496</v>
      </c>
      <c r="G1320" s="237" t="s">
        <v>1535</v>
      </c>
      <c r="H1320" s="475" t="s">
        <v>631</v>
      </c>
      <c r="I1320" s="478">
        <v>661</v>
      </c>
      <c r="J1320" s="243">
        <v>9.2710000000000008</v>
      </c>
      <c r="K1320" s="243">
        <v>7.4481299999999999</v>
      </c>
      <c r="L1320" s="243">
        <v>1.82287</v>
      </c>
    </row>
    <row r="1321" spans="1:12" ht="26.4" customHeight="1">
      <c r="A1321" s="288">
        <v>395</v>
      </c>
      <c r="B1321" s="523"/>
      <c r="C1321" s="288" t="s">
        <v>1210</v>
      </c>
      <c r="D1321" s="289" t="s">
        <v>1493</v>
      </c>
      <c r="E1321" s="289" t="s">
        <v>1919</v>
      </c>
      <c r="F1321" s="218">
        <v>27173</v>
      </c>
      <c r="G1321" s="237" t="s">
        <v>1538</v>
      </c>
      <c r="H1321" s="475" t="s">
        <v>1149</v>
      </c>
      <c r="I1321" s="478">
        <v>204</v>
      </c>
      <c r="J1321" s="243">
        <v>4.2927200000000001</v>
      </c>
      <c r="K1321" s="243">
        <v>2.9311600000000002</v>
      </c>
      <c r="L1321" s="243">
        <v>1.3615600000000001</v>
      </c>
    </row>
    <row r="1322" spans="1:12" ht="26.4" customHeight="1">
      <c r="A1322" s="288">
        <v>396</v>
      </c>
      <c r="B1322" s="523"/>
      <c r="C1322" s="288" t="s">
        <v>1210</v>
      </c>
      <c r="D1322" s="289" t="s">
        <v>2124</v>
      </c>
      <c r="E1322" s="289" t="s">
        <v>2236</v>
      </c>
      <c r="F1322" s="218">
        <v>29067</v>
      </c>
      <c r="G1322" s="237" t="s">
        <v>1541</v>
      </c>
      <c r="H1322" s="475" t="s">
        <v>1149</v>
      </c>
      <c r="I1322" s="246">
        <v>503</v>
      </c>
      <c r="J1322" s="243">
        <v>315.01652999999999</v>
      </c>
      <c r="K1322" s="243">
        <v>79.715699999999998</v>
      </c>
      <c r="L1322" s="243">
        <v>235.30082999999999</v>
      </c>
    </row>
    <row r="1323" spans="1:12" ht="26.4" customHeight="1">
      <c r="A1323" s="288">
        <v>397</v>
      </c>
      <c r="B1323" s="523"/>
      <c r="C1323" s="288" t="s">
        <v>1210</v>
      </c>
      <c r="D1323" s="289" t="s">
        <v>2124</v>
      </c>
      <c r="E1323" s="289" t="s">
        <v>1919</v>
      </c>
      <c r="F1323" s="218">
        <v>2255</v>
      </c>
      <c r="G1323" s="237" t="s">
        <v>1541</v>
      </c>
      <c r="H1323" s="475" t="s">
        <v>631</v>
      </c>
      <c r="I1323" s="478">
        <v>41</v>
      </c>
      <c r="J1323" s="243">
        <v>1.08117</v>
      </c>
      <c r="K1323" s="243">
        <v>0.69338</v>
      </c>
      <c r="L1323" s="243">
        <v>0.38779000000000002</v>
      </c>
    </row>
    <row r="1324" spans="1:12" ht="26.4" customHeight="1">
      <c r="A1324" s="288">
        <v>398</v>
      </c>
      <c r="B1324" s="523"/>
      <c r="C1324" s="288" t="s">
        <v>1210</v>
      </c>
      <c r="D1324" s="289" t="s">
        <v>2124</v>
      </c>
      <c r="E1324" s="289" t="s">
        <v>1919</v>
      </c>
      <c r="F1324" s="218">
        <v>2256</v>
      </c>
      <c r="G1324" s="237" t="s">
        <v>1541</v>
      </c>
      <c r="H1324" s="475" t="s">
        <v>631</v>
      </c>
      <c r="I1324" s="478">
        <v>72.5</v>
      </c>
      <c r="J1324" s="243">
        <v>1.9118299999999999</v>
      </c>
      <c r="K1324" s="243">
        <v>1.22621</v>
      </c>
      <c r="L1324" s="243">
        <v>0.68562000000000001</v>
      </c>
    </row>
    <row r="1325" spans="1:12" ht="26.4" customHeight="1">
      <c r="A1325" s="288">
        <v>399</v>
      </c>
      <c r="B1325" s="523"/>
      <c r="C1325" s="288" t="s">
        <v>1210</v>
      </c>
      <c r="D1325" s="289" t="s">
        <v>2124</v>
      </c>
      <c r="E1325" s="289" t="s">
        <v>1919</v>
      </c>
      <c r="F1325" s="218">
        <v>2257</v>
      </c>
      <c r="G1325" s="237" t="s">
        <v>1541</v>
      </c>
      <c r="H1325" s="475" t="s">
        <v>631</v>
      </c>
      <c r="I1325" s="478">
        <v>132</v>
      </c>
      <c r="J1325" s="243">
        <v>3.4808400000000002</v>
      </c>
      <c r="K1325" s="243">
        <v>2.2325400000000002</v>
      </c>
      <c r="L1325" s="243">
        <v>1.2483</v>
      </c>
    </row>
    <row r="1326" spans="1:12" ht="26.4" customHeight="1">
      <c r="A1326" s="288">
        <v>400</v>
      </c>
      <c r="B1326" s="523"/>
      <c r="C1326" s="288" t="s">
        <v>1210</v>
      </c>
      <c r="D1326" s="289" t="s">
        <v>2124</v>
      </c>
      <c r="E1326" s="289" t="s">
        <v>1919</v>
      </c>
      <c r="F1326" s="218">
        <v>2258</v>
      </c>
      <c r="G1326" s="237" t="s">
        <v>1541</v>
      </c>
      <c r="H1326" s="475" t="s">
        <v>631</v>
      </c>
      <c r="I1326" s="478">
        <v>29</v>
      </c>
      <c r="J1326" s="243">
        <v>0.76473000000000002</v>
      </c>
      <c r="K1326" s="243">
        <v>0.49053000000000002</v>
      </c>
      <c r="L1326" s="243">
        <v>0.2742</v>
      </c>
    </row>
    <row r="1327" spans="1:12" ht="26.4" customHeight="1">
      <c r="A1327" s="288">
        <v>401</v>
      </c>
      <c r="B1327" s="523"/>
      <c r="C1327" s="288" t="s">
        <v>1210</v>
      </c>
      <c r="D1327" s="289" t="s">
        <v>2124</v>
      </c>
      <c r="E1327" s="289" t="s">
        <v>1919</v>
      </c>
      <c r="F1327" s="218">
        <v>2259</v>
      </c>
      <c r="G1327" s="237" t="s">
        <v>1541</v>
      </c>
      <c r="H1327" s="475" t="s">
        <v>631</v>
      </c>
      <c r="I1327" s="478">
        <v>77</v>
      </c>
      <c r="J1327" s="243">
        <v>2.0304899999999999</v>
      </c>
      <c r="K1327" s="243">
        <v>1.3022899999999999</v>
      </c>
      <c r="L1327" s="243">
        <v>0.72819999999999996</v>
      </c>
    </row>
    <row r="1328" spans="1:12" ht="26.4" customHeight="1">
      <c r="A1328" s="288">
        <v>402</v>
      </c>
      <c r="B1328" s="523"/>
      <c r="C1328" s="288" t="s">
        <v>1210</v>
      </c>
      <c r="D1328" s="289" t="s">
        <v>2124</v>
      </c>
      <c r="E1328" s="289" t="s">
        <v>1919</v>
      </c>
      <c r="F1328" s="218">
        <v>2260</v>
      </c>
      <c r="G1328" s="237" t="s">
        <v>1541</v>
      </c>
      <c r="H1328" s="475" t="s">
        <v>631</v>
      </c>
      <c r="I1328" s="478">
        <v>52</v>
      </c>
      <c r="J1328" s="243">
        <v>1.37124</v>
      </c>
      <c r="K1328" s="243">
        <v>0.87946000000000002</v>
      </c>
      <c r="L1328" s="243">
        <v>0.49177999999999999</v>
      </c>
    </row>
    <row r="1329" spans="1:12" ht="26.4" customHeight="1">
      <c r="A1329" s="288">
        <v>403</v>
      </c>
      <c r="B1329" s="523"/>
      <c r="C1329" s="288" t="s">
        <v>1210</v>
      </c>
      <c r="D1329" s="289" t="s">
        <v>2124</v>
      </c>
      <c r="E1329" s="289" t="s">
        <v>1919</v>
      </c>
      <c r="F1329" s="218">
        <v>2261</v>
      </c>
      <c r="G1329" s="237" t="s">
        <v>1541</v>
      </c>
      <c r="H1329" s="475" t="s">
        <v>631</v>
      </c>
      <c r="I1329" s="478">
        <v>61.5</v>
      </c>
      <c r="J1329" s="243">
        <v>1.62175</v>
      </c>
      <c r="K1329" s="243">
        <v>1.04013</v>
      </c>
      <c r="L1329" s="243">
        <v>0.58162000000000003</v>
      </c>
    </row>
    <row r="1330" spans="1:12" ht="26.4" customHeight="1">
      <c r="A1330" s="288">
        <v>404</v>
      </c>
      <c r="B1330" s="523"/>
      <c r="C1330" s="288" t="s">
        <v>1210</v>
      </c>
      <c r="D1330" s="289" t="s">
        <v>2124</v>
      </c>
      <c r="E1330" s="289" t="s">
        <v>1919</v>
      </c>
      <c r="F1330" s="218">
        <v>2262</v>
      </c>
      <c r="G1330" s="237" t="s">
        <v>1541</v>
      </c>
      <c r="H1330" s="475" t="s">
        <v>631</v>
      </c>
      <c r="I1330" s="478">
        <v>35</v>
      </c>
      <c r="J1330" s="243">
        <v>0.92295000000000005</v>
      </c>
      <c r="K1330" s="243">
        <v>0.59189999999999998</v>
      </c>
      <c r="L1330" s="243">
        <v>0.33105000000000001</v>
      </c>
    </row>
    <row r="1331" spans="1:12" ht="26.4" customHeight="1">
      <c r="A1331" s="288">
        <v>405</v>
      </c>
      <c r="B1331" s="523"/>
      <c r="C1331" s="288" t="s">
        <v>1210</v>
      </c>
      <c r="D1331" s="289" t="s">
        <v>2124</v>
      </c>
      <c r="E1331" s="289" t="s">
        <v>1919</v>
      </c>
      <c r="F1331" s="218">
        <v>2263</v>
      </c>
      <c r="G1331" s="237" t="s">
        <v>1541</v>
      </c>
      <c r="H1331" s="475" t="s">
        <v>631</v>
      </c>
      <c r="I1331" s="478">
        <v>60</v>
      </c>
      <c r="J1331" s="243">
        <v>1.5822000000000001</v>
      </c>
      <c r="K1331" s="243">
        <v>1.0147299999999999</v>
      </c>
      <c r="L1331" s="243">
        <v>0.56747000000000003</v>
      </c>
    </row>
    <row r="1332" spans="1:12" ht="26.4" customHeight="1">
      <c r="A1332" s="288">
        <v>406</v>
      </c>
      <c r="B1332" s="523"/>
      <c r="C1332" s="288" t="s">
        <v>1210</v>
      </c>
      <c r="D1332" s="289" t="s">
        <v>2124</v>
      </c>
      <c r="E1332" s="289" t="s">
        <v>1919</v>
      </c>
      <c r="F1332" s="218">
        <v>2264</v>
      </c>
      <c r="G1332" s="237" t="s">
        <v>1541</v>
      </c>
      <c r="H1332" s="475" t="s">
        <v>631</v>
      </c>
      <c r="I1332" s="478">
        <v>68.5</v>
      </c>
      <c r="J1332" s="243">
        <v>1.8063499999999999</v>
      </c>
      <c r="K1332" s="243">
        <v>1.1585099999999999</v>
      </c>
      <c r="L1332" s="243">
        <v>0.64783999999999997</v>
      </c>
    </row>
    <row r="1333" spans="1:12" ht="26.4" customHeight="1">
      <c r="A1333" s="288">
        <v>407</v>
      </c>
      <c r="B1333" s="523"/>
      <c r="C1333" s="288" t="s">
        <v>1210</v>
      </c>
      <c r="D1333" s="289" t="s">
        <v>2124</v>
      </c>
      <c r="E1333" s="289" t="s">
        <v>1919</v>
      </c>
      <c r="F1333" s="218">
        <v>2265</v>
      </c>
      <c r="G1333" s="237" t="s">
        <v>1541</v>
      </c>
      <c r="H1333" s="475" t="s">
        <v>631</v>
      </c>
      <c r="I1333" s="478">
        <v>208</v>
      </c>
      <c r="J1333" s="243">
        <v>5.4849600000000001</v>
      </c>
      <c r="K1333" s="243">
        <v>3.5179399999999998</v>
      </c>
      <c r="L1333" s="243">
        <v>1.96702</v>
      </c>
    </row>
    <row r="1334" spans="1:12" ht="26.4" customHeight="1">
      <c r="A1334" s="288">
        <v>408</v>
      </c>
      <c r="B1334" s="523"/>
      <c r="C1334" s="288" t="s">
        <v>1210</v>
      </c>
      <c r="D1334" s="289" t="s">
        <v>2124</v>
      </c>
      <c r="E1334" s="289" t="s">
        <v>1919</v>
      </c>
      <c r="F1334" s="218">
        <v>2266</v>
      </c>
      <c r="G1334" s="237" t="s">
        <v>1541</v>
      </c>
      <c r="H1334" s="475" t="s">
        <v>631</v>
      </c>
      <c r="I1334" s="478">
        <v>110</v>
      </c>
      <c r="J1334" s="243">
        <v>2.9007000000000001</v>
      </c>
      <c r="K1334" s="243">
        <v>1.8604000000000001</v>
      </c>
      <c r="L1334" s="243">
        <v>1.0403</v>
      </c>
    </row>
    <row r="1335" spans="1:12" ht="26.4" customHeight="1">
      <c r="A1335" s="288">
        <v>409</v>
      </c>
      <c r="B1335" s="523"/>
      <c r="C1335" s="288" t="s">
        <v>1210</v>
      </c>
      <c r="D1335" s="289" t="s">
        <v>2124</v>
      </c>
      <c r="E1335" s="289" t="s">
        <v>1919</v>
      </c>
      <c r="F1335" s="218">
        <v>2267</v>
      </c>
      <c r="G1335" s="237" t="s">
        <v>1541</v>
      </c>
      <c r="H1335" s="475" t="s">
        <v>631</v>
      </c>
      <c r="I1335" s="478">
        <v>105</v>
      </c>
      <c r="J1335" s="243">
        <v>2.76885</v>
      </c>
      <c r="K1335" s="243">
        <v>1.7758100000000001</v>
      </c>
      <c r="L1335" s="243">
        <v>0.99304000000000003</v>
      </c>
    </row>
    <row r="1336" spans="1:12" ht="26.4" customHeight="1">
      <c r="A1336" s="288">
        <v>410</v>
      </c>
      <c r="B1336" s="523"/>
      <c r="C1336" s="288" t="s">
        <v>1210</v>
      </c>
      <c r="D1336" s="289" t="s">
        <v>2124</v>
      </c>
      <c r="E1336" s="289" t="s">
        <v>1919</v>
      </c>
      <c r="F1336" s="218">
        <v>2268</v>
      </c>
      <c r="G1336" s="237" t="s">
        <v>1541</v>
      </c>
      <c r="H1336" s="475" t="s">
        <v>631</v>
      </c>
      <c r="I1336" s="478">
        <v>80</v>
      </c>
      <c r="J1336" s="243">
        <v>2.1095999999999999</v>
      </c>
      <c r="K1336" s="243">
        <v>1.3530800000000001</v>
      </c>
      <c r="L1336" s="243">
        <v>0.75651999999999997</v>
      </c>
    </row>
    <row r="1337" spans="1:12" ht="26.4" customHeight="1">
      <c r="A1337" s="288">
        <v>411</v>
      </c>
      <c r="B1337" s="523"/>
      <c r="C1337" s="288" t="s">
        <v>1210</v>
      </c>
      <c r="D1337" s="289" t="s">
        <v>2124</v>
      </c>
      <c r="E1337" s="289" t="s">
        <v>1919</v>
      </c>
      <c r="F1337" s="218">
        <v>2269</v>
      </c>
      <c r="G1337" s="237" t="s">
        <v>1541</v>
      </c>
      <c r="H1337" s="475" t="s">
        <v>631</v>
      </c>
      <c r="I1337" s="478">
        <v>28</v>
      </c>
      <c r="J1337" s="243">
        <v>0.73836000000000002</v>
      </c>
      <c r="K1337" s="243">
        <v>0.47352</v>
      </c>
      <c r="L1337" s="243">
        <v>0.26484000000000002</v>
      </c>
    </row>
    <row r="1338" spans="1:12" ht="26.4" customHeight="1">
      <c r="A1338" s="288">
        <v>412</v>
      </c>
      <c r="B1338" s="523"/>
      <c r="C1338" s="288" t="s">
        <v>1210</v>
      </c>
      <c r="D1338" s="289" t="s">
        <v>2124</v>
      </c>
      <c r="E1338" s="289" t="s">
        <v>641</v>
      </c>
      <c r="F1338" s="218">
        <v>27000</v>
      </c>
      <c r="G1338" s="237" t="s">
        <v>1570</v>
      </c>
      <c r="H1338" s="475" t="s">
        <v>1138</v>
      </c>
      <c r="I1338" s="478">
        <v>1</v>
      </c>
      <c r="J1338" s="243">
        <v>0.378</v>
      </c>
      <c r="K1338" s="243">
        <v>0.14074999999999999</v>
      </c>
      <c r="L1338" s="243">
        <v>0.23724999999999999</v>
      </c>
    </row>
    <row r="1339" spans="1:12" ht="26.4" customHeight="1">
      <c r="A1339" s="288">
        <v>413</v>
      </c>
      <c r="B1339" s="523"/>
      <c r="C1339" s="288" t="s">
        <v>1210</v>
      </c>
      <c r="D1339" s="289" t="s">
        <v>2124</v>
      </c>
      <c r="E1339" s="289" t="s">
        <v>641</v>
      </c>
      <c r="F1339" s="218">
        <v>27002</v>
      </c>
      <c r="G1339" s="237" t="s">
        <v>1570</v>
      </c>
      <c r="H1339" s="475" t="s">
        <v>1138</v>
      </c>
      <c r="I1339" s="478">
        <v>1</v>
      </c>
      <c r="J1339" s="243">
        <v>0.378</v>
      </c>
      <c r="K1339" s="243">
        <v>0.14074999999999999</v>
      </c>
      <c r="L1339" s="243">
        <v>0.23724999999999999</v>
      </c>
    </row>
    <row r="1340" spans="1:12" ht="26.4" customHeight="1">
      <c r="A1340" s="288">
        <v>414</v>
      </c>
      <c r="B1340" s="523"/>
      <c r="C1340" s="288" t="s">
        <v>1210</v>
      </c>
      <c r="D1340" s="289" t="s">
        <v>2124</v>
      </c>
      <c r="E1340" s="289" t="s">
        <v>1919</v>
      </c>
      <c r="F1340" s="218">
        <v>27004</v>
      </c>
      <c r="G1340" s="237" t="s">
        <v>1576</v>
      </c>
      <c r="H1340" s="475" t="s">
        <v>631</v>
      </c>
      <c r="I1340" s="478">
        <v>168</v>
      </c>
      <c r="J1340" s="243">
        <v>141.68906999999999</v>
      </c>
      <c r="K1340" s="243">
        <v>60.205840000000002</v>
      </c>
      <c r="L1340" s="243">
        <v>81.483230000000006</v>
      </c>
    </row>
    <row r="1341" spans="1:12" ht="26.4" customHeight="1">
      <c r="A1341" s="288">
        <v>415</v>
      </c>
      <c r="B1341" s="523"/>
      <c r="C1341" s="288" t="s">
        <v>1210</v>
      </c>
      <c r="D1341" s="289" t="s">
        <v>2124</v>
      </c>
      <c r="E1341" s="289" t="s">
        <v>635</v>
      </c>
      <c r="F1341" s="218">
        <v>27500</v>
      </c>
      <c r="G1341" s="237" t="s">
        <v>1548</v>
      </c>
      <c r="H1341" s="475" t="s">
        <v>1138</v>
      </c>
      <c r="I1341" s="478">
        <v>1</v>
      </c>
      <c r="J1341" s="243">
        <v>0.4824</v>
      </c>
      <c r="K1341" s="243">
        <v>0.42880000000000001</v>
      </c>
      <c r="L1341" s="243">
        <v>5.3600000000000002E-2</v>
      </c>
    </row>
    <row r="1342" spans="1:12" ht="26.4" customHeight="1">
      <c r="A1342" s="288">
        <v>416</v>
      </c>
      <c r="B1342" s="523"/>
      <c r="C1342" s="288" t="s">
        <v>1210</v>
      </c>
      <c r="D1342" s="289" t="s">
        <v>2124</v>
      </c>
      <c r="E1342" s="289" t="s">
        <v>1919</v>
      </c>
      <c r="F1342" s="218">
        <v>29086</v>
      </c>
      <c r="G1342" s="237" t="s">
        <v>1541</v>
      </c>
      <c r="H1342" s="475" t="s">
        <v>631</v>
      </c>
      <c r="I1342" s="478">
        <v>44.69</v>
      </c>
      <c r="J1342" s="243">
        <v>1.18486</v>
      </c>
      <c r="K1342" s="243">
        <v>0.75988999999999995</v>
      </c>
      <c r="L1342" s="243">
        <v>0.42497000000000001</v>
      </c>
    </row>
    <row r="1343" spans="1:12" ht="26.4" customHeight="1">
      <c r="A1343" s="288">
        <v>417</v>
      </c>
      <c r="B1343" s="523"/>
      <c r="C1343" s="288" t="s">
        <v>1210</v>
      </c>
      <c r="D1343" s="289" t="s">
        <v>2124</v>
      </c>
      <c r="E1343" s="289" t="s">
        <v>1919</v>
      </c>
      <c r="F1343" s="218">
        <v>41242</v>
      </c>
      <c r="G1343" s="237" t="s">
        <v>1562</v>
      </c>
      <c r="H1343" s="475" t="s">
        <v>631</v>
      </c>
      <c r="I1343" s="478">
        <v>73</v>
      </c>
      <c r="J1343" s="243">
        <v>179.20894000000001</v>
      </c>
      <c r="K1343" s="243">
        <v>29.254750000000001</v>
      </c>
      <c r="L1343" s="243">
        <v>149.95419000000001</v>
      </c>
    </row>
    <row r="1344" spans="1:12" ht="26.4" customHeight="1">
      <c r="A1344" s="288">
        <v>418</v>
      </c>
      <c r="B1344" s="523"/>
      <c r="C1344" s="288" t="s">
        <v>1210</v>
      </c>
      <c r="D1344" s="289" t="s">
        <v>2124</v>
      </c>
      <c r="E1344" s="289" t="s">
        <v>1919</v>
      </c>
      <c r="F1344" s="218">
        <v>41243</v>
      </c>
      <c r="G1344" s="237" t="s">
        <v>1562</v>
      </c>
      <c r="H1344" s="475" t="s">
        <v>631</v>
      </c>
      <c r="I1344" s="478">
        <v>22</v>
      </c>
      <c r="J1344" s="243">
        <v>41.248530000000002</v>
      </c>
      <c r="K1344" s="243">
        <v>6.7051100000000003</v>
      </c>
      <c r="L1344" s="243">
        <v>34.543419999999998</v>
      </c>
    </row>
    <row r="1345" spans="1:12" ht="26.4" customHeight="1">
      <c r="A1345" s="288">
        <v>419</v>
      </c>
      <c r="B1345" s="523"/>
      <c r="C1345" s="288" t="s">
        <v>1210</v>
      </c>
      <c r="D1345" s="289" t="s">
        <v>2124</v>
      </c>
      <c r="E1345" s="289" t="s">
        <v>1141</v>
      </c>
      <c r="F1345" s="218">
        <v>41252</v>
      </c>
      <c r="G1345" s="237" t="s">
        <v>1562</v>
      </c>
      <c r="H1345" s="475" t="s">
        <v>1138</v>
      </c>
      <c r="I1345" s="478">
        <v>1</v>
      </c>
      <c r="J1345" s="243">
        <v>9.6517700000000008</v>
      </c>
      <c r="K1345" s="243">
        <v>2.5385</v>
      </c>
      <c r="L1345" s="243">
        <v>7.11327</v>
      </c>
    </row>
    <row r="1346" spans="1:12" ht="26.4" customHeight="1">
      <c r="A1346" s="288">
        <v>420</v>
      </c>
      <c r="B1346" s="523"/>
      <c r="C1346" s="288" t="s">
        <v>1210</v>
      </c>
      <c r="D1346" s="289" t="s">
        <v>2124</v>
      </c>
      <c r="E1346" s="289" t="s">
        <v>1919</v>
      </c>
      <c r="F1346" s="218">
        <v>41406</v>
      </c>
      <c r="G1346" s="237" t="s">
        <v>1537</v>
      </c>
      <c r="H1346" s="475" t="s">
        <v>631</v>
      </c>
      <c r="I1346" s="478">
        <v>7.81</v>
      </c>
      <c r="J1346" s="243">
        <v>20.548179999999999</v>
      </c>
      <c r="K1346" s="243">
        <v>2.6026199999999999</v>
      </c>
      <c r="L1346" s="243">
        <v>17.94556</v>
      </c>
    </row>
    <row r="1347" spans="1:12" ht="26.4" customHeight="1">
      <c r="A1347" s="288">
        <v>421</v>
      </c>
      <c r="B1347" s="523"/>
      <c r="C1347" s="288" t="s">
        <v>1210</v>
      </c>
      <c r="D1347" s="289" t="s">
        <v>1494</v>
      </c>
      <c r="E1347" s="289" t="s">
        <v>2237</v>
      </c>
      <c r="F1347" s="218">
        <v>10404</v>
      </c>
      <c r="G1347" s="237" t="s">
        <v>1558</v>
      </c>
      <c r="H1347" s="475" t="s">
        <v>1149</v>
      </c>
      <c r="I1347" s="207">
        <v>334.9</v>
      </c>
      <c r="J1347" s="243">
        <v>130.1277</v>
      </c>
      <c r="K1347" s="243">
        <v>35.855220000000003</v>
      </c>
      <c r="L1347" s="243">
        <v>94.272480000000002</v>
      </c>
    </row>
    <row r="1348" spans="1:12" ht="26.4" customHeight="1">
      <c r="A1348" s="288">
        <v>422</v>
      </c>
      <c r="B1348" s="523"/>
      <c r="C1348" s="288" t="s">
        <v>1210</v>
      </c>
      <c r="D1348" s="289" t="s">
        <v>1494</v>
      </c>
      <c r="E1348" s="289" t="s">
        <v>1255</v>
      </c>
      <c r="F1348" s="218">
        <v>10504</v>
      </c>
      <c r="G1348" s="237" t="s">
        <v>1558</v>
      </c>
      <c r="H1348" s="475" t="s">
        <v>631</v>
      </c>
      <c r="I1348" s="478">
        <v>139</v>
      </c>
      <c r="J1348" s="243">
        <v>38.087139999999998</v>
      </c>
      <c r="K1348" s="243">
        <v>10.496169999999999</v>
      </c>
      <c r="L1348" s="243">
        <v>27.590969999999999</v>
      </c>
    </row>
    <row r="1349" spans="1:12" ht="26.4" customHeight="1">
      <c r="A1349" s="288">
        <v>423</v>
      </c>
      <c r="B1349" s="523"/>
      <c r="C1349" s="288" t="s">
        <v>1210</v>
      </c>
      <c r="D1349" s="289" t="s">
        <v>1494</v>
      </c>
      <c r="E1349" s="289" t="s">
        <v>1256</v>
      </c>
      <c r="F1349" s="218">
        <v>11400</v>
      </c>
      <c r="G1349" s="237" t="s">
        <v>1569</v>
      </c>
      <c r="H1349" s="475" t="s">
        <v>1138</v>
      </c>
      <c r="I1349" s="478">
        <v>1</v>
      </c>
      <c r="J1349" s="243">
        <v>6.5781599999999996</v>
      </c>
      <c r="K1349" s="243">
        <v>2.9328699999999999</v>
      </c>
      <c r="L1349" s="243">
        <v>3.6452900000000001</v>
      </c>
    </row>
    <row r="1350" spans="1:12" ht="26.4" customHeight="1">
      <c r="A1350" s="288">
        <v>424</v>
      </c>
      <c r="B1350" s="523"/>
      <c r="C1350" s="288" t="s">
        <v>1210</v>
      </c>
      <c r="D1350" s="289" t="s">
        <v>1494</v>
      </c>
      <c r="E1350" s="289" t="s">
        <v>632</v>
      </c>
      <c r="F1350" s="218">
        <v>31040</v>
      </c>
      <c r="G1350" s="237" t="s">
        <v>1577</v>
      </c>
      <c r="H1350" s="475" t="s">
        <v>1138</v>
      </c>
      <c r="I1350" s="478">
        <v>1</v>
      </c>
      <c r="J1350" s="243">
        <v>16.690239999999999</v>
      </c>
      <c r="K1350" s="243">
        <v>4.9373399999999998</v>
      </c>
      <c r="L1350" s="243">
        <v>11.7529</v>
      </c>
    </row>
    <row r="1351" spans="1:12" ht="26.4" customHeight="1">
      <c r="A1351" s="288">
        <v>425</v>
      </c>
      <c r="B1351" s="523"/>
      <c r="C1351" s="288" t="s">
        <v>1210</v>
      </c>
      <c r="D1351" s="289" t="s">
        <v>1495</v>
      </c>
      <c r="E1351" s="289" t="s">
        <v>2238</v>
      </c>
      <c r="F1351" s="218">
        <v>15347</v>
      </c>
      <c r="G1351" s="237" t="s">
        <v>1552</v>
      </c>
      <c r="H1351" s="475" t="s">
        <v>1149</v>
      </c>
      <c r="I1351" s="207">
        <v>131.4</v>
      </c>
      <c r="J1351" s="243">
        <v>119.81229</v>
      </c>
      <c r="K1351" s="243">
        <v>119.81229</v>
      </c>
      <c r="L1351" s="278">
        <v>0</v>
      </c>
    </row>
    <row r="1352" spans="1:12" ht="26.4" customHeight="1">
      <c r="A1352" s="288">
        <v>426</v>
      </c>
      <c r="B1352" s="523"/>
      <c r="C1352" s="288" t="s">
        <v>1210</v>
      </c>
      <c r="D1352" s="289" t="s">
        <v>1496</v>
      </c>
      <c r="E1352" s="289" t="s">
        <v>922</v>
      </c>
      <c r="F1352" s="218">
        <v>29090</v>
      </c>
      <c r="G1352" s="237" t="s">
        <v>1541</v>
      </c>
      <c r="H1352" s="475" t="s">
        <v>1138</v>
      </c>
      <c r="I1352" s="478">
        <v>1</v>
      </c>
      <c r="J1352" s="243">
        <v>12.61276</v>
      </c>
      <c r="K1352" s="243">
        <v>5.6802900000000003</v>
      </c>
      <c r="L1352" s="243">
        <v>6.9324700000000004</v>
      </c>
    </row>
    <row r="1353" spans="1:12" ht="26.4" customHeight="1">
      <c r="A1353" s="288">
        <v>427</v>
      </c>
      <c r="B1353" s="523"/>
      <c r="C1353" s="288" t="s">
        <v>1210</v>
      </c>
      <c r="D1353" s="289" t="s">
        <v>1497</v>
      </c>
      <c r="E1353" s="289" t="s">
        <v>922</v>
      </c>
      <c r="F1353" s="218">
        <v>29091</v>
      </c>
      <c r="G1353" s="237" t="s">
        <v>1541</v>
      </c>
      <c r="H1353" s="475" t="s">
        <v>1138</v>
      </c>
      <c r="I1353" s="478">
        <v>1</v>
      </c>
      <c r="J1353" s="243">
        <v>24.382000000000001</v>
      </c>
      <c r="K1353" s="243">
        <v>10.980460000000001</v>
      </c>
      <c r="L1353" s="243">
        <v>13.401540000000001</v>
      </c>
    </row>
    <row r="1354" spans="1:12" ht="26.4" customHeight="1">
      <c r="A1354" s="288">
        <v>428</v>
      </c>
      <c r="B1354" s="523"/>
      <c r="C1354" s="288" t="s">
        <v>1210</v>
      </c>
      <c r="D1354" s="289" t="s">
        <v>2125</v>
      </c>
      <c r="E1354" s="289" t="s">
        <v>1933</v>
      </c>
      <c r="F1354" s="218">
        <v>29235</v>
      </c>
      <c r="G1354" s="237" t="s">
        <v>1541</v>
      </c>
      <c r="H1354" s="475" t="s">
        <v>1149</v>
      </c>
      <c r="I1354" s="207">
        <v>30.6</v>
      </c>
      <c r="J1354" s="243">
        <v>186.33528999999999</v>
      </c>
      <c r="K1354" s="243">
        <v>83.784090000000006</v>
      </c>
      <c r="L1354" s="243">
        <v>102.55119999999999</v>
      </c>
    </row>
    <row r="1355" spans="1:12" s="197" customFormat="1" ht="26.4" customHeight="1">
      <c r="A1355" s="208">
        <v>429</v>
      </c>
      <c r="B1355" s="523"/>
      <c r="C1355" s="208" t="s">
        <v>1210</v>
      </c>
      <c r="D1355" s="204" t="s">
        <v>2126</v>
      </c>
      <c r="E1355" s="204" t="s">
        <v>2239</v>
      </c>
      <c r="F1355" s="244">
        <v>41353</v>
      </c>
      <c r="G1355" s="245" t="s">
        <v>1537</v>
      </c>
      <c r="H1355" s="475" t="s">
        <v>1149</v>
      </c>
      <c r="I1355" s="247">
        <v>35.799999999999997</v>
      </c>
      <c r="J1355" s="243">
        <v>117.2325</v>
      </c>
      <c r="K1355" s="243">
        <v>29.418810000000001</v>
      </c>
      <c r="L1355" s="243">
        <v>87.813689999999994</v>
      </c>
    </row>
    <row r="1356" spans="1:12" ht="26.4" customHeight="1">
      <c r="A1356" s="288">
        <v>430</v>
      </c>
      <c r="B1356" s="523"/>
      <c r="C1356" s="288" t="s">
        <v>1210</v>
      </c>
      <c r="D1356" s="204" t="s">
        <v>2126</v>
      </c>
      <c r="E1356" s="289" t="s">
        <v>632</v>
      </c>
      <c r="F1356" s="218">
        <v>41354</v>
      </c>
      <c r="G1356" s="237" t="s">
        <v>1537</v>
      </c>
      <c r="H1356" s="475" t="s">
        <v>631</v>
      </c>
      <c r="I1356" s="478">
        <v>20</v>
      </c>
      <c r="J1356" s="243">
        <v>12</v>
      </c>
      <c r="K1356" s="243">
        <v>5.0668199999999999</v>
      </c>
      <c r="L1356" s="243">
        <v>6.9331800000000001</v>
      </c>
    </row>
    <row r="1357" spans="1:12" ht="26.4" customHeight="1">
      <c r="A1357" s="288">
        <v>431</v>
      </c>
      <c r="B1357" s="523"/>
      <c r="C1357" s="288" t="s">
        <v>1210</v>
      </c>
      <c r="D1357" s="204" t="s">
        <v>2126</v>
      </c>
      <c r="E1357" s="289" t="s">
        <v>632</v>
      </c>
      <c r="F1357" s="218">
        <v>41355</v>
      </c>
      <c r="G1357" s="237" t="s">
        <v>1537</v>
      </c>
      <c r="H1357" s="475" t="s">
        <v>631</v>
      </c>
      <c r="I1357" s="478">
        <v>20</v>
      </c>
      <c r="J1357" s="243">
        <v>12</v>
      </c>
      <c r="K1357" s="243">
        <v>5.0668199999999999</v>
      </c>
      <c r="L1357" s="243">
        <v>6.9331800000000001</v>
      </c>
    </row>
    <row r="1358" spans="1:12" ht="26.4" customHeight="1">
      <c r="A1358" s="288">
        <v>432</v>
      </c>
      <c r="B1358" s="523"/>
      <c r="C1358" s="288" t="s">
        <v>1210</v>
      </c>
      <c r="D1358" s="204" t="s">
        <v>2126</v>
      </c>
      <c r="E1358" s="289" t="s">
        <v>632</v>
      </c>
      <c r="F1358" s="218">
        <v>41356</v>
      </c>
      <c r="G1358" s="237" t="s">
        <v>1537</v>
      </c>
      <c r="H1358" s="475" t="s">
        <v>631</v>
      </c>
      <c r="I1358" s="478">
        <v>20</v>
      </c>
      <c r="J1358" s="243">
        <v>12</v>
      </c>
      <c r="K1358" s="243">
        <v>5.0668199999999999</v>
      </c>
      <c r="L1358" s="243">
        <v>6.9331800000000001</v>
      </c>
    </row>
    <row r="1359" spans="1:12" ht="26.4" customHeight="1">
      <c r="A1359" s="288">
        <v>433</v>
      </c>
      <c r="B1359" s="523"/>
      <c r="C1359" s="288" t="s">
        <v>1210</v>
      </c>
      <c r="D1359" s="204" t="s">
        <v>2126</v>
      </c>
      <c r="E1359" s="289" t="s">
        <v>1147</v>
      </c>
      <c r="F1359" s="218">
        <v>41357</v>
      </c>
      <c r="G1359" s="237" t="s">
        <v>1537</v>
      </c>
      <c r="H1359" s="475" t="s">
        <v>631</v>
      </c>
      <c r="I1359" s="478">
        <v>127.5</v>
      </c>
      <c r="J1359" s="243">
        <v>20</v>
      </c>
      <c r="K1359" s="243">
        <v>9.1110600000000002</v>
      </c>
      <c r="L1359" s="243">
        <v>10.88894</v>
      </c>
    </row>
    <row r="1360" spans="1:12" ht="26.4" customHeight="1">
      <c r="A1360" s="288">
        <v>434</v>
      </c>
      <c r="B1360" s="523"/>
      <c r="C1360" s="288" t="s">
        <v>1210</v>
      </c>
      <c r="D1360" s="204" t="s">
        <v>2126</v>
      </c>
      <c r="E1360" s="289" t="s">
        <v>1920</v>
      </c>
      <c r="F1360" s="218">
        <v>41432</v>
      </c>
      <c r="G1360" s="237" t="s">
        <v>1574</v>
      </c>
      <c r="H1360" s="475" t="s">
        <v>631</v>
      </c>
      <c r="I1360" s="478">
        <v>5.5</v>
      </c>
      <c r="J1360" s="243">
        <v>5.3036700000000003</v>
      </c>
      <c r="K1360" s="243">
        <v>0.61880000000000002</v>
      </c>
      <c r="L1360" s="243">
        <v>4.6848700000000001</v>
      </c>
    </row>
    <row r="1361" spans="1:12" ht="26.4" customHeight="1">
      <c r="A1361" s="288">
        <v>435</v>
      </c>
      <c r="B1361" s="523"/>
      <c r="C1361" s="288" t="s">
        <v>1210</v>
      </c>
      <c r="D1361" s="289" t="s">
        <v>1498</v>
      </c>
      <c r="E1361" s="289" t="s">
        <v>2240</v>
      </c>
      <c r="F1361" s="218">
        <v>41382</v>
      </c>
      <c r="G1361" s="237" t="s">
        <v>1537</v>
      </c>
      <c r="H1361" s="475" t="s">
        <v>1149</v>
      </c>
      <c r="I1361" s="207">
        <v>40.299999999999997</v>
      </c>
      <c r="J1361" s="243">
        <v>129.84124</v>
      </c>
      <c r="K1361" s="243">
        <v>129.84124</v>
      </c>
      <c r="L1361" s="243">
        <v>0</v>
      </c>
    </row>
    <row r="1362" spans="1:12" ht="26.4" customHeight="1">
      <c r="A1362" s="288">
        <v>436</v>
      </c>
      <c r="B1362" s="523"/>
      <c r="C1362" s="288" t="s">
        <v>1210</v>
      </c>
      <c r="D1362" s="289" t="s">
        <v>1499</v>
      </c>
      <c r="E1362" s="289" t="s">
        <v>632</v>
      </c>
      <c r="F1362" s="218">
        <v>41380</v>
      </c>
      <c r="G1362" s="237" t="s">
        <v>1537</v>
      </c>
      <c r="H1362" s="475" t="s">
        <v>1138</v>
      </c>
      <c r="I1362" s="478">
        <v>1</v>
      </c>
      <c r="J1362" s="243">
        <v>15</v>
      </c>
      <c r="K1362" s="243">
        <v>5.3331799999999996</v>
      </c>
      <c r="L1362" s="243">
        <v>9.6668199999999995</v>
      </c>
    </row>
    <row r="1363" spans="1:12" ht="26.4" customHeight="1">
      <c r="A1363" s="288">
        <v>437</v>
      </c>
      <c r="B1363" s="523"/>
      <c r="C1363" s="288" t="s">
        <v>1210</v>
      </c>
      <c r="D1363" s="289" t="s">
        <v>1498</v>
      </c>
      <c r="E1363" s="289" t="s">
        <v>1147</v>
      </c>
      <c r="F1363" s="218">
        <v>41381</v>
      </c>
      <c r="G1363" s="237" t="s">
        <v>1537</v>
      </c>
      <c r="H1363" s="475" t="s">
        <v>631</v>
      </c>
      <c r="I1363" s="478">
        <v>188</v>
      </c>
      <c r="J1363" s="243">
        <v>7</v>
      </c>
      <c r="K1363" s="243">
        <v>1.77318</v>
      </c>
      <c r="L1363" s="243">
        <v>5.22682</v>
      </c>
    </row>
    <row r="1364" spans="1:12" ht="26.4" customHeight="1">
      <c r="A1364" s="288">
        <v>438</v>
      </c>
      <c r="B1364" s="523"/>
      <c r="C1364" s="288" t="s">
        <v>1210</v>
      </c>
      <c r="D1364" s="289" t="s">
        <v>2127</v>
      </c>
      <c r="E1364" s="289" t="s">
        <v>782</v>
      </c>
      <c r="F1364" s="218">
        <v>280190</v>
      </c>
      <c r="G1364" s="237" t="s">
        <v>1581</v>
      </c>
      <c r="H1364" s="475" t="s">
        <v>1149</v>
      </c>
      <c r="I1364" s="207">
        <v>369.4</v>
      </c>
      <c r="J1364" s="243">
        <v>661.12571000000003</v>
      </c>
      <c r="K1364" s="243">
        <v>176.04301000000001</v>
      </c>
      <c r="L1364" s="243">
        <v>485.08269999999999</v>
      </c>
    </row>
    <row r="1365" spans="1:12" ht="26.4" customHeight="1">
      <c r="A1365" s="288">
        <v>439</v>
      </c>
      <c r="B1365" s="523"/>
      <c r="C1365" s="288" t="s">
        <v>1210</v>
      </c>
      <c r="D1365" s="289" t="s">
        <v>2127</v>
      </c>
      <c r="E1365" s="289" t="s">
        <v>1919</v>
      </c>
      <c r="F1365" s="218">
        <v>2074</v>
      </c>
      <c r="G1365" s="237" t="s">
        <v>1563</v>
      </c>
      <c r="H1365" s="475" t="s">
        <v>631</v>
      </c>
      <c r="I1365" s="478">
        <v>143.5</v>
      </c>
      <c r="J1365" s="243">
        <v>6.95688</v>
      </c>
      <c r="K1365" s="243">
        <v>6.95688</v>
      </c>
      <c r="L1365" s="243">
        <v>0</v>
      </c>
    </row>
    <row r="1366" spans="1:12" ht="26.4" customHeight="1">
      <c r="A1366" s="288">
        <v>440</v>
      </c>
      <c r="B1366" s="523"/>
      <c r="C1366" s="288" t="s">
        <v>1210</v>
      </c>
      <c r="D1366" s="289" t="s">
        <v>2127</v>
      </c>
      <c r="E1366" s="289" t="s">
        <v>1919</v>
      </c>
      <c r="F1366" s="218">
        <v>2075</v>
      </c>
      <c r="G1366" s="237" t="s">
        <v>1563</v>
      </c>
      <c r="H1366" s="475" t="s">
        <v>631</v>
      </c>
      <c r="I1366" s="478">
        <v>56</v>
      </c>
      <c r="J1366" s="243">
        <v>2.71488</v>
      </c>
      <c r="K1366" s="243">
        <v>2.71488</v>
      </c>
      <c r="L1366" s="243">
        <v>0</v>
      </c>
    </row>
    <row r="1367" spans="1:12" ht="26.4" customHeight="1">
      <c r="A1367" s="288">
        <v>441</v>
      </c>
      <c r="B1367" s="523"/>
      <c r="C1367" s="288" t="s">
        <v>1210</v>
      </c>
      <c r="D1367" s="289" t="s">
        <v>2127</v>
      </c>
      <c r="E1367" s="289" t="s">
        <v>1919</v>
      </c>
      <c r="F1367" s="218">
        <v>2076</v>
      </c>
      <c r="G1367" s="237" t="s">
        <v>1563</v>
      </c>
      <c r="H1367" s="475" t="s">
        <v>631</v>
      </c>
      <c r="I1367" s="478">
        <v>3</v>
      </c>
      <c r="J1367" s="243">
        <v>0.14544000000000001</v>
      </c>
      <c r="K1367" s="243">
        <v>0.14544000000000001</v>
      </c>
      <c r="L1367" s="243">
        <v>0</v>
      </c>
    </row>
    <row r="1368" spans="1:12" ht="26.4" customHeight="1">
      <c r="A1368" s="288">
        <v>442</v>
      </c>
      <c r="B1368" s="523"/>
      <c r="C1368" s="288" t="s">
        <v>1210</v>
      </c>
      <c r="D1368" s="289" t="s">
        <v>2127</v>
      </c>
      <c r="E1368" s="289" t="s">
        <v>1919</v>
      </c>
      <c r="F1368" s="218">
        <v>2077</v>
      </c>
      <c r="G1368" s="237" t="s">
        <v>1563</v>
      </c>
      <c r="H1368" s="475" t="s">
        <v>631</v>
      </c>
      <c r="I1368" s="478">
        <v>90</v>
      </c>
      <c r="J1368" s="243">
        <v>4.3632</v>
      </c>
      <c r="K1368" s="243">
        <v>4.3632</v>
      </c>
      <c r="L1368" s="243">
        <v>0</v>
      </c>
    </row>
    <row r="1369" spans="1:12" ht="26.4" customHeight="1">
      <c r="A1369" s="288">
        <v>443</v>
      </c>
      <c r="B1369" s="523"/>
      <c r="C1369" s="288" t="s">
        <v>1210</v>
      </c>
      <c r="D1369" s="289" t="s">
        <v>2127</v>
      </c>
      <c r="E1369" s="289" t="s">
        <v>1919</v>
      </c>
      <c r="F1369" s="218">
        <v>2078</v>
      </c>
      <c r="G1369" s="237" t="s">
        <v>1563</v>
      </c>
      <c r="H1369" s="475" t="s">
        <v>631</v>
      </c>
      <c r="I1369" s="478">
        <v>53.5</v>
      </c>
      <c r="J1369" s="243">
        <v>2.5451999999999999</v>
      </c>
      <c r="K1369" s="243">
        <v>2.5451999999999999</v>
      </c>
      <c r="L1369" s="243">
        <v>0</v>
      </c>
    </row>
    <row r="1370" spans="1:12" ht="26.4" customHeight="1">
      <c r="A1370" s="288">
        <v>444</v>
      </c>
      <c r="B1370" s="523"/>
      <c r="C1370" s="288" t="s">
        <v>1210</v>
      </c>
      <c r="D1370" s="289" t="s">
        <v>2127</v>
      </c>
      <c r="E1370" s="289" t="s">
        <v>1919</v>
      </c>
      <c r="F1370" s="218">
        <v>2079</v>
      </c>
      <c r="G1370" s="237" t="s">
        <v>1563</v>
      </c>
      <c r="H1370" s="475" t="s">
        <v>631</v>
      </c>
      <c r="I1370" s="478">
        <v>50.5</v>
      </c>
      <c r="J1370" s="243">
        <v>2.4482400000000002</v>
      </c>
      <c r="K1370" s="243">
        <v>2.4482400000000002</v>
      </c>
      <c r="L1370" s="243">
        <v>0</v>
      </c>
    </row>
    <row r="1371" spans="1:12" ht="26.4" customHeight="1">
      <c r="A1371" s="288">
        <v>445</v>
      </c>
      <c r="B1371" s="523"/>
      <c r="C1371" s="288" t="s">
        <v>1210</v>
      </c>
      <c r="D1371" s="289" t="s">
        <v>2127</v>
      </c>
      <c r="E1371" s="289" t="s">
        <v>1919</v>
      </c>
      <c r="F1371" s="218">
        <v>2080</v>
      </c>
      <c r="G1371" s="237" t="s">
        <v>1563</v>
      </c>
      <c r="H1371" s="475" t="s">
        <v>631</v>
      </c>
      <c r="I1371" s="478">
        <v>78.5</v>
      </c>
      <c r="J1371" s="243">
        <v>3.8056800000000002</v>
      </c>
      <c r="K1371" s="243">
        <v>3.8056800000000002</v>
      </c>
      <c r="L1371" s="243">
        <v>0</v>
      </c>
    </row>
    <row r="1372" spans="1:12" ht="26.4" customHeight="1">
      <c r="A1372" s="288">
        <v>446</v>
      </c>
      <c r="B1372" s="523"/>
      <c r="C1372" s="288" t="s">
        <v>1210</v>
      </c>
      <c r="D1372" s="289" t="s">
        <v>2127</v>
      </c>
      <c r="E1372" s="289" t="s">
        <v>1919</v>
      </c>
      <c r="F1372" s="218">
        <v>2081</v>
      </c>
      <c r="G1372" s="237" t="s">
        <v>1563</v>
      </c>
      <c r="H1372" s="475" t="s">
        <v>631</v>
      </c>
      <c r="I1372" s="478" t="s">
        <v>640</v>
      </c>
      <c r="J1372" s="243">
        <v>6.6660000000000004</v>
      </c>
      <c r="K1372" s="243">
        <v>6.6660000000000004</v>
      </c>
      <c r="L1372" s="243">
        <v>0</v>
      </c>
    </row>
    <row r="1373" spans="1:12" ht="26.4" customHeight="1">
      <c r="A1373" s="288">
        <v>447</v>
      </c>
      <c r="B1373" s="523"/>
      <c r="C1373" s="288" t="s">
        <v>1210</v>
      </c>
      <c r="D1373" s="289" t="s">
        <v>2127</v>
      </c>
      <c r="E1373" s="289" t="s">
        <v>1919</v>
      </c>
      <c r="F1373" s="218">
        <v>2082</v>
      </c>
      <c r="G1373" s="237" t="s">
        <v>1563</v>
      </c>
      <c r="H1373" s="475" t="s">
        <v>631</v>
      </c>
      <c r="I1373" s="478">
        <v>48</v>
      </c>
      <c r="J1373" s="243">
        <v>2.3270400000000002</v>
      </c>
      <c r="K1373" s="243">
        <v>2.3270400000000002</v>
      </c>
      <c r="L1373" s="243">
        <v>0</v>
      </c>
    </row>
    <row r="1374" spans="1:12" ht="26.4" customHeight="1">
      <c r="A1374" s="288">
        <v>448</v>
      </c>
      <c r="B1374" s="523"/>
      <c r="C1374" s="288" t="s">
        <v>1210</v>
      </c>
      <c r="D1374" s="289" t="s">
        <v>2127</v>
      </c>
      <c r="E1374" s="289" t="s">
        <v>1919</v>
      </c>
      <c r="F1374" s="218">
        <v>2083</v>
      </c>
      <c r="G1374" s="237" t="s">
        <v>1563</v>
      </c>
      <c r="H1374" s="475" t="s">
        <v>631</v>
      </c>
      <c r="I1374" s="478">
        <v>43</v>
      </c>
      <c r="J1374" s="243">
        <v>2.0846399999999998</v>
      </c>
      <c r="K1374" s="243">
        <v>2.0846399999999998</v>
      </c>
      <c r="L1374" s="243">
        <v>0</v>
      </c>
    </row>
    <row r="1375" spans="1:12" ht="26.4" customHeight="1">
      <c r="A1375" s="288">
        <v>449</v>
      </c>
      <c r="B1375" s="523"/>
      <c r="C1375" s="288" t="s">
        <v>1210</v>
      </c>
      <c r="D1375" s="289" t="s">
        <v>2127</v>
      </c>
      <c r="E1375" s="289" t="s">
        <v>1919</v>
      </c>
      <c r="F1375" s="218">
        <v>2084</v>
      </c>
      <c r="G1375" s="237" t="s">
        <v>1563</v>
      </c>
      <c r="H1375" s="475" t="s">
        <v>631</v>
      </c>
      <c r="I1375" s="478">
        <v>135</v>
      </c>
      <c r="J1375" s="243">
        <v>6.5448000000000004</v>
      </c>
      <c r="K1375" s="243">
        <v>6.5448000000000004</v>
      </c>
      <c r="L1375" s="243">
        <v>0</v>
      </c>
    </row>
    <row r="1376" spans="1:12" ht="26.4" customHeight="1">
      <c r="A1376" s="208">
        <v>450</v>
      </c>
      <c r="B1376" s="523"/>
      <c r="C1376" s="208" t="s">
        <v>1210</v>
      </c>
      <c r="D1376" s="289" t="s">
        <v>2127</v>
      </c>
      <c r="E1376" s="289" t="s">
        <v>1919</v>
      </c>
      <c r="F1376" s="244">
        <v>2085</v>
      </c>
      <c r="G1376" s="245" t="s">
        <v>1563</v>
      </c>
      <c r="H1376" s="262" t="s">
        <v>631</v>
      </c>
      <c r="I1376" s="204">
        <v>48</v>
      </c>
      <c r="J1376" s="243">
        <v>2.3270400000000002</v>
      </c>
      <c r="K1376" s="243">
        <v>2.3270400000000002</v>
      </c>
      <c r="L1376" s="243">
        <v>0</v>
      </c>
    </row>
    <row r="1377" spans="1:12" ht="26.4" customHeight="1">
      <c r="A1377" s="288">
        <v>451</v>
      </c>
      <c r="B1377" s="523"/>
      <c r="C1377" s="288" t="s">
        <v>1210</v>
      </c>
      <c r="D1377" s="289" t="s">
        <v>2127</v>
      </c>
      <c r="E1377" s="289" t="s">
        <v>1919</v>
      </c>
      <c r="F1377" s="218">
        <v>2086</v>
      </c>
      <c r="G1377" s="237" t="s">
        <v>1563</v>
      </c>
      <c r="H1377" s="475" t="s">
        <v>631</v>
      </c>
      <c r="I1377" s="478">
        <v>135.5</v>
      </c>
      <c r="J1377" s="243">
        <v>0.68562999999999996</v>
      </c>
      <c r="K1377" s="243">
        <v>0.68562999999999996</v>
      </c>
      <c r="L1377" s="243">
        <v>0</v>
      </c>
    </row>
    <row r="1378" spans="1:12" ht="26.4" customHeight="1">
      <c r="A1378" s="288">
        <v>452</v>
      </c>
      <c r="B1378" s="523"/>
      <c r="C1378" s="288" t="s">
        <v>1210</v>
      </c>
      <c r="D1378" s="289" t="s">
        <v>2127</v>
      </c>
      <c r="E1378" s="289" t="s">
        <v>1919</v>
      </c>
      <c r="F1378" s="218">
        <v>2087</v>
      </c>
      <c r="G1378" s="237" t="s">
        <v>1563</v>
      </c>
      <c r="H1378" s="475" t="s">
        <v>631</v>
      </c>
      <c r="I1378" s="478">
        <v>81</v>
      </c>
      <c r="J1378" s="243">
        <v>0.40986</v>
      </c>
      <c r="K1378" s="243">
        <v>0.40986</v>
      </c>
      <c r="L1378" s="243">
        <v>0</v>
      </c>
    </row>
    <row r="1379" spans="1:12" ht="26.4" customHeight="1">
      <c r="A1379" s="288">
        <v>453</v>
      </c>
      <c r="B1379" s="523"/>
      <c r="C1379" s="288" t="s">
        <v>1210</v>
      </c>
      <c r="D1379" s="289" t="s">
        <v>2127</v>
      </c>
      <c r="E1379" s="289" t="s">
        <v>1919</v>
      </c>
      <c r="F1379" s="218">
        <v>2088</v>
      </c>
      <c r="G1379" s="237" t="s">
        <v>1563</v>
      </c>
      <c r="H1379" s="475" t="s">
        <v>631</v>
      </c>
      <c r="I1379" s="478">
        <v>120</v>
      </c>
      <c r="J1379" s="243">
        <v>0.60719999999999996</v>
      </c>
      <c r="K1379" s="243">
        <v>0.60719999999999996</v>
      </c>
      <c r="L1379" s="243">
        <v>0</v>
      </c>
    </row>
    <row r="1380" spans="1:12" ht="26.4" customHeight="1">
      <c r="A1380" s="288">
        <v>454</v>
      </c>
      <c r="B1380" s="523"/>
      <c r="C1380" s="288" t="s">
        <v>1210</v>
      </c>
      <c r="D1380" s="289" t="s">
        <v>2127</v>
      </c>
      <c r="E1380" s="289" t="s">
        <v>1919</v>
      </c>
      <c r="F1380" s="218">
        <v>2089</v>
      </c>
      <c r="G1380" s="237" t="s">
        <v>1563</v>
      </c>
      <c r="H1380" s="475" t="s">
        <v>631</v>
      </c>
      <c r="I1380" s="478">
        <v>390.5</v>
      </c>
      <c r="J1380" s="243">
        <v>1.97593</v>
      </c>
      <c r="K1380" s="243">
        <v>1.97593</v>
      </c>
      <c r="L1380" s="243">
        <v>0</v>
      </c>
    </row>
    <row r="1381" spans="1:12" ht="26.4" customHeight="1">
      <c r="A1381" s="288">
        <v>455</v>
      </c>
      <c r="B1381" s="523"/>
      <c r="C1381" s="288" t="s">
        <v>1210</v>
      </c>
      <c r="D1381" s="289" t="s">
        <v>2127</v>
      </c>
      <c r="E1381" s="289" t="s">
        <v>1919</v>
      </c>
      <c r="F1381" s="218">
        <v>2090</v>
      </c>
      <c r="G1381" s="237" t="s">
        <v>1563</v>
      </c>
      <c r="H1381" s="475" t="s">
        <v>631</v>
      </c>
      <c r="I1381" s="478">
        <v>101</v>
      </c>
      <c r="J1381" s="243">
        <v>0.61206000000000005</v>
      </c>
      <c r="K1381" s="243">
        <v>0.61206000000000005</v>
      </c>
      <c r="L1381" s="243">
        <v>0</v>
      </c>
    </row>
    <row r="1382" spans="1:12" ht="26.4" customHeight="1">
      <c r="A1382" s="288">
        <v>456</v>
      </c>
      <c r="B1382" s="523"/>
      <c r="C1382" s="288" t="s">
        <v>1210</v>
      </c>
      <c r="D1382" s="289" t="s">
        <v>2127</v>
      </c>
      <c r="E1382" s="289" t="s">
        <v>1919</v>
      </c>
      <c r="F1382" s="218">
        <v>2091</v>
      </c>
      <c r="G1382" s="237" t="s">
        <v>1563</v>
      </c>
      <c r="H1382" s="475" t="s">
        <v>631</v>
      </c>
      <c r="I1382" s="478">
        <v>35</v>
      </c>
      <c r="J1382" s="243">
        <v>0.21210000000000001</v>
      </c>
      <c r="K1382" s="243">
        <v>0.21210000000000001</v>
      </c>
      <c r="L1382" s="243">
        <v>0</v>
      </c>
    </row>
    <row r="1383" spans="1:12" ht="26.4" customHeight="1">
      <c r="A1383" s="288">
        <v>457</v>
      </c>
      <c r="B1383" s="523"/>
      <c r="C1383" s="288" t="s">
        <v>1210</v>
      </c>
      <c r="D1383" s="289" t="s">
        <v>2127</v>
      </c>
      <c r="E1383" s="289" t="s">
        <v>1255</v>
      </c>
      <c r="F1383" s="218">
        <v>11186</v>
      </c>
      <c r="G1383" s="237" t="s">
        <v>1547</v>
      </c>
      <c r="H1383" s="475" t="s">
        <v>631</v>
      </c>
      <c r="I1383" s="478">
        <v>60</v>
      </c>
      <c r="J1383" s="243">
        <v>113.71535</v>
      </c>
      <c r="K1383" s="243">
        <v>24.954519999999999</v>
      </c>
      <c r="L1383" s="243">
        <v>88.760829999999999</v>
      </c>
    </row>
    <row r="1384" spans="1:12" ht="26.4" customHeight="1">
      <c r="A1384" s="288">
        <v>458</v>
      </c>
      <c r="B1384" s="523"/>
      <c r="C1384" s="288" t="s">
        <v>1210</v>
      </c>
      <c r="D1384" s="289" t="s">
        <v>2127</v>
      </c>
      <c r="E1384" s="289" t="s">
        <v>1255</v>
      </c>
      <c r="F1384" s="218">
        <v>14501</v>
      </c>
      <c r="G1384" s="237" t="s">
        <v>1567</v>
      </c>
      <c r="H1384" s="475" t="s">
        <v>631</v>
      </c>
      <c r="I1384" s="478">
        <v>244</v>
      </c>
      <c r="J1384" s="243">
        <v>256.2636</v>
      </c>
      <c r="K1384" s="243">
        <v>63.53172</v>
      </c>
      <c r="L1384" s="243">
        <v>192.73187999999999</v>
      </c>
    </row>
    <row r="1385" spans="1:12" ht="26.4" customHeight="1">
      <c r="A1385" s="288">
        <v>459</v>
      </c>
      <c r="B1385" s="523"/>
      <c r="C1385" s="288" t="s">
        <v>1210</v>
      </c>
      <c r="D1385" s="289" t="s">
        <v>2127</v>
      </c>
      <c r="E1385" s="289" t="s">
        <v>1919</v>
      </c>
      <c r="F1385" s="218">
        <v>28070</v>
      </c>
      <c r="G1385" s="237" t="s">
        <v>1563</v>
      </c>
      <c r="H1385" s="475" t="s">
        <v>631</v>
      </c>
      <c r="I1385" s="478">
        <v>43.3</v>
      </c>
      <c r="J1385" s="243">
        <v>2.1011500000000001</v>
      </c>
      <c r="K1385" s="243">
        <v>2.1011500000000001</v>
      </c>
      <c r="L1385" s="243">
        <v>0</v>
      </c>
    </row>
    <row r="1386" spans="1:12" ht="26.4" customHeight="1">
      <c r="A1386" s="288">
        <v>460</v>
      </c>
      <c r="B1386" s="523"/>
      <c r="C1386" s="288" t="s">
        <v>1210</v>
      </c>
      <c r="D1386" s="289" t="s">
        <v>2127</v>
      </c>
      <c r="E1386" s="289" t="s">
        <v>1919</v>
      </c>
      <c r="F1386" s="218">
        <v>28072</v>
      </c>
      <c r="G1386" s="237" t="s">
        <v>1563</v>
      </c>
      <c r="H1386" s="475" t="s">
        <v>631</v>
      </c>
      <c r="I1386" s="478">
        <v>7.5</v>
      </c>
      <c r="J1386" s="243">
        <v>3.9800000000000002E-2</v>
      </c>
      <c r="K1386" s="243">
        <v>3.9800000000000002E-2</v>
      </c>
      <c r="L1386" s="243">
        <v>0</v>
      </c>
    </row>
    <row r="1387" spans="1:12" ht="26.4" customHeight="1">
      <c r="A1387" s="288">
        <v>461</v>
      </c>
      <c r="B1387" s="523"/>
      <c r="C1387" s="288" t="s">
        <v>1210</v>
      </c>
      <c r="D1387" s="289" t="s">
        <v>2127</v>
      </c>
      <c r="E1387" s="289" t="s">
        <v>632</v>
      </c>
      <c r="F1387" s="218">
        <v>28073</v>
      </c>
      <c r="G1387" s="237" t="s">
        <v>1563</v>
      </c>
      <c r="H1387" s="475" t="s">
        <v>1138</v>
      </c>
      <c r="I1387" s="478">
        <v>1</v>
      </c>
      <c r="J1387" s="243">
        <v>1.2</v>
      </c>
      <c r="K1387" s="243">
        <v>0.47655999999999998</v>
      </c>
      <c r="L1387" s="243">
        <v>0.72343999999999997</v>
      </c>
    </row>
    <row r="1388" spans="1:12" ht="26.4" customHeight="1">
      <c r="A1388" s="288">
        <v>462</v>
      </c>
      <c r="B1388" s="523"/>
      <c r="C1388" s="288" t="s">
        <v>1210</v>
      </c>
      <c r="D1388" s="289" t="s">
        <v>2127</v>
      </c>
      <c r="E1388" s="289" t="s">
        <v>1919</v>
      </c>
      <c r="F1388" s="218">
        <v>28104</v>
      </c>
      <c r="G1388" s="237" t="s">
        <v>1563</v>
      </c>
      <c r="H1388" s="475" t="s">
        <v>631</v>
      </c>
      <c r="I1388" s="478">
        <v>64</v>
      </c>
      <c r="J1388" s="243">
        <v>0.38884000000000002</v>
      </c>
      <c r="K1388" s="243">
        <v>0.38884000000000002</v>
      </c>
      <c r="L1388" s="243">
        <v>0</v>
      </c>
    </row>
    <row r="1389" spans="1:12" ht="26.4" customHeight="1">
      <c r="A1389" s="288">
        <v>463</v>
      </c>
      <c r="B1389" s="523"/>
      <c r="C1389" s="288" t="s">
        <v>1210</v>
      </c>
      <c r="D1389" s="289" t="s">
        <v>2127</v>
      </c>
      <c r="E1389" s="289" t="s">
        <v>1255</v>
      </c>
      <c r="F1389" s="218">
        <v>28501</v>
      </c>
      <c r="G1389" s="237" t="s">
        <v>1576</v>
      </c>
      <c r="H1389" s="475" t="s">
        <v>631</v>
      </c>
      <c r="I1389" s="478">
        <v>77</v>
      </c>
      <c r="J1389" s="243">
        <v>47.908920000000002</v>
      </c>
      <c r="K1389" s="243">
        <v>20.161619999999999</v>
      </c>
      <c r="L1389" s="243">
        <v>27.747299999999999</v>
      </c>
    </row>
    <row r="1390" spans="1:12" ht="26.4" customHeight="1">
      <c r="A1390" s="288">
        <v>464</v>
      </c>
      <c r="B1390" s="523"/>
      <c r="C1390" s="288" t="s">
        <v>1210</v>
      </c>
      <c r="D1390" s="289" t="s">
        <v>2127</v>
      </c>
      <c r="E1390" s="289" t="s">
        <v>1919</v>
      </c>
      <c r="F1390" s="218">
        <v>41056</v>
      </c>
      <c r="G1390" s="237" t="s">
        <v>1577</v>
      </c>
      <c r="H1390" s="475" t="s">
        <v>631</v>
      </c>
      <c r="I1390" s="478">
        <v>25</v>
      </c>
      <c r="J1390" s="243">
        <v>56.4</v>
      </c>
      <c r="K1390" s="243">
        <v>12.407999999999999</v>
      </c>
      <c r="L1390" s="243">
        <v>43.991999999999997</v>
      </c>
    </row>
    <row r="1391" spans="1:12" ht="26.4" customHeight="1">
      <c r="A1391" s="288">
        <v>465</v>
      </c>
      <c r="B1391" s="523"/>
      <c r="C1391" s="288" t="s">
        <v>1210</v>
      </c>
      <c r="D1391" s="289" t="s">
        <v>2127</v>
      </c>
      <c r="E1391" s="289" t="s">
        <v>1919</v>
      </c>
      <c r="F1391" s="218">
        <v>41057</v>
      </c>
      <c r="G1391" s="237" t="s">
        <v>1577</v>
      </c>
      <c r="H1391" s="475" t="s">
        <v>631</v>
      </c>
      <c r="I1391" s="478">
        <v>21</v>
      </c>
      <c r="J1391" s="243">
        <v>44.563119999999998</v>
      </c>
      <c r="K1391" s="243">
        <v>9.8036399999999997</v>
      </c>
      <c r="L1391" s="243">
        <v>34.759480000000003</v>
      </c>
    </row>
    <row r="1392" spans="1:12" ht="26.4" customHeight="1">
      <c r="A1392" s="288">
        <v>466</v>
      </c>
      <c r="B1392" s="523"/>
      <c r="C1392" s="288" t="s">
        <v>1210</v>
      </c>
      <c r="D1392" s="289" t="s">
        <v>2127</v>
      </c>
      <c r="E1392" s="289" t="s">
        <v>1919</v>
      </c>
      <c r="F1392" s="218">
        <v>41189</v>
      </c>
      <c r="G1392" s="237" t="s">
        <v>1562</v>
      </c>
      <c r="H1392" s="475" t="s">
        <v>631</v>
      </c>
      <c r="I1392" s="478">
        <v>66.11</v>
      </c>
      <c r="J1392" s="243">
        <v>88.363990000000001</v>
      </c>
      <c r="K1392" s="243">
        <v>15.61115</v>
      </c>
      <c r="L1392" s="243">
        <v>72.752840000000006</v>
      </c>
    </row>
    <row r="1393" spans="1:12" ht="26.4" customHeight="1">
      <c r="A1393" s="288">
        <v>467</v>
      </c>
      <c r="B1393" s="523"/>
      <c r="C1393" s="288" t="s">
        <v>1210</v>
      </c>
      <c r="D1393" s="289" t="s">
        <v>2127</v>
      </c>
      <c r="E1393" s="289" t="s">
        <v>1919</v>
      </c>
      <c r="F1393" s="218">
        <v>41220</v>
      </c>
      <c r="G1393" s="237" t="s">
        <v>1562</v>
      </c>
      <c r="H1393" s="475" t="s">
        <v>631</v>
      </c>
      <c r="I1393" s="478">
        <v>29.5</v>
      </c>
      <c r="J1393" s="243">
        <v>26.050450000000001</v>
      </c>
      <c r="K1393" s="243">
        <v>4.4581499999999998</v>
      </c>
      <c r="L1393" s="243">
        <v>21.592300000000002</v>
      </c>
    </row>
    <row r="1394" spans="1:12" ht="26.4" customHeight="1">
      <c r="A1394" s="288">
        <v>468</v>
      </c>
      <c r="B1394" s="523"/>
      <c r="C1394" s="288" t="s">
        <v>1210</v>
      </c>
      <c r="D1394" s="289" t="s">
        <v>2127</v>
      </c>
      <c r="E1394" s="289" t="s">
        <v>1919</v>
      </c>
      <c r="F1394" s="218">
        <v>41241</v>
      </c>
      <c r="G1394" s="237" t="s">
        <v>1562</v>
      </c>
      <c r="H1394" s="475" t="s">
        <v>631</v>
      </c>
      <c r="I1394" s="478">
        <v>84</v>
      </c>
      <c r="J1394" s="243">
        <v>114.50022</v>
      </c>
      <c r="K1394" s="243">
        <v>17.421040000000001</v>
      </c>
      <c r="L1394" s="243">
        <v>97.079179999999994</v>
      </c>
    </row>
    <row r="1395" spans="1:12" ht="26.4" customHeight="1">
      <c r="A1395" s="288">
        <v>469</v>
      </c>
      <c r="B1395" s="523"/>
      <c r="C1395" s="288" t="s">
        <v>1210</v>
      </c>
      <c r="D1395" s="289" t="s">
        <v>2127</v>
      </c>
      <c r="E1395" s="289" t="s">
        <v>1255</v>
      </c>
      <c r="F1395" s="218">
        <v>41384</v>
      </c>
      <c r="G1395" s="237" t="s">
        <v>1537</v>
      </c>
      <c r="H1395" s="475" t="s">
        <v>631</v>
      </c>
      <c r="I1395" s="478">
        <v>70</v>
      </c>
      <c r="J1395" s="243">
        <v>0.98</v>
      </c>
      <c r="K1395" s="243">
        <v>0.98</v>
      </c>
      <c r="L1395" s="243">
        <v>0</v>
      </c>
    </row>
    <row r="1396" spans="1:12" ht="26.4" customHeight="1">
      <c r="A1396" s="288">
        <v>470</v>
      </c>
      <c r="B1396" s="523"/>
      <c r="C1396" s="288" t="s">
        <v>1210</v>
      </c>
      <c r="D1396" s="289" t="s">
        <v>2127</v>
      </c>
      <c r="E1396" s="289" t="s">
        <v>1255</v>
      </c>
      <c r="F1396" s="218">
        <v>50002</v>
      </c>
      <c r="G1396" s="237" t="s">
        <v>1576</v>
      </c>
      <c r="H1396" s="475" t="s">
        <v>631</v>
      </c>
      <c r="I1396" s="478">
        <v>58.5</v>
      </c>
      <c r="J1396" s="243">
        <v>24.250810000000001</v>
      </c>
      <c r="K1396" s="243">
        <v>10.3071</v>
      </c>
      <c r="L1396" s="243">
        <v>13.943709999999999</v>
      </c>
    </row>
    <row r="1397" spans="1:12" ht="26.4" customHeight="1">
      <c r="A1397" s="288">
        <v>471</v>
      </c>
      <c r="B1397" s="523"/>
      <c r="C1397" s="288" t="s">
        <v>1210</v>
      </c>
      <c r="D1397" s="289" t="s">
        <v>2127</v>
      </c>
      <c r="E1397" s="289" t="s">
        <v>1141</v>
      </c>
      <c r="F1397" s="218">
        <v>51410</v>
      </c>
      <c r="G1397" s="237" t="s">
        <v>1570</v>
      </c>
      <c r="H1397" s="475" t="s">
        <v>1138</v>
      </c>
      <c r="I1397" s="478">
        <v>1</v>
      </c>
      <c r="J1397" s="243">
        <v>3.5</v>
      </c>
      <c r="K1397" s="243">
        <v>1.3006899999999999</v>
      </c>
      <c r="L1397" s="243">
        <v>2.1993100000000001</v>
      </c>
    </row>
    <row r="1398" spans="1:12" ht="26.4" customHeight="1">
      <c r="A1398" s="288">
        <v>472</v>
      </c>
      <c r="B1398" s="523"/>
      <c r="C1398" s="288" t="s">
        <v>1210</v>
      </c>
      <c r="D1398" s="289" t="s">
        <v>2127</v>
      </c>
      <c r="E1398" s="289" t="s">
        <v>1255</v>
      </c>
      <c r="F1398" s="218">
        <v>51412</v>
      </c>
      <c r="G1398" s="237" t="s">
        <v>1569</v>
      </c>
      <c r="H1398" s="475" t="s">
        <v>631</v>
      </c>
      <c r="I1398" s="478">
        <v>450</v>
      </c>
      <c r="J1398" s="243">
        <v>400.17059999999998</v>
      </c>
      <c r="K1398" s="243">
        <v>142.72306</v>
      </c>
      <c r="L1398" s="243">
        <v>257.44754</v>
      </c>
    </row>
    <row r="1399" spans="1:12" ht="26.4" customHeight="1">
      <c r="A1399" s="288">
        <v>473</v>
      </c>
      <c r="B1399" s="523"/>
      <c r="C1399" s="288" t="s">
        <v>1210</v>
      </c>
      <c r="D1399" s="289" t="s">
        <v>2127</v>
      </c>
      <c r="E1399" s="289" t="s">
        <v>1255</v>
      </c>
      <c r="F1399" s="218">
        <v>51424</v>
      </c>
      <c r="G1399" s="237" t="s">
        <v>1576</v>
      </c>
      <c r="H1399" s="475" t="s">
        <v>631</v>
      </c>
      <c r="I1399" s="478">
        <v>534.04999999999995</v>
      </c>
      <c r="J1399" s="243">
        <v>1340.5366799999999</v>
      </c>
      <c r="K1399" s="243">
        <v>530.62914999999998</v>
      </c>
      <c r="L1399" s="243">
        <v>809.90752999999995</v>
      </c>
    </row>
    <row r="1400" spans="1:12" ht="26.4" customHeight="1">
      <c r="A1400" s="288">
        <v>474</v>
      </c>
      <c r="B1400" s="523"/>
      <c r="C1400" s="288" t="s">
        <v>1210</v>
      </c>
      <c r="D1400" s="289" t="s">
        <v>2127</v>
      </c>
      <c r="E1400" s="289" t="s">
        <v>1255</v>
      </c>
      <c r="F1400" s="218">
        <v>51426</v>
      </c>
      <c r="G1400" s="237" t="s">
        <v>1571</v>
      </c>
      <c r="H1400" s="475" t="s">
        <v>631</v>
      </c>
      <c r="I1400" s="478">
        <v>180.5</v>
      </c>
      <c r="J1400" s="243">
        <v>346.97492</v>
      </c>
      <c r="K1400" s="243">
        <v>82.894400000000005</v>
      </c>
      <c r="L1400" s="243">
        <v>264.08051999999998</v>
      </c>
    </row>
    <row r="1401" spans="1:12" ht="26.4" customHeight="1">
      <c r="A1401" s="288">
        <v>475</v>
      </c>
      <c r="B1401" s="523"/>
      <c r="C1401" s="288" t="s">
        <v>1210</v>
      </c>
      <c r="D1401" s="289" t="s">
        <v>2127</v>
      </c>
      <c r="E1401" s="289" t="s">
        <v>1255</v>
      </c>
      <c r="F1401" s="218">
        <v>51428</v>
      </c>
      <c r="G1401" s="237" t="s">
        <v>1571</v>
      </c>
      <c r="H1401" s="475" t="s">
        <v>631</v>
      </c>
      <c r="I1401" s="478">
        <v>8</v>
      </c>
      <c r="J1401" s="243">
        <v>28.492190000000001</v>
      </c>
      <c r="K1401" s="243">
        <v>6.8060400000000003</v>
      </c>
      <c r="L1401" s="243">
        <v>21.686150000000001</v>
      </c>
    </row>
    <row r="1402" spans="1:12" ht="26.4" customHeight="1">
      <c r="A1402" s="288">
        <v>476</v>
      </c>
      <c r="B1402" s="523"/>
      <c r="C1402" s="288" t="s">
        <v>1210</v>
      </c>
      <c r="D1402" s="289" t="s">
        <v>2127</v>
      </c>
      <c r="E1402" s="289" t="s">
        <v>1255</v>
      </c>
      <c r="F1402" s="218">
        <v>51429</v>
      </c>
      <c r="G1402" s="237" t="s">
        <v>1571</v>
      </c>
      <c r="H1402" s="475" t="s">
        <v>631</v>
      </c>
      <c r="I1402" s="478">
        <v>18</v>
      </c>
      <c r="J1402" s="243">
        <v>56.698180000000001</v>
      </c>
      <c r="K1402" s="243">
        <v>13.544140000000001</v>
      </c>
      <c r="L1402" s="243">
        <v>43.154040000000002</v>
      </c>
    </row>
    <row r="1403" spans="1:12" ht="26.4" customHeight="1">
      <c r="A1403" s="288">
        <v>477</v>
      </c>
      <c r="B1403" s="523"/>
      <c r="C1403" s="288" t="s">
        <v>1210</v>
      </c>
      <c r="D1403" s="289" t="s">
        <v>2127</v>
      </c>
      <c r="E1403" s="289" t="s">
        <v>1255</v>
      </c>
      <c r="F1403" s="218">
        <v>51430</v>
      </c>
      <c r="G1403" s="237" t="s">
        <v>1571</v>
      </c>
      <c r="H1403" s="475" t="s">
        <v>631</v>
      </c>
      <c r="I1403" s="478">
        <v>222.25</v>
      </c>
      <c r="J1403" s="243">
        <v>606.93070999999998</v>
      </c>
      <c r="K1403" s="243">
        <v>144.98912000000001</v>
      </c>
      <c r="L1403" s="243">
        <v>461.94159000000002</v>
      </c>
    </row>
    <row r="1404" spans="1:12" ht="26.4" customHeight="1">
      <c r="A1404" s="288">
        <v>478</v>
      </c>
      <c r="B1404" s="523"/>
      <c r="C1404" s="288" t="s">
        <v>1210</v>
      </c>
      <c r="D1404" s="289" t="s">
        <v>2127</v>
      </c>
      <c r="E1404" s="289" t="s">
        <v>1255</v>
      </c>
      <c r="F1404" s="218">
        <v>51435</v>
      </c>
      <c r="G1404" s="237" t="s">
        <v>1571</v>
      </c>
      <c r="H1404" s="475" t="s">
        <v>631</v>
      </c>
      <c r="I1404" s="220">
        <v>7.75</v>
      </c>
      <c r="J1404" s="243">
        <v>12.784179999999999</v>
      </c>
      <c r="K1404" s="243">
        <v>3.0680399999999999</v>
      </c>
      <c r="L1404" s="243">
        <v>9.7161399999999993</v>
      </c>
    </row>
    <row r="1405" spans="1:12" ht="26.4" customHeight="1">
      <c r="A1405" s="288">
        <v>479</v>
      </c>
      <c r="B1405" s="523"/>
      <c r="C1405" s="288" t="s">
        <v>1210</v>
      </c>
      <c r="D1405" s="289" t="s">
        <v>2128</v>
      </c>
      <c r="E1405" s="289" t="s">
        <v>2241</v>
      </c>
      <c r="F1405" s="218">
        <v>24001</v>
      </c>
      <c r="G1405" s="237" t="s">
        <v>1555</v>
      </c>
      <c r="H1405" s="475" t="s">
        <v>1149</v>
      </c>
      <c r="I1405" s="207">
        <v>608.20000000000005</v>
      </c>
      <c r="J1405" s="243">
        <v>1602.45928</v>
      </c>
      <c r="K1405" s="243">
        <v>646.54791999999998</v>
      </c>
      <c r="L1405" s="243">
        <v>955.91135999999995</v>
      </c>
    </row>
    <row r="1406" spans="1:12" ht="26.4" customHeight="1">
      <c r="A1406" s="288">
        <v>480</v>
      </c>
      <c r="B1406" s="523"/>
      <c r="C1406" s="288" t="s">
        <v>1210</v>
      </c>
      <c r="D1406" s="289" t="s">
        <v>2128</v>
      </c>
      <c r="E1406" s="289" t="s">
        <v>1931</v>
      </c>
      <c r="F1406" s="218">
        <v>2113</v>
      </c>
      <c r="G1406" s="237" t="s">
        <v>1557</v>
      </c>
      <c r="H1406" s="475" t="s">
        <v>631</v>
      </c>
      <c r="I1406" s="478">
        <v>110</v>
      </c>
      <c r="J1406" s="243">
        <v>9.6997999999999998</v>
      </c>
      <c r="K1406" s="243">
        <v>7.7037199999999997</v>
      </c>
      <c r="L1406" s="243">
        <v>1.9960800000000001</v>
      </c>
    </row>
    <row r="1407" spans="1:12" ht="26.4" customHeight="1">
      <c r="A1407" s="288">
        <v>481</v>
      </c>
      <c r="B1407" s="523"/>
      <c r="C1407" s="288" t="s">
        <v>1210</v>
      </c>
      <c r="D1407" s="289" t="s">
        <v>2128</v>
      </c>
      <c r="E1407" s="289" t="s">
        <v>1931</v>
      </c>
      <c r="F1407" s="218">
        <v>2114</v>
      </c>
      <c r="G1407" s="237" t="s">
        <v>1557</v>
      </c>
      <c r="H1407" s="475" t="s">
        <v>631</v>
      </c>
      <c r="I1407" s="478">
        <v>84</v>
      </c>
      <c r="J1407" s="243">
        <v>7.4071199999999999</v>
      </c>
      <c r="K1407" s="243">
        <v>5.8828100000000001</v>
      </c>
      <c r="L1407" s="243">
        <v>1.5243100000000001</v>
      </c>
    </row>
    <row r="1408" spans="1:12" ht="26.4" customHeight="1">
      <c r="A1408" s="288">
        <v>482</v>
      </c>
      <c r="B1408" s="523"/>
      <c r="C1408" s="288" t="s">
        <v>1210</v>
      </c>
      <c r="D1408" s="289" t="s">
        <v>2128</v>
      </c>
      <c r="E1408" s="289" t="s">
        <v>1931</v>
      </c>
      <c r="F1408" s="218">
        <v>2115</v>
      </c>
      <c r="G1408" s="237" t="s">
        <v>1557</v>
      </c>
      <c r="H1408" s="475" t="s">
        <v>631</v>
      </c>
      <c r="I1408" s="478">
        <v>107</v>
      </c>
      <c r="J1408" s="243">
        <v>9.4352599999999995</v>
      </c>
      <c r="K1408" s="243">
        <v>7.4936299999999996</v>
      </c>
      <c r="L1408" s="243">
        <v>1.94163</v>
      </c>
    </row>
    <row r="1409" spans="1:12" ht="26.4" customHeight="1">
      <c r="A1409" s="288">
        <v>483</v>
      </c>
      <c r="B1409" s="523"/>
      <c r="C1409" s="288" t="s">
        <v>1210</v>
      </c>
      <c r="D1409" s="289" t="s">
        <v>2128</v>
      </c>
      <c r="E1409" s="289" t="s">
        <v>1931</v>
      </c>
      <c r="F1409" s="218">
        <v>2116</v>
      </c>
      <c r="G1409" s="237" t="s">
        <v>1555</v>
      </c>
      <c r="H1409" s="475" t="s">
        <v>631</v>
      </c>
      <c r="I1409" s="478">
        <v>70</v>
      </c>
      <c r="J1409" s="243">
        <v>27.3154</v>
      </c>
      <c r="K1409" s="243">
        <v>27.3154</v>
      </c>
      <c r="L1409" s="243">
        <v>0</v>
      </c>
    </row>
    <row r="1410" spans="1:12" ht="26.4" customHeight="1">
      <c r="A1410" s="288">
        <v>484</v>
      </c>
      <c r="B1410" s="523"/>
      <c r="C1410" s="288" t="s">
        <v>1210</v>
      </c>
      <c r="D1410" s="289" t="s">
        <v>2128</v>
      </c>
      <c r="E1410" s="289" t="s">
        <v>1931</v>
      </c>
      <c r="F1410" s="218">
        <v>2117</v>
      </c>
      <c r="G1410" s="237" t="s">
        <v>1555</v>
      </c>
      <c r="H1410" s="475" t="s">
        <v>631</v>
      </c>
      <c r="I1410" s="478">
        <v>19</v>
      </c>
      <c r="J1410" s="243">
        <v>7.41418</v>
      </c>
      <c r="K1410" s="243">
        <v>7.41418</v>
      </c>
      <c r="L1410" s="243">
        <v>0</v>
      </c>
    </row>
    <row r="1411" spans="1:12" ht="26.4" customHeight="1">
      <c r="A1411" s="288">
        <v>485</v>
      </c>
      <c r="B1411" s="523"/>
      <c r="C1411" s="288" t="s">
        <v>1210</v>
      </c>
      <c r="D1411" s="289" t="s">
        <v>2128</v>
      </c>
      <c r="E1411" s="289" t="s">
        <v>1931</v>
      </c>
      <c r="F1411" s="218">
        <v>2118</v>
      </c>
      <c r="G1411" s="237" t="s">
        <v>1555</v>
      </c>
      <c r="H1411" s="475" t="s">
        <v>631</v>
      </c>
      <c r="I1411" s="478">
        <v>340</v>
      </c>
      <c r="J1411" s="243">
        <v>132.6748</v>
      </c>
      <c r="K1411" s="243">
        <v>132.6748</v>
      </c>
      <c r="L1411" s="243">
        <v>0</v>
      </c>
    </row>
    <row r="1412" spans="1:12" ht="26.4" customHeight="1">
      <c r="A1412" s="288">
        <v>486</v>
      </c>
      <c r="B1412" s="523"/>
      <c r="C1412" s="288" t="s">
        <v>1210</v>
      </c>
      <c r="D1412" s="289" t="s">
        <v>2128</v>
      </c>
      <c r="E1412" s="289" t="s">
        <v>1931</v>
      </c>
      <c r="F1412" s="218">
        <v>2119</v>
      </c>
      <c r="G1412" s="237" t="s">
        <v>1555</v>
      </c>
      <c r="H1412" s="475" t="s">
        <v>631</v>
      </c>
      <c r="I1412" s="478">
        <v>222</v>
      </c>
      <c r="J1412" s="243">
        <v>86.628839999999997</v>
      </c>
      <c r="K1412" s="243">
        <v>86.628839999999997</v>
      </c>
      <c r="L1412" s="243">
        <v>0</v>
      </c>
    </row>
    <row r="1413" spans="1:12" ht="26.4" customHeight="1">
      <c r="A1413" s="288">
        <v>487</v>
      </c>
      <c r="B1413" s="523"/>
      <c r="C1413" s="288" t="s">
        <v>1210</v>
      </c>
      <c r="D1413" s="289" t="s">
        <v>2128</v>
      </c>
      <c r="E1413" s="289" t="s">
        <v>1931</v>
      </c>
      <c r="F1413" s="218">
        <v>2120</v>
      </c>
      <c r="G1413" s="237" t="s">
        <v>1555</v>
      </c>
      <c r="H1413" s="475" t="s">
        <v>631</v>
      </c>
      <c r="I1413" s="478">
        <v>112</v>
      </c>
      <c r="J1413" s="243">
        <v>43.704639999999998</v>
      </c>
      <c r="K1413" s="243">
        <v>43.704639999999998</v>
      </c>
      <c r="L1413" s="243">
        <v>0</v>
      </c>
    </row>
    <row r="1414" spans="1:12" ht="26.4" customHeight="1">
      <c r="A1414" s="288">
        <v>488</v>
      </c>
      <c r="B1414" s="523"/>
      <c r="C1414" s="288" t="s">
        <v>1210</v>
      </c>
      <c r="D1414" s="289" t="s">
        <v>2128</v>
      </c>
      <c r="E1414" s="289" t="s">
        <v>1931</v>
      </c>
      <c r="F1414" s="218">
        <v>2121</v>
      </c>
      <c r="G1414" s="237" t="s">
        <v>1555</v>
      </c>
      <c r="H1414" s="475" t="s">
        <v>631</v>
      </c>
      <c r="I1414" s="478">
        <v>66</v>
      </c>
      <c r="J1414" s="243">
        <v>25.754519999999999</v>
      </c>
      <c r="K1414" s="243">
        <v>25.754519999999999</v>
      </c>
      <c r="L1414" s="243">
        <v>0</v>
      </c>
    </row>
    <row r="1415" spans="1:12" ht="26.4" customHeight="1">
      <c r="A1415" s="288">
        <v>489</v>
      </c>
      <c r="B1415" s="523"/>
      <c r="C1415" s="288" t="s">
        <v>1210</v>
      </c>
      <c r="D1415" s="289" t="s">
        <v>2128</v>
      </c>
      <c r="E1415" s="289" t="s">
        <v>1931</v>
      </c>
      <c r="F1415" s="218">
        <v>2122</v>
      </c>
      <c r="G1415" s="237" t="s">
        <v>1555</v>
      </c>
      <c r="H1415" s="475" t="s">
        <v>631</v>
      </c>
      <c r="I1415" s="478">
        <v>194</v>
      </c>
      <c r="J1415" s="243">
        <v>75.702680000000001</v>
      </c>
      <c r="K1415" s="243">
        <v>75.702680000000001</v>
      </c>
      <c r="L1415" s="243">
        <v>0</v>
      </c>
    </row>
    <row r="1416" spans="1:12" ht="26.4" customHeight="1">
      <c r="A1416" s="288">
        <v>490</v>
      </c>
      <c r="B1416" s="523"/>
      <c r="C1416" s="288" t="s">
        <v>1210</v>
      </c>
      <c r="D1416" s="289" t="s">
        <v>2128</v>
      </c>
      <c r="E1416" s="289" t="s">
        <v>1931</v>
      </c>
      <c r="F1416" s="218">
        <v>2123</v>
      </c>
      <c r="G1416" s="237" t="s">
        <v>1563</v>
      </c>
      <c r="H1416" s="475" t="s">
        <v>631</v>
      </c>
      <c r="I1416" s="478">
        <v>558</v>
      </c>
      <c r="J1416" s="243">
        <v>1.4954400000000001</v>
      </c>
      <c r="K1416" s="243">
        <v>1.3257099999999999</v>
      </c>
      <c r="L1416" s="243">
        <v>0.16972999999999999</v>
      </c>
    </row>
    <row r="1417" spans="1:12" ht="26.4" customHeight="1">
      <c r="A1417" s="288">
        <v>491</v>
      </c>
      <c r="B1417" s="523"/>
      <c r="C1417" s="288" t="s">
        <v>1210</v>
      </c>
      <c r="D1417" s="289" t="s">
        <v>2128</v>
      </c>
      <c r="E1417" s="289" t="s">
        <v>1931</v>
      </c>
      <c r="F1417" s="218">
        <v>2124</v>
      </c>
      <c r="G1417" s="237" t="s">
        <v>1563</v>
      </c>
      <c r="H1417" s="475" t="s">
        <v>631</v>
      </c>
      <c r="I1417" s="478">
        <v>346</v>
      </c>
      <c r="J1417" s="243">
        <v>0.92727999999999999</v>
      </c>
      <c r="K1417" s="243">
        <v>0.82203000000000004</v>
      </c>
      <c r="L1417" s="243">
        <v>0.10525</v>
      </c>
    </row>
    <row r="1418" spans="1:12" s="197" customFormat="1" ht="26.4" customHeight="1">
      <c r="A1418" s="208">
        <v>492</v>
      </c>
      <c r="B1418" s="523"/>
      <c r="C1418" s="208" t="s">
        <v>1210</v>
      </c>
      <c r="D1418" s="204" t="s">
        <v>2129</v>
      </c>
      <c r="E1418" s="204" t="s">
        <v>2300</v>
      </c>
      <c r="F1418" s="244">
        <v>14539</v>
      </c>
      <c r="G1418" s="245" t="s">
        <v>1557</v>
      </c>
      <c r="H1418" s="262" t="s">
        <v>1149</v>
      </c>
      <c r="I1418" s="247">
        <v>274.39999999999998</v>
      </c>
      <c r="J1418" s="243">
        <v>180.56729000000001</v>
      </c>
      <c r="K1418" s="243">
        <v>95.534580000000005</v>
      </c>
      <c r="L1418" s="243">
        <v>85.032709999999994</v>
      </c>
    </row>
    <row r="1419" spans="1:12" ht="26.4" customHeight="1">
      <c r="A1419" s="288">
        <v>493</v>
      </c>
      <c r="B1419" s="523"/>
      <c r="C1419" s="288" t="s">
        <v>1210</v>
      </c>
      <c r="D1419" s="289" t="s">
        <v>2495</v>
      </c>
      <c r="E1419" s="289" t="s">
        <v>1919</v>
      </c>
      <c r="F1419" s="218">
        <v>14561</v>
      </c>
      <c r="G1419" s="237" t="s">
        <v>1557</v>
      </c>
      <c r="H1419" s="475" t="s">
        <v>631</v>
      </c>
      <c r="I1419" s="478">
        <v>276.89</v>
      </c>
      <c r="J1419" s="243">
        <v>24.417470000000002</v>
      </c>
      <c r="K1419" s="243">
        <v>19.392659999999999</v>
      </c>
      <c r="L1419" s="243">
        <v>5.0248100000000004</v>
      </c>
    </row>
    <row r="1420" spans="1:12" ht="26.4" customHeight="1">
      <c r="A1420" s="288">
        <v>494</v>
      </c>
      <c r="B1420" s="523"/>
      <c r="C1420" s="288" t="s">
        <v>1210</v>
      </c>
      <c r="D1420" s="289" t="s">
        <v>2130</v>
      </c>
      <c r="E1420" s="289" t="s">
        <v>1925</v>
      </c>
      <c r="F1420" s="218">
        <v>14562</v>
      </c>
      <c r="G1420" s="237" t="s">
        <v>1557</v>
      </c>
      <c r="H1420" s="475" t="s">
        <v>1149</v>
      </c>
      <c r="I1420" s="207">
        <v>9.1999999999999993</v>
      </c>
      <c r="J1420" s="243">
        <v>14.35229</v>
      </c>
      <c r="K1420" s="243">
        <v>11.09196</v>
      </c>
      <c r="L1420" s="243">
        <v>3.2603300000000002</v>
      </c>
    </row>
    <row r="1421" spans="1:12" ht="26.4" customHeight="1">
      <c r="A1421" s="288">
        <v>495</v>
      </c>
      <c r="B1421" s="523"/>
      <c r="C1421" s="288" t="s">
        <v>1210</v>
      </c>
      <c r="D1421" s="289" t="s">
        <v>2131</v>
      </c>
      <c r="E1421" s="289" t="s">
        <v>2301</v>
      </c>
      <c r="F1421" s="218">
        <v>14565</v>
      </c>
      <c r="G1421" s="237" t="s">
        <v>1564</v>
      </c>
      <c r="H1421" s="475" t="s">
        <v>1149</v>
      </c>
      <c r="I1421" s="207">
        <v>298.3</v>
      </c>
      <c r="J1421" s="243">
        <v>98.717770000000002</v>
      </c>
      <c r="K1421" s="243">
        <v>54.50403</v>
      </c>
      <c r="L1421" s="243">
        <v>44.213740000000001</v>
      </c>
    </row>
    <row r="1422" spans="1:12" ht="26.4" customHeight="1">
      <c r="A1422" s="288">
        <v>496</v>
      </c>
      <c r="B1422" s="523"/>
      <c r="C1422" s="288" t="s">
        <v>1210</v>
      </c>
      <c r="D1422" s="289" t="s">
        <v>2128</v>
      </c>
      <c r="E1422" s="289" t="s">
        <v>1919</v>
      </c>
      <c r="F1422" s="218">
        <v>23666</v>
      </c>
      <c r="G1422" s="237" t="s">
        <v>1555</v>
      </c>
      <c r="H1422" s="475" t="s">
        <v>631</v>
      </c>
      <c r="I1422" s="478">
        <v>11</v>
      </c>
      <c r="J1422" s="243">
        <v>4.3009399999999998</v>
      </c>
      <c r="K1422" s="243">
        <v>4.3009399999999998</v>
      </c>
      <c r="L1422" s="243">
        <v>0</v>
      </c>
    </row>
    <row r="1423" spans="1:12" ht="26.4" customHeight="1">
      <c r="A1423" s="288">
        <v>497</v>
      </c>
      <c r="B1423" s="523"/>
      <c r="C1423" s="288" t="s">
        <v>1210</v>
      </c>
      <c r="D1423" s="289" t="s">
        <v>2128</v>
      </c>
      <c r="E1423" s="289" t="s">
        <v>639</v>
      </c>
      <c r="F1423" s="218">
        <v>24002</v>
      </c>
      <c r="G1423" s="237" t="s">
        <v>1555</v>
      </c>
      <c r="H1423" s="475" t="s">
        <v>1138</v>
      </c>
      <c r="I1423" s="478">
        <v>1</v>
      </c>
      <c r="J1423" s="243">
        <v>20</v>
      </c>
      <c r="K1423" s="243">
        <v>8.8647200000000002</v>
      </c>
      <c r="L1423" s="243">
        <v>11.13528</v>
      </c>
    </row>
    <row r="1424" spans="1:12" ht="26.4" customHeight="1">
      <c r="A1424" s="288">
        <v>498</v>
      </c>
      <c r="B1424" s="523"/>
      <c r="C1424" s="288" t="s">
        <v>1210</v>
      </c>
      <c r="D1424" s="289" t="s">
        <v>2128</v>
      </c>
      <c r="E1424" s="289" t="s">
        <v>1141</v>
      </c>
      <c r="F1424" s="218">
        <v>24003</v>
      </c>
      <c r="G1424" s="237" t="s">
        <v>1555</v>
      </c>
      <c r="H1424" s="475" t="s">
        <v>1138</v>
      </c>
      <c r="I1424" s="478">
        <v>1</v>
      </c>
      <c r="J1424" s="243">
        <v>56.595999999999997</v>
      </c>
      <c r="K1424" s="243">
        <v>25.08541</v>
      </c>
      <c r="L1424" s="243">
        <v>31.510590000000001</v>
      </c>
    </row>
    <row r="1425" spans="1:12" ht="26.4" customHeight="1">
      <c r="A1425" s="288">
        <v>499</v>
      </c>
      <c r="B1425" s="523"/>
      <c r="C1425" s="288" t="s">
        <v>1210</v>
      </c>
      <c r="D1425" s="289" t="s">
        <v>2128</v>
      </c>
      <c r="E1425" s="289" t="s">
        <v>1927</v>
      </c>
      <c r="F1425" s="218">
        <v>28099</v>
      </c>
      <c r="G1425" s="237" t="s">
        <v>1563</v>
      </c>
      <c r="H1425" s="475" t="s">
        <v>631</v>
      </c>
      <c r="I1425" s="478">
        <v>106</v>
      </c>
      <c r="J1425" s="243">
        <v>0.29148000000000002</v>
      </c>
      <c r="K1425" s="243">
        <v>0.25835999999999998</v>
      </c>
      <c r="L1425" s="243">
        <v>3.3119999999999997E-2</v>
      </c>
    </row>
    <row r="1426" spans="1:12" ht="26.4" customHeight="1">
      <c r="A1426" s="288">
        <v>500</v>
      </c>
      <c r="B1426" s="523"/>
      <c r="C1426" s="288" t="s">
        <v>1210</v>
      </c>
      <c r="D1426" s="289" t="s">
        <v>2128</v>
      </c>
      <c r="E1426" s="289" t="s">
        <v>2353</v>
      </c>
      <c r="F1426" s="218">
        <v>29480</v>
      </c>
      <c r="G1426" s="237" t="s">
        <v>1564</v>
      </c>
      <c r="H1426" s="475" t="s">
        <v>1138</v>
      </c>
      <c r="I1426" s="478">
        <v>1</v>
      </c>
      <c r="J1426" s="243">
        <v>55.851460000000003</v>
      </c>
      <c r="K1426" s="243">
        <v>31.33511</v>
      </c>
      <c r="L1426" s="243">
        <v>24.516349999999999</v>
      </c>
    </row>
    <row r="1427" spans="1:12" ht="26.4" customHeight="1">
      <c r="A1427" s="288">
        <v>501</v>
      </c>
      <c r="B1427" s="523"/>
      <c r="C1427" s="288" t="s">
        <v>1210</v>
      </c>
      <c r="D1427" s="289" t="s">
        <v>2128</v>
      </c>
      <c r="E1427" s="289" t="s">
        <v>1919</v>
      </c>
      <c r="F1427" s="218">
        <v>31037</v>
      </c>
      <c r="G1427" s="237" t="s">
        <v>1577</v>
      </c>
      <c r="H1427" s="475" t="s">
        <v>631</v>
      </c>
      <c r="I1427" s="478">
        <v>48.9</v>
      </c>
      <c r="J1427" s="243">
        <v>93.202070000000006</v>
      </c>
      <c r="K1427" s="243">
        <v>18.38119</v>
      </c>
      <c r="L1427" s="243">
        <v>74.820880000000002</v>
      </c>
    </row>
    <row r="1428" spans="1:12" ht="26.4" customHeight="1">
      <c r="A1428" s="288">
        <v>502</v>
      </c>
      <c r="B1428" s="523"/>
      <c r="C1428" s="288" t="s">
        <v>1210</v>
      </c>
      <c r="D1428" s="289" t="s">
        <v>2128</v>
      </c>
      <c r="E1428" s="289" t="s">
        <v>1919</v>
      </c>
      <c r="F1428" s="218">
        <v>41218</v>
      </c>
      <c r="G1428" s="237" t="s">
        <v>1562</v>
      </c>
      <c r="H1428" s="475" t="s">
        <v>631</v>
      </c>
      <c r="I1428" s="478">
        <v>124.86</v>
      </c>
      <c r="J1428" s="243">
        <v>111.68105</v>
      </c>
      <c r="K1428" s="243">
        <v>18.909569999999999</v>
      </c>
      <c r="L1428" s="243">
        <v>92.771479999999997</v>
      </c>
    </row>
    <row r="1429" spans="1:12" ht="26.4" customHeight="1">
      <c r="A1429" s="288">
        <v>503</v>
      </c>
      <c r="B1429" s="523"/>
      <c r="C1429" s="288" t="s">
        <v>1210</v>
      </c>
      <c r="D1429" s="289" t="s">
        <v>2128</v>
      </c>
      <c r="E1429" s="289" t="s">
        <v>1264</v>
      </c>
      <c r="F1429" s="218">
        <v>41511</v>
      </c>
      <c r="G1429" s="237" t="s">
        <v>1574</v>
      </c>
      <c r="H1429" s="475" t="s">
        <v>1138</v>
      </c>
      <c r="I1429" s="478">
        <v>1</v>
      </c>
      <c r="J1429" s="243">
        <v>15.67637</v>
      </c>
      <c r="K1429" s="243">
        <v>3.1353599999999999</v>
      </c>
      <c r="L1429" s="243">
        <v>12.54101</v>
      </c>
    </row>
    <row r="1430" spans="1:12" ht="26.4" customHeight="1">
      <c r="A1430" s="288">
        <v>504</v>
      </c>
      <c r="B1430" s="523"/>
      <c r="C1430" s="288" t="s">
        <v>1210</v>
      </c>
      <c r="D1430" s="289" t="s">
        <v>2128</v>
      </c>
      <c r="E1430" s="289" t="s">
        <v>1255</v>
      </c>
      <c r="F1430" s="218">
        <v>51434</v>
      </c>
      <c r="G1430" s="237" t="s">
        <v>1571</v>
      </c>
      <c r="H1430" s="475" t="s">
        <v>631</v>
      </c>
      <c r="I1430" s="478">
        <v>719.35</v>
      </c>
      <c r="J1430" s="243">
        <v>478.33094</v>
      </c>
      <c r="K1430" s="243">
        <v>112.9395</v>
      </c>
      <c r="L1430" s="243">
        <v>365.39143999999999</v>
      </c>
    </row>
    <row r="1431" spans="1:12" ht="26.4" customHeight="1">
      <c r="A1431" s="288">
        <v>505</v>
      </c>
      <c r="B1431" s="523"/>
      <c r="C1431" s="288" t="s">
        <v>1210</v>
      </c>
      <c r="D1431" s="289" t="s">
        <v>2128</v>
      </c>
      <c r="E1431" s="289" t="s">
        <v>1919</v>
      </c>
      <c r="F1431" s="218">
        <v>51436</v>
      </c>
      <c r="G1431" s="237" t="s">
        <v>1571</v>
      </c>
      <c r="H1431" s="475" t="s">
        <v>631</v>
      </c>
      <c r="I1431" s="478">
        <v>149</v>
      </c>
      <c r="J1431" s="243">
        <v>372.52566999999999</v>
      </c>
      <c r="K1431" s="243">
        <v>89.405879999999996</v>
      </c>
      <c r="L1431" s="243">
        <v>283.11979000000002</v>
      </c>
    </row>
    <row r="1432" spans="1:12" ht="26.4" customHeight="1">
      <c r="A1432" s="288">
        <v>506</v>
      </c>
      <c r="B1432" s="523"/>
      <c r="C1432" s="288" t="s">
        <v>1210</v>
      </c>
      <c r="D1432" s="289" t="s">
        <v>2128</v>
      </c>
      <c r="E1432" s="289" t="s">
        <v>1919</v>
      </c>
      <c r="F1432" s="218">
        <v>51437</v>
      </c>
      <c r="G1432" s="237" t="s">
        <v>1571</v>
      </c>
      <c r="H1432" s="475" t="s">
        <v>631</v>
      </c>
      <c r="I1432" s="478">
        <v>128</v>
      </c>
      <c r="J1432" s="243">
        <v>102.70399</v>
      </c>
      <c r="K1432" s="243">
        <v>24.649080000000001</v>
      </c>
      <c r="L1432" s="243">
        <v>78.054910000000007</v>
      </c>
    </row>
    <row r="1433" spans="1:12" ht="26.4" customHeight="1">
      <c r="A1433" s="288">
        <v>507</v>
      </c>
      <c r="B1433" s="523"/>
      <c r="C1433" s="288" t="s">
        <v>1210</v>
      </c>
      <c r="D1433" s="289" t="s">
        <v>2128</v>
      </c>
      <c r="E1433" s="289" t="s">
        <v>632</v>
      </c>
      <c r="F1433" s="218">
        <v>52400</v>
      </c>
      <c r="G1433" s="237" t="s">
        <v>1570</v>
      </c>
      <c r="H1433" s="475" t="s">
        <v>1138</v>
      </c>
      <c r="I1433" s="478">
        <v>1</v>
      </c>
      <c r="J1433" s="243">
        <v>13.61666</v>
      </c>
      <c r="K1433" s="243">
        <v>5.0587200000000001</v>
      </c>
      <c r="L1433" s="243">
        <v>8.5579400000000003</v>
      </c>
    </row>
    <row r="1434" spans="1:12" ht="26.4" customHeight="1">
      <c r="A1434" s="288">
        <v>508</v>
      </c>
      <c r="B1434" s="523"/>
      <c r="C1434" s="288" t="s">
        <v>1210</v>
      </c>
      <c r="D1434" s="289" t="s">
        <v>2128</v>
      </c>
      <c r="E1434" s="289" t="s">
        <v>1147</v>
      </c>
      <c r="F1434" s="218">
        <v>52412</v>
      </c>
      <c r="G1434" s="237" t="s">
        <v>1569</v>
      </c>
      <c r="H1434" s="475" t="s">
        <v>631</v>
      </c>
      <c r="I1434" s="478">
        <v>90</v>
      </c>
      <c r="J1434" s="243">
        <v>64.854169999999996</v>
      </c>
      <c r="K1434" s="243">
        <v>23.131260000000001</v>
      </c>
      <c r="L1434" s="243">
        <v>41.722909999999999</v>
      </c>
    </row>
    <row r="1435" spans="1:12" ht="26.4" customHeight="1">
      <c r="A1435" s="288">
        <v>509</v>
      </c>
      <c r="B1435" s="523"/>
      <c r="C1435" s="288" t="s">
        <v>1210</v>
      </c>
      <c r="D1435" s="289" t="s">
        <v>2128</v>
      </c>
      <c r="E1435" s="289" t="s">
        <v>2302</v>
      </c>
      <c r="F1435" s="218">
        <v>57004</v>
      </c>
      <c r="G1435" s="237" t="s">
        <v>1567</v>
      </c>
      <c r="H1435" s="475" t="s">
        <v>1138</v>
      </c>
      <c r="I1435" s="478">
        <v>1</v>
      </c>
      <c r="J1435" s="243">
        <v>148.49245999999999</v>
      </c>
      <c r="K1435" s="243">
        <v>75.403840000000002</v>
      </c>
      <c r="L1435" s="243">
        <v>73.088620000000006</v>
      </c>
    </row>
    <row r="1436" spans="1:12" ht="26.4" customHeight="1">
      <c r="A1436" s="288">
        <v>510</v>
      </c>
      <c r="B1436" s="523"/>
      <c r="C1436" s="288" t="s">
        <v>1210</v>
      </c>
      <c r="D1436" s="289" t="s">
        <v>2128</v>
      </c>
      <c r="E1436" s="289" t="s">
        <v>2302</v>
      </c>
      <c r="F1436" s="218">
        <v>57005</v>
      </c>
      <c r="G1436" s="237" t="s">
        <v>1567</v>
      </c>
      <c r="H1436" s="475" t="s">
        <v>1138</v>
      </c>
      <c r="I1436" s="478">
        <v>1</v>
      </c>
      <c r="J1436" s="243">
        <v>126.14848000000001</v>
      </c>
      <c r="K1436" s="243">
        <v>64.049139999999994</v>
      </c>
      <c r="L1436" s="243">
        <v>62.099339999999998</v>
      </c>
    </row>
    <row r="1437" spans="1:12" ht="26.4" customHeight="1">
      <c r="A1437" s="288">
        <v>511</v>
      </c>
      <c r="B1437" s="523"/>
      <c r="C1437" s="288" t="s">
        <v>1210</v>
      </c>
      <c r="D1437" s="289" t="s">
        <v>2128</v>
      </c>
      <c r="E1437" s="289" t="s">
        <v>2302</v>
      </c>
      <c r="F1437" s="218">
        <v>57006</v>
      </c>
      <c r="G1437" s="237" t="s">
        <v>1567</v>
      </c>
      <c r="H1437" s="475" t="s">
        <v>1138</v>
      </c>
      <c r="I1437" s="478">
        <v>1</v>
      </c>
      <c r="J1437" s="243">
        <v>124.78254</v>
      </c>
      <c r="K1437" s="243">
        <v>63.336129999999997</v>
      </c>
      <c r="L1437" s="243">
        <v>61.44641</v>
      </c>
    </row>
    <row r="1438" spans="1:12" ht="26.4" customHeight="1">
      <c r="A1438" s="288">
        <v>512</v>
      </c>
      <c r="B1438" s="523"/>
      <c r="C1438" s="288" t="s">
        <v>1210</v>
      </c>
      <c r="D1438" s="289" t="s">
        <v>2128</v>
      </c>
      <c r="E1438" s="289" t="s">
        <v>2302</v>
      </c>
      <c r="F1438" s="218">
        <v>57007</v>
      </c>
      <c r="G1438" s="237" t="s">
        <v>1567</v>
      </c>
      <c r="H1438" s="475" t="s">
        <v>1138</v>
      </c>
      <c r="I1438" s="478">
        <v>1</v>
      </c>
      <c r="J1438" s="243">
        <v>131.24941999999999</v>
      </c>
      <c r="K1438" s="243">
        <v>66.632059999999996</v>
      </c>
      <c r="L1438" s="243">
        <v>64.617360000000005</v>
      </c>
    </row>
    <row r="1439" spans="1:12" ht="26.4" customHeight="1">
      <c r="A1439" s="288">
        <v>513</v>
      </c>
      <c r="B1439" s="523"/>
      <c r="C1439" s="288" t="s">
        <v>1210</v>
      </c>
      <c r="D1439" s="289" t="s">
        <v>2128</v>
      </c>
      <c r="E1439" s="289" t="s">
        <v>2302</v>
      </c>
      <c r="F1439" s="218">
        <v>57008</v>
      </c>
      <c r="G1439" s="237" t="s">
        <v>1567</v>
      </c>
      <c r="H1439" s="475" t="s">
        <v>1138</v>
      </c>
      <c r="I1439" s="478">
        <v>1</v>
      </c>
      <c r="J1439" s="243">
        <v>152.83023</v>
      </c>
      <c r="K1439" s="243">
        <v>77.584760000000003</v>
      </c>
      <c r="L1439" s="243">
        <v>75.245469999999997</v>
      </c>
    </row>
    <row r="1440" spans="1:12" ht="26.4" customHeight="1">
      <c r="A1440" s="288">
        <v>514</v>
      </c>
      <c r="B1440" s="523"/>
      <c r="C1440" s="288" t="s">
        <v>1210</v>
      </c>
      <c r="D1440" s="289" t="s">
        <v>2128</v>
      </c>
      <c r="E1440" s="289" t="s">
        <v>2302</v>
      </c>
      <c r="F1440" s="218">
        <v>57009</v>
      </c>
      <c r="G1440" s="237" t="s">
        <v>1567</v>
      </c>
      <c r="H1440" s="475" t="s">
        <v>1138</v>
      </c>
      <c r="I1440" s="478">
        <v>1</v>
      </c>
      <c r="J1440" s="243">
        <v>174.92427000000001</v>
      </c>
      <c r="K1440" s="243">
        <v>88.830569999999994</v>
      </c>
      <c r="L1440" s="243">
        <v>86.093699999999998</v>
      </c>
    </row>
    <row r="1441" spans="1:12" ht="26.4" customHeight="1">
      <c r="A1441" s="288">
        <v>515</v>
      </c>
      <c r="B1441" s="523"/>
      <c r="C1441" s="288" t="s">
        <v>1210</v>
      </c>
      <c r="D1441" s="289" t="s">
        <v>2128</v>
      </c>
      <c r="E1441" s="289" t="s">
        <v>2302</v>
      </c>
      <c r="F1441" s="218">
        <v>57010</v>
      </c>
      <c r="G1441" s="237" t="s">
        <v>1567</v>
      </c>
      <c r="H1441" s="475" t="s">
        <v>1138</v>
      </c>
      <c r="I1441" s="478">
        <v>1</v>
      </c>
      <c r="J1441" s="243">
        <v>161.07974999999999</v>
      </c>
      <c r="K1441" s="243">
        <v>81.798069999999996</v>
      </c>
      <c r="L1441" s="243">
        <v>79.281679999999994</v>
      </c>
    </row>
    <row r="1442" spans="1:12" ht="26.4" customHeight="1">
      <c r="A1442" s="288">
        <v>516</v>
      </c>
      <c r="B1442" s="523"/>
      <c r="C1442" s="288" t="s">
        <v>1210</v>
      </c>
      <c r="D1442" s="289" t="s">
        <v>2128</v>
      </c>
      <c r="E1442" s="289" t="s">
        <v>2302</v>
      </c>
      <c r="F1442" s="218">
        <v>57011</v>
      </c>
      <c r="G1442" s="237" t="s">
        <v>1567</v>
      </c>
      <c r="H1442" s="475" t="s">
        <v>1138</v>
      </c>
      <c r="I1442" s="478">
        <v>1</v>
      </c>
      <c r="J1442" s="243">
        <v>191.77475999999999</v>
      </c>
      <c r="K1442" s="243">
        <v>97.389930000000007</v>
      </c>
      <c r="L1442" s="243">
        <v>94.384829999999994</v>
      </c>
    </row>
    <row r="1443" spans="1:12" ht="26.4" customHeight="1">
      <c r="A1443" s="288">
        <v>517</v>
      </c>
      <c r="B1443" s="523"/>
      <c r="C1443" s="288" t="s">
        <v>1210</v>
      </c>
      <c r="D1443" s="289" t="s">
        <v>2128</v>
      </c>
      <c r="E1443" s="289" t="s">
        <v>2302</v>
      </c>
      <c r="F1443" s="218">
        <v>57012</v>
      </c>
      <c r="G1443" s="237" t="s">
        <v>1567</v>
      </c>
      <c r="H1443" s="475" t="s">
        <v>1138</v>
      </c>
      <c r="I1443" s="478">
        <v>1</v>
      </c>
      <c r="J1443" s="243">
        <v>148.67417</v>
      </c>
      <c r="K1443" s="243">
        <v>75.495609999999999</v>
      </c>
      <c r="L1443" s="243">
        <v>73.178560000000004</v>
      </c>
    </row>
    <row r="1444" spans="1:12" ht="26.4" customHeight="1">
      <c r="A1444" s="288">
        <v>518</v>
      </c>
      <c r="B1444" s="523"/>
      <c r="C1444" s="288" t="s">
        <v>1210</v>
      </c>
      <c r="D1444" s="289" t="s">
        <v>2128</v>
      </c>
      <c r="E1444" s="289" t="s">
        <v>2302</v>
      </c>
      <c r="F1444" s="218">
        <v>57013</v>
      </c>
      <c r="G1444" s="237" t="s">
        <v>1567</v>
      </c>
      <c r="H1444" s="475" t="s">
        <v>1138</v>
      </c>
      <c r="I1444" s="478">
        <v>1</v>
      </c>
      <c r="J1444" s="243">
        <v>169.20963</v>
      </c>
      <c r="K1444" s="243">
        <v>85.928719999999998</v>
      </c>
      <c r="L1444" s="243">
        <v>83.280910000000006</v>
      </c>
    </row>
    <row r="1445" spans="1:12" ht="26.4" customHeight="1">
      <c r="A1445" s="288">
        <v>519</v>
      </c>
      <c r="B1445" s="523"/>
      <c r="C1445" s="288" t="s">
        <v>1210</v>
      </c>
      <c r="D1445" s="289" t="s">
        <v>2128</v>
      </c>
      <c r="E1445" s="289" t="s">
        <v>2302</v>
      </c>
      <c r="F1445" s="218">
        <v>57014</v>
      </c>
      <c r="G1445" s="237" t="s">
        <v>1567</v>
      </c>
      <c r="H1445" s="475" t="s">
        <v>1138</v>
      </c>
      <c r="I1445" s="478">
        <v>1</v>
      </c>
      <c r="J1445" s="243">
        <v>123.51082</v>
      </c>
      <c r="K1445" s="243">
        <v>62.713459999999998</v>
      </c>
      <c r="L1445" s="243">
        <v>60.797359999999998</v>
      </c>
    </row>
    <row r="1446" spans="1:12" ht="26.4" customHeight="1">
      <c r="A1446" s="288">
        <v>520</v>
      </c>
      <c r="B1446" s="523"/>
      <c r="C1446" s="288" t="s">
        <v>1210</v>
      </c>
      <c r="D1446" s="289" t="s">
        <v>2128</v>
      </c>
      <c r="E1446" s="289" t="s">
        <v>2302</v>
      </c>
      <c r="F1446" s="218">
        <v>57015</v>
      </c>
      <c r="G1446" s="237" t="s">
        <v>1567</v>
      </c>
      <c r="H1446" s="475" t="s">
        <v>1138</v>
      </c>
      <c r="I1446" s="478">
        <v>1</v>
      </c>
      <c r="J1446" s="243">
        <v>164.23928000000001</v>
      </c>
      <c r="K1446" s="243">
        <v>83.403369999999995</v>
      </c>
      <c r="L1446" s="243">
        <v>80.835909999999998</v>
      </c>
    </row>
    <row r="1447" spans="1:12" ht="26.4" customHeight="1">
      <c r="A1447" s="288">
        <v>521</v>
      </c>
      <c r="B1447" s="523"/>
      <c r="C1447" s="288" t="s">
        <v>1210</v>
      </c>
      <c r="D1447" s="289" t="s">
        <v>2128</v>
      </c>
      <c r="E1447" s="289" t="s">
        <v>2302</v>
      </c>
      <c r="F1447" s="218">
        <v>57016</v>
      </c>
      <c r="G1447" s="237" t="s">
        <v>1567</v>
      </c>
      <c r="H1447" s="475" t="s">
        <v>1138</v>
      </c>
      <c r="I1447" s="478">
        <v>1</v>
      </c>
      <c r="J1447" s="243">
        <v>119.86058</v>
      </c>
      <c r="K1447" s="243">
        <v>60.862690000000001</v>
      </c>
      <c r="L1447" s="243">
        <v>58.997889999999998</v>
      </c>
    </row>
    <row r="1448" spans="1:12" ht="26.4" customHeight="1">
      <c r="A1448" s="288">
        <v>522</v>
      </c>
      <c r="B1448" s="523"/>
      <c r="C1448" s="288" t="s">
        <v>1210</v>
      </c>
      <c r="D1448" s="289" t="s">
        <v>2128</v>
      </c>
      <c r="E1448" s="289" t="s">
        <v>2302</v>
      </c>
      <c r="F1448" s="218">
        <v>57017</v>
      </c>
      <c r="G1448" s="237" t="s">
        <v>1567</v>
      </c>
      <c r="H1448" s="475" t="s">
        <v>1138</v>
      </c>
      <c r="I1448" s="478">
        <v>1</v>
      </c>
      <c r="J1448" s="243">
        <v>117.88182999999999</v>
      </c>
      <c r="K1448" s="243">
        <v>59.857819999999997</v>
      </c>
      <c r="L1448" s="243">
        <v>58.024009999999997</v>
      </c>
    </row>
    <row r="1449" spans="1:12" ht="26.4" customHeight="1">
      <c r="A1449" s="288">
        <v>523</v>
      </c>
      <c r="B1449" s="523"/>
      <c r="C1449" s="288" t="s">
        <v>1210</v>
      </c>
      <c r="D1449" s="289" t="s">
        <v>2128</v>
      </c>
      <c r="E1449" s="289" t="s">
        <v>2302</v>
      </c>
      <c r="F1449" s="218">
        <v>57018</v>
      </c>
      <c r="G1449" s="237" t="s">
        <v>1567</v>
      </c>
      <c r="H1449" s="475" t="s">
        <v>1138</v>
      </c>
      <c r="I1449" s="478">
        <v>1</v>
      </c>
      <c r="J1449" s="243">
        <v>90.554779999999994</v>
      </c>
      <c r="K1449" s="243">
        <v>45.976399999999998</v>
      </c>
      <c r="L1449" s="243">
        <v>44.578380000000003</v>
      </c>
    </row>
    <row r="1450" spans="1:12" ht="26.4" customHeight="1">
      <c r="A1450" s="288">
        <v>524</v>
      </c>
      <c r="B1450" s="523"/>
      <c r="C1450" s="288" t="s">
        <v>1210</v>
      </c>
      <c r="D1450" s="289" t="s">
        <v>2128</v>
      </c>
      <c r="E1450" s="289" t="s">
        <v>2302</v>
      </c>
      <c r="F1450" s="218">
        <v>57019</v>
      </c>
      <c r="G1450" s="237" t="s">
        <v>1567</v>
      </c>
      <c r="H1450" s="475" t="s">
        <v>1138</v>
      </c>
      <c r="I1450" s="478">
        <v>1</v>
      </c>
      <c r="J1450" s="243">
        <v>74.424130000000005</v>
      </c>
      <c r="K1450" s="243">
        <v>37.778100000000002</v>
      </c>
      <c r="L1450" s="243">
        <v>36.646030000000003</v>
      </c>
    </row>
    <row r="1451" spans="1:12" ht="26.4" customHeight="1">
      <c r="A1451" s="288">
        <v>525</v>
      </c>
      <c r="B1451" s="523"/>
      <c r="C1451" s="288" t="s">
        <v>1210</v>
      </c>
      <c r="D1451" s="289" t="s">
        <v>2132</v>
      </c>
      <c r="E1451" s="289" t="s">
        <v>2242</v>
      </c>
      <c r="F1451" s="218">
        <v>29783</v>
      </c>
      <c r="G1451" s="237" t="s">
        <v>1570</v>
      </c>
      <c r="H1451" s="475" t="s">
        <v>1149</v>
      </c>
      <c r="I1451" s="207">
        <v>243.1</v>
      </c>
      <c r="J1451" s="243">
        <v>638.48021000000006</v>
      </c>
      <c r="K1451" s="243">
        <v>207.92660000000001</v>
      </c>
      <c r="L1451" s="243">
        <v>430.55360999999999</v>
      </c>
    </row>
    <row r="1452" spans="1:12" ht="26.4" customHeight="1">
      <c r="A1452" s="288">
        <v>526</v>
      </c>
      <c r="B1452" s="523"/>
      <c r="C1452" s="288" t="s">
        <v>1210</v>
      </c>
      <c r="D1452" s="289" t="s">
        <v>2132</v>
      </c>
      <c r="E1452" s="289" t="s">
        <v>1919</v>
      </c>
      <c r="F1452" s="218">
        <v>2206</v>
      </c>
      <c r="G1452" s="237" t="s">
        <v>1570</v>
      </c>
      <c r="H1452" s="475" t="s">
        <v>631</v>
      </c>
      <c r="I1452" s="478">
        <v>191</v>
      </c>
      <c r="J1452" s="243">
        <v>34.2654</v>
      </c>
      <c r="K1452" s="243">
        <v>12.55209</v>
      </c>
      <c r="L1452" s="243">
        <v>21.71331</v>
      </c>
    </row>
    <row r="1453" spans="1:12" ht="26.4" customHeight="1">
      <c r="A1453" s="288">
        <v>527</v>
      </c>
      <c r="B1453" s="523"/>
      <c r="C1453" s="288" t="s">
        <v>1210</v>
      </c>
      <c r="D1453" s="289" t="s">
        <v>2132</v>
      </c>
      <c r="E1453" s="289" t="s">
        <v>1919</v>
      </c>
      <c r="F1453" s="218">
        <v>2207</v>
      </c>
      <c r="G1453" s="237" t="s">
        <v>1570</v>
      </c>
      <c r="H1453" s="475" t="s">
        <v>631</v>
      </c>
      <c r="I1453" s="478">
        <v>123</v>
      </c>
      <c r="J1453" s="243">
        <v>22.066199999999998</v>
      </c>
      <c r="K1453" s="243">
        <v>8.0832499999999996</v>
      </c>
      <c r="L1453" s="243">
        <v>13.982950000000001</v>
      </c>
    </row>
    <row r="1454" spans="1:12" ht="26.4" customHeight="1">
      <c r="A1454" s="288">
        <v>528</v>
      </c>
      <c r="B1454" s="523"/>
      <c r="C1454" s="288" t="s">
        <v>1210</v>
      </c>
      <c r="D1454" s="289" t="s">
        <v>2132</v>
      </c>
      <c r="E1454" s="289" t="s">
        <v>1919</v>
      </c>
      <c r="F1454" s="218">
        <v>2208</v>
      </c>
      <c r="G1454" s="237" t="s">
        <v>1570</v>
      </c>
      <c r="H1454" s="475" t="s">
        <v>631</v>
      </c>
      <c r="I1454" s="478">
        <v>104.5</v>
      </c>
      <c r="J1454" s="243">
        <v>18.747299999999999</v>
      </c>
      <c r="K1454" s="243">
        <v>6.8674299999999997</v>
      </c>
      <c r="L1454" s="243">
        <v>11.87987</v>
      </c>
    </row>
    <row r="1455" spans="1:12" ht="26.4" customHeight="1">
      <c r="A1455" s="288">
        <v>529</v>
      </c>
      <c r="B1455" s="523"/>
      <c r="C1455" s="288" t="s">
        <v>1210</v>
      </c>
      <c r="D1455" s="289" t="s">
        <v>2132</v>
      </c>
      <c r="E1455" s="289" t="s">
        <v>1919</v>
      </c>
      <c r="F1455" s="218">
        <v>2209</v>
      </c>
      <c r="G1455" s="237" t="s">
        <v>1570</v>
      </c>
      <c r="H1455" s="475" t="s">
        <v>631</v>
      </c>
      <c r="I1455" s="478">
        <v>127</v>
      </c>
      <c r="J1455" s="243">
        <v>22.783799999999999</v>
      </c>
      <c r="K1455" s="243">
        <v>8.3461300000000005</v>
      </c>
      <c r="L1455" s="243">
        <v>14.437670000000001</v>
      </c>
    </row>
    <row r="1456" spans="1:12" ht="26.4" customHeight="1">
      <c r="A1456" s="288">
        <v>530</v>
      </c>
      <c r="B1456" s="523"/>
      <c r="C1456" s="288" t="s">
        <v>1210</v>
      </c>
      <c r="D1456" s="289" t="s">
        <v>2132</v>
      </c>
      <c r="E1456" s="289" t="s">
        <v>1919</v>
      </c>
      <c r="F1456" s="218">
        <v>2210</v>
      </c>
      <c r="G1456" s="237" t="s">
        <v>1570</v>
      </c>
      <c r="H1456" s="475" t="s">
        <v>631</v>
      </c>
      <c r="I1456" s="478">
        <v>198.5</v>
      </c>
      <c r="J1456" s="243">
        <v>35.610900000000001</v>
      </c>
      <c r="K1456" s="243">
        <v>13.04491</v>
      </c>
      <c r="L1456" s="243">
        <v>22.565989999999999</v>
      </c>
    </row>
    <row r="1457" spans="1:12" ht="26.4" customHeight="1">
      <c r="A1457" s="288">
        <v>531</v>
      </c>
      <c r="B1457" s="523"/>
      <c r="C1457" s="288" t="s">
        <v>1210</v>
      </c>
      <c r="D1457" s="289" t="s">
        <v>2132</v>
      </c>
      <c r="E1457" s="289" t="s">
        <v>1919</v>
      </c>
      <c r="F1457" s="218">
        <v>2211</v>
      </c>
      <c r="G1457" s="237" t="s">
        <v>1570</v>
      </c>
      <c r="H1457" s="475" t="s">
        <v>631</v>
      </c>
      <c r="I1457" s="478">
        <v>220.5</v>
      </c>
      <c r="J1457" s="243">
        <v>39.557699999999997</v>
      </c>
      <c r="K1457" s="243">
        <v>14.49067</v>
      </c>
      <c r="L1457" s="243">
        <v>25.067029999999999</v>
      </c>
    </row>
    <row r="1458" spans="1:12" ht="26.4" customHeight="1">
      <c r="A1458" s="288">
        <v>532</v>
      </c>
      <c r="B1458" s="523"/>
      <c r="C1458" s="288" t="s">
        <v>1210</v>
      </c>
      <c r="D1458" s="289" t="s">
        <v>2132</v>
      </c>
      <c r="E1458" s="289" t="s">
        <v>1919</v>
      </c>
      <c r="F1458" s="218">
        <v>2212</v>
      </c>
      <c r="G1458" s="237" t="s">
        <v>1570</v>
      </c>
      <c r="H1458" s="475" t="s">
        <v>631</v>
      </c>
      <c r="I1458" s="478">
        <v>147.5</v>
      </c>
      <c r="J1458" s="243">
        <v>26.461500000000001</v>
      </c>
      <c r="K1458" s="243">
        <v>9.6932799999999997</v>
      </c>
      <c r="L1458" s="243">
        <v>16.768219999999999</v>
      </c>
    </row>
    <row r="1459" spans="1:12" ht="26.4" customHeight="1">
      <c r="A1459" s="288">
        <v>533</v>
      </c>
      <c r="B1459" s="523"/>
      <c r="C1459" s="288" t="s">
        <v>1210</v>
      </c>
      <c r="D1459" s="289" t="s">
        <v>2132</v>
      </c>
      <c r="E1459" s="289" t="s">
        <v>1919</v>
      </c>
      <c r="F1459" s="218">
        <v>2213</v>
      </c>
      <c r="G1459" s="237" t="s">
        <v>1570</v>
      </c>
      <c r="H1459" s="475" t="s">
        <v>631</v>
      </c>
      <c r="I1459" s="478">
        <v>120</v>
      </c>
      <c r="J1459" s="243">
        <v>21.527999999999999</v>
      </c>
      <c r="K1459" s="243">
        <v>7.8861400000000001</v>
      </c>
      <c r="L1459" s="243">
        <v>13.641859999999999</v>
      </c>
    </row>
    <row r="1460" spans="1:12" ht="26.4" customHeight="1">
      <c r="A1460" s="288">
        <v>534</v>
      </c>
      <c r="B1460" s="523"/>
      <c r="C1460" s="288" t="s">
        <v>1210</v>
      </c>
      <c r="D1460" s="289" t="s">
        <v>2132</v>
      </c>
      <c r="E1460" s="289" t="s">
        <v>1919</v>
      </c>
      <c r="F1460" s="218">
        <v>2214</v>
      </c>
      <c r="G1460" s="237" t="s">
        <v>1570</v>
      </c>
      <c r="H1460" s="475" t="s">
        <v>631</v>
      </c>
      <c r="I1460" s="478">
        <v>85.5</v>
      </c>
      <c r="J1460" s="243">
        <v>15.338699999999999</v>
      </c>
      <c r="K1460" s="243">
        <v>5.6188799999999999</v>
      </c>
      <c r="L1460" s="243">
        <v>9.7198200000000003</v>
      </c>
    </row>
    <row r="1461" spans="1:12" ht="26.4" customHeight="1">
      <c r="A1461" s="288">
        <v>535</v>
      </c>
      <c r="B1461" s="523"/>
      <c r="C1461" s="288" t="s">
        <v>1210</v>
      </c>
      <c r="D1461" s="289" t="s">
        <v>2132</v>
      </c>
      <c r="E1461" s="289" t="s">
        <v>1919</v>
      </c>
      <c r="F1461" s="218">
        <v>2215</v>
      </c>
      <c r="G1461" s="237" t="s">
        <v>1570</v>
      </c>
      <c r="H1461" s="475" t="s">
        <v>631</v>
      </c>
      <c r="I1461" s="478">
        <v>74.5</v>
      </c>
      <c r="J1461" s="243">
        <v>13.3653</v>
      </c>
      <c r="K1461" s="243">
        <v>4.8959999999999999</v>
      </c>
      <c r="L1461" s="243">
        <v>8.4693000000000005</v>
      </c>
    </row>
    <row r="1462" spans="1:12" ht="26.4" customHeight="1">
      <c r="A1462" s="288">
        <v>536</v>
      </c>
      <c r="B1462" s="523"/>
      <c r="C1462" s="288" t="s">
        <v>1210</v>
      </c>
      <c r="D1462" s="289" t="s">
        <v>2132</v>
      </c>
      <c r="E1462" s="289" t="s">
        <v>1919</v>
      </c>
      <c r="F1462" s="218">
        <v>2216</v>
      </c>
      <c r="G1462" s="237" t="s">
        <v>1570</v>
      </c>
      <c r="H1462" s="475" t="s">
        <v>631</v>
      </c>
      <c r="I1462" s="478">
        <v>73</v>
      </c>
      <c r="J1462" s="243">
        <v>13.0962</v>
      </c>
      <c r="K1462" s="243">
        <v>4.79739</v>
      </c>
      <c r="L1462" s="243">
        <v>8.2988099999999996</v>
      </c>
    </row>
    <row r="1463" spans="1:12" ht="26.4" customHeight="1">
      <c r="A1463" s="288">
        <v>537</v>
      </c>
      <c r="B1463" s="523"/>
      <c r="C1463" s="288" t="s">
        <v>1210</v>
      </c>
      <c r="D1463" s="289" t="s">
        <v>2132</v>
      </c>
      <c r="E1463" s="289" t="s">
        <v>1919</v>
      </c>
      <c r="F1463" s="218">
        <v>2217</v>
      </c>
      <c r="G1463" s="237" t="s">
        <v>1570</v>
      </c>
      <c r="H1463" s="475" t="s">
        <v>631</v>
      </c>
      <c r="I1463" s="478">
        <v>187</v>
      </c>
      <c r="J1463" s="243">
        <v>33.547800000000002</v>
      </c>
      <c r="K1463" s="243">
        <v>12.289199999999999</v>
      </c>
      <c r="L1463" s="243">
        <v>21.258600000000001</v>
      </c>
    </row>
    <row r="1464" spans="1:12" ht="26.4" customHeight="1">
      <c r="A1464" s="288">
        <v>538</v>
      </c>
      <c r="B1464" s="523"/>
      <c r="C1464" s="288" t="s">
        <v>1210</v>
      </c>
      <c r="D1464" s="289" t="s">
        <v>2132</v>
      </c>
      <c r="E1464" s="289" t="s">
        <v>1255</v>
      </c>
      <c r="F1464" s="218">
        <v>21015</v>
      </c>
      <c r="G1464" s="237" t="s">
        <v>1547</v>
      </c>
      <c r="H1464" s="475" t="s">
        <v>631</v>
      </c>
      <c r="I1464" s="478">
        <v>28.5</v>
      </c>
      <c r="J1464" s="243">
        <v>63.42718</v>
      </c>
      <c r="K1464" s="243">
        <v>13.56663</v>
      </c>
      <c r="L1464" s="243">
        <v>49.860550000000003</v>
      </c>
    </row>
    <row r="1465" spans="1:12" ht="26.4" customHeight="1">
      <c r="A1465" s="288">
        <v>539</v>
      </c>
      <c r="B1465" s="523"/>
      <c r="C1465" s="288" t="s">
        <v>1210</v>
      </c>
      <c r="D1465" s="289" t="s">
        <v>2132</v>
      </c>
      <c r="E1465" s="289" t="s">
        <v>1926</v>
      </c>
      <c r="F1465" s="218">
        <v>29782</v>
      </c>
      <c r="G1465" s="237" t="s">
        <v>1570</v>
      </c>
      <c r="H1465" s="475" t="s">
        <v>631</v>
      </c>
      <c r="I1465" s="478">
        <v>212.5</v>
      </c>
      <c r="J1465" s="243">
        <v>38.078159999999997</v>
      </c>
      <c r="K1465" s="243">
        <v>13.94867</v>
      </c>
      <c r="L1465" s="243">
        <v>24.129490000000001</v>
      </c>
    </row>
    <row r="1466" spans="1:12" s="200" customFormat="1" ht="26.4" customHeight="1">
      <c r="A1466" s="288">
        <v>540</v>
      </c>
      <c r="B1466" s="523"/>
      <c r="C1466" s="288" t="s">
        <v>1210</v>
      </c>
      <c r="D1466" s="289" t="s">
        <v>2132</v>
      </c>
      <c r="E1466" s="289" t="s">
        <v>632</v>
      </c>
      <c r="F1466" s="218">
        <v>29784</v>
      </c>
      <c r="G1466" s="237" t="s">
        <v>1570</v>
      </c>
      <c r="H1466" s="475" t="s">
        <v>1138</v>
      </c>
      <c r="I1466" s="478">
        <v>1</v>
      </c>
      <c r="J1466" s="243">
        <v>63.280999999999999</v>
      </c>
      <c r="K1466" s="243">
        <v>23.246200000000002</v>
      </c>
      <c r="L1466" s="243">
        <v>40.034799999999997</v>
      </c>
    </row>
    <row r="1467" spans="1:12" s="200" customFormat="1" ht="26.4" customHeight="1">
      <c r="A1467" s="288">
        <v>541</v>
      </c>
      <c r="B1467" s="523"/>
      <c r="C1467" s="288" t="s">
        <v>1210</v>
      </c>
      <c r="D1467" s="289" t="s">
        <v>2132</v>
      </c>
      <c r="E1467" s="289" t="s">
        <v>1141</v>
      </c>
      <c r="F1467" s="218">
        <v>29788</v>
      </c>
      <c r="G1467" s="237" t="s">
        <v>1570</v>
      </c>
      <c r="H1467" s="475" t="s">
        <v>1138</v>
      </c>
      <c r="I1467" s="478">
        <v>1</v>
      </c>
      <c r="J1467" s="243">
        <v>27.109000000000002</v>
      </c>
      <c r="K1467" s="243">
        <v>9.9580400000000004</v>
      </c>
      <c r="L1467" s="243">
        <v>17.150960000000001</v>
      </c>
    </row>
    <row r="1468" spans="1:12" s="200" customFormat="1" ht="26.4" customHeight="1">
      <c r="A1468" s="288">
        <v>542</v>
      </c>
      <c r="B1468" s="523"/>
      <c r="C1468" s="288" t="s">
        <v>1210</v>
      </c>
      <c r="D1468" s="289" t="s">
        <v>2132</v>
      </c>
      <c r="E1468" s="289" t="s">
        <v>1265</v>
      </c>
      <c r="F1468" s="218">
        <v>34000</v>
      </c>
      <c r="G1468" s="237" t="s">
        <v>1570</v>
      </c>
      <c r="H1468" s="475" t="s">
        <v>1149</v>
      </c>
      <c r="I1468" s="207">
        <v>17.899999999999999</v>
      </c>
      <c r="J1468" s="243">
        <v>23.939</v>
      </c>
      <c r="K1468" s="243">
        <v>21.44924</v>
      </c>
      <c r="L1468" s="243">
        <v>2.48976</v>
      </c>
    </row>
    <row r="1469" spans="1:12" ht="26.4" customHeight="1">
      <c r="A1469" s="288">
        <v>543</v>
      </c>
      <c r="B1469" s="523"/>
      <c r="C1469" s="288" t="s">
        <v>1210</v>
      </c>
      <c r="D1469" s="289" t="s">
        <v>2132</v>
      </c>
      <c r="E1469" s="289" t="s">
        <v>1919</v>
      </c>
      <c r="F1469" s="218">
        <v>41051</v>
      </c>
      <c r="G1469" s="237" t="s">
        <v>1577</v>
      </c>
      <c r="H1469" s="475" t="s">
        <v>631</v>
      </c>
      <c r="I1469" s="478">
        <v>48</v>
      </c>
      <c r="J1469" s="243">
        <v>155.35588000000001</v>
      </c>
      <c r="K1469" s="243">
        <v>34.695950000000003</v>
      </c>
      <c r="L1469" s="243">
        <v>120.65993</v>
      </c>
    </row>
    <row r="1470" spans="1:12" ht="26.4" customHeight="1">
      <c r="A1470" s="288">
        <v>544</v>
      </c>
      <c r="B1470" s="523"/>
      <c r="C1470" s="288" t="s">
        <v>1210</v>
      </c>
      <c r="D1470" s="289" t="s">
        <v>2132</v>
      </c>
      <c r="E1470" s="289" t="s">
        <v>1919</v>
      </c>
      <c r="F1470" s="218">
        <v>41052</v>
      </c>
      <c r="G1470" s="237" t="s">
        <v>1577</v>
      </c>
      <c r="H1470" s="475" t="s">
        <v>631</v>
      </c>
      <c r="I1470" s="478">
        <v>26</v>
      </c>
      <c r="J1470" s="243">
        <v>87.234430000000003</v>
      </c>
      <c r="K1470" s="243">
        <v>19.48226</v>
      </c>
      <c r="L1470" s="243">
        <v>67.752170000000007</v>
      </c>
    </row>
    <row r="1471" spans="1:12" ht="26.4" customHeight="1">
      <c r="A1471" s="288">
        <v>545</v>
      </c>
      <c r="B1471" s="523"/>
      <c r="C1471" s="288" t="s">
        <v>1210</v>
      </c>
      <c r="D1471" s="289" t="s">
        <v>2132</v>
      </c>
      <c r="E1471" s="289" t="s">
        <v>1919</v>
      </c>
      <c r="F1471" s="218">
        <v>41058</v>
      </c>
      <c r="G1471" s="237" t="s">
        <v>1577</v>
      </c>
      <c r="H1471" s="475" t="s">
        <v>631</v>
      </c>
      <c r="I1471" s="478">
        <v>30</v>
      </c>
      <c r="J1471" s="243">
        <v>80.393180000000001</v>
      </c>
      <c r="K1471" s="243">
        <v>17.686679999999999</v>
      </c>
      <c r="L1471" s="243">
        <v>62.706499999999998</v>
      </c>
    </row>
    <row r="1472" spans="1:12" ht="26.4" customHeight="1">
      <c r="A1472" s="288">
        <v>546</v>
      </c>
      <c r="B1472" s="523"/>
      <c r="C1472" s="288" t="s">
        <v>1210</v>
      </c>
      <c r="D1472" s="289" t="s">
        <v>2132</v>
      </c>
      <c r="E1472" s="289" t="s">
        <v>1919</v>
      </c>
      <c r="F1472" s="218">
        <v>41059</v>
      </c>
      <c r="G1472" s="237" t="s">
        <v>1577</v>
      </c>
      <c r="H1472" s="475" t="s">
        <v>631</v>
      </c>
      <c r="I1472" s="478">
        <v>13</v>
      </c>
      <c r="J1472" s="243">
        <v>51.08287</v>
      </c>
      <c r="K1472" s="243">
        <v>11.238479999999999</v>
      </c>
      <c r="L1472" s="243">
        <v>39.844389999999997</v>
      </c>
    </row>
    <row r="1473" spans="1:12" ht="26.4" customHeight="1">
      <c r="A1473" s="288">
        <v>547</v>
      </c>
      <c r="B1473" s="523"/>
      <c r="C1473" s="288" t="s">
        <v>1210</v>
      </c>
      <c r="D1473" s="289" t="s">
        <v>2132</v>
      </c>
      <c r="E1473" s="289" t="s">
        <v>1919</v>
      </c>
      <c r="F1473" s="218">
        <v>41060</v>
      </c>
      <c r="G1473" s="237" t="s">
        <v>1577</v>
      </c>
      <c r="H1473" s="475" t="s">
        <v>631</v>
      </c>
      <c r="I1473" s="478">
        <v>18</v>
      </c>
      <c r="J1473" s="243">
        <v>65.483559999999997</v>
      </c>
      <c r="K1473" s="243">
        <v>14.38566</v>
      </c>
      <c r="L1473" s="243">
        <v>51.097900000000003</v>
      </c>
    </row>
    <row r="1474" spans="1:12" ht="26.4" customHeight="1">
      <c r="A1474" s="288">
        <v>548</v>
      </c>
      <c r="B1474" s="523"/>
      <c r="C1474" s="288" t="s">
        <v>1210</v>
      </c>
      <c r="D1474" s="289" t="s">
        <v>2132</v>
      </c>
      <c r="E1474" s="289" t="s">
        <v>1919</v>
      </c>
      <c r="F1474" s="218">
        <v>51431</v>
      </c>
      <c r="G1474" s="237" t="s">
        <v>1571</v>
      </c>
      <c r="H1474" s="475" t="s">
        <v>631</v>
      </c>
      <c r="I1474" s="478">
        <v>71</v>
      </c>
      <c r="J1474" s="243">
        <v>149.49983</v>
      </c>
      <c r="K1474" s="243">
        <v>35.714080000000003</v>
      </c>
      <c r="L1474" s="243">
        <v>113.78574999999999</v>
      </c>
    </row>
    <row r="1475" spans="1:12" ht="26.4" customHeight="1">
      <c r="A1475" s="288">
        <v>549</v>
      </c>
      <c r="B1475" s="523"/>
      <c r="C1475" s="288" t="s">
        <v>1210</v>
      </c>
      <c r="D1475" s="289" t="s">
        <v>1500</v>
      </c>
      <c r="E1475" s="289" t="s">
        <v>796</v>
      </c>
      <c r="F1475" s="218">
        <v>13326</v>
      </c>
      <c r="G1475" s="237" t="s">
        <v>1533</v>
      </c>
      <c r="H1475" s="475" t="s">
        <v>1149</v>
      </c>
      <c r="I1475" s="207">
        <v>245.1</v>
      </c>
      <c r="J1475" s="243">
        <v>159.61790999999999</v>
      </c>
      <c r="K1475" s="243">
        <v>61.11168</v>
      </c>
      <c r="L1475" s="243">
        <v>98.506230000000002</v>
      </c>
    </row>
    <row r="1476" spans="1:12" ht="26.4" customHeight="1">
      <c r="A1476" s="288">
        <v>550</v>
      </c>
      <c r="B1476" s="523"/>
      <c r="C1476" s="288" t="s">
        <v>1210</v>
      </c>
      <c r="D1476" s="289" t="s">
        <v>1500</v>
      </c>
      <c r="E1476" s="289" t="s">
        <v>1919</v>
      </c>
      <c r="F1476" s="218">
        <v>2253</v>
      </c>
      <c r="G1476" s="237" t="s">
        <v>1538</v>
      </c>
      <c r="H1476" s="475" t="s">
        <v>631</v>
      </c>
      <c r="I1476" s="478">
        <v>21.82</v>
      </c>
      <c r="J1476" s="243">
        <v>1.2915300000000001</v>
      </c>
      <c r="K1476" s="243">
        <v>0.81859000000000004</v>
      </c>
      <c r="L1476" s="243">
        <v>0.47294000000000003</v>
      </c>
    </row>
    <row r="1477" spans="1:12" ht="26.4" customHeight="1">
      <c r="A1477" s="288">
        <v>551</v>
      </c>
      <c r="B1477" s="523"/>
      <c r="C1477" s="288" t="s">
        <v>1210</v>
      </c>
      <c r="D1477" s="289" t="s">
        <v>1501</v>
      </c>
      <c r="E1477" s="289" t="s">
        <v>1919</v>
      </c>
      <c r="F1477" s="218">
        <v>2254</v>
      </c>
      <c r="G1477" s="237" t="s">
        <v>1538</v>
      </c>
      <c r="H1477" s="475" t="s">
        <v>631</v>
      </c>
      <c r="I1477" s="478">
        <v>31</v>
      </c>
      <c r="J1477" s="243">
        <v>1.8348899999999999</v>
      </c>
      <c r="K1477" s="243">
        <v>1.1629499999999999</v>
      </c>
      <c r="L1477" s="243">
        <v>0.67193999999999998</v>
      </c>
    </row>
    <row r="1478" spans="1:12" ht="26.4" customHeight="1">
      <c r="A1478" s="288">
        <v>552</v>
      </c>
      <c r="B1478" s="523"/>
      <c r="C1478" s="288" t="s">
        <v>1210</v>
      </c>
      <c r="D1478" s="289" t="s">
        <v>1501</v>
      </c>
      <c r="E1478" s="289" t="s">
        <v>1919</v>
      </c>
      <c r="F1478" s="218">
        <v>25760</v>
      </c>
      <c r="G1478" s="237" t="s">
        <v>1538</v>
      </c>
      <c r="H1478" s="475" t="s">
        <v>631</v>
      </c>
      <c r="I1478" s="478">
        <v>165.5</v>
      </c>
      <c r="J1478" s="243">
        <v>9.7974800000000002</v>
      </c>
      <c r="K1478" s="243">
        <v>6.2096900000000002</v>
      </c>
      <c r="L1478" s="243">
        <v>3.58779</v>
      </c>
    </row>
    <row r="1479" spans="1:12" ht="26.4" customHeight="1">
      <c r="A1479" s="288">
        <v>553</v>
      </c>
      <c r="B1479" s="523"/>
      <c r="C1479" s="288" t="s">
        <v>1210</v>
      </c>
      <c r="D1479" s="289" t="s">
        <v>1501</v>
      </c>
      <c r="E1479" s="289" t="s">
        <v>632</v>
      </c>
      <c r="F1479" s="218">
        <v>31044</v>
      </c>
      <c r="G1479" s="237" t="s">
        <v>1577</v>
      </c>
      <c r="H1479" s="475" t="s">
        <v>1138</v>
      </c>
      <c r="I1479" s="478">
        <v>1</v>
      </c>
      <c r="J1479" s="243">
        <v>137.68214</v>
      </c>
      <c r="K1479" s="243">
        <v>79.673429999999996</v>
      </c>
      <c r="L1479" s="243">
        <v>58.008710000000001</v>
      </c>
    </row>
    <row r="1480" spans="1:12" ht="26.4" customHeight="1">
      <c r="A1480" s="288">
        <v>554</v>
      </c>
      <c r="B1480" s="523"/>
      <c r="C1480" s="288" t="s">
        <v>1210</v>
      </c>
      <c r="D1480" s="289" t="s">
        <v>1501</v>
      </c>
      <c r="E1480" s="289" t="s">
        <v>1255</v>
      </c>
      <c r="F1480" s="218">
        <v>50001</v>
      </c>
      <c r="G1480" s="237" t="s">
        <v>1576</v>
      </c>
      <c r="H1480" s="475" t="s">
        <v>631</v>
      </c>
      <c r="I1480" s="478">
        <v>79.180000000000007</v>
      </c>
      <c r="J1480" s="243">
        <v>46.765039999999999</v>
      </c>
      <c r="K1480" s="243">
        <v>19.874700000000001</v>
      </c>
      <c r="L1480" s="243">
        <v>26.890339999999998</v>
      </c>
    </row>
    <row r="1481" spans="1:12" ht="26.4" customHeight="1">
      <c r="A1481" s="288">
        <v>555</v>
      </c>
      <c r="B1481" s="523"/>
      <c r="C1481" s="288" t="s">
        <v>1210</v>
      </c>
      <c r="D1481" s="289" t="s">
        <v>1501</v>
      </c>
      <c r="E1481" s="289" t="s">
        <v>1255</v>
      </c>
      <c r="F1481" s="218">
        <v>51304</v>
      </c>
      <c r="G1481" s="237" t="s">
        <v>1569</v>
      </c>
      <c r="H1481" s="475" t="s">
        <v>631</v>
      </c>
      <c r="I1481" s="478">
        <v>128.5</v>
      </c>
      <c r="J1481" s="243">
        <v>83.926670000000001</v>
      </c>
      <c r="K1481" s="243">
        <v>29.93432</v>
      </c>
      <c r="L1481" s="243">
        <v>53.992350000000002</v>
      </c>
    </row>
    <row r="1482" spans="1:12" ht="26.4" customHeight="1">
      <c r="A1482" s="288">
        <v>556</v>
      </c>
      <c r="B1482" s="523"/>
      <c r="C1482" s="288" t="s">
        <v>1210</v>
      </c>
      <c r="D1482" s="289" t="s">
        <v>1502</v>
      </c>
      <c r="E1482" s="289" t="s">
        <v>2243</v>
      </c>
      <c r="F1482" s="218">
        <v>22497</v>
      </c>
      <c r="G1482" s="237" t="s">
        <v>1542</v>
      </c>
      <c r="H1482" s="475" t="s">
        <v>1149</v>
      </c>
      <c r="I1482" s="207">
        <v>351.7</v>
      </c>
      <c r="J1482" s="243">
        <v>227.39901</v>
      </c>
      <c r="K1482" s="243">
        <v>69.313689999999994</v>
      </c>
      <c r="L1482" s="243">
        <v>158.08532</v>
      </c>
    </row>
    <row r="1483" spans="1:12" ht="26.4" customHeight="1">
      <c r="A1483" s="288">
        <v>557</v>
      </c>
      <c r="B1483" s="523"/>
      <c r="C1483" s="288" t="s">
        <v>1210</v>
      </c>
      <c r="D1483" s="289" t="s">
        <v>1503</v>
      </c>
      <c r="E1483" s="289" t="s">
        <v>632</v>
      </c>
      <c r="F1483" s="218">
        <v>22496</v>
      </c>
      <c r="G1483" s="237" t="s">
        <v>1564</v>
      </c>
      <c r="H1483" s="475" t="s">
        <v>1138</v>
      </c>
      <c r="I1483" s="478">
        <v>1</v>
      </c>
      <c r="J1483" s="243">
        <v>47.395000000000003</v>
      </c>
      <c r="K1483" s="243">
        <v>23.325839999999999</v>
      </c>
      <c r="L1483" s="243">
        <v>24.06916</v>
      </c>
    </row>
    <row r="1484" spans="1:12" ht="26.4" customHeight="1">
      <c r="A1484" s="288">
        <v>558</v>
      </c>
      <c r="B1484" s="523"/>
      <c r="C1484" s="288" t="s">
        <v>1210</v>
      </c>
      <c r="D1484" s="289" t="s">
        <v>1503</v>
      </c>
      <c r="E1484" s="289" t="s">
        <v>1921</v>
      </c>
      <c r="F1484" s="218">
        <v>51425</v>
      </c>
      <c r="G1484" s="237" t="s">
        <v>1576</v>
      </c>
      <c r="H1484" s="475" t="s">
        <v>631</v>
      </c>
      <c r="I1484" s="478">
        <v>155</v>
      </c>
      <c r="J1484" s="243">
        <v>77.808449999999993</v>
      </c>
      <c r="K1484" s="243">
        <v>18.50648</v>
      </c>
      <c r="L1484" s="243">
        <v>59.301969999999997</v>
      </c>
    </row>
    <row r="1485" spans="1:12" ht="26.4" customHeight="1">
      <c r="A1485" s="288">
        <v>559</v>
      </c>
      <c r="B1485" s="523"/>
      <c r="C1485" s="288" t="s">
        <v>1210</v>
      </c>
      <c r="D1485" s="289" t="s">
        <v>1504</v>
      </c>
      <c r="E1485" s="289" t="s">
        <v>1266</v>
      </c>
      <c r="F1485" s="218">
        <v>52201</v>
      </c>
      <c r="G1485" s="237" t="s">
        <v>1570</v>
      </c>
      <c r="H1485" s="475" t="s">
        <v>1138</v>
      </c>
      <c r="I1485" s="478">
        <v>1</v>
      </c>
      <c r="J1485" s="243">
        <v>0.16</v>
      </c>
      <c r="K1485" s="243">
        <v>4.6489999999999997E-2</v>
      </c>
      <c r="L1485" s="243">
        <v>0.11351</v>
      </c>
    </row>
    <row r="1486" spans="1:12" ht="26.4" customHeight="1">
      <c r="A1486" s="288">
        <v>560</v>
      </c>
      <c r="B1486" s="523"/>
      <c r="C1486" s="288" t="s">
        <v>1210</v>
      </c>
      <c r="D1486" s="289" t="s">
        <v>2133</v>
      </c>
      <c r="E1486" s="289" t="s">
        <v>2244</v>
      </c>
      <c r="F1486" s="218">
        <v>43713</v>
      </c>
      <c r="G1486" s="237" t="s">
        <v>1558</v>
      </c>
      <c r="H1486" s="475" t="s">
        <v>1149</v>
      </c>
      <c r="I1486" s="207">
        <v>88.5</v>
      </c>
      <c r="J1486" s="243">
        <v>193.06620000000001</v>
      </c>
      <c r="K1486" s="243">
        <v>48.079909999999998</v>
      </c>
      <c r="L1486" s="243">
        <v>144.98629</v>
      </c>
    </row>
    <row r="1487" spans="1:12" ht="26.4" customHeight="1">
      <c r="A1487" s="288">
        <v>561</v>
      </c>
      <c r="B1487" s="523"/>
      <c r="C1487" s="288" t="s">
        <v>1210</v>
      </c>
      <c r="D1487" s="289" t="s">
        <v>2133</v>
      </c>
      <c r="E1487" s="289" t="s">
        <v>1919</v>
      </c>
      <c r="F1487" s="218">
        <v>2092</v>
      </c>
      <c r="G1487" s="237" t="s">
        <v>1558</v>
      </c>
      <c r="H1487" s="475" t="s">
        <v>631</v>
      </c>
      <c r="I1487" s="478">
        <v>84</v>
      </c>
      <c r="J1487" s="243">
        <v>23.342759999999998</v>
      </c>
      <c r="K1487" s="243">
        <v>7.4369100000000001</v>
      </c>
      <c r="L1487" s="243">
        <v>15.905849999999999</v>
      </c>
    </row>
    <row r="1488" spans="1:12" ht="26.4" customHeight="1">
      <c r="A1488" s="288">
        <v>562</v>
      </c>
      <c r="B1488" s="523"/>
      <c r="C1488" s="288" t="s">
        <v>1210</v>
      </c>
      <c r="D1488" s="289" t="s">
        <v>2133</v>
      </c>
      <c r="E1488" s="289" t="s">
        <v>1919</v>
      </c>
      <c r="F1488" s="218">
        <v>2093</v>
      </c>
      <c r="G1488" s="237" t="s">
        <v>1558</v>
      </c>
      <c r="H1488" s="475" t="s">
        <v>631</v>
      </c>
      <c r="I1488" s="478">
        <v>45</v>
      </c>
      <c r="J1488" s="243">
        <v>12.505050000000001</v>
      </c>
      <c r="K1488" s="243">
        <v>3.984</v>
      </c>
      <c r="L1488" s="243">
        <v>8.5210500000000007</v>
      </c>
    </row>
    <row r="1489" spans="1:12" ht="26.4" customHeight="1">
      <c r="A1489" s="288">
        <v>563</v>
      </c>
      <c r="B1489" s="523"/>
      <c r="C1489" s="288" t="s">
        <v>1210</v>
      </c>
      <c r="D1489" s="289" t="s">
        <v>2133</v>
      </c>
      <c r="E1489" s="289" t="s">
        <v>1919</v>
      </c>
      <c r="F1489" s="218">
        <v>11191</v>
      </c>
      <c r="G1489" s="237" t="s">
        <v>1547</v>
      </c>
      <c r="H1489" s="475" t="s">
        <v>631</v>
      </c>
      <c r="I1489" s="478">
        <v>88</v>
      </c>
      <c r="J1489" s="243">
        <v>213.63737</v>
      </c>
      <c r="K1489" s="243">
        <v>46.288319999999999</v>
      </c>
      <c r="L1489" s="243">
        <v>167.34905000000001</v>
      </c>
    </row>
    <row r="1490" spans="1:12" ht="26.4" customHeight="1">
      <c r="A1490" s="288">
        <v>564</v>
      </c>
      <c r="B1490" s="523"/>
      <c r="C1490" s="288" t="s">
        <v>1210</v>
      </c>
      <c r="D1490" s="289" t="s">
        <v>2133</v>
      </c>
      <c r="E1490" s="289" t="s">
        <v>1919</v>
      </c>
      <c r="F1490" s="218">
        <v>21019</v>
      </c>
      <c r="G1490" s="237" t="s">
        <v>1547</v>
      </c>
      <c r="H1490" s="475" t="s">
        <v>631</v>
      </c>
      <c r="I1490" s="478">
        <v>11</v>
      </c>
      <c r="J1490" s="243">
        <v>27.34704</v>
      </c>
      <c r="K1490" s="243">
        <v>5.7729600000000003</v>
      </c>
      <c r="L1490" s="243">
        <v>21.574079999999999</v>
      </c>
    </row>
    <row r="1491" spans="1:12" ht="26.4" customHeight="1">
      <c r="A1491" s="288">
        <v>565</v>
      </c>
      <c r="B1491" s="523"/>
      <c r="C1491" s="288" t="s">
        <v>1210</v>
      </c>
      <c r="D1491" s="289" t="s">
        <v>2133</v>
      </c>
      <c r="E1491" s="289" t="s">
        <v>1919</v>
      </c>
      <c r="F1491" s="218">
        <v>43714</v>
      </c>
      <c r="G1491" s="237" t="s">
        <v>1558</v>
      </c>
      <c r="H1491" s="475" t="s">
        <v>631</v>
      </c>
      <c r="I1491" s="478">
        <v>29</v>
      </c>
      <c r="J1491" s="243">
        <v>8.0592900000000007</v>
      </c>
      <c r="K1491" s="243">
        <v>2.5676600000000001</v>
      </c>
      <c r="L1491" s="243">
        <v>5.4916299999999998</v>
      </c>
    </row>
    <row r="1492" spans="1:12" ht="26.4" customHeight="1">
      <c r="A1492" s="288">
        <v>566</v>
      </c>
      <c r="B1492" s="523"/>
      <c r="C1492" s="288" t="s">
        <v>1210</v>
      </c>
      <c r="D1492" s="289" t="s">
        <v>2133</v>
      </c>
      <c r="E1492" s="289" t="s">
        <v>1267</v>
      </c>
      <c r="F1492" s="218">
        <v>43715</v>
      </c>
      <c r="G1492" s="237" t="s">
        <v>1558</v>
      </c>
      <c r="H1492" s="475" t="s">
        <v>1138</v>
      </c>
      <c r="I1492" s="478">
        <v>1</v>
      </c>
      <c r="J1492" s="243">
        <v>0.24160000000000001</v>
      </c>
      <c r="K1492" s="243">
        <v>0.24160000000000001</v>
      </c>
      <c r="L1492" s="243">
        <v>0</v>
      </c>
    </row>
    <row r="1493" spans="1:12" ht="26.4" customHeight="1">
      <c r="A1493" s="288">
        <v>567</v>
      </c>
      <c r="B1493" s="523"/>
      <c r="C1493" s="288" t="s">
        <v>1210</v>
      </c>
      <c r="D1493" s="289" t="s">
        <v>2133</v>
      </c>
      <c r="E1493" s="289" t="s">
        <v>1145</v>
      </c>
      <c r="F1493" s="218">
        <v>43716</v>
      </c>
      <c r="G1493" s="237" t="s">
        <v>1558</v>
      </c>
      <c r="H1493" s="475" t="s">
        <v>1138</v>
      </c>
      <c r="I1493" s="478">
        <v>1</v>
      </c>
      <c r="J1493" s="243">
        <v>0.24560000000000001</v>
      </c>
      <c r="K1493" s="243">
        <v>0.24560000000000001</v>
      </c>
      <c r="L1493" s="243">
        <v>0</v>
      </c>
    </row>
    <row r="1494" spans="1:12" ht="26.4" customHeight="1">
      <c r="A1494" s="288">
        <v>568</v>
      </c>
      <c r="B1494" s="523"/>
      <c r="C1494" s="288" t="s">
        <v>1210</v>
      </c>
      <c r="D1494" s="289" t="s">
        <v>2133</v>
      </c>
      <c r="E1494" s="289" t="s">
        <v>1215</v>
      </c>
      <c r="F1494" s="218">
        <v>43720</v>
      </c>
      <c r="G1494" s="237" t="s">
        <v>1558</v>
      </c>
      <c r="H1494" s="475" t="s">
        <v>1138</v>
      </c>
      <c r="I1494" s="478">
        <v>1</v>
      </c>
      <c r="J1494" s="243">
        <v>2.2999999999999998</v>
      </c>
      <c r="K1494" s="243">
        <v>0.70809</v>
      </c>
      <c r="L1494" s="243">
        <v>1.5919099999999999</v>
      </c>
    </row>
    <row r="1495" spans="1:12" ht="26.4" customHeight="1">
      <c r="A1495" s="288">
        <v>569</v>
      </c>
      <c r="B1495" s="523"/>
      <c r="C1495" s="288" t="s">
        <v>1210</v>
      </c>
      <c r="D1495" s="289" t="s">
        <v>2355</v>
      </c>
      <c r="E1495" s="289" t="s">
        <v>2245</v>
      </c>
      <c r="F1495" s="218">
        <v>18394</v>
      </c>
      <c r="G1495" s="237" t="s">
        <v>1557</v>
      </c>
      <c r="H1495" s="475" t="s">
        <v>1149</v>
      </c>
      <c r="I1495" s="207">
        <v>571.20000000000005</v>
      </c>
      <c r="J1495" s="243">
        <v>1280.5627500000001</v>
      </c>
      <c r="K1495" s="243">
        <v>844.86928999999998</v>
      </c>
      <c r="L1495" s="243">
        <v>435.69346000000002</v>
      </c>
    </row>
    <row r="1496" spans="1:12" ht="26.4" customHeight="1">
      <c r="A1496" s="288">
        <v>570</v>
      </c>
      <c r="B1496" s="523"/>
      <c r="C1496" s="288" t="s">
        <v>1210</v>
      </c>
      <c r="D1496" s="289" t="s">
        <v>2356</v>
      </c>
      <c r="E1496" s="289" t="s">
        <v>1919</v>
      </c>
      <c r="F1496" s="218">
        <v>2142</v>
      </c>
      <c r="G1496" s="237" t="s">
        <v>1542</v>
      </c>
      <c r="H1496" s="475" t="s">
        <v>631</v>
      </c>
      <c r="I1496" s="478">
        <v>188</v>
      </c>
      <c r="J1496" s="243">
        <v>18.993639999999999</v>
      </c>
      <c r="K1496" s="243">
        <v>14.285539999999999</v>
      </c>
      <c r="L1496" s="243">
        <v>4.7081</v>
      </c>
    </row>
    <row r="1497" spans="1:12" ht="26.4" customHeight="1">
      <c r="A1497" s="288">
        <v>571</v>
      </c>
      <c r="B1497" s="523"/>
      <c r="C1497" s="288" t="s">
        <v>1210</v>
      </c>
      <c r="D1497" s="289" t="s">
        <v>2357</v>
      </c>
      <c r="E1497" s="289" t="s">
        <v>1919</v>
      </c>
      <c r="F1497" s="218">
        <v>2143</v>
      </c>
      <c r="G1497" s="237" t="s">
        <v>1542</v>
      </c>
      <c r="H1497" s="475" t="s">
        <v>631</v>
      </c>
      <c r="I1497" s="478">
        <v>80</v>
      </c>
      <c r="J1497" s="243">
        <v>6.1551999999999998</v>
      </c>
      <c r="K1497" s="243">
        <v>4.6295500000000001</v>
      </c>
      <c r="L1497" s="243">
        <v>1.52565</v>
      </c>
    </row>
    <row r="1498" spans="1:12" ht="26.4" customHeight="1">
      <c r="A1498" s="288">
        <v>572</v>
      </c>
      <c r="B1498" s="523"/>
      <c r="C1498" s="288" t="s">
        <v>1210</v>
      </c>
      <c r="D1498" s="289" t="s">
        <v>2358</v>
      </c>
      <c r="E1498" s="289" t="s">
        <v>1919</v>
      </c>
      <c r="F1498" s="218">
        <v>2144</v>
      </c>
      <c r="G1498" s="237" t="s">
        <v>1542</v>
      </c>
      <c r="H1498" s="475" t="s">
        <v>631</v>
      </c>
      <c r="I1498" s="478">
        <v>177</v>
      </c>
      <c r="J1498" s="243">
        <v>13.61838</v>
      </c>
      <c r="K1498" s="243">
        <v>10.283569999999999</v>
      </c>
      <c r="L1498" s="243">
        <v>3.3348100000000001</v>
      </c>
    </row>
    <row r="1499" spans="1:12" ht="26.4" customHeight="1">
      <c r="A1499" s="288">
        <v>573</v>
      </c>
      <c r="B1499" s="523"/>
      <c r="C1499" s="288" t="s">
        <v>1210</v>
      </c>
      <c r="D1499" s="289" t="s">
        <v>2359</v>
      </c>
      <c r="E1499" s="289" t="s">
        <v>1919</v>
      </c>
      <c r="F1499" s="218">
        <v>2145</v>
      </c>
      <c r="G1499" s="237" t="s">
        <v>1542</v>
      </c>
      <c r="H1499" s="475" t="s">
        <v>631</v>
      </c>
      <c r="I1499" s="478">
        <v>90</v>
      </c>
      <c r="J1499" s="243">
        <v>6.9245999999999999</v>
      </c>
      <c r="K1499" s="243">
        <v>5.2081799999999996</v>
      </c>
      <c r="L1499" s="243">
        <v>1.7164200000000001</v>
      </c>
    </row>
    <row r="1500" spans="1:12" ht="26.4" customHeight="1">
      <c r="A1500" s="288">
        <v>574</v>
      </c>
      <c r="B1500" s="523"/>
      <c r="C1500" s="288" t="s">
        <v>1210</v>
      </c>
      <c r="D1500" s="289" t="s">
        <v>2360</v>
      </c>
      <c r="E1500" s="289" t="s">
        <v>1919</v>
      </c>
      <c r="F1500" s="218">
        <v>2146</v>
      </c>
      <c r="G1500" s="237" t="s">
        <v>1534</v>
      </c>
      <c r="H1500" s="475" t="s">
        <v>631</v>
      </c>
      <c r="I1500" s="478">
        <v>108</v>
      </c>
      <c r="J1500" s="243">
        <v>3.9862799999999998</v>
      </c>
      <c r="K1500" s="243">
        <v>2.5206200000000001</v>
      </c>
      <c r="L1500" s="243">
        <v>1.46566</v>
      </c>
    </row>
    <row r="1501" spans="1:12" ht="26.4" customHeight="1">
      <c r="A1501" s="288">
        <v>575</v>
      </c>
      <c r="B1501" s="523"/>
      <c r="C1501" s="288" t="s">
        <v>1210</v>
      </c>
      <c r="D1501" s="289" t="s">
        <v>2361</v>
      </c>
      <c r="E1501" s="289" t="s">
        <v>1919</v>
      </c>
      <c r="F1501" s="218">
        <v>2147</v>
      </c>
      <c r="G1501" s="237" t="s">
        <v>1534</v>
      </c>
      <c r="H1501" s="475" t="s">
        <v>631</v>
      </c>
      <c r="I1501" s="478">
        <v>521</v>
      </c>
      <c r="J1501" s="243">
        <v>19.23011</v>
      </c>
      <c r="K1501" s="243">
        <v>12.15973</v>
      </c>
      <c r="L1501" s="243">
        <v>7.0703800000000001</v>
      </c>
    </row>
    <row r="1502" spans="1:12" ht="26.4" customHeight="1">
      <c r="A1502" s="288">
        <v>576</v>
      </c>
      <c r="B1502" s="523"/>
      <c r="C1502" s="288" t="s">
        <v>1210</v>
      </c>
      <c r="D1502" s="289" t="s">
        <v>2362</v>
      </c>
      <c r="E1502" s="289" t="s">
        <v>1919</v>
      </c>
      <c r="F1502" s="218">
        <v>2148</v>
      </c>
      <c r="G1502" s="237" t="s">
        <v>1534</v>
      </c>
      <c r="H1502" s="475" t="s">
        <v>631</v>
      </c>
      <c r="I1502" s="478">
        <v>77</v>
      </c>
      <c r="J1502" s="243">
        <v>2.8420700000000001</v>
      </c>
      <c r="K1502" s="243">
        <v>1.7970900000000001</v>
      </c>
      <c r="L1502" s="243">
        <v>1.04498</v>
      </c>
    </row>
    <row r="1503" spans="1:12" ht="26.4" customHeight="1">
      <c r="A1503" s="288">
        <v>577</v>
      </c>
      <c r="B1503" s="523"/>
      <c r="C1503" s="288" t="s">
        <v>1210</v>
      </c>
      <c r="D1503" s="289" t="s">
        <v>2363</v>
      </c>
      <c r="E1503" s="289" t="s">
        <v>1919</v>
      </c>
      <c r="F1503" s="218">
        <v>2149</v>
      </c>
      <c r="G1503" s="237" t="s">
        <v>1534</v>
      </c>
      <c r="H1503" s="475" t="s">
        <v>631</v>
      </c>
      <c r="I1503" s="478">
        <v>168</v>
      </c>
      <c r="J1503" s="243">
        <v>3.1298400000000002</v>
      </c>
      <c r="K1503" s="243">
        <v>1.97905</v>
      </c>
      <c r="L1503" s="243">
        <v>1.15079</v>
      </c>
    </row>
    <row r="1504" spans="1:12" ht="26.4" customHeight="1">
      <c r="A1504" s="288">
        <v>578</v>
      </c>
      <c r="B1504" s="523"/>
      <c r="C1504" s="288" t="s">
        <v>1210</v>
      </c>
      <c r="D1504" s="289" t="s">
        <v>2364</v>
      </c>
      <c r="E1504" s="289" t="s">
        <v>1919</v>
      </c>
      <c r="F1504" s="218">
        <v>2150</v>
      </c>
      <c r="G1504" s="237" t="s">
        <v>1534</v>
      </c>
      <c r="H1504" s="475" t="s">
        <v>631</v>
      </c>
      <c r="I1504" s="478">
        <v>76</v>
      </c>
      <c r="J1504" s="243">
        <v>1.41588</v>
      </c>
      <c r="K1504" s="243">
        <v>0.89536000000000004</v>
      </c>
      <c r="L1504" s="243">
        <v>0.52051999999999998</v>
      </c>
    </row>
    <row r="1505" spans="1:12" ht="26.4" customHeight="1">
      <c r="A1505" s="288">
        <v>579</v>
      </c>
      <c r="B1505" s="523"/>
      <c r="C1505" s="288" t="s">
        <v>1210</v>
      </c>
      <c r="D1505" s="289" t="s">
        <v>2365</v>
      </c>
      <c r="E1505" s="289" t="s">
        <v>1919</v>
      </c>
      <c r="F1505" s="218">
        <v>2151</v>
      </c>
      <c r="G1505" s="237" t="s">
        <v>1534</v>
      </c>
      <c r="H1505" s="475" t="s">
        <v>631</v>
      </c>
      <c r="I1505" s="478">
        <v>174</v>
      </c>
      <c r="J1505" s="243">
        <v>3.2416200000000002</v>
      </c>
      <c r="K1505" s="243">
        <v>2.0497899999999998</v>
      </c>
      <c r="L1505" s="243">
        <v>1.1918299999999999</v>
      </c>
    </row>
    <row r="1506" spans="1:12" ht="26.4" customHeight="1">
      <c r="A1506" s="288">
        <v>580</v>
      </c>
      <c r="B1506" s="523"/>
      <c r="C1506" s="288" t="s">
        <v>1210</v>
      </c>
      <c r="D1506" s="289" t="s">
        <v>2366</v>
      </c>
      <c r="E1506" s="289" t="s">
        <v>1919</v>
      </c>
      <c r="F1506" s="218">
        <v>2152</v>
      </c>
      <c r="G1506" s="237" t="s">
        <v>1534</v>
      </c>
      <c r="H1506" s="475" t="s">
        <v>631</v>
      </c>
      <c r="I1506" s="478">
        <v>187</v>
      </c>
      <c r="J1506" s="243">
        <v>3.4838100000000001</v>
      </c>
      <c r="K1506" s="243">
        <v>2.2029200000000002</v>
      </c>
      <c r="L1506" s="243">
        <v>1.2808900000000001</v>
      </c>
    </row>
    <row r="1507" spans="1:12" ht="26.4" customHeight="1">
      <c r="A1507" s="288">
        <v>581</v>
      </c>
      <c r="B1507" s="523"/>
      <c r="C1507" s="288" t="s">
        <v>1210</v>
      </c>
      <c r="D1507" s="289" t="s">
        <v>2367</v>
      </c>
      <c r="E1507" s="289" t="s">
        <v>1919</v>
      </c>
      <c r="F1507" s="218">
        <v>2153</v>
      </c>
      <c r="G1507" s="237" t="s">
        <v>1534</v>
      </c>
      <c r="H1507" s="475" t="s">
        <v>631</v>
      </c>
      <c r="I1507" s="478">
        <v>102</v>
      </c>
      <c r="J1507" s="243">
        <v>1.9002600000000001</v>
      </c>
      <c r="K1507" s="243">
        <v>1.2016199999999999</v>
      </c>
      <c r="L1507" s="243">
        <v>0.69864000000000004</v>
      </c>
    </row>
    <row r="1508" spans="1:12" ht="26.4" customHeight="1">
      <c r="A1508" s="288">
        <v>582</v>
      </c>
      <c r="B1508" s="523"/>
      <c r="C1508" s="288" t="s">
        <v>1210</v>
      </c>
      <c r="D1508" s="289" t="s">
        <v>2368</v>
      </c>
      <c r="E1508" s="289" t="s">
        <v>1919</v>
      </c>
      <c r="F1508" s="218">
        <v>2154</v>
      </c>
      <c r="G1508" s="237" t="s">
        <v>1534</v>
      </c>
      <c r="H1508" s="475" t="s">
        <v>631</v>
      </c>
      <c r="I1508" s="478">
        <v>199</v>
      </c>
      <c r="J1508" s="243">
        <v>3.7073700000000001</v>
      </c>
      <c r="K1508" s="243">
        <v>2.34429</v>
      </c>
      <c r="L1508" s="243">
        <v>1.3630800000000001</v>
      </c>
    </row>
    <row r="1509" spans="1:12" ht="26.4" customHeight="1">
      <c r="A1509" s="288">
        <v>583</v>
      </c>
      <c r="B1509" s="523"/>
      <c r="C1509" s="288" t="s">
        <v>1210</v>
      </c>
      <c r="D1509" s="289" t="s">
        <v>2369</v>
      </c>
      <c r="E1509" s="289" t="s">
        <v>1919</v>
      </c>
      <c r="F1509" s="218">
        <v>2155</v>
      </c>
      <c r="G1509" s="237" t="s">
        <v>1534</v>
      </c>
      <c r="H1509" s="475" t="s">
        <v>631</v>
      </c>
      <c r="I1509" s="478">
        <v>140</v>
      </c>
      <c r="J1509" s="243">
        <v>2.6082000000000001</v>
      </c>
      <c r="K1509" s="243">
        <v>1.6492500000000001</v>
      </c>
      <c r="L1509" s="243">
        <v>0.95894999999999997</v>
      </c>
    </row>
    <row r="1510" spans="1:12" ht="26.4" customHeight="1">
      <c r="A1510" s="288">
        <v>584</v>
      </c>
      <c r="B1510" s="523"/>
      <c r="C1510" s="288" t="s">
        <v>1210</v>
      </c>
      <c r="D1510" s="289" t="s">
        <v>2370</v>
      </c>
      <c r="E1510" s="289" t="s">
        <v>1919</v>
      </c>
      <c r="F1510" s="218">
        <v>2156</v>
      </c>
      <c r="G1510" s="237" t="s">
        <v>1534</v>
      </c>
      <c r="H1510" s="475" t="s">
        <v>631</v>
      </c>
      <c r="I1510" s="478">
        <v>80</v>
      </c>
      <c r="J1510" s="243">
        <v>1.4903999999999999</v>
      </c>
      <c r="K1510" s="243">
        <v>0.94244000000000006</v>
      </c>
      <c r="L1510" s="243">
        <v>0.54796</v>
      </c>
    </row>
    <row r="1511" spans="1:12" ht="26.4" customHeight="1">
      <c r="A1511" s="288">
        <v>585</v>
      </c>
      <c r="B1511" s="523"/>
      <c r="C1511" s="288" t="s">
        <v>1210</v>
      </c>
      <c r="D1511" s="289" t="s">
        <v>2371</v>
      </c>
      <c r="E1511" s="289" t="s">
        <v>1919</v>
      </c>
      <c r="F1511" s="218">
        <v>2157</v>
      </c>
      <c r="G1511" s="237" t="s">
        <v>1534</v>
      </c>
      <c r="H1511" s="475" t="s">
        <v>631</v>
      </c>
      <c r="I1511" s="478">
        <v>79</v>
      </c>
      <c r="J1511" s="243">
        <v>1.47177</v>
      </c>
      <c r="K1511" s="243">
        <v>0.93067</v>
      </c>
      <c r="L1511" s="243">
        <v>0.54110000000000003</v>
      </c>
    </row>
    <row r="1512" spans="1:12" ht="26.4" customHeight="1">
      <c r="A1512" s="288">
        <v>586</v>
      </c>
      <c r="B1512" s="523"/>
      <c r="C1512" s="288" t="s">
        <v>1210</v>
      </c>
      <c r="D1512" s="289" t="s">
        <v>2372</v>
      </c>
      <c r="E1512" s="289" t="s">
        <v>1268</v>
      </c>
      <c r="F1512" s="218">
        <v>18002</v>
      </c>
      <c r="G1512" s="237" t="s">
        <v>1534</v>
      </c>
      <c r="H1512" s="475" t="s">
        <v>1138</v>
      </c>
      <c r="I1512" s="478">
        <v>1</v>
      </c>
      <c r="J1512" s="243">
        <v>0.23</v>
      </c>
      <c r="K1512" s="243">
        <v>0.11322</v>
      </c>
      <c r="L1512" s="243">
        <v>0.11677999999999999</v>
      </c>
    </row>
    <row r="1513" spans="1:12" ht="26.4" customHeight="1">
      <c r="A1513" s="288">
        <v>587</v>
      </c>
      <c r="B1513" s="523"/>
      <c r="C1513" s="288" t="s">
        <v>1210</v>
      </c>
      <c r="D1513" s="289" t="s">
        <v>2373</v>
      </c>
      <c r="E1513" s="204" t="s">
        <v>2335</v>
      </c>
      <c r="F1513" s="218">
        <v>18005</v>
      </c>
      <c r="G1513" s="237" t="s">
        <v>1569</v>
      </c>
      <c r="H1513" s="475" t="s">
        <v>1138</v>
      </c>
      <c r="I1513" s="478">
        <v>1</v>
      </c>
      <c r="J1513" s="243">
        <v>3.5</v>
      </c>
      <c r="K1513" s="243">
        <v>3.15036</v>
      </c>
      <c r="L1513" s="243">
        <v>0.34964000000000001</v>
      </c>
    </row>
    <row r="1514" spans="1:12" ht="26.4" customHeight="1">
      <c r="A1514" s="288">
        <v>588</v>
      </c>
      <c r="B1514" s="523"/>
      <c r="C1514" s="288" t="s">
        <v>1210</v>
      </c>
      <c r="D1514" s="289" t="s">
        <v>2374</v>
      </c>
      <c r="E1514" s="289" t="s">
        <v>1919</v>
      </c>
      <c r="F1514" s="218">
        <v>18007</v>
      </c>
      <c r="G1514" s="237" t="s">
        <v>1569</v>
      </c>
      <c r="H1514" s="475" t="s">
        <v>631</v>
      </c>
      <c r="I1514" s="478">
        <v>50</v>
      </c>
      <c r="J1514" s="243">
        <v>20.864170000000001</v>
      </c>
      <c r="K1514" s="243">
        <v>7.4418499999999996</v>
      </c>
      <c r="L1514" s="243">
        <v>13.422319999999999</v>
      </c>
    </row>
    <row r="1515" spans="1:12" ht="26.4" customHeight="1">
      <c r="A1515" s="288">
        <v>589</v>
      </c>
      <c r="B1515" s="523"/>
      <c r="C1515" s="288" t="s">
        <v>1210</v>
      </c>
      <c r="D1515" s="289" t="s">
        <v>2354</v>
      </c>
      <c r="E1515" s="289" t="s">
        <v>1919</v>
      </c>
      <c r="F1515" s="218">
        <v>18300</v>
      </c>
      <c r="G1515" s="237" t="s">
        <v>1542</v>
      </c>
      <c r="H1515" s="475" t="s">
        <v>631</v>
      </c>
      <c r="I1515" s="478">
        <v>119</v>
      </c>
      <c r="J1515" s="243">
        <v>12.023239999999999</v>
      </c>
      <c r="K1515" s="243">
        <v>9.04298</v>
      </c>
      <c r="L1515" s="243">
        <v>2.9802599999999999</v>
      </c>
    </row>
    <row r="1516" spans="1:12" ht="26.4" customHeight="1">
      <c r="A1516" s="288">
        <v>590</v>
      </c>
      <c r="B1516" s="523"/>
      <c r="C1516" s="288" t="s">
        <v>1210</v>
      </c>
      <c r="D1516" s="289" t="s">
        <v>2354</v>
      </c>
      <c r="E1516" s="204" t="s">
        <v>1141</v>
      </c>
      <c r="F1516" s="218">
        <v>18390</v>
      </c>
      <c r="G1516" s="237" t="s">
        <v>1534</v>
      </c>
      <c r="H1516" s="475" t="s">
        <v>1138</v>
      </c>
      <c r="I1516" s="478">
        <v>1</v>
      </c>
      <c r="J1516" s="243">
        <v>1.1000000000000001</v>
      </c>
      <c r="K1516" s="243">
        <v>0.68250999999999995</v>
      </c>
      <c r="L1516" s="243">
        <v>0.41749000000000003</v>
      </c>
    </row>
    <row r="1517" spans="1:12" ht="26.4" customHeight="1">
      <c r="A1517" s="288">
        <v>591</v>
      </c>
      <c r="B1517" s="523"/>
      <c r="C1517" s="288" t="s">
        <v>1210</v>
      </c>
      <c r="D1517" s="289" t="s">
        <v>2354</v>
      </c>
      <c r="E1517" s="289" t="s">
        <v>638</v>
      </c>
      <c r="F1517" s="218">
        <v>18395</v>
      </c>
      <c r="G1517" s="237" t="s">
        <v>1534</v>
      </c>
      <c r="H1517" s="475" t="s">
        <v>1138</v>
      </c>
      <c r="I1517" s="478">
        <v>1</v>
      </c>
      <c r="J1517" s="243">
        <v>8.8780000000000001</v>
      </c>
      <c r="K1517" s="243">
        <v>6.0090700000000004</v>
      </c>
      <c r="L1517" s="243">
        <v>2.8689300000000002</v>
      </c>
    </row>
    <row r="1518" spans="1:12" ht="26.4" customHeight="1">
      <c r="A1518" s="288">
        <v>592</v>
      </c>
      <c r="B1518" s="523"/>
      <c r="C1518" s="288" t="s">
        <v>1210</v>
      </c>
      <c r="D1518" s="289" t="s">
        <v>2354</v>
      </c>
      <c r="E1518" s="289" t="s">
        <v>1931</v>
      </c>
      <c r="F1518" s="218">
        <v>18417</v>
      </c>
      <c r="G1518" s="237" t="s">
        <v>1542</v>
      </c>
      <c r="H1518" s="475" t="s">
        <v>631</v>
      </c>
      <c r="I1518" s="478">
        <v>95</v>
      </c>
      <c r="J1518" s="243">
        <v>7.3119399999999999</v>
      </c>
      <c r="K1518" s="243">
        <v>5.4587700000000003</v>
      </c>
      <c r="L1518" s="243">
        <v>1.85317</v>
      </c>
    </row>
    <row r="1519" spans="1:12" ht="26.4" customHeight="1">
      <c r="A1519" s="288">
        <v>593</v>
      </c>
      <c r="B1519" s="523"/>
      <c r="C1519" s="288" t="s">
        <v>1210</v>
      </c>
      <c r="D1519" s="289" t="s">
        <v>2354</v>
      </c>
      <c r="E1519" s="289" t="s">
        <v>1931</v>
      </c>
      <c r="F1519" s="218">
        <v>18500</v>
      </c>
      <c r="G1519" s="237" t="s">
        <v>1534</v>
      </c>
      <c r="H1519" s="475" t="s">
        <v>631</v>
      </c>
      <c r="I1519" s="478">
        <v>30</v>
      </c>
      <c r="J1519" s="243">
        <v>1.10877</v>
      </c>
      <c r="K1519" s="243">
        <v>0.70108999999999999</v>
      </c>
      <c r="L1519" s="243">
        <v>0.40767999999999999</v>
      </c>
    </row>
    <row r="1520" spans="1:12" ht="26.4" customHeight="1">
      <c r="A1520" s="288">
        <v>594</v>
      </c>
      <c r="B1520" s="523"/>
      <c r="C1520" s="288" t="s">
        <v>1210</v>
      </c>
      <c r="D1520" s="289" t="s">
        <v>2354</v>
      </c>
      <c r="E1520" s="289" t="s">
        <v>2300</v>
      </c>
      <c r="F1520" s="218">
        <v>18566</v>
      </c>
      <c r="G1520" s="237" t="s">
        <v>1560</v>
      </c>
      <c r="H1520" s="475" t="s">
        <v>1149</v>
      </c>
      <c r="I1520" s="246">
        <v>281</v>
      </c>
      <c r="J1520" s="243">
        <v>95.342290000000006</v>
      </c>
      <c r="K1520" s="243">
        <v>45.879170000000002</v>
      </c>
      <c r="L1520" s="243">
        <v>49.463120000000004</v>
      </c>
    </row>
    <row r="1521" spans="1:12" ht="26.4" customHeight="1">
      <c r="A1521" s="288">
        <v>595</v>
      </c>
      <c r="B1521" s="523"/>
      <c r="C1521" s="288" t="s">
        <v>1210</v>
      </c>
      <c r="D1521" s="289" t="s">
        <v>2354</v>
      </c>
      <c r="E1521" s="289" t="s">
        <v>1919</v>
      </c>
      <c r="F1521" s="218">
        <v>18573</v>
      </c>
      <c r="G1521" s="237" t="s">
        <v>1534</v>
      </c>
      <c r="H1521" s="475" t="s">
        <v>631</v>
      </c>
      <c r="I1521" s="478" t="s">
        <v>637</v>
      </c>
      <c r="J1521" s="243">
        <v>3.59206</v>
      </c>
      <c r="K1521" s="243">
        <v>2.2714099999999999</v>
      </c>
      <c r="L1521" s="243">
        <v>1.3206500000000001</v>
      </c>
    </row>
    <row r="1522" spans="1:12" ht="26.4" customHeight="1">
      <c r="A1522" s="288">
        <v>596</v>
      </c>
      <c r="B1522" s="523"/>
      <c r="C1522" s="288" t="s">
        <v>1210</v>
      </c>
      <c r="D1522" s="289" t="s">
        <v>2211</v>
      </c>
      <c r="E1522" s="289" t="s">
        <v>2298</v>
      </c>
      <c r="F1522" s="218">
        <v>18574</v>
      </c>
      <c r="G1522" s="237" t="s">
        <v>1534</v>
      </c>
      <c r="H1522" s="475" t="s">
        <v>1149</v>
      </c>
      <c r="I1522" s="207">
        <v>274.89999999999998</v>
      </c>
      <c r="J1522" s="243">
        <v>124.39666</v>
      </c>
      <c r="K1522" s="243">
        <v>68.029660000000007</v>
      </c>
      <c r="L1522" s="243">
        <v>56.366999999999997</v>
      </c>
    </row>
    <row r="1523" spans="1:12" ht="26.4" customHeight="1">
      <c r="A1523" s="288">
        <v>597</v>
      </c>
      <c r="B1523" s="523"/>
      <c r="C1523" s="288" t="s">
        <v>1210</v>
      </c>
      <c r="D1523" s="289" t="s">
        <v>2212</v>
      </c>
      <c r="E1523" s="289" t="s">
        <v>2304</v>
      </c>
      <c r="F1523" s="218">
        <v>18576</v>
      </c>
      <c r="G1523" s="237" t="s">
        <v>1560</v>
      </c>
      <c r="H1523" s="475" t="s">
        <v>1149</v>
      </c>
      <c r="I1523" s="207">
        <v>350.8</v>
      </c>
      <c r="J1523" s="243">
        <v>472.69522999999998</v>
      </c>
      <c r="K1523" s="243">
        <v>172.48535999999999</v>
      </c>
      <c r="L1523" s="243">
        <v>300.20987000000002</v>
      </c>
    </row>
    <row r="1524" spans="1:12" ht="26.4" customHeight="1">
      <c r="A1524" s="288">
        <v>598</v>
      </c>
      <c r="B1524" s="523"/>
      <c r="C1524" s="288" t="s">
        <v>1210</v>
      </c>
      <c r="D1524" s="289" t="s">
        <v>2354</v>
      </c>
      <c r="E1524" s="289" t="s">
        <v>2305</v>
      </c>
      <c r="F1524" s="218">
        <v>29484</v>
      </c>
      <c r="G1524" s="237" t="s">
        <v>1534</v>
      </c>
      <c r="H1524" s="475" t="s">
        <v>1138</v>
      </c>
      <c r="I1524" s="478">
        <v>1</v>
      </c>
      <c r="J1524" s="243">
        <v>30.172630000000002</v>
      </c>
      <c r="K1524" s="243">
        <v>16.596550000000001</v>
      </c>
      <c r="L1524" s="243">
        <v>13.576079999999999</v>
      </c>
    </row>
    <row r="1525" spans="1:12" ht="26.4" customHeight="1">
      <c r="A1525" s="288">
        <v>599</v>
      </c>
      <c r="B1525" s="523"/>
      <c r="C1525" s="288" t="s">
        <v>1210</v>
      </c>
      <c r="D1525" s="289" t="s">
        <v>2354</v>
      </c>
      <c r="E1525" s="289" t="s">
        <v>2306</v>
      </c>
      <c r="F1525" s="218">
        <v>29486</v>
      </c>
      <c r="G1525" s="237" t="s">
        <v>1560</v>
      </c>
      <c r="H1525" s="475" t="s">
        <v>1138</v>
      </c>
      <c r="I1525" s="478">
        <v>1</v>
      </c>
      <c r="J1525" s="243">
        <v>47.423000000000002</v>
      </c>
      <c r="K1525" s="243">
        <v>22.98678</v>
      </c>
      <c r="L1525" s="243">
        <v>24.436219999999999</v>
      </c>
    </row>
    <row r="1526" spans="1:12" ht="26.4" customHeight="1">
      <c r="A1526" s="288">
        <v>600</v>
      </c>
      <c r="B1526" s="523"/>
      <c r="C1526" s="288" t="s">
        <v>1210</v>
      </c>
      <c r="D1526" s="289" t="s">
        <v>2354</v>
      </c>
      <c r="E1526" s="289" t="s">
        <v>1255</v>
      </c>
      <c r="F1526" s="218">
        <v>40018</v>
      </c>
      <c r="G1526" s="237" t="s">
        <v>1576</v>
      </c>
      <c r="H1526" s="475" t="s">
        <v>631</v>
      </c>
      <c r="I1526" s="478">
        <v>18</v>
      </c>
      <c r="J1526" s="243">
        <v>21.428370000000001</v>
      </c>
      <c r="K1526" s="243">
        <v>8.95364</v>
      </c>
      <c r="L1526" s="243">
        <v>12.474729999999999</v>
      </c>
    </row>
    <row r="1527" spans="1:12" ht="26.4" customHeight="1">
      <c r="A1527" s="288">
        <v>601</v>
      </c>
      <c r="B1527" s="523"/>
      <c r="C1527" s="288" t="s">
        <v>1210</v>
      </c>
      <c r="D1527" s="289" t="s">
        <v>2354</v>
      </c>
      <c r="E1527" s="289" t="s">
        <v>1255</v>
      </c>
      <c r="F1527" s="218">
        <v>40019</v>
      </c>
      <c r="G1527" s="237" t="s">
        <v>1576</v>
      </c>
      <c r="H1527" s="475" t="s">
        <v>631</v>
      </c>
      <c r="I1527" s="478">
        <v>22.62</v>
      </c>
      <c r="J1527" s="243">
        <v>24.227080000000001</v>
      </c>
      <c r="K1527" s="243">
        <v>9.9940499999999997</v>
      </c>
      <c r="L1527" s="243">
        <v>14.233029999999999</v>
      </c>
    </row>
    <row r="1528" spans="1:12" ht="26.4" customHeight="1">
      <c r="A1528" s="288">
        <v>602</v>
      </c>
      <c r="B1528" s="523"/>
      <c r="C1528" s="288" t="s">
        <v>1210</v>
      </c>
      <c r="D1528" s="289" t="s">
        <v>2354</v>
      </c>
      <c r="E1528" s="289" t="s">
        <v>632</v>
      </c>
      <c r="F1528" s="218">
        <v>41810</v>
      </c>
      <c r="G1528" s="237" t="s">
        <v>1534</v>
      </c>
      <c r="H1528" s="475" t="s">
        <v>1138</v>
      </c>
      <c r="I1528" s="478">
        <v>1</v>
      </c>
      <c r="J1528" s="243">
        <v>9</v>
      </c>
      <c r="K1528" s="243">
        <v>5.3464499999999999</v>
      </c>
      <c r="L1528" s="243">
        <v>3.6535500000000001</v>
      </c>
    </row>
    <row r="1529" spans="1:12" ht="26.4" customHeight="1">
      <c r="A1529" s="288">
        <v>603</v>
      </c>
      <c r="B1529" s="523"/>
      <c r="C1529" s="288" t="s">
        <v>1210</v>
      </c>
      <c r="D1529" s="289" t="s">
        <v>1505</v>
      </c>
      <c r="E1529" s="289" t="s">
        <v>2246</v>
      </c>
      <c r="F1529" s="218">
        <v>20437</v>
      </c>
      <c r="G1529" s="237" t="s">
        <v>1534</v>
      </c>
      <c r="H1529" s="475" t="s">
        <v>1149</v>
      </c>
      <c r="I1529" s="246">
        <v>557</v>
      </c>
      <c r="J1529" s="243">
        <v>1611.9127900000001</v>
      </c>
      <c r="K1529" s="243">
        <v>898.60487000000001</v>
      </c>
      <c r="L1529" s="243">
        <v>713.30791999999997</v>
      </c>
    </row>
    <row r="1530" spans="1:12" ht="26.4" customHeight="1">
      <c r="A1530" s="288">
        <v>604</v>
      </c>
      <c r="B1530" s="523"/>
      <c r="C1530" s="288" t="s">
        <v>1210</v>
      </c>
      <c r="D1530" s="289" t="s">
        <v>1505</v>
      </c>
      <c r="E1530" s="289" t="s">
        <v>1919</v>
      </c>
      <c r="F1530" s="218">
        <v>2158</v>
      </c>
      <c r="G1530" s="237" t="s">
        <v>1534</v>
      </c>
      <c r="H1530" s="475" t="s">
        <v>631</v>
      </c>
      <c r="I1530" s="478">
        <v>320</v>
      </c>
      <c r="J1530" s="243">
        <v>8.2048000000000005</v>
      </c>
      <c r="K1530" s="243">
        <v>2.4738699999999998</v>
      </c>
      <c r="L1530" s="243">
        <v>5.7309299999999999</v>
      </c>
    </row>
    <row r="1531" spans="1:12" ht="26.4" customHeight="1">
      <c r="A1531" s="288">
        <v>605</v>
      </c>
      <c r="B1531" s="523"/>
      <c r="C1531" s="288" t="s">
        <v>1210</v>
      </c>
      <c r="D1531" s="289" t="s">
        <v>1505</v>
      </c>
      <c r="E1531" s="289" t="s">
        <v>1919</v>
      </c>
      <c r="F1531" s="218">
        <v>2159</v>
      </c>
      <c r="G1531" s="237" t="s">
        <v>1534</v>
      </c>
      <c r="H1531" s="475" t="s">
        <v>631</v>
      </c>
      <c r="I1531" s="478">
        <v>276</v>
      </c>
      <c r="J1531" s="243">
        <v>7.0766400000000003</v>
      </c>
      <c r="K1531" s="243">
        <v>2.13375</v>
      </c>
      <c r="L1531" s="243">
        <v>4.9428900000000002</v>
      </c>
    </row>
    <row r="1532" spans="1:12" ht="26.4" customHeight="1">
      <c r="A1532" s="288">
        <v>606</v>
      </c>
      <c r="B1532" s="523"/>
      <c r="C1532" s="288" t="s">
        <v>1210</v>
      </c>
      <c r="D1532" s="289" t="s">
        <v>1505</v>
      </c>
      <c r="E1532" s="289" t="s">
        <v>1919</v>
      </c>
      <c r="F1532" s="218">
        <v>2160</v>
      </c>
      <c r="G1532" s="237" t="s">
        <v>1534</v>
      </c>
      <c r="H1532" s="475" t="s">
        <v>631</v>
      </c>
      <c r="I1532" s="478">
        <v>311</v>
      </c>
      <c r="J1532" s="243">
        <v>7.9740399999999996</v>
      </c>
      <c r="K1532" s="243">
        <v>2.40435</v>
      </c>
      <c r="L1532" s="243">
        <v>5.5696899999999996</v>
      </c>
    </row>
    <row r="1533" spans="1:12" ht="26.4" customHeight="1">
      <c r="A1533" s="288">
        <v>607</v>
      </c>
      <c r="B1533" s="523"/>
      <c r="C1533" s="288" t="s">
        <v>1210</v>
      </c>
      <c r="D1533" s="289" t="s">
        <v>1989</v>
      </c>
      <c r="E1533" s="289" t="s">
        <v>1919</v>
      </c>
      <c r="F1533" s="218">
        <v>2161</v>
      </c>
      <c r="G1533" s="237" t="s">
        <v>1534</v>
      </c>
      <c r="H1533" s="475" t="s">
        <v>631</v>
      </c>
      <c r="I1533" s="478">
        <v>100</v>
      </c>
      <c r="J1533" s="243">
        <v>2.5640000000000001</v>
      </c>
      <c r="K1533" s="243">
        <v>0.77305999999999997</v>
      </c>
      <c r="L1533" s="243">
        <v>1.79094</v>
      </c>
    </row>
    <row r="1534" spans="1:12" ht="26.4" customHeight="1">
      <c r="A1534" s="288">
        <v>608</v>
      </c>
      <c r="B1534" s="523"/>
      <c r="C1534" s="288" t="s">
        <v>1210</v>
      </c>
      <c r="D1534" s="289" t="s">
        <v>1505</v>
      </c>
      <c r="E1534" s="289" t="s">
        <v>1919</v>
      </c>
      <c r="F1534" s="218">
        <v>2162</v>
      </c>
      <c r="G1534" s="237" t="s">
        <v>1534</v>
      </c>
      <c r="H1534" s="475" t="s">
        <v>631</v>
      </c>
      <c r="I1534" s="478">
        <v>300</v>
      </c>
      <c r="J1534" s="243">
        <v>7.6920000000000002</v>
      </c>
      <c r="K1534" s="243">
        <v>2.3193000000000001</v>
      </c>
      <c r="L1534" s="243">
        <v>5.3727</v>
      </c>
    </row>
    <row r="1535" spans="1:12" ht="26.4" customHeight="1">
      <c r="A1535" s="288">
        <v>609</v>
      </c>
      <c r="B1535" s="523"/>
      <c r="C1535" s="288" t="s">
        <v>1210</v>
      </c>
      <c r="D1535" s="289" t="s">
        <v>1505</v>
      </c>
      <c r="E1535" s="289" t="s">
        <v>1919</v>
      </c>
      <c r="F1535" s="218">
        <v>2163</v>
      </c>
      <c r="G1535" s="237" t="s">
        <v>1534</v>
      </c>
      <c r="H1535" s="475" t="s">
        <v>631</v>
      </c>
      <c r="I1535" s="478">
        <v>89.5</v>
      </c>
      <c r="J1535" s="243">
        <v>2.2947799999999998</v>
      </c>
      <c r="K1535" s="243">
        <v>0.69189000000000001</v>
      </c>
      <c r="L1535" s="243">
        <v>1.6028899999999999</v>
      </c>
    </row>
    <row r="1536" spans="1:12" ht="26.4" customHeight="1">
      <c r="A1536" s="288">
        <v>610</v>
      </c>
      <c r="B1536" s="523"/>
      <c r="C1536" s="288" t="s">
        <v>1210</v>
      </c>
      <c r="D1536" s="289" t="s">
        <v>1505</v>
      </c>
      <c r="E1536" s="289" t="s">
        <v>1919</v>
      </c>
      <c r="F1536" s="218">
        <v>2164</v>
      </c>
      <c r="G1536" s="237" t="s">
        <v>1534</v>
      </c>
      <c r="H1536" s="475" t="s">
        <v>631</v>
      </c>
      <c r="I1536" s="478">
        <v>43</v>
      </c>
      <c r="J1536" s="243">
        <v>1.1025199999999999</v>
      </c>
      <c r="K1536" s="243">
        <v>0.33245000000000002</v>
      </c>
      <c r="L1536" s="243">
        <v>0.77007000000000003</v>
      </c>
    </row>
    <row r="1537" spans="1:12" ht="26.4" customHeight="1">
      <c r="A1537" s="288">
        <v>611</v>
      </c>
      <c r="B1537" s="523"/>
      <c r="C1537" s="288" t="s">
        <v>1210</v>
      </c>
      <c r="D1537" s="289" t="s">
        <v>1505</v>
      </c>
      <c r="E1537" s="289" t="s">
        <v>1919</v>
      </c>
      <c r="F1537" s="218">
        <v>2165</v>
      </c>
      <c r="G1537" s="237" t="s">
        <v>1534</v>
      </c>
      <c r="H1537" s="475" t="s">
        <v>631</v>
      </c>
      <c r="I1537" s="478">
        <v>76</v>
      </c>
      <c r="J1537" s="243">
        <v>1.9486399999999999</v>
      </c>
      <c r="K1537" s="243">
        <v>0.58750999999999998</v>
      </c>
      <c r="L1537" s="243">
        <v>1.36113</v>
      </c>
    </row>
    <row r="1538" spans="1:12" ht="26.4" customHeight="1">
      <c r="A1538" s="288">
        <v>612</v>
      </c>
      <c r="B1538" s="523"/>
      <c r="C1538" s="288" t="s">
        <v>1210</v>
      </c>
      <c r="D1538" s="289" t="s">
        <v>1505</v>
      </c>
      <c r="E1538" s="289" t="s">
        <v>1919</v>
      </c>
      <c r="F1538" s="218">
        <v>2166</v>
      </c>
      <c r="G1538" s="237" t="s">
        <v>1534</v>
      </c>
      <c r="H1538" s="475" t="s">
        <v>631</v>
      </c>
      <c r="I1538" s="478">
        <v>96</v>
      </c>
      <c r="J1538" s="243">
        <v>2.4614400000000001</v>
      </c>
      <c r="K1538" s="243">
        <v>0.74219000000000002</v>
      </c>
      <c r="L1538" s="243">
        <v>1.7192499999999999</v>
      </c>
    </row>
    <row r="1539" spans="1:12" ht="26.4" customHeight="1">
      <c r="A1539" s="288">
        <v>613</v>
      </c>
      <c r="B1539" s="523"/>
      <c r="C1539" s="288" t="s">
        <v>1210</v>
      </c>
      <c r="D1539" s="289" t="s">
        <v>1505</v>
      </c>
      <c r="E1539" s="289" t="s">
        <v>1919</v>
      </c>
      <c r="F1539" s="218">
        <v>2167</v>
      </c>
      <c r="G1539" s="237" t="s">
        <v>1534</v>
      </c>
      <c r="H1539" s="475" t="s">
        <v>631</v>
      </c>
      <c r="I1539" s="478">
        <v>50.5</v>
      </c>
      <c r="J1539" s="243">
        <v>1.2948200000000001</v>
      </c>
      <c r="K1539" s="243">
        <v>0.39041999999999999</v>
      </c>
      <c r="L1539" s="243">
        <v>0.90439999999999998</v>
      </c>
    </row>
    <row r="1540" spans="1:12" ht="26.4" customHeight="1">
      <c r="A1540" s="288">
        <v>614</v>
      </c>
      <c r="B1540" s="523"/>
      <c r="C1540" s="288" t="s">
        <v>1210</v>
      </c>
      <c r="D1540" s="289" t="s">
        <v>1505</v>
      </c>
      <c r="E1540" s="289" t="s">
        <v>1919</v>
      </c>
      <c r="F1540" s="218">
        <v>2168</v>
      </c>
      <c r="G1540" s="237" t="s">
        <v>1534</v>
      </c>
      <c r="H1540" s="475" t="s">
        <v>631</v>
      </c>
      <c r="I1540" s="478">
        <v>56.5</v>
      </c>
      <c r="J1540" s="243">
        <v>1.4486600000000001</v>
      </c>
      <c r="K1540" s="243">
        <v>0.43683</v>
      </c>
      <c r="L1540" s="243">
        <v>1.01183</v>
      </c>
    </row>
    <row r="1541" spans="1:12" ht="26.4" customHeight="1">
      <c r="A1541" s="288">
        <v>615</v>
      </c>
      <c r="B1541" s="523"/>
      <c r="C1541" s="288" t="s">
        <v>1210</v>
      </c>
      <c r="D1541" s="289" t="s">
        <v>1505</v>
      </c>
      <c r="E1541" s="289" t="s">
        <v>1919</v>
      </c>
      <c r="F1541" s="218">
        <v>2169</v>
      </c>
      <c r="G1541" s="237" t="s">
        <v>1534</v>
      </c>
      <c r="H1541" s="475" t="s">
        <v>631</v>
      </c>
      <c r="I1541" s="478">
        <v>333</v>
      </c>
      <c r="J1541" s="243">
        <v>8.5381199999999993</v>
      </c>
      <c r="K1541" s="243">
        <v>2.57437</v>
      </c>
      <c r="L1541" s="243">
        <v>5.9637500000000001</v>
      </c>
    </row>
    <row r="1542" spans="1:12" ht="26.4" customHeight="1">
      <c r="A1542" s="288">
        <v>616</v>
      </c>
      <c r="B1542" s="523"/>
      <c r="C1542" s="288" t="s">
        <v>1210</v>
      </c>
      <c r="D1542" s="289" t="s">
        <v>1505</v>
      </c>
      <c r="E1542" s="289" t="s">
        <v>1255</v>
      </c>
      <c r="F1542" s="218">
        <v>20115</v>
      </c>
      <c r="G1542" s="237" t="s">
        <v>1571</v>
      </c>
      <c r="H1542" s="475" t="s">
        <v>631</v>
      </c>
      <c r="I1542" s="478">
        <v>32</v>
      </c>
      <c r="J1542" s="243">
        <v>63.930300000000003</v>
      </c>
      <c r="K1542" s="243">
        <v>23.9742</v>
      </c>
      <c r="L1542" s="243">
        <v>39.956099999999999</v>
      </c>
    </row>
    <row r="1543" spans="1:12" ht="26.4" customHeight="1">
      <c r="A1543" s="288">
        <v>617</v>
      </c>
      <c r="B1543" s="523"/>
      <c r="C1543" s="288" t="s">
        <v>1210</v>
      </c>
      <c r="D1543" s="289" t="s">
        <v>1505</v>
      </c>
      <c r="E1543" s="204" t="s">
        <v>1141</v>
      </c>
      <c r="F1543" s="218">
        <v>20430</v>
      </c>
      <c r="G1543" s="237" t="s">
        <v>1534</v>
      </c>
      <c r="H1543" s="475" t="s">
        <v>1138</v>
      </c>
      <c r="I1543" s="478">
        <v>1</v>
      </c>
      <c r="J1543" s="243">
        <v>3.4</v>
      </c>
      <c r="K1543" s="243">
        <v>2.0923799999999999</v>
      </c>
      <c r="L1543" s="243">
        <v>1.30762</v>
      </c>
    </row>
    <row r="1544" spans="1:12" ht="26.4" customHeight="1">
      <c r="A1544" s="288">
        <v>618</v>
      </c>
      <c r="B1544" s="523"/>
      <c r="C1544" s="288" t="s">
        <v>1210</v>
      </c>
      <c r="D1544" s="289" t="s">
        <v>1505</v>
      </c>
      <c r="E1544" s="204" t="s">
        <v>2336</v>
      </c>
      <c r="F1544" s="218">
        <v>20431</v>
      </c>
      <c r="G1544" s="237" t="s">
        <v>1534</v>
      </c>
      <c r="H1544" s="475" t="s">
        <v>1138</v>
      </c>
      <c r="I1544" s="478">
        <v>1</v>
      </c>
      <c r="J1544" s="243">
        <v>0.6</v>
      </c>
      <c r="K1544" s="243">
        <v>0.33928000000000003</v>
      </c>
      <c r="L1544" s="243">
        <v>0.26072000000000001</v>
      </c>
    </row>
    <row r="1545" spans="1:12" ht="26.4" customHeight="1">
      <c r="A1545" s="288">
        <v>619</v>
      </c>
      <c r="B1545" s="523"/>
      <c r="C1545" s="288" t="s">
        <v>1210</v>
      </c>
      <c r="D1545" s="289" t="s">
        <v>1505</v>
      </c>
      <c r="E1545" s="289" t="s">
        <v>1919</v>
      </c>
      <c r="F1545" s="218">
        <v>20438</v>
      </c>
      <c r="G1545" s="237" t="s">
        <v>1534</v>
      </c>
      <c r="H1545" s="475" t="s">
        <v>631</v>
      </c>
      <c r="I1545" s="478">
        <v>84.5</v>
      </c>
      <c r="J1545" s="243">
        <v>2.17686</v>
      </c>
      <c r="K1545" s="243">
        <v>0.65632000000000001</v>
      </c>
      <c r="L1545" s="243">
        <v>1.52054</v>
      </c>
    </row>
    <row r="1546" spans="1:12" ht="26.4" customHeight="1">
      <c r="A1546" s="288">
        <v>620</v>
      </c>
      <c r="B1546" s="523"/>
      <c r="C1546" s="288" t="s">
        <v>1210</v>
      </c>
      <c r="D1546" s="289" t="s">
        <v>1505</v>
      </c>
      <c r="E1546" s="289" t="s">
        <v>1919</v>
      </c>
      <c r="F1546" s="218">
        <v>41403</v>
      </c>
      <c r="G1546" s="237" t="s">
        <v>1537</v>
      </c>
      <c r="H1546" s="475" t="s">
        <v>631</v>
      </c>
      <c r="I1546" s="478">
        <v>91</v>
      </c>
      <c r="J1546" s="243">
        <v>99.439809999999994</v>
      </c>
      <c r="K1546" s="243">
        <v>12.92733</v>
      </c>
      <c r="L1546" s="243">
        <v>86.512479999999996</v>
      </c>
    </row>
    <row r="1547" spans="1:12" ht="26.4" customHeight="1">
      <c r="A1547" s="288">
        <v>621</v>
      </c>
      <c r="B1547" s="523"/>
      <c r="C1547" s="288" t="s">
        <v>1210</v>
      </c>
      <c r="D1547" s="289" t="s">
        <v>1505</v>
      </c>
      <c r="E1547" s="289" t="s">
        <v>632</v>
      </c>
      <c r="F1547" s="218">
        <v>42001</v>
      </c>
      <c r="G1547" s="237" t="s">
        <v>1534</v>
      </c>
      <c r="H1547" s="475" t="s">
        <v>1138</v>
      </c>
      <c r="I1547" s="478">
        <v>1</v>
      </c>
      <c r="J1547" s="243">
        <v>9</v>
      </c>
      <c r="K1547" s="243">
        <v>5.2991599999999996</v>
      </c>
      <c r="L1547" s="243">
        <v>3.7008399999999999</v>
      </c>
    </row>
    <row r="1548" spans="1:12" ht="26.4" customHeight="1">
      <c r="A1548" s="288">
        <v>622</v>
      </c>
      <c r="B1548" s="523"/>
      <c r="C1548" s="288" t="s">
        <v>1210</v>
      </c>
      <c r="D1548" s="289" t="s">
        <v>1505</v>
      </c>
      <c r="E1548" s="289" t="s">
        <v>635</v>
      </c>
      <c r="F1548" s="218">
        <v>56001</v>
      </c>
      <c r="G1548" s="237" t="s">
        <v>1567</v>
      </c>
      <c r="H1548" s="475" t="s">
        <v>1138</v>
      </c>
      <c r="I1548" s="478">
        <v>1</v>
      </c>
      <c r="J1548" s="243">
        <v>0.1</v>
      </c>
      <c r="K1548" s="243">
        <v>0.1</v>
      </c>
      <c r="L1548" s="243">
        <v>0</v>
      </c>
    </row>
    <row r="1549" spans="1:12" ht="26.4" customHeight="1">
      <c r="A1549" s="288">
        <v>623</v>
      </c>
      <c r="B1549" s="523"/>
      <c r="C1549" s="288" t="s">
        <v>1210</v>
      </c>
      <c r="D1549" s="289" t="s">
        <v>2134</v>
      </c>
      <c r="E1549" s="289" t="s">
        <v>2247</v>
      </c>
      <c r="F1549" s="218">
        <v>29087</v>
      </c>
      <c r="G1549" s="237" t="s">
        <v>1541</v>
      </c>
      <c r="H1549" s="475" t="s">
        <v>1149</v>
      </c>
      <c r="I1549" s="207">
        <v>409.4</v>
      </c>
      <c r="J1549" s="243">
        <v>474.90025000000003</v>
      </c>
      <c r="K1549" s="243">
        <v>121.35218</v>
      </c>
      <c r="L1549" s="243">
        <v>353.54807</v>
      </c>
    </row>
    <row r="1550" spans="1:12" ht="26.4" customHeight="1">
      <c r="A1550" s="288">
        <v>624</v>
      </c>
      <c r="B1550" s="523"/>
      <c r="C1550" s="288" t="s">
        <v>1210</v>
      </c>
      <c r="D1550" s="289" t="s">
        <v>2134</v>
      </c>
      <c r="E1550" s="289" t="s">
        <v>1919</v>
      </c>
      <c r="F1550" s="218">
        <v>2170</v>
      </c>
      <c r="G1550" s="237" t="s">
        <v>1541</v>
      </c>
      <c r="H1550" s="475" t="s">
        <v>631</v>
      </c>
      <c r="I1550" s="478">
        <v>84</v>
      </c>
      <c r="J1550" s="243">
        <v>2.6350799999999999</v>
      </c>
      <c r="K1550" s="243">
        <v>1.3813599999999999</v>
      </c>
      <c r="L1550" s="243">
        <v>1.2537199999999999</v>
      </c>
    </row>
    <row r="1551" spans="1:12" ht="26.4" customHeight="1">
      <c r="A1551" s="288">
        <v>625</v>
      </c>
      <c r="B1551" s="523"/>
      <c r="C1551" s="288" t="s">
        <v>1210</v>
      </c>
      <c r="D1551" s="289" t="s">
        <v>2134</v>
      </c>
      <c r="E1551" s="289" t="s">
        <v>1919</v>
      </c>
      <c r="F1551" s="218">
        <v>2171</v>
      </c>
      <c r="G1551" s="237" t="s">
        <v>1541</v>
      </c>
      <c r="H1551" s="475" t="s">
        <v>631</v>
      </c>
      <c r="I1551" s="478">
        <v>80</v>
      </c>
      <c r="J1551" s="243">
        <v>2.5095999999999998</v>
      </c>
      <c r="K1551" s="243">
        <v>1.3156699999999999</v>
      </c>
      <c r="L1551" s="243">
        <v>1.1939299999999999</v>
      </c>
    </row>
    <row r="1552" spans="1:12" ht="26.4" customHeight="1">
      <c r="A1552" s="288">
        <v>626</v>
      </c>
      <c r="B1552" s="523"/>
      <c r="C1552" s="288" t="s">
        <v>1210</v>
      </c>
      <c r="D1552" s="289" t="s">
        <v>2134</v>
      </c>
      <c r="E1552" s="289" t="s">
        <v>1919</v>
      </c>
      <c r="F1552" s="218">
        <v>2172</v>
      </c>
      <c r="G1552" s="237" t="s">
        <v>1541</v>
      </c>
      <c r="H1552" s="475" t="s">
        <v>631</v>
      </c>
      <c r="I1552" s="478">
        <v>46</v>
      </c>
      <c r="J1552" s="243">
        <v>1.44302</v>
      </c>
      <c r="K1552" s="243">
        <v>0.75648000000000004</v>
      </c>
      <c r="L1552" s="243">
        <v>0.68654000000000004</v>
      </c>
    </row>
    <row r="1553" spans="1:12" ht="26.4" customHeight="1">
      <c r="A1553" s="288">
        <v>627</v>
      </c>
      <c r="B1553" s="523"/>
      <c r="C1553" s="288" t="s">
        <v>1210</v>
      </c>
      <c r="D1553" s="289" t="s">
        <v>2134</v>
      </c>
      <c r="E1553" s="289" t="s">
        <v>1919</v>
      </c>
      <c r="F1553" s="218">
        <v>2173</v>
      </c>
      <c r="G1553" s="237" t="s">
        <v>1541</v>
      </c>
      <c r="H1553" s="475" t="s">
        <v>631</v>
      </c>
      <c r="I1553" s="478">
        <v>68</v>
      </c>
      <c r="J1553" s="243">
        <v>2.1331600000000002</v>
      </c>
      <c r="K1553" s="243">
        <v>1.1182700000000001</v>
      </c>
      <c r="L1553" s="243">
        <v>1.0148900000000001</v>
      </c>
    </row>
    <row r="1554" spans="1:12" ht="26.4" customHeight="1">
      <c r="A1554" s="288">
        <v>628</v>
      </c>
      <c r="B1554" s="523"/>
      <c r="C1554" s="288" t="s">
        <v>1210</v>
      </c>
      <c r="D1554" s="289" t="s">
        <v>2134</v>
      </c>
      <c r="E1554" s="289" t="s">
        <v>1919</v>
      </c>
      <c r="F1554" s="218">
        <v>2174</v>
      </c>
      <c r="G1554" s="237" t="s">
        <v>1541</v>
      </c>
      <c r="H1554" s="475" t="s">
        <v>631</v>
      </c>
      <c r="I1554" s="478">
        <v>92</v>
      </c>
      <c r="J1554" s="243">
        <v>2.8830399999999998</v>
      </c>
      <c r="K1554" s="243">
        <v>1.51139</v>
      </c>
      <c r="L1554" s="243">
        <v>1.37165</v>
      </c>
    </row>
    <row r="1555" spans="1:12" ht="26.4" customHeight="1">
      <c r="A1555" s="288">
        <v>629</v>
      </c>
      <c r="B1555" s="523"/>
      <c r="C1555" s="288" t="s">
        <v>1210</v>
      </c>
      <c r="D1555" s="289" t="s">
        <v>2134</v>
      </c>
      <c r="E1555" s="289" t="s">
        <v>1919</v>
      </c>
      <c r="F1555" s="218">
        <v>2175</v>
      </c>
      <c r="G1555" s="237" t="s">
        <v>1541</v>
      </c>
      <c r="H1555" s="475" t="s">
        <v>631</v>
      </c>
      <c r="I1555" s="478">
        <v>10</v>
      </c>
      <c r="J1555" s="243">
        <v>0.31369999999999998</v>
      </c>
      <c r="K1555" s="243">
        <v>0.16450000000000001</v>
      </c>
      <c r="L1555" s="243">
        <v>0.1492</v>
      </c>
    </row>
    <row r="1556" spans="1:12" ht="26.4" customHeight="1">
      <c r="A1556" s="288">
        <v>630</v>
      </c>
      <c r="B1556" s="523"/>
      <c r="C1556" s="288" t="s">
        <v>1210</v>
      </c>
      <c r="D1556" s="289" t="s">
        <v>2134</v>
      </c>
      <c r="E1556" s="289" t="s">
        <v>1919</v>
      </c>
      <c r="F1556" s="218">
        <v>2176</v>
      </c>
      <c r="G1556" s="237" t="s">
        <v>1541</v>
      </c>
      <c r="H1556" s="475" t="s">
        <v>631</v>
      </c>
      <c r="I1556" s="478">
        <v>101</v>
      </c>
      <c r="J1556" s="243">
        <v>3.1683699999999999</v>
      </c>
      <c r="K1556" s="243">
        <v>1.6733499999999999</v>
      </c>
      <c r="L1556" s="243">
        <v>1.49502</v>
      </c>
    </row>
    <row r="1557" spans="1:12" ht="26.4" customHeight="1">
      <c r="A1557" s="288">
        <v>631</v>
      </c>
      <c r="B1557" s="523"/>
      <c r="C1557" s="288" t="s">
        <v>1210</v>
      </c>
      <c r="D1557" s="289" t="s">
        <v>2134</v>
      </c>
      <c r="E1557" s="289" t="s">
        <v>1919</v>
      </c>
      <c r="F1557" s="218">
        <v>2177</v>
      </c>
      <c r="G1557" s="237" t="s">
        <v>1541</v>
      </c>
      <c r="H1557" s="475" t="s">
        <v>631</v>
      </c>
      <c r="I1557" s="478">
        <v>159</v>
      </c>
      <c r="J1557" s="243">
        <v>4.9878299999999998</v>
      </c>
      <c r="K1557" s="243">
        <v>2.61389</v>
      </c>
      <c r="L1557" s="243">
        <v>2.3739400000000002</v>
      </c>
    </row>
    <row r="1558" spans="1:12" ht="26.4" customHeight="1">
      <c r="A1558" s="288">
        <v>632</v>
      </c>
      <c r="B1558" s="523"/>
      <c r="C1558" s="288" t="s">
        <v>1210</v>
      </c>
      <c r="D1558" s="289" t="s">
        <v>2134</v>
      </c>
      <c r="E1558" s="289" t="s">
        <v>1919</v>
      </c>
      <c r="F1558" s="218">
        <v>2178</v>
      </c>
      <c r="G1558" s="237" t="s">
        <v>1541</v>
      </c>
      <c r="H1558" s="475" t="s">
        <v>631</v>
      </c>
      <c r="I1558" s="478">
        <v>80</v>
      </c>
      <c r="J1558" s="243">
        <v>2.5095999999999998</v>
      </c>
      <c r="K1558" s="243">
        <v>1.3151999999999999</v>
      </c>
      <c r="L1558" s="243">
        <v>1.1943999999999999</v>
      </c>
    </row>
    <row r="1559" spans="1:12" ht="26.4" customHeight="1">
      <c r="A1559" s="288">
        <v>633</v>
      </c>
      <c r="B1559" s="523"/>
      <c r="C1559" s="288" t="s">
        <v>1210</v>
      </c>
      <c r="D1559" s="289" t="s">
        <v>2134</v>
      </c>
      <c r="E1559" s="289" t="s">
        <v>1919</v>
      </c>
      <c r="F1559" s="218">
        <v>2179</v>
      </c>
      <c r="G1559" s="237" t="s">
        <v>1541</v>
      </c>
      <c r="H1559" s="475" t="s">
        <v>631</v>
      </c>
      <c r="I1559" s="478">
        <v>47</v>
      </c>
      <c r="J1559" s="243">
        <v>1.4743900000000001</v>
      </c>
      <c r="K1559" s="243">
        <v>0.77259999999999995</v>
      </c>
      <c r="L1559" s="243">
        <v>0.70179000000000002</v>
      </c>
    </row>
    <row r="1560" spans="1:12" ht="26.4" customHeight="1">
      <c r="A1560" s="288">
        <v>634</v>
      </c>
      <c r="B1560" s="523"/>
      <c r="C1560" s="288" t="s">
        <v>1210</v>
      </c>
      <c r="D1560" s="289" t="s">
        <v>2134</v>
      </c>
      <c r="E1560" s="289" t="s">
        <v>1919</v>
      </c>
      <c r="F1560" s="218">
        <v>2180</v>
      </c>
      <c r="G1560" s="237" t="s">
        <v>1541</v>
      </c>
      <c r="H1560" s="475" t="s">
        <v>631</v>
      </c>
      <c r="I1560" s="478">
        <v>60</v>
      </c>
      <c r="J1560" s="243">
        <v>1.8822000000000001</v>
      </c>
      <c r="K1560" s="243">
        <v>0.98631000000000002</v>
      </c>
      <c r="L1560" s="243">
        <v>0.89588999999999996</v>
      </c>
    </row>
    <row r="1561" spans="1:12" ht="26.4" customHeight="1">
      <c r="A1561" s="288">
        <v>635</v>
      </c>
      <c r="B1561" s="523"/>
      <c r="C1561" s="288" t="s">
        <v>1210</v>
      </c>
      <c r="D1561" s="289" t="s">
        <v>2134</v>
      </c>
      <c r="E1561" s="289" t="s">
        <v>1919</v>
      </c>
      <c r="F1561" s="218">
        <v>2181</v>
      </c>
      <c r="G1561" s="237" t="s">
        <v>1541</v>
      </c>
      <c r="H1561" s="475" t="s">
        <v>631</v>
      </c>
      <c r="I1561" s="478">
        <v>56</v>
      </c>
      <c r="J1561" s="243">
        <v>1.7567200000000001</v>
      </c>
      <c r="K1561" s="243">
        <v>0.92064999999999997</v>
      </c>
      <c r="L1561" s="243">
        <v>0.83606999999999998</v>
      </c>
    </row>
    <row r="1562" spans="1:12" ht="26.4" customHeight="1">
      <c r="A1562" s="288">
        <v>636</v>
      </c>
      <c r="B1562" s="523"/>
      <c r="C1562" s="288" t="s">
        <v>1210</v>
      </c>
      <c r="D1562" s="289" t="s">
        <v>2134</v>
      </c>
      <c r="E1562" s="289" t="s">
        <v>1919</v>
      </c>
      <c r="F1562" s="218">
        <v>2182</v>
      </c>
      <c r="G1562" s="237" t="s">
        <v>1541</v>
      </c>
      <c r="H1562" s="475" t="s">
        <v>631</v>
      </c>
      <c r="I1562" s="478">
        <v>58</v>
      </c>
      <c r="J1562" s="243">
        <v>1.8194600000000001</v>
      </c>
      <c r="K1562" s="243">
        <v>0.95343</v>
      </c>
      <c r="L1562" s="243">
        <v>0.86602999999999997</v>
      </c>
    </row>
    <row r="1563" spans="1:12" ht="26.4" customHeight="1">
      <c r="A1563" s="288">
        <v>637</v>
      </c>
      <c r="B1563" s="523"/>
      <c r="C1563" s="288" t="s">
        <v>1210</v>
      </c>
      <c r="D1563" s="289" t="s">
        <v>2134</v>
      </c>
      <c r="E1563" s="289" t="s">
        <v>1919</v>
      </c>
      <c r="F1563" s="218">
        <v>2183</v>
      </c>
      <c r="G1563" s="237" t="s">
        <v>1541</v>
      </c>
      <c r="H1563" s="475" t="s">
        <v>631</v>
      </c>
      <c r="I1563" s="478">
        <v>19</v>
      </c>
      <c r="J1563" s="243">
        <v>0.59602999999999995</v>
      </c>
      <c r="K1563" s="243">
        <v>0.31237999999999999</v>
      </c>
      <c r="L1563" s="243">
        <v>0.28365000000000001</v>
      </c>
    </row>
    <row r="1564" spans="1:12" ht="26.4" customHeight="1">
      <c r="A1564" s="288">
        <v>638</v>
      </c>
      <c r="B1564" s="523"/>
      <c r="C1564" s="288" t="s">
        <v>1210</v>
      </c>
      <c r="D1564" s="289" t="s">
        <v>2134</v>
      </c>
      <c r="E1564" s="289" t="s">
        <v>1919</v>
      </c>
      <c r="F1564" s="218">
        <v>2184</v>
      </c>
      <c r="G1564" s="237" t="s">
        <v>1541</v>
      </c>
      <c r="H1564" s="475" t="s">
        <v>631</v>
      </c>
      <c r="I1564" s="478">
        <v>109</v>
      </c>
      <c r="J1564" s="243">
        <v>3.41933</v>
      </c>
      <c r="K1564" s="243">
        <v>1.7919099999999999</v>
      </c>
      <c r="L1564" s="243">
        <v>1.6274200000000001</v>
      </c>
    </row>
    <row r="1565" spans="1:12" ht="26.4" customHeight="1">
      <c r="A1565" s="288">
        <v>639</v>
      </c>
      <c r="B1565" s="523"/>
      <c r="C1565" s="288" t="s">
        <v>1210</v>
      </c>
      <c r="D1565" s="289" t="s">
        <v>2134</v>
      </c>
      <c r="E1565" s="289" t="s">
        <v>1919</v>
      </c>
      <c r="F1565" s="218">
        <v>2185</v>
      </c>
      <c r="G1565" s="237" t="s">
        <v>1541</v>
      </c>
      <c r="H1565" s="475" t="s">
        <v>631</v>
      </c>
      <c r="I1565" s="478">
        <v>61.5</v>
      </c>
      <c r="J1565" s="243">
        <v>1.9292499999999999</v>
      </c>
      <c r="K1565" s="243">
        <v>1.01101</v>
      </c>
      <c r="L1565" s="243">
        <v>0.91823999999999995</v>
      </c>
    </row>
    <row r="1566" spans="1:12" ht="26.4" customHeight="1">
      <c r="A1566" s="288">
        <v>640</v>
      </c>
      <c r="B1566" s="523"/>
      <c r="C1566" s="288" t="s">
        <v>1210</v>
      </c>
      <c r="D1566" s="289" t="s">
        <v>2134</v>
      </c>
      <c r="E1566" s="289" t="s">
        <v>1919</v>
      </c>
      <c r="F1566" s="218">
        <v>2186</v>
      </c>
      <c r="G1566" s="237" t="s">
        <v>1541</v>
      </c>
      <c r="H1566" s="475" t="s">
        <v>631</v>
      </c>
      <c r="I1566" s="478">
        <v>84</v>
      </c>
      <c r="J1566" s="243">
        <v>2.6350799999999999</v>
      </c>
      <c r="K1566" s="243">
        <v>1.38086</v>
      </c>
      <c r="L1566" s="243">
        <v>1.2542199999999999</v>
      </c>
    </row>
    <row r="1567" spans="1:12" ht="26.4" customHeight="1">
      <c r="A1567" s="288">
        <v>641</v>
      </c>
      <c r="B1567" s="523"/>
      <c r="C1567" s="288" t="s">
        <v>1210</v>
      </c>
      <c r="D1567" s="289" t="s">
        <v>2134</v>
      </c>
      <c r="E1567" s="289" t="s">
        <v>1919</v>
      </c>
      <c r="F1567" s="218">
        <v>2187</v>
      </c>
      <c r="G1567" s="237" t="s">
        <v>1541</v>
      </c>
      <c r="H1567" s="475" t="s">
        <v>631</v>
      </c>
      <c r="I1567" s="478" t="s">
        <v>636</v>
      </c>
      <c r="J1567" s="243">
        <v>4.7211800000000004</v>
      </c>
      <c r="K1567" s="243">
        <v>2.4741399999999998</v>
      </c>
      <c r="L1567" s="243">
        <v>2.2470400000000001</v>
      </c>
    </row>
    <row r="1568" spans="1:12" ht="26.4" customHeight="1">
      <c r="A1568" s="288">
        <v>642</v>
      </c>
      <c r="B1568" s="523"/>
      <c r="C1568" s="288" t="s">
        <v>1210</v>
      </c>
      <c r="D1568" s="289" t="s">
        <v>2134</v>
      </c>
      <c r="E1568" s="289" t="s">
        <v>1919</v>
      </c>
      <c r="F1568" s="218">
        <v>2188</v>
      </c>
      <c r="G1568" s="237" t="s">
        <v>1541</v>
      </c>
      <c r="H1568" s="475" t="s">
        <v>631</v>
      </c>
      <c r="I1568" s="478">
        <v>242</v>
      </c>
      <c r="J1568" s="243">
        <v>7.5915400000000002</v>
      </c>
      <c r="K1568" s="243">
        <v>3.97837</v>
      </c>
      <c r="L1568" s="243">
        <v>3.6131700000000002</v>
      </c>
    </row>
    <row r="1569" spans="1:12" ht="26.4" customHeight="1">
      <c r="A1569" s="288">
        <v>643</v>
      </c>
      <c r="B1569" s="523"/>
      <c r="C1569" s="288" t="s">
        <v>1210</v>
      </c>
      <c r="D1569" s="289" t="s">
        <v>2134</v>
      </c>
      <c r="E1569" s="289" t="s">
        <v>1919</v>
      </c>
      <c r="F1569" s="218">
        <v>2189</v>
      </c>
      <c r="G1569" s="237" t="s">
        <v>1541</v>
      </c>
      <c r="H1569" s="475" t="s">
        <v>631</v>
      </c>
      <c r="I1569" s="478">
        <v>63</v>
      </c>
      <c r="J1569" s="243">
        <v>1.97631</v>
      </c>
      <c r="K1569" s="243">
        <v>1.0357000000000001</v>
      </c>
      <c r="L1569" s="243">
        <v>0.94060999999999995</v>
      </c>
    </row>
    <row r="1570" spans="1:12" ht="26.4" customHeight="1">
      <c r="A1570" s="288">
        <v>644</v>
      </c>
      <c r="B1570" s="523"/>
      <c r="C1570" s="288" t="s">
        <v>1210</v>
      </c>
      <c r="D1570" s="289" t="s">
        <v>2134</v>
      </c>
      <c r="E1570" s="289" t="s">
        <v>1919</v>
      </c>
      <c r="F1570" s="218">
        <v>2190</v>
      </c>
      <c r="G1570" s="237" t="s">
        <v>1541</v>
      </c>
      <c r="H1570" s="475" t="s">
        <v>631</v>
      </c>
      <c r="I1570" s="478">
        <v>67</v>
      </c>
      <c r="J1570" s="243">
        <v>2.1017899999999998</v>
      </c>
      <c r="K1570" s="243">
        <v>1.10148</v>
      </c>
      <c r="L1570" s="243">
        <v>1.00031</v>
      </c>
    </row>
    <row r="1571" spans="1:12" ht="26.4" customHeight="1">
      <c r="A1571" s="288">
        <v>645</v>
      </c>
      <c r="B1571" s="523"/>
      <c r="C1571" s="288" t="s">
        <v>1210</v>
      </c>
      <c r="D1571" s="289" t="s">
        <v>2134</v>
      </c>
      <c r="E1571" s="289" t="s">
        <v>1919</v>
      </c>
      <c r="F1571" s="218">
        <v>2191</v>
      </c>
      <c r="G1571" s="237" t="s">
        <v>1541</v>
      </c>
      <c r="H1571" s="475" t="s">
        <v>631</v>
      </c>
      <c r="I1571" s="478">
        <v>63.5</v>
      </c>
      <c r="J1571" s="243">
        <v>1.9919899999999999</v>
      </c>
      <c r="K1571" s="243">
        <v>1.04389</v>
      </c>
      <c r="L1571" s="243">
        <v>0.94810000000000005</v>
      </c>
    </row>
    <row r="1572" spans="1:12" ht="26.4" customHeight="1">
      <c r="A1572" s="288">
        <v>646</v>
      </c>
      <c r="B1572" s="523"/>
      <c r="C1572" s="288" t="s">
        <v>1210</v>
      </c>
      <c r="D1572" s="289" t="s">
        <v>2134</v>
      </c>
      <c r="E1572" s="289" t="s">
        <v>1919</v>
      </c>
      <c r="F1572" s="218">
        <v>2192</v>
      </c>
      <c r="G1572" s="237" t="s">
        <v>1541</v>
      </c>
      <c r="H1572" s="475" t="s">
        <v>631</v>
      </c>
      <c r="I1572" s="478">
        <v>175</v>
      </c>
      <c r="J1572" s="243">
        <v>5.4897499999999999</v>
      </c>
      <c r="K1572" s="243">
        <v>2.8768899999999999</v>
      </c>
      <c r="L1572" s="243">
        <v>2.61286</v>
      </c>
    </row>
    <row r="1573" spans="1:12" ht="26.4" customHeight="1">
      <c r="A1573" s="288">
        <v>647</v>
      </c>
      <c r="B1573" s="523"/>
      <c r="C1573" s="288" t="s">
        <v>1210</v>
      </c>
      <c r="D1573" s="289" t="s">
        <v>2134</v>
      </c>
      <c r="E1573" s="289" t="s">
        <v>1919</v>
      </c>
      <c r="F1573" s="218">
        <v>2193</v>
      </c>
      <c r="G1573" s="237" t="s">
        <v>1541</v>
      </c>
      <c r="H1573" s="475" t="s">
        <v>631</v>
      </c>
      <c r="I1573" s="478">
        <v>56</v>
      </c>
      <c r="J1573" s="243">
        <v>1.7567200000000001</v>
      </c>
      <c r="K1573" s="243">
        <v>0.92064999999999997</v>
      </c>
      <c r="L1573" s="243">
        <v>0.83606999999999998</v>
      </c>
    </row>
    <row r="1574" spans="1:12" ht="26.4" customHeight="1">
      <c r="A1574" s="288">
        <v>648</v>
      </c>
      <c r="B1574" s="523"/>
      <c r="C1574" s="288" t="s">
        <v>1210</v>
      </c>
      <c r="D1574" s="289" t="s">
        <v>2134</v>
      </c>
      <c r="E1574" s="289" t="s">
        <v>1919</v>
      </c>
      <c r="F1574" s="218">
        <v>2194</v>
      </c>
      <c r="G1574" s="237" t="s">
        <v>1541</v>
      </c>
      <c r="H1574" s="475" t="s">
        <v>631</v>
      </c>
      <c r="I1574" s="478">
        <v>126</v>
      </c>
      <c r="J1574" s="243">
        <v>3.95262</v>
      </c>
      <c r="K1574" s="243">
        <v>2.0714000000000001</v>
      </c>
      <c r="L1574" s="243">
        <v>1.8812199999999999</v>
      </c>
    </row>
    <row r="1575" spans="1:12" ht="26.4" customHeight="1">
      <c r="A1575" s="288">
        <v>649</v>
      </c>
      <c r="B1575" s="523"/>
      <c r="C1575" s="288" t="s">
        <v>1210</v>
      </c>
      <c r="D1575" s="289" t="s">
        <v>2134</v>
      </c>
      <c r="E1575" s="289" t="s">
        <v>1927</v>
      </c>
      <c r="F1575" s="218">
        <v>21011</v>
      </c>
      <c r="G1575" s="237" t="s">
        <v>1547</v>
      </c>
      <c r="H1575" s="475" t="s">
        <v>631</v>
      </c>
      <c r="I1575" s="478">
        <v>62.5</v>
      </c>
      <c r="J1575" s="243">
        <v>71.206329999999994</v>
      </c>
      <c r="K1575" s="243">
        <v>15.230930000000001</v>
      </c>
      <c r="L1575" s="243">
        <v>55.9754</v>
      </c>
    </row>
    <row r="1576" spans="1:12" ht="26.4" customHeight="1">
      <c r="A1576" s="288">
        <v>650</v>
      </c>
      <c r="B1576" s="523"/>
      <c r="C1576" s="288" t="s">
        <v>1210</v>
      </c>
      <c r="D1576" s="289" t="s">
        <v>2134</v>
      </c>
      <c r="E1576" s="289" t="s">
        <v>1927</v>
      </c>
      <c r="F1576" s="218">
        <v>21012</v>
      </c>
      <c r="G1576" s="237" t="s">
        <v>1547</v>
      </c>
      <c r="H1576" s="475" t="s">
        <v>631</v>
      </c>
      <c r="I1576" s="478">
        <v>10.5</v>
      </c>
      <c r="J1576" s="243">
        <v>22.933330000000002</v>
      </c>
      <c r="K1576" s="243">
        <v>4.9048999999999996</v>
      </c>
      <c r="L1576" s="243">
        <v>18.02843</v>
      </c>
    </row>
    <row r="1577" spans="1:12" ht="26.4" customHeight="1">
      <c r="A1577" s="288">
        <v>651</v>
      </c>
      <c r="B1577" s="523"/>
      <c r="C1577" s="288" t="s">
        <v>1210</v>
      </c>
      <c r="D1577" s="289" t="s">
        <v>2134</v>
      </c>
      <c r="E1577" s="289" t="s">
        <v>1927</v>
      </c>
      <c r="F1577" s="218">
        <v>21013</v>
      </c>
      <c r="G1577" s="237" t="s">
        <v>1547</v>
      </c>
      <c r="H1577" s="475" t="s">
        <v>631</v>
      </c>
      <c r="I1577" s="478">
        <v>84</v>
      </c>
      <c r="J1577" s="243">
        <v>170.11589000000001</v>
      </c>
      <c r="K1577" s="243">
        <v>36.367339999999999</v>
      </c>
      <c r="L1577" s="243">
        <v>133.74854999999999</v>
      </c>
    </row>
    <row r="1578" spans="1:12" ht="26.4" customHeight="1">
      <c r="A1578" s="288">
        <v>652</v>
      </c>
      <c r="B1578" s="523"/>
      <c r="C1578" s="288" t="s">
        <v>1210</v>
      </c>
      <c r="D1578" s="289" t="s">
        <v>2134</v>
      </c>
      <c r="E1578" s="289" t="s">
        <v>1927</v>
      </c>
      <c r="F1578" s="218">
        <v>21017</v>
      </c>
      <c r="G1578" s="237" t="s">
        <v>1547</v>
      </c>
      <c r="H1578" s="475" t="s">
        <v>631</v>
      </c>
      <c r="I1578" s="478">
        <v>12</v>
      </c>
      <c r="J1578" s="243">
        <v>29.33304</v>
      </c>
      <c r="K1578" s="243">
        <v>6.1372799999999996</v>
      </c>
      <c r="L1578" s="243">
        <v>23.19576</v>
      </c>
    </row>
    <row r="1579" spans="1:12" ht="26.4" customHeight="1">
      <c r="A1579" s="288">
        <v>653</v>
      </c>
      <c r="B1579" s="523"/>
      <c r="C1579" s="288" t="s">
        <v>1210</v>
      </c>
      <c r="D1579" s="289" t="s">
        <v>2134</v>
      </c>
      <c r="E1579" s="289" t="s">
        <v>1927</v>
      </c>
      <c r="F1579" s="218">
        <v>21023</v>
      </c>
      <c r="G1579" s="237" t="s">
        <v>1547</v>
      </c>
      <c r="H1579" s="475" t="s">
        <v>631</v>
      </c>
      <c r="I1579" s="478">
        <v>6</v>
      </c>
      <c r="J1579" s="243">
        <v>41.723709999999997</v>
      </c>
      <c r="K1579" s="243">
        <v>8.1284200000000002</v>
      </c>
      <c r="L1579" s="243">
        <v>33.595289999999999</v>
      </c>
    </row>
    <row r="1580" spans="1:12" ht="26.4" customHeight="1">
      <c r="A1580" s="288">
        <v>654</v>
      </c>
      <c r="B1580" s="523"/>
      <c r="C1580" s="288" t="s">
        <v>1210</v>
      </c>
      <c r="D1580" s="289" t="s">
        <v>2134</v>
      </c>
      <c r="E1580" s="289" t="s">
        <v>1927</v>
      </c>
      <c r="F1580" s="218">
        <v>21024</v>
      </c>
      <c r="G1580" s="237" t="s">
        <v>1547</v>
      </c>
      <c r="H1580" s="475" t="s">
        <v>631</v>
      </c>
      <c r="I1580" s="478">
        <v>24</v>
      </c>
      <c r="J1580" s="243">
        <v>28.198399999999999</v>
      </c>
      <c r="K1580" s="243">
        <v>5.7964200000000003</v>
      </c>
      <c r="L1580" s="243">
        <v>22.401979999999998</v>
      </c>
    </row>
    <row r="1581" spans="1:12" ht="26.4" customHeight="1">
      <c r="A1581" s="288">
        <v>655</v>
      </c>
      <c r="B1581" s="523"/>
      <c r="C1581" s="288" t="s">
        <v>1210</v>
      </c>
      <c r="D1581" s="289" t="s">
        <v>2134</v>
      </c>
      <c r="E1581" s="289" t="s">
        <v>1927</v>
      </c>
      <c r="F1581" s="218">
        <v>29092</v>
      </c>
      <c r="G1581" s="237" t="s">
        <v>1541</v>
      </c>
      <c r="H1581" s="475" t="s">
        <v>631</v>
      </c>
      <c r="I1581" s="478">
        <v>413</v>
      </c>
      <c r="J1581" s="243">
        <v>12.983700000000001</v>
      </c>
      <c r="K1581" s="243">
        <v>6.8040700000000003</v>
      </c>
      <c r="L1581" s="243">
        <v>6.1796300000000004</v>
      </c>
    </row>
    <row r="1582" spans="1:12" ht="26.4" customHeight="1">
      <c r="A1582" s="288">
        <v>656</v>
      </c>
      <c r="B1582" s="523"/>
      <c r="C1582" s="288" t="s">
        <v>1210</v>
      </c>
      <c r="D1582" s="289" t="s">
        <v>2134</v>
      </c>
      <c r="E1582" s="289" t="s">
        <v>635</v>
      </c>
      <c r="F1582" s="218">
        <v>29400</v>
      </c>
      <c r="G1582" s="237" t="s">
        <v>1558</v>
      </c>
      <c r="H1582" s="475" t="s">
        <v>1138</v>
      </c>
      <c r="I1582" s="478">
        <v>1</v>
      </c>
      <c r="J1582" s="243">
        <v>0.1</v>
      </c>
      <c r="K1582" s="243">
        <v>0.1</v>
      </c>
      <c r="L1582" s="243">
        <v>0</v>
      </c>
    </row>
    <row r="1583" spans="1:12" ht="26.4" customHeight="1">
      <c r="A1583" s="288">
        <v>657</v>
      </c>
      <c r="B1583" s="523"/>
      <c r="C1583" s="288" t="s">
        <v>1210</v>
      </c>
      <c r="D1583" s="289" t="s">
        <v>2134</v>
      </c>
      <c r="E1583" s="289" t="s">
        <v>1269</v>
      </c>
      <c r="F1583" s="218">
        <v>30502</v>
      </c>
      <c r="G1583" s="237" t="s">
        <v>1541</v>
      </c>
      <c r="H1583" s="475" t="s">
        <v>1138</v>
      </c>
      <c r="I1583" s="478">
        <v>1</v>
      </c>
      <c r="J1583" s="243">
        <v>1.7</v>
      </c>
      <c r="K1583" s="243">
        <v>0.85209000000000001</v>
      </c>
      <c r="L1583" s="243">
        <v>0.84791000000000005</v>
      </c>
    </row>
    <row r="1584" spans="1:12" ht="26.4" customHeight="1">
      <c r="A1584" s="288">
        <v>658</v>
      </c>
      <c r="B1584" s="523"/>
      <c r="C1584" s="288" t="s">
        <v>1210</v>
      </c>
      <c r="D1584" s="289" t="s">
        <v>2134</v>
      </c>
      <c r="E1584" s="289" t="s">
        <v>1919</v>
      </c>
      <c r="F1584" s="218">
        <v>31403</v>
      </c>
      <c r="G1584" s="237" t="s">
        <v>1571</v>
      </c>
      <c r="H1584" s="475" t="s">
        <v>631</v>
      </c>
      <c r="I1584" s="478">
        <v>30</v>
      </c>
      <c r="J1584" s="243">
        <v>35.654879999999999</v>
      </c>
      <c r="K1584" s="243">
        <v>8.5174400000000006</v>
      </c>
      <c r="L1584" s="243">
        <v>27.137440000000002</v>
      </c>
    </row>
    <row r="1585" spans="1:12" ht="26.4" customHeight="1">
      <c r="A1585" s="288">
        <v>659</v>
      </c>
      <c r="B1585" s="523"/>
      <c r="C1585" s="288" t="s">
        <v>1210</v>
      </c>
      <c r="D1585" s="289" t="s">
        <v>2134</v>
      </c>
      <c r="E1585" s="289" t="s">
        <v>1919</v>
      </c>
      <c r="F1585" s="218">
        <v>40029</v>
      </c>
      <c r="G1585" s="237" t="s">
        <v>1576</v>
      </c>
      <c r="H1585" s="475" t="s">
        <v>631</v>
      </c>
      <c r="I1585" s="478">
        <v>57.5</v>
      </c>
      <c r="J1585" s="243">
        <v>57.798259999999999</v>
      </c>
      <c r="K1585" s="243">
        <v>24.56466</v>
      </c>
      <c r="L1585" s="243">
        <v>33.233600000000003</v>
      </c>
    </row>
    <row r="1586" spans="1:12" ht="26.4" customHeight="1">
      <c r="A1586" s="288">
        <v>660</v>
      </c>
      <c r="B1586" s="523"/>
      <c r="C1586" s="288" t="s">
        <v>1210</v>
      </c>
      <c r="D1586" s="289" t="s">
        <v>2134</v>
      </c>
      <c r="E1586" s="289" t="s">
        <v>1919</v>
      </c>
      <c r="F1586" s="218">
        <v>41067</v>
      </c>
      <c r="G1586" s="237" t="s">
        <v>1577</v>
      </c>
      <c r="H1586" s="475" t="s">
        <v>631</v>
      </c>
      <c r="I1586" s="478">
        <v>15.5</v>
      </c>
      <c r="J1586" s="243">
        <v>30.064730000000001</v>
      </c>
      <c r="K1586" s="243">
        <v>5.2330899999999998</v>
      </c>
      <c r="L1586" s="243">
        <v>24.83164</v>
      </c>
    </row>
    <row r="1587" spans="1:12" ht="26.4" customHeight="1">
      <c r="A1587" s="288">
        <v>661</v>
      </c>
      <c r="B1587" s="523"/>
      <c r="C1587" s="288" t="s">
        <v>1210</v>
      </c>
      <c r="D1587" s="289" t="s">
        <v>2134</v>
      </c>
      <c r="E1587" s="289" t="s">
        <v>1919</v>
      </c>
      <c r="F1587" s="218">
        <v>41580</v>
      </c>
      <c r="G1587" s="237" t="s">
        <v>1575</v>
      </c>
      <c r="H1587" s="475" t="s">
        <v>631</v>
      </c>
      <c r="I1587" s="478">
        <v>25</v>
      </c>
      <c r="J1587" s="243">
        <v>22.767109999999999</v>
      </c>
      <c r="K1587" s="243">
        <v>1.4229000000000001</v>
      </c>
      <c r="L1587" s="243">
        <v>21.34421</v>
      </c>
    </row>
    <row r="1588" spans="1:12" ht="26.4" customHeight="1">
      <c r="A1588" s="288">
        <v>662</v>
      </c>
      <c r="B1588" s="523"/>
      <c r="C1588" s="288" t="s">
        <v>1210</v>
      </c>
      <c r="D1588" s="289" t="s">
        <v>2134</v>
      </c>
      <c r="E1588" s="289" t="s">
        <v>632</v>
      </c>
      <c r="F1588" s="218">
        <v>42906</v>
      </c>
      <c r="G1588" s="237" t="s">
        <v>1541</v>
      </c>
      <c r="H1588" s="475" t="s">
        <v>1138</v>
      </c>
      <c r="I1588" s="478">
        <v>1</v>
      </c>
      <c r="J1588" s="243">
        <v>13</v>
      </c>
      <c r="K1588" s="243">
        <v>5.9145799999999999</v>
      </c>
      <c r="L1588" s="243">
        <v>7.0854200000000001</v>
      </c>
    </row>
    <row r="1589" spans="1:12" ht="26.4" customHeight="1">
      <c r="A1589" s="288">
        <v>663</v>
      </c>
      <c r="B1589" s="523"/>
      <c r="C1589" s="288" t="s">
        <v>1210</v>
      </c>
      <c r="D1589" s="289" t="s">
        <v>2134</v>
      </c>
      <c r="E1589" s="289" t="s">
        <v>1919</v>
      </c>
      <c r="F1589" s="218">
        <v>46020</v>
      </c>
      <c r="G1589" s="237" t="s">
        <v>1547</v>
      </c>
      <c r="H1589" s="475" t="s">
        <v>631</v>
      </c>
      <c r="I1589" s="478">
        <v>58</v>
      </c>
      <c r="J1589" s="243">
        <v>64.528559999999999</v>
      </c>
      <c r="K1589" s="243">
        <v>15.289540000000001</v>
      </c>
      <c r="L1589" s="243">
        <v>49.239019999999996</v>
      </c>
    </row>
    <row r="1590" spans="1:12" ht="26.4" customHeight="1">
      <c r="A1590" s="288">
        <v>664</v>
      </c>
      <c r="B1590" s="523"/>
      <c r="C1590" s="288" t="s">
        <v>1210</v>
      </c>
      <c r="D1590" s="289" t="s">
        <v>2134</v>
      </c>
      <c r="E1590" s="289" t="s">
        <v>1255</v>
      </c>
      <c r="F1590" s="218">
        <v>49200</v>
      </c>
      <c r="G1590" s="237" t="s">
        <v>1569</v>
      </c>
      <c r="H1590" s="475" t="s">
        <v>631</v>
      </c>
      <c r="I1590" s="478">
        <v>50</v>
      </c>
      <c r="J1590" s="243">
        <v>36.18309</v>
      </c>
      <c r="K1590" s="243">
        <v>12.07447</v>
      </c>
      <c r="L1590" s="243">
        <v>24.108619999999998</v>
      </c>
    </row>
    <row r="1591" spans="1:12" ht="26.4" customHeight="1">
      <c r="A1591" s="288">
        <v>665</v>
      </c>
      <c r="B1591" s="523"/>
      <c r="C1591" s="288" t="s">
        <v>1210</v>
      </c>
      <c r="D1591" s="289" t="s">
        <v>2134</v>
      </c>
      <c r="E1591" s="289" t="s">
        <v>1919</v>
      </c>
      <c r="F1591" s="218">
        <v>49201</v>
      </c>
      <c r="G1591" s="237" t="s">
        <v>1569</v>
      </c>
      <c r="H1591" s="475" t="s">
        <v>631</v>
      </c>
      <c r="I1591" s="478">
        <v>71</v>
      </c>
      <c r="J1591" s="243">
        <v>82.777429999999995</v>
      </c>
      <c r="K1591" s="243">
        <v>29.523440000000001</v>
      </c>
      <c r="L1591" s="243">
        <v>53.253990000000002</v>
      </c>
    </row>
    <row r="1592" spans="1:12" ht="26.4" customHeight="1">
      <c r="A1592" s="288">
        <v>666</v>
      </c>
      <c r="B1592" s="523"/>
      <c r="C1592" s="288" t="s">
        <v>1210</v>
      </c>
      <c r="D1592" s="289" t="s">
        <v>2134</v>
      </c>
      <c r="E1592" s="289" t="s">
        <v>1919</v>
      </c>
      <c r="F1592" s="218">
        <v>49203</v>
      </c>
      <c r="G1592" s="237" t="s">
        <v>1571</v>
      </c>
      <c r="H1592" s="475" t="s">
        <v>631</v>
      </c>
      <c r="I1592" s="478">
        <v>126.5</v>
      </c>
      <c r="J1592" s="243">
        <v>85.009900000000002</v>
      </c>
      <c r="K1592" s="243">
        <v>30.626580000000001</v>
      </c>
      <c r="L1592" s="243">
        <v>54.383319999999998</v>
      </c>
    </row>
    <row r="1593" spans="1:12" ht="26.4" customHeight="1">
      <c r="A1593" s="288">
        <v>667</v>
      </c>
      <c r="B1593" s="523"/>
      <c r="C1593" s="288" t="s">
        <v>1210</v>
      </c>
      <c r="D1593" s="289" t="s">
        <v>2135</v>
      </c>
      <c r="E1593" s="289" t="s">
        <v>2248</v>
      </c>
      <c r="F1593" s="218">
        <v>29088</v>
      </c>
      <c r="G1593" s="237" t="s">
        <v>1541</v>
      </c>
      <c r="H1593" s="475" t="s">
        <v>1149</v>
      </c>
      <c r="I1593" s="207">
        <v>350.4</v>
      </c>
      <c r="J1593" s="243">
        <v>405.71755000000002</v>
      </c>
      <c r="K1593" s="243">
        <v>131.61565999999999</v>
      </c>
      <c r="L1593" s="243">
        <v>274.10189000000003</v>
      </c>
    </row>
    <row r="1594" spans="1:12" ht="26.4" customHeight="1">
      <c r="A1594" s="288">
        <v>668</v>
      </c>
      <c r="B1594" s="523"/>
      <c r="C1594" s="288" t="s">
        <v>1210</v>
      </c>
      <c r="D1594" s="289" t="s">
        <v>2135</v>
      </c>
      <c r="E1594" s="289" t="s">
        <v>1919</v>
      </c>
      <c r="F1594" s="218">
        <v>2195</v>
      </c>
      <c r="G1594" s="237" t="s">
        <v>1541</v>
      </c>
      <c r="H1594" s="475" t="s">
        <v>631</v>
      </c>
      <c r="I1594" s="478">
        <v>88</v>
      </c>
      <c r="J1594" s="243">
        <v>3.38096</v>
      </c>
      <c r="K1594" s="243">
        <v>1.9226000000000001</v>
      </c>
      <c r="L1594" s="243">
        <v>1.4583600000000001</v>
      </c>
    </row>
    <row r="1595" spans="1:12" ht="26.4" customHeight="1">
      <c r="A1595" s="288">
        <v>669</v>
      </c>
      <c r="B1595" s="523"/>
      <c r="C1595" s="288" t="s">
        <v>1210</v>
      </c>
      <c r="D1595" s="289" t="s">
        <v>2135</v>
      </c>
      <c r="E1595" s="289" t="s">
        <v>1919</v>
      </c>
      <c r="F1595" s="218">
        <v>2196</v>
      </c>
      <c r="G1595" s="237" t="s">
        <v>1541</v>
      </c>
      <c r="H1595" s="475" t="s">
        <v>631</v>
      </c>
      <c r="I1595" s="478">
        <v>36</v>
      </c>
      <c r="J1595" s="243">
        <v>1.3831199999999999</v>
      </c>
      <c r="K1595" s="243">
        <v>0.78651000000000004</v>
      </c>
      <c r="L1595" s="243">
        <v>0.59660999999999997</v>
      </c>
    </row>
    <row r="1596" spans="1:12" ht="26.4" customHeight="1">
      <c r="A1596" s="288">
        <v>670</v>
      </c>
      <c r="B1596" s="523"/>
      <c r="C1596" s="288" t="s">
        <v>1210</v>
      </c>
      <c r="D1596" s="289" t="s">
        <v>2135</v>
      </c>
      <c r="E1596" s="289" t="s">
        <v>1919</v>
      </c>
      <c r="F1596" s="218">
        <v>2197</v>
      </c>
      <c r="G1596" s="237" t="s">
        <v>1541</v>
      </c>
      <c r="H1596" s="475" t="s">
        <v>631</v>
      </c>
      <c r="I1596" s="478">
        <v>76</v>
      </c>
      <c r="J1596" s="243">
        <v>2.9199199999999998</v>
      </c>
      <c r="K1596" s="243">
        <v>1.66039</v>
      </c>
      <c r="L1596" s="243">
        <v>1.25953</v>
      </c>
    </row>
    <row r="1597" spans="1:12" ht="26.4" customHeight="1">
      <c r="A1597" s="288">
        <v>671</v>
      </c>
      <c r="B1597" s="523"/>
      <c r="C1597" s="288" t="s">
        <v>1210</v>
      </c>
      <c r="D1597" s="289" t="s">
        <v>2135</v>
      </c>
      <c r="E1597" s="289" t="s">
        <v>1919</v>
      </c>
      <c r="F1597" s="218">
        <v>2198</v>
      </c>
      <c r="G1597" s="237" t="s">
        <v>1541</v>
      </c>
      <c r="H1597" s="475" t="s">
        <v>631</v>
      </c>
      <c r="I1597" s="478">
        <v>54</v>
      </c>
      <c r="J1597" s="243">
        <v>2.0746799999999999</v>
      </c>
      <c r="K1597" s="243">
        <v>1.1798200000000001</v>
      </c>
      <c r="L1597" s="243">
        <v>0.89485999999999999</v>
      </c>
    </row>
    <row r="1598" spans="1:12" ht="26.4" customHeight="1">
      <c r="A1598" s="288">
        <v>672</v>
      </c>
      <c r="B1598" s="523"/>
      <c r="C1598" s="288" t="s">
        <v>1210</v>
      </c>
      <c r="D1598" s="289" t="s">
        <v>2135</v>
      </c>
      <c r="E1598" s="289" t="s">
        <v>1919</v>
      </c>
      <c r="F1598" s="218">
        <v>2199</v>
      </c>
      <c r="G1598" s="237" t="s">
        <v>1541</v>
      </c>
      <c r="H1598" s="475" t="s">
        <v>631</v>
      </c>
      <c r="I1598" s="478">
        <v>70</v>
      </c>
      <c r="J1598" s="243">
        <v>2.6894</v>
      </c>
      <c r="K1598" s="243">
        <v>1.52929</v>
      </c>
      <c r="L1598" s="243">
        <v>1.16011</v>
      </c>
    </row>
    <row r="1599" spans="1:12" ht="26.4" customHeight="1">
      <c r="A1599" s="288">
        <v>673</v>
      </c>
      <c r="B1599" s="523"/>
      <c r="C1599" s="288" t="s">
        <v>1210</v>
      </c>
      <c r="D1599" s="289" t="s">
        <v>2135</v>
      </c>
      <c r="E1599" s="289" t="s">
        <v>1919</v>
      </c>
      <c r="F1599" s="218">
        <v>2200</v>
      </c>
      <c r="G1599" s="237" t="s">
        <v>1541</v>
      </c>
      <c r="H1599" s="475" t="s">
        <v>631</v>
      </c>
      <c r="I1599" s="478">
        <v>339</v>
      </c>
      <c r="J1599" s="243">
        <v>13.024380000000001</v>
      </c>
      <c r="K1599" s="243">
        <v>7.40632</v>
      </c>
      <c r="L1599" s="243">
        <v>5.6180599999999998</v>
      </c>
    </row>
    <row r="1600" spans="1:12" ht="26.4" customHeight="1">
      <c r="A1600" s="288">
        <v>674</v>
      </c>
      <c r="B1600" s="523"/>
      <c r="C1600" s="288" t="s">
        <v>1210</v>
      </c>
      <c r="D1600" s="289" t="s">
        <v>2135</v>
      </c>
      <c r="E1600" s="289" t="s">
        <v>1919</v>
      </c>
      <c r="F1600" s="218">
        <v>2201</v>
      </c>
      <c r="G1600" s="237" t="s">
        <v>1541</v>
      </c>
      <c r="H1600" s="475" t="s">
        <v>631</v>
      </c>
      <c r="I1600" s="478">
        <v>132</v>
      </c>
      <c r="J1600" s="243">
        <v>5.0714399999999999</v>
      </c>
      <c r="K1600" s="243">
        <v>2.8838499999999998</v>
      </c>
      <c r="L1600" s="243">
        <v>2.1875900000000001</v>
      </c>
    </row>
    <row r="1601" spans="1:12" ht="26.4" customHeight="1">
      <c r="A1601" s="288">
        <v>675</v>
      </c>
      <c r="B1601" s="523"/>
      <c r="C1601" s="288" t="s">
        <v>1210</v>
      </c>
      <c r="D1601" s="289" t="s">
        <v>2135</v>
      </c>
      <c r="E1601" s="289" t="s">
        <v>1919</v>
      </c>
      <c r="F1601" s="218">
        <v>2202</v>
      </c>
      <c r="G1601" s="237" t="s">
        <v>1541</v>
      </c>
      <c r="H1601" s="475" t="s">
        <v>631</v>
      </c>
      <c r="I1601" s="478">
        <v>298</v>
      </c>
      <c r="J1601" s="243">
        <v>11.449159999999999</v>
      </c>
      <c r="K1601" s="243">
        <v>6.51058</v>
      </c>
      <c r="L1601" s="243">
        <v>4.93858</v>
      </c>
    </row>
    <row r="1602" spans="1:12" ht="26.4" customHeight="1">
      <c r="A1602" s="288">
        <v>676</v>
      </c>
      <c r="B1602" s="523"/>
      <c r="C1602" s="288" t="s">
        <v>1210</v>
      </c>
      <c r="D1602" s="289" t="s">
        <v>2135</v>
      </c>
      <c r="E1602" s="289" t="s">
        <v>1919</v>
      </c>
      <c r="F1602" s="218">
        <v>2203</v>
      </c>
      <c r="G1602" s="237" t="s">
        <v>1541</v>
      </c>
      <c r="H1602" s="475" t="s">
        <v>631</v>
      </c>
      <c r="I1602" s="478">
        <v>132.19999999999999</v>
      </c>
      <c r="J1602" s="243">
        <v>5.0791199999999996</v>
      </c>
      <c r="K1602" s="243">
        <v>2.8882599999999998</v>
      </c>
      <c r="L1602" s="243">
        <v>2.1908599999999998</v>
      </c>
    </row>
    <row r="1603" spans="1:12" ht="26.4" customHeight="1">
      <c r="A1603" s="288">
        <v>677</v>
      </c>
      <c r="B1603" s="523"/>
      <c r="C1603" s="288" t="s">
        <v>1210</v>
      </c>
      <c r="D1603" s="289" t="s">
        <v>2135</v>
      </c>
      <c r="E1603" s="289" t="s">
        <v>1919</v>
      </c>
      <c r="F1603" s="218">
        <v>2204</v>
      </c>
      <c r="G1603" s="237" t="s">
        <v>1541</v>
      </c>
      <c r="H1603" s="475" t="s">
        <v>631</v>
      </c>
      <c r="I1603" s="478">
        <v>114.5</v>
      </c>
      <c r="J1603" s="243">
        <v>4.3990900000000002</v>
      </c>
      <c r="K1603" s="243">
        <v>2.5015200000000002</v>
      </c>
      <c r="L1603" s="243">
        <v>1.89757</v>
      </c>
    </row>
    <row r="1604" spans="1:12" ht="26.4" customHeight="1">
      <c r="A1604" s="288">
        <v>678</v>
      </c>
      <c r="B1604" s="523"/>
      <c r="C1604" s="288" t="s">
        <v>1210</v>
      </c>
      <c r="D1604" s="289" t="s">
        <v>2135</v>
      </c>
      <c r="E1604" s="289" t="s">
        <v>1919</v>
      </c>
      <c r="F1604" s="218">
        <v>2205</v>
      </c>
      <c r="G1604" s="237" t="s">
        <v>1541</v>
      </c>
      <c r="H1604" s="475" t="s">
        <v>631</v>
      </c>
      <c r="I1604" s="478" t="s">
        <v>634</v>
      </c>
      <c r="J1604" s="243">
        <v>1.3178099999999999</v>
      </c>
      <c r="K1604" s="243">
        <v>0.74934999999999996</v>
      </c>
      <c r="L1604" s="243">
        <v>0.56845999999999997</v>
      </c>
    </row>
    <row r="1605" spans="1:12" ht="26.4" customHeight="1">
      <c r="A1605" s="288">
        <v>679</v>
      </c>
      <c r="B1605" s="523"/>
      <c r="C1605" s="288" t="s">
        <v>1210</v>
      </c>
      <c r="D1605" s="289" t="s">
        <v>2135</v>
      </c>
      <c r="E1605" s="289" t="s">
        <v>1919</v>
      </c>
      <c r="F1605" s="218">
        <v>21014</v>
      </c>
      <c r="G1605" s="237" t="s">
        <v>1547</v>
      </c>
      <c r="H1605" s="475" t="s">
        <v>631</v>
      </c>
      <c r="I1605" s="478">
        <v>60.5</v>
      </c>
      <c r="J1605" s="243">
        <v>190.36962</v>
      </c>
      <c r="K1605" s="243">
        <v>40.717599999999997</v>
      </c>
      <c r="L1605" s="243">
        <v>149.65201999999999</v>
      </c>
    </row>
    <row r="1606" spans="1:12" ht="26.4" customHeight="1">
      <c r="A1606" s="288">
        <v>680</v>
      </c>
      <c r="B1606" s="523"/>
      <c r="C1606" s="288" t="s">
        <v>1210</v>
      </c>
      <c r="D1606" s="289" t="s">
        <v>2135</v>
      </c>
      <c r="E1606" s="289" t="s">
        <v>1919</v>
      </c>
      <c r="F1606" s="218">
        <v>29093</v>
      </c>
      <c r="G1606" s="237" t="s">
        <v>1541</v>
      </c>
      <c r="H1606" s="475" t="s">
        <v>631</v>
      </c>
      <c r="I1606" s="478">
        <v>46</v>
      </c>
      <c r="J1606" s="243">
        <v>1.7788600000000001</v>
      </c>
      <c r="K1606" s="243">
        <v>1.01156</v>
      </c>
      <c r="L1606" s="243">
        <v>0.76729999999999998</v>
      </c>
    </row>
    <row r="1607" spans="1:12" ht="26.4" customHeight="1">
      <c r="A1607" s="288">
        <v>681</v>
      </c>
      <c r="B1607" s="523"/>
      <c r="C1607" s="288" t="s">
        <v>1210</v>
      </c>
      <c r="D1607" s="289" t="s">
        <v>2135</v>
      </c>
      <c r="E1607" s="289" t="s">
        <v>1255</v>
      </c>
      <c r="F1607" s="218">
        <v>31404</v>
      </c>
      <c r="G1607" s="237" t="s">
        <v>1571</v>
      </c>
      <c r="H1607" s="475" t="s">
        <v>631</v>
      </c>
      <c r="I1607" s="478">
        <v>18</v>
      </c>
      <c r="J1607" s="243">
        <v>21.217289999999998</v>
      </c>
      <c r="K1607" s="243">
        <v>5.0688399999999998</v>
      </c>
      <c r="L1607" s="243">
        <v>16.14845</v>
      </c>
    </row>
    <row r="1608" spans="1:12" ht="26.4" customHeight="1">
      <c r="A1608" s="288">
        <v>682</v>
      </c>
      <c r="B1608" s="523"/>
      <c r="C1608" s="288" t="s">
        <v>1210</v>
      </c>
      <c r="D1608" s="289" t="s">
        <v>2135</v>
      </c>
      <c r="E1608" s="289" t="s">
        <v>1255</v>
      </c>
      <c r="F1608" s="218">
        <v>31405</v>
      </c>
      <c r="G1608" s="237" t="s">
        <v>1571</v>
      </c>
      <c r="H1608" s="475" t="s">
        <v>631</v>
      </c>
      <c r="I1608" s="478">
        <v>41</v>
      </c>
      <c r="J1608" s="243">
        <v>48.328279999999999</v>
      </c>
      <c r="K1608" s="243">
        <v>11.545500000000001</v>
      </c>
      <c r="L1608" s="243">
        <v>36.782780000000002</v>
      </c>
    </row>
    <row r="1609" spans="1:12" ht="26.4" customHeight="1">
      <c r="A1609" s="288">
        <v>683</v>
      </c>
      <c r="B1609" s="523"/>
      <c r="C1609" s="288" t="s">
        <v>1210</v>
      </c>
      <c r="D1609" s="289" t="s">
        <v>2135</v>
      </c>
      <c r="E1609" s="289" t="s">
        <v>1255</v>
      </c>
      <c r="F1609" s="218">
        <v>40030</v>
      </c>
      <c r="G1609" s="237" t="s">
        <v>1569</v>
      </c>
      <c r="H1609" s="475" t="s">
        <v>631</v>
      </c>
      <c r="I1609" s="478">
        <v>44</v>
      </c>
      <c r="J1609" s="243">
        <v>29.110389999999999</v>
      </c>
      <c r="K1609" s="243">
        <v>10.382210000000001</v>
      </c>
      <c r="L1609" s="243">
        <v>18.728179999999998</v>
      </c>
    </row>
    <row r="1610" spans="1:12" ht="26.4" customHeight="1">
      <c r="A1610" s="288">
        <v>684</v>
      </c>
      <c r="B1610" s="523"/>
      <c r="C1610" s="288" t="s">
        <v>1210</v>
      </c>
      <c r="D1610" s="289" t="s">
        <v>2135</v>
      </c>
      <c r="E1610" s="289" t="s">
        <v>1255</v>
      </c>
      <c r="F1610" s="218">
        <v>40031</v>
      </c>
      <c r="G1610" s="237" t="s">
        <v>1569</v>
      </c>
      <c r="H1610" s="475" t="s">
        <v>631</v>
      </c>
      <c r="I1610" s="478">
        <v>80</v>
      </c>
      <c r="J1610" s="243">
        <v>52.927979999999998</v>
      </c>
      <c r="K1610" s="243">
        <v>18.87801</v>
      </c>
      <c r="L1610" s="243">
        <v>34.049970000000002</v>
      </c>
    </row>
    <row r="1611" spans="1:12" ht="26.4" customHeight="1">
      <c r="A1611" s="288">
        <v>685</v>
      </c>
      <c r="B1611" s="523"/>
      <c r="C1611" s="288" t="s">
        <v>1210</v>
      </c>
      <c r="D1611" s="289" t="s">
        <v>2135</v>
      </c>
      <c r="E1611" s="289" t="s">
        <v>1255</v>
      </c>
      <c r="F1611" s="218">
        <v>40032</v>
      </c>
      <c r="G1611" s="237" t="s">
        <v>1569</v>
      </c>
      <c r="H1611" s="475" t="s">
        <v>631</v>
      </c>
      <c r="I1611" s="478">
        <v>150</v>
      </c>
      <c r="J1611" s="243">
        <v>99.239959999999996</v>
      </c>
      <c r="K1611" s="243">
        <v>35.395600000000002</v>
      </c>
      <c r="L1611" s="243">
        <v>63.844360000000002</v>
      </c>
    </row>
    <row r="1612" spans="1:12" ht="26.4" customHeight="1">
      <c r="A1612" s="288">
        <v>686</v>
      </c>
      <c r="B1612" s="523"/>
      <c r="C1612" s="288" t="s">
        <v>1210</v>
      </c>
      <c r="D1612" s="289" t="s">
        <v>2135</v>
      </c>
      <c r="E1612" s="289" t="s">
        <v>1255</v>
      </c>
      <c r="F1612" s="218">
        <v>40034</v>
      </c>
      <c r="G1612" s="237" t="s">
        <v>1576</v>
      </c>
      <c r="H1612" s="475" t="s">
        <v>631</v>
      </c>
      <c r="I1612" s="478">
        <v>115.5</v>
      </c>
      <c r="J1612" s="243">
        <v>69.02664</v>
      </c>
      <c r="K1612" s="243">
        <v>29.336220000000001</v>
      </c>
      <c r="L1612" s="243">
        <v>39.690420000000003</v>
      </c>
    </row>
    <row r="1613" spans="1:12" ht="26.4" customHeight="1">
      <c r="A1613" s="288">
        <v>687</v>
      </c>
      <c r="B1613" s="523"/>
      <c r="C1613" s="288" t="s">
        <v>1210</v>
      </c>
      <c r="D1613" s="289" t="s">
        <v>2135</v>
      </c>
      <c r="E1613" s="289" t="s">
        <v>1920</v>
      </c>
      <c r="F1613" s="218">
        <v>41253</v>
      </c>
      <c r="G1613" s="237" t="s">
        <v>1562</v>
      </c>
      <c r="H1613" s="475" t="s">
        <v>631</v>
      </c>
      <c r="I1613" s="478">
        <v>62</v>
      </c>
      <c r="J1613" s="243">
        <v>53.763730000000002</v>
      </c>
      <c r="K1613" s="243">
        <v>8.4941999999999993</v>
      </c>
      <c r="L1613" s="243">
        <v>45.269530000000003</v>
      </c>
    </row>
    <row r="1614" spans="1:12" ht="26.4" customHeight="1">
      <c r="A1614" s="288">
        <v>688</v>
      </c>
      <c r="B1614" s="523"/>
      <c r="C1614" s="288" t="s">
        <v>1210</v>
      </c>
      <c r="D1614" s="289" t="s">
        <v>2135</v>
      </c>
      <c r="E1614" s="289" t="s">
        <v>1920</v>
      </c>
      <c r="F1614" s="218">
        <v>41299</v>
      </c>
      <c r="G1614" s="237" t="s">
        <v>1562</v>
      </c>
      <c r="H1614" s="475" t="s">
        <v>631</v>
      </c>
      <c r="I1614" s="478">
        <v>90</v>
      </c>
      <c r="J1614" s="243">
        <v>206.71077</v>
      </c>
      <c r="K1614" s="243">
        <v>37.091999999999999</v>
      </c>
      <c r="L1614" s="243">
        <v>169.61877000000001</v>
      </c>
    </row>
    <row r="1615" spans="1:12" ht="26.4" customHeight="1">
      <c r="A1615" s="288">
        <v>689</v>
      </c>
      <c r="B1615" s="523"/>
      <c r="C1615" s="288" t="s">
        <v>1210</v>
      </c>
      <c r="D1615" s="289" t="s">
        <v>2135</v>
      </c>
      <c r="E1615" s="289" t="s">
        <v>1920</v>
      </c>
      <c r="F1615" s="218">
        <v>41393</v>
      </c>
      <c r="G1615" s="237" t="s">
        <v>1537</v>
      </c>
      <c r="H1615" s="475" t="s">
        <v>631</v>
      </c>
      <c r="I1615" s="478">
        <v>68</v>
      </c>
      <c r="J1615" s="243">
        <v>27.92511</v>
      </c>
      <c r="K1615" s="243">
        <v>9.5411099999999998</v>
      </c>
      <c r="L1615" s="243">
        <v>18.384</v>
      </c>
    </row>
    <row r="1616" spans="1:12" ht="26.4" customHeight="1">
      <c r="A1616" s="288">
        <v>690</v>
      </c>
      <c r="B1616" s="523"/>
      <c r="C1616" s="288" t="s">
        <v>1210</v>
      </c>
      <c r="D1616" s="289" t="s">
        <v>2135</v>
      </c>
      <c r="E1616" s="289" t="s">
        <v>632</v>
      </c>
      <c r="F1616" s="218">
        <v>43008</v>
      </c>
      <c r="G1616" s="237" t="s">
        <v>1541</v>
      </c>
      <c r="H1616" s="475" t="s">
        <v>1138</v>
      </c>
      <c r="I1616" s="478">
        <v>1</v>
      </c>
      <c r="J1616" s="243">
        <v>16</v>
      </c>
      <c r="K1616" s="243">
        <v>7.1614300000000002</v>
      </c>
      <c r="L1616" s="243">
        <v>8.8385700000000007</v>
      </c>
    </row>
    <row r="1617" spans="1:12" ht="26.4" customHeight="1">
      <c r="A1617" s="288">
        <v>691</v>
      </c>
      <c r="B1617" s="523"/>
      <c r="C1617" s="288" t="s">
        <v>1210</v>
      </c>
      <c r="D1617" s="289" t="s">
        <v>2136</v>
      </c>
      <c r="E1617" s="289" t="s">
        <v>457</v>
      </c>
      <c r="F1617" s="218">
        <v>29060</v>
      </c>
      <c r="G1617" s="237" t="s">
        <v>1541</v>
      </c>
      <c r="H1617" s="475" t="s">
        <v>1149</v>
      </c>
      <c r="I1617" s="207">
        <v>244.9</v>
      </c>
      <c r="J1617" s="243">
        <v>393.47214000000002</v>
      </c>
      <c r="K1617" s="243">
        <v>58.912840000000003</v>
      </c>
      <c r="L1617" s="243">
        <v>334.55930000000001</v>
      </c>
    </row>
    <row r="1618" spans="1:12" ht="26.4" customHeight="1">
      <c r="A1618" s="288">
        <v>692</v>
      </c>
      <c r="B1618" s="523"/>
      <c r="C1618" s="288" t="s">
        <v>1210</v>
      </c>
      <c r="D1618" s="289" t="s">
        <v>2136</v>
      </c>
      <c r="E1618" s="289" t="s">
        <v>1919</v>
      </c>
      <c r="F1618" s="218">
        <v>2218</v>
      </c>
      <c r="G1618" s="237" t="s">
        <v>1541</v>
      </c>
      <c r="H1618" s="475" t="s">
        <v>631</v>
      </c>
      <c r="I1618" s="478">
        <v>53</v>
      </c>
      <c r="J1618" s="243">
        <v>2.0882000000000001</v>
      </c>
      <c r="K1618" s="243">
        <v>1.36012</v>
      </c>
      <c r="L1618" s="243">
        <v>0.72807999999999995</v>
      </c>
    </row>
    <row r="1619" spans="1:12" ht="26.4" customHeight="1">
      <c r="A1619" s="288">
        <v>693</v>
      </c>
      <c r="B1619" s="523"/>
      <c r="C1619" s="288" t="s">
        <v>1210</v>
      </c>
      <c r="D1619" s="289" t="s">
        <v>2136</v>
      </c>
      <c r="E1619" s="289" t="s">
        <v>1919</v>
      </c>
      <c r="F1619" s="218">
        <v>2219</v>
      </c>
      <c r="G1619" s="237" t="s">
        <v>1541</v>
      </c>
      <c r="H1619" s="475" t="s">
        <v>631</v>
      </c>
      <c r="I1619" s="478">
        <v>49</v>
      </c>
      <c r="J1619" s="243">
        <v>1.9306000000000001</v>
      </c>
      <c r="K1619" s="243">
        <v>1.25752</v>
      </c>
      <c r="L1619" s="243">
        <v>0.67308000000000001</v>
      </c>
    </row>
    <row r="1620" spans="1:12" ht="26.4" customHeight="1">
      <c r="A1620" s="288">
        <v>694</v>
      </c>
      <c r="B1620" s="523"/>
      <c r="C1620" s="288" t="s">
        <v>1210</v>
      </c>
      <c r="D1620" s="289" t="s">
        <v>2136</v>
      </c>
      <c r="E1620" s="289" t="s">
        <v>1919</v>
      </c>
      <c r="F1620" s="218">
        <v>2220</v>
      </c>
      <c r="G1620" s="237" t="s">
        <v>1541</v>
      </c>
      <c r="H1620" s="475" t="s">
        <v>631</v>
      </c>
      <c r="I1620" s="478">
        <v>76.42</v>
      </c>
      <c r="J1620" s="243">
        <v>3.0109499999999998</v>
      </c>
      <c r="K1620" s="243">
        <v>1.96119</v>
      </c>
      <c r="L1620" s="243">
        <v>1.04976</v>
      </c>
    </row>
    <row r="1621" spans="1:12" ht="26.4" customHeight="1">
      <c r="A1621" s="288">
        <v>695</v>
      </c>
      <c r="B1621" s="523"/>
      <c r="C1621" s="288" t="s">
        <v>1210</v>
      </c>
      <c r="D1621" s="289" t="s">
        <v>2136</v>
      </c>
      <c r="E1621" s="289" t="s">
        <v>1919</v>
      </c>
      <c r="F1621" s="218">
        <v>2221</v>
      </c>
      <c r="G1621" s="237" t="s">
        <v>1541</v>
      </c>
      <c r="H1621" s="475" t="s">
        <v>631</v>
      </c>
      <c r="I1621" s="478">
        <v>83.5</v>
      </c>
      <c r="J1621" s="243">
        <v>3.3292999999999999</v>
      </c>
      <c r="K1621" s="243">
        <v>2.1685300000000001</v>
      </c>
      <c r="L1621" s="243">
        <v>1.1607700000000001</v>
      </c>
    </row>
    <row r="1622" spans="1:12" ht="26.4" customHeight="1">
      <c r="A1622" s="288">
        <v>696</v>
      </c>
      <c r="B1622" s="523"/>
      <c r="C1622" s="288" t="s">
        <v>1210</v>
      </c>
      <c r="D1622" s="289" t="s">
        <v>2136</v>
      </c>
      <c r="E1622" s="289" t="s">
        <v>1919</v>
      </c>
      <c r="F1622" s="218">
        <v>2222</v>
      </c>
      <c r="G1622" s="237" t="s">
        <v>1541</v>
      </c>
      <c r="H1622" s="475" t="s">
        <v>631</v>
      </c>
      <c r="I1622" s="478">
        <v>107</v>
      </c>
      <c r="J1622" s="243">
        <v>4.2157999999999998</v>
      </c>
      <c r="K1622" s="243">
        <v>2.7458800000000001</v>
      </c>
      <c r="L1622" s="243">
        <v>1.4699199999999999</v>
      </c>
    </row>
    <row r="1623" spans="1:12" ht="26.4" customHeight="1">
      <c r="A1623" s="288">
        <v>697</v>
      </c>
      <c r="B1623" s="523"/>
      <c r="C1623" s="288" t="s">
        <v>1210</v>
      </c>
      <c r="D1623" s="289" t="s">
        <v>2136</v>
      </c>
      <c r="E1623" s="289" t="s">
        <v>1919</v>
      </c>
      <c r="F1623" s="218">
        <v>2223</v>
      </c>
      <c r="G1623" s="237" t="s">
        <v>1541</v>
      </c>
      <c r="H1623" s="475" t="s">
        <v>631</v>
      </c>
      <c r="I1623" s="478">
        <v>28</v>
      </c>
      <c r="J1623" s="243">
        <v>1.1032</v>
      </c>
      <c r="K1623" s="243">
        <v>0.71858999999999995</v>
      </c>
      <c r="L1623" s="243">
        <v>0.38461000000000001</v>
      </c>
    </row>
    <row r="1624" spans="1:12" ht="26.4" customHeight="1">
      <c r="A1624" s="288">
        <v>698</v>
      </c>
      <c r="B1624" s="523"/>
      <c r="C1624" s="288" t="s">
        <v>1210</v>
      </c>
      <c r="D1624" s="289" t="s">
        <v>2136</v>
      </c>
      <c r="E1624" s="289" t="s">
        <v>1919</v>
      </c>
      <c r="F1624" s="218">
        <v>2224</v>
      </c>
      <c r="G1624" s="237" t="s">
        <v>1541</v>
      </c>
      <c r="H1624" s="475" t="s">
        <v>631</v>
      </c>
      <c r="I1624" s="478">
        <v>64</v>
      </c>
      <c r="J1624" s="243">
        <v>2.5215999999999998</v>
      </c>
      <c r="K1624" s="243">
        <v>1.64246</v>
      </c>
      <c r="L1624" s="243">
        <v>0.87914000000000003</v>
      </c>
    </row>
    <row r="1625" spans="1:12" ht="26.4" customHeight="1">
      <c r="A1625" s="288">
        <v>699</v>
      </c>
      <c r="B1625" s="523"/>
      <c r="C1625" s="288" t="s">
        <v>1210</v>
      </c>
      <c r="D1625" s="289" t="s">
        <v>2136</v>
      </c>
      <c r="E1625" s="289" t="s">
        <v>1919</v>
      </c>
      <c r="F1625" s="218">
        <v>2225</v>
      </c>
      <c r="G1625" s="237" t="s">
        <v>1541</v>
      </c>
      <c r="H1625" s="475" t="s">
        <v>631</v>
      </c>
      <c r="I1625" s="478">
        <v>222</v>
      </c>
      <c r="J1625" s="243">
        <v>8.7468000000000004</v>
      </c>
      <c r="K1625" s="243">
        <v>5.6971699999999998</v>
      </c>
      <c r="L1625" s="243">
        <v>3.0496300000000001</v>
      </c>
    </row>
    <row r="1626" spans="1:12" ht="26.4" customHeight="1">
      <c r="A1626" s="288">
        <v>700</v>
      </c>
      <c r="B1626" s="523"/>
      <c r="C1626" s="288" t="s">
        <v>1210</v>
      </c>
      <c r="D1626" s="289" t="s">
        <v>2136</v>
      </c>
      <c r="E1626" s="289" t="s">
        <v>1919</v>
      </c>
      <c r="F1626" s="218">
        <v>21018</v>
      </c>
      <c r="G1626" s="237" t="s">
        <v>1547</v>
      </c>
      <c r="H1626" s="475" t="s">
        <v>631</v>
      </c>
      <c r="I1626" s="478">
        <v>17</v>
      </c>
      <c r="J1626" s="243">
        <v>105.52725</v>
      </c>
      <c r="K1626" s="243">
        <v>22.27788</v>
      </c>
      <c r="L1626" s="243">
        <v>83.249369999999999</v>
      </c>
    </row>
    <row r="1627" spans="1:12" ht="26.4" customHeight="1">
      <c r="A1627" s="288">
        <v>701</v>
      </c>
      <c r="B1627" s="523"/>
      <c r="C1627" s="288" t="s">
        <v>1210</v>
      </c>
      <c r="D1627" s="289" t="s">
        <v>2136</v>
      </c>
      <c r="E1627" s="289" t="s">
        <v>1255</v>
      </c>
      <c r="F1627" s="218">
        <v>21020</v>
      </c>
      <c r="G1627" s="237" t="s">
        <v>1547</v>
      </c>
      <c r="H1627" s="475" t="s">
        <v>631</v>
      </c>
      <c r="I1627" s="478">
        <v>16</v>
      </c>
      <c r="J1627" s="243">
        <v>44.913060000000002</v>
      </c>
      <c r="K1627" s="243">
        <v>9.4499600000000008</v>
      </c>
      <c r="L1627" s="243">
        <v>35.463099999999997</v>
      </c>
    </row>
    <row r="1628" spans="1:12" ht="26.4" customHeight="1">
      <c r="A1628" s="288">
        <v>702</v>
      </c>
      <c r="B1628" s="523"/>
      <c r="C1628" s="288" t="s">
        <v>1210</v>
      </c>
      <c r="D1628" s="289" t="s">
        <v>2136</v>
      </c>
      <c r="E1628" s="289" t="s">
        <v>1919</v>
      </c>
      <c r="F1628" s="218">
        <v>29056</v>
      </c>
      <c r="G1628" s="237" t="s">
        <v>1541</v>
      </c>
      <c r="H1628" s="475" t="s">
        <v>631</v>
      </c>
      <c r="I1628" s="478">
        <v>117</v>
      </c>
      <c r="J1628" s="243">
        <v>4.6105499999999999</v>
      </c>
      <c r="K1628" s="243">
        <v>3.0030399999999999</v>
      </c>
      <c r="L1628" s="243">
        <v>1.60751</v>
      </c>
    </row>
    <row r="1629" spans="1:12" ht="26.4" customHeight="1">
      <c r="A1629" s="288">
        <v>703</v>
      </c>
      <c r="B1629" s="523"/>
      <c r="C1629" s="288" t="s">
        <v>1210</v>
      </c>
      <c r="D1629" s="289" t="s">
        <v>2136</v>
      </c>
      <c r="E1629" s="289" t="s">
        <v>1919</v>
      </c>
      <c r="F1629" s="218">
        <v>31038</v>
      </c>
      <c r="G1629" s="237" t="s">
        <v>1577</v>
      </c>
      <c r="H1629" s="475" t="s">
        <v>631</v>
      </c>
      <c r="I1629" s="478">
        <v>148.5</v>
      </c>
      <c r="J1629" s="243">
        <v>521.76282000000003</v>
      </c>
      <c r="K1629" s="243">
        <v>102.87744000000001</v>
      </c>
      <c r="L1629" s="243">
        <v>418.88538</v>
      </c>
    </row>
    <row r="1630" spans="1:12" ht="26.4" customHeight="1">
      <c r="A1630" s="288">
        <v>704</v>
      </c>
      <c r="B1630" s="523"/>
      <c r="C1630" s="288" t="s">
        <v>1210</v>
      </c>
      <c r="D1630" s="289" t="s">
        <v>2136</v>
      </c>
      <c r="E1630" s="204" t="s">
        <v>2335</v>
      </c>
      <c r="F1630" s="218">
        <v>40060</v>
      </c>
      <c r="G1630" s="237" t="s">
        <v>1569</v>
      </c>
      <c r="H1630" s="475" t="s">
        <v>1138</v>
      </c>
      <c r="I1630" s="478">
        <v>1</v>
      </c>
      <c r="J1630" s="243">
        <v>3.5</v>
      </c>
      <c r="K1630" s="243">
        <v>3.15036</v>
      </c>
      <c r="L1630" s="243">
        <v>0.34964000000000001</v>
      </c>
    </row>
    <row r="1631" spans="1:12" ht="26.4" customHeight="1">
      <c r="A1631" s="288">
        <v>705</v>
      </c>
      <c r="B1631" s="523"/>
      <c r="C1631" s="288" t="s">
        <v>1210</v>
      </c>
      <c r="D1631" s="289" t="s">
        <v>2136</v>
      </c>
      <c r="E1631" s="289" t="s">
        <v>1919</v>
      </c>
      <c r="F1631" s="218">
        <v>41254</v>
      </c>
      <c r="G1631" s="237" t="s">
        <v>1562</v>
      </c>
      <c r="H1631" s="475" t="s">
        <v>631</v>
      </c>
      <c r="I1631" s="478">
        <v>23</v>
      </c>
      <c r="J1631" s="243">
        <v>16.420570000000001</v>
      </c>
      <c r="K1631" s="243">
        <v>2.6275200000000001</v>
      </c>
      <c r="L1631" s="243">
        <v>13.793049999999999</v>
      </c>
    </row>
    <row r="1632" spans="1:12" ht="26.4" customHeight="1">
      <c r="A1632" s="288">
        <v>706</v>
      </c>
      <c r="B1632" s="523"/>
      <c r="C1632" s="288" t="s">
        <v>1210</v>
      </c>
      <c r="D1632" s="289" t="s">
        <v>2136</v>
      </c>
      <c r="E1632" s="289" t="s">
        <v>1919</v>
      </c>
      <c r="F1632" s="218">
        <v>41340</v>
      </c>
      <c r="G1632" s="237" t="s">
        <v>1562</v>
      </c>
      <c r="H1632" s="475" t="s">
        <v>631</v>
      </c>
      <c r="I1632" s="478">
        <v>18</v>
      </c>
      <c r="J1632" s="243">
        <v>20.795079999999999</v>
      </c>
      <c r="K1632" s="243">
        <v>3.7432799999999999</v>
      </c>
      <c r="L1632" s="243">
        <v>17.0518</v>
      </c>
    </row>
    <row r="1633" spans="1:12" ht="26.4" customHeight="1">
      <c r="A1633" s="288">
        <v>707</v>
      </c>
      <c r="B1633" s="523"/>
      <c r="C1633" s="288" t="s">
        <v>1210</v>
      </c>
      <c r="D1633" s="289" t="s">
        <v>2136</v>
      </c>
      <c r="E1633" s="289" t="s">
        <v>1255</v>
      </c>
      <c r="F1633" s="218">
        <v>41385</v>
      </c>
      <c r="G1633" s="237" t="s">
        <v>1537</v>
      </c>
      <c r="H1633" s="475" t="s">
        <v>631</v>
      </c>
      <c r="I1633" s="478">
        <v>7</v>
      </c>
      <c r="J1633" s="243">
        <v>0.35</v>
      </c>
      <c r="K1633" s="243">
        <v>0.35</v>
      </c>
      <c r="L1633" s="243">
        <v>0</v>
      </c>
    </row>
    <row r="1634" spans="1:12" ht="26.4" customHeight="1">
      <c r="A1634" s="288">
        <v>708</v>
      </c>
      <c r="B1634" s="523"/>
      <c r="C1634" s="288" t="s">
        <v>1210</v>
      </c>
      <c r="D1634" s="289" t="s">
        <v>2136</v>
      </c>
      <c r="E1634" s="289" t="s">
        <v>632</v>
      </c>
      <c r="F1634" s="218">
        <v>46011</v>
      </c>
      <c r="G1634" s="237" t="s">
        <v>1573</v>
      </c>
      <c r="H1634" s="475" t="s">
        <v>1138</v>
      </c>
      <c r="I1634" s="478">
        <v>1</v>
      </c>
      <c r="J1634" s="243">
        <v>1.3</v>
      </c>
      <c r="K1634" s="243">
        <v>0.49875999999999998</v>
      </c>
      <c r="L1634" s="243">
        <v>0.80123999999999995</v>
      </c>
    </row>
    <row r="1635" spans="1:12" ht="26.4" customHeight="1">
      <c r="A1635" s="288">
        <v>709</v>
      </c>
      <c r="B1635" s="523"/>
      <c r="C1635" s="288" t="s">
        <v>1210</v>
      </c>
      <c r="D1635" s="289" t="s">
        <v>2136</v>
      </c>
      <c r="E1635" s="289" t="s">
        <v>1147</v>
      </c>
      <c r="F1635" s="218">
        <v>46012</v>
      </c>
      <c r="G1635" s="237" t="s">
        <v>1571</v>
      </c>
      <c r="H1635" s="475" t="s">
        <v>631</v>
      </c>
      <c r="I1635" s="478">
        <v>50</v>
      </c>
      <c r="J1635" s="243">
        <v>57.893889999999999</v>
      </c>
      <c r="K1635" s="243">
        <v>13.83052</v>
      </c>
      <c r="L1635" s="243">
        <v>44.063369999999999</v>
      </c>
    </row>
    <row r="1636" spans="1:12" ht="26.4" customHeight="1">
      <c r="A1636" s="288">
        <v>710</v>
      </c>
      <c r="B1636" s="523"/>
      <c r="C1636" s="288" t="s">
        <v>1210</v>
      </c>
      <c r="D1636" s="289" t="s">
        <v>2136</v>
      </c>
      <c r="E1636" s="289" t="s">
        <v>1147</v>
      </c>
      <c r="F1636" s="218">
        <v>46013</v>
      </c>
      <c r="G1636" s="237" t="s">
        <v>1571</v>
      </c>
      <c r="H1636" s="475" t="s">
        <v>631</v>
      </c>
      <c r="I1636" s="478">
        <v>76</v>
      </c>
      <c r="J1636" s="243">
        <v>87.998720000000006</v>
      </c>
      <c r="K1636" s="243">
        <v>21.021840000000001</v>
      </c>
      <c r="L1636" s="243">
        <v>66.976879999999994</v>
      </c>
    </row>
    <row r="1637" spans="1:12" ht="26.4" customHeight="1">
      <c r="A1637" s="288">
        <v>711</v>
      </c>
      <c r="B1637" s="523"/>
      <c r="C1637" s="288" t="s">
        <v>1210</v>
      </c>
      <c r="D1637" s="289" t="s">
        <v>2136</v>
      </c>
      <c r="E1637" s="289" t="s">
        <v>1147</v>
      </c>
      <c r="F1637" s="218">
        <v>46014</v>
      </c>
      <c r="G1637" s="237" t="s">
        <v>1571</v>
      </c>
      <c r="H1637" s="475" t="s">
        <v>631</v>
      </c>
      <c r="I1637" s="478">
        <v>18</v>
      </c>
      <c r="J1637" s="243">
        <v>20.841799999999999</v>
      </c>
      <c r="K1637" s="243">
        <v>4.9785399999999997</v>
      </c>
      <c r="L1637" s="243">
        <v>15.86326</v>
      </c>
    </row>
    <row r="1638" spans="1:12" ht="26.4" customHeight="1">
      <c r="A1638" s="288">
        <v>712</v>
      </c>
      <c r="B1638" s="523"/>
      <c r="C1638" s="288" t="s">
        <v>1210</v>
      </c>
      <c r="D1638" s="289" t="s">
        <v>2136</v>
      </c>
      <c r="E1638" s="289" t="s">
        <v>1147</v>
      </c>
      <c r="F1638" s="218">
        <v>46015</v>
      </c>
      <c r="G1638" s="237" t="s">
        <v>1571</v>
      </c>
      <c r="H1638" s="475" t="s">
        <v>631</v>
      </c>
      <c r="I1638" s="478">
        <v>112</v>
      </c>
      <c r="J1638" s="243">
        <v>129.68233000000001</v>
      </c>
      <c r="K1638" s="243">
        <v>30.979780000000002</v>
      </c>
      <c r="L1638" s="243">
        <v>98.702550000000002</v>
      </c>
    </row>
    <row r="1639" spans="1:12" ht="26.4" customHeight="1">
      <c r="A1639" s="288">
        <v>713</v>
      </c>
      <c r="B1639" s="523"/>
      <c r="C1639" s="288" t="s">
        <v>1210</v>
      </c>
      <c r="D1639" s="289" t="s">
        <v>2136</v>
      </c>
      <c r="E1639" s="289" t="s">
        <v>1147</v>
      </c>
      <c r="F1639" s="218">
        <v>46016</v>
      </c>
      <c r="G1639" s="237" t="s">
        <v>1571</v>
      </c>
      <c r="H1639" s="475" t="s">
        <v>631</v>
      </c>
      <c r="I1639" s="478">
        <v>28.5</v>
      </c>
      <c r="J1639" s="243">
        <v>32.999519999999997</v>
      </c>
      <c r="K1639" s="243">
        <v>7.8836199999999996</v>
      </c>
      <c r="L1639" s="243">
        <v>25.1159</v>
      </c>
    </row>
    <row r="1640" spans="1:12" ht="26.4" customHeight="1">
      <c r="A1640" s="288">
        <v>714</v>
      </c>
      <c r="B1640" s="523"/>
      <c r="C1640" s="288" t="s">
        <v>1210</v>
      </c>
      <c r="D1640" s="289" t="s">
        <v>2136</v>
      </c>
      <c r="E1640" s="289" t="s">
        <v>1147</v>
      </c>
      <c r="F1640" s="218">
        <v>46017</v>
      </c>
      <c r="G1640" s="237" t="s">
        <v>1571</v>
      </c>
      <c r="H1640" s="475" t="s">
        <v>631</v>
      </c>
      <c r="I1640" s="478">
        <v>11</v>
      </c>
      <c r="J1640" s="243">
        <v>12.736660000000001</v>
      </c>
      <c r="K1640" s="243">
        <v>3.0426799999999998</v>
      </c>
      <c r="L1640" s="243">
        <v>9.6939799999999998</v>
      </c>
    </row>
    <row r="1641" spans="1:12" ht="26.4" customHeight="1">
      <c r="A1641" s="288">
        <v>715</v>
      </c>
      <c r="B1641" s="523"/>
      <c r="C1641" s="288" t="s">
        <v>1210</v>
      </c>
      <c r="D1641" s="289" t="s">
        <v>2136</v>
      </c>
      <c r="E1641" s="289" t="s">
        <v>1919</v>
      </c>
      <c r="F1641" s="218">
        <v>60040</v>
      </c>
      <c r="G1641" s="237" t="s">
        <v>1571</v>
      </c>
      <c r="H1641" s="475" t="s">
        <v>631</v>
      </c>
      <c r="I1641" s="478">
        <v>17.079999999999998</v>
      </c>
      <c r="J1641" s="243">
        <v>17.401800000000001</v>
      </c>
      <c r="K1641" s="243">
        <v>5.16289</v>
      </c>
      <c r="L1641" s="243">
        <v>12.238910000000001</v>
      </c>
    </row>
    <row r="1642" spans="1:12" ht="26.4" customHeight="1">
      <c r="A1642" s="288">
        <v>716</v>
      </c>
      <c r="B1642" s="523"/>
      <c r="C1642" s="288" t="s">
        <v>1210</v>
      </c>
      <c r="D1642" s="289" t="s">
        <v>2136</v>
      </c>
      <c r="E1642" s="289" t="s">
        <v>1919</v>
      </c>
      <c r="F1642" s="218">
        <v>410660</v>
      </c>
      <c r="G1642" s="237" t="s">
        <v>1577</v>
      </c>
      <c r="H1642" s="475" t="s">
        <v>631</v>
      </c>
      <c r="I1642" s="478">
        <v>115</v>
      </c>
      <c r="J1642" s="243">
        <v>330.81252000000001</v>
      </c>
      <c r="K1642" s="243">
        <v>69.470730000000003</v>
      </c>
      <c r="L1642" s="243">
        <v>261.34179</v>
      </c>
    </row>
    <row r="1643" spans="1:12" ht="26.4" customHeight="1">
      <c r="A1643" s="288">
        <v>717</v>
      </c>
      <c r="B1643" s="523"/>
      <c r="C1643" s="288" t="s">
        <v>1210</v>
      </c>
      <c r="D1643" s="289" t="s">
        <v>2137</v>
      </c>
      <c r="E1643" s="289" t="s">
        <v>2249</v>
      </c>
      <c r="F1643" s="218">
        <v>29089</v>
      </c>
      <c r="G1643" s="237" t="s">
        <v>1541</v>
      </c>
      <c r="H1643" s="475" t="s">
        <v>1149</v>
      </c>
      <c r="I1643" s="207">
        <v>250.3</v>
      </c>
      <c r="J1643" s="243">
        <v>354.32272</v>
      </c>
      <c r="K1643" s="243">
        <v>126.51881</v>
      </c>
      <c r="L1643" s="243">
        <v>227.80391</v>
      </c>
    </row>
    <row r="1644" spans="1:12" ht="26.4" customHeight="1">
      <c r="A1644" s="288">
        <v>718</v>
      </c>
      <c r="B1644" s="523"/>
      <c r="C1644" s="288" t="s">
        <v>1210</v>
      </c>
      <c r="D1644" s="289" t="s">
        <v>2137</v>
      </c>
      <c r="E1644" s="289" t="s">
        <v>1919</v>
      </c>
      <c r="F1644" s="218">
        <v>2270</v>
      </c>
      <c r="G1644" s="237" t="s">
        <v>1541</v>
      </c>
      <c r="H1644" s="475" t="s">
        <v>631</v>
      </c>
      <c r="I1644" s="478">
        <v>51</v>
      </c>
      <c r="J1644" s="243">
        <v>1.1342399999999999</v>
      </c>
      <c r="K1644" s="243">
        <v>0.68081000000000003</v>
      </c>
      <c r="L1644" s="243">
        <v>0.45343</v>
      </c>
    </row>
    <row r="1645" spans="1:12" ht="26.4" customHeight="1">
      <c r="A1645" s="288">
        <v>719</v>
      </c>
      <c r="B1645" s="523"/>
      <c r="C1645" s="288" t="s">
        <v>1210</v>
      </c>
      <c r="D1645" s="289" t="s">
        <v>2137</v>
      </c>
      <c r="E1645" s="289" t="s">
        <v>1919</v>
      </c>
      <c r="F1645" s="218">
        <v>2271</v>
      </c>
      <c r="G1645" s="237" t="s">
        <v>1541</v>
      </c>
      <c r="H1645" s="475" t="s">
        <v>631</v>
      </c>
      <c r="I1645" s="478">
        <v>147.5</v>
      </c>
      <c r="J1645" s="243">
        <v>3.2804000000000002</v>
      </c>
      <c r="K1645" s="243">
        <v>1.96899</v>
      </c>
      <c r="L1645" s="243">
        <v>1.31141</v>
      </c>
    </row>
    <row r="1646" spans="1:12" ht="26.4" customHeight="1">
      <c r="A1646" s="288">
        <v>720</v>
      </c>
      <c r="B1646" s="523"/>
      <c r="C1646" s="288" t="s">
        <v>1210</v>
      </c>
      <c r="D1646" s="289" t="s">
        <v>2137</v>
      </c>
      <c r="E1646" s="289" t="s">
        <v>1919</v>
      </c>
      <c r="F1646" s="218">
        <v>2272</v>
      </c>
      <c r="G1646" s="237" t="s">
        <v>1541</v>
      </c>
      <c r="H1646" s="475" t="s">
        <v>631</v>
      </c>
      <c r="I1646" s="478">
        <v>162.5</v>
      </c>
      <c r="J1646" s="243">
        <v>3.6139999999999999</v>
      </c>
      <c r="K1646" s="243">
        <v>2.1693099999999998</v>
      </c>
      <c r="L1646" s="243">
        <v>1.44469</v>
      </c>
    </row>
    <row r="1647" spans="1:12" ht="26.4" customHeight="1">
      <c r="A1647" s="288">
        <v>721</v>
      </c>
      <c r="B1647" s="523"/>
      <c r="C1647" s="288" t="s">
        <v>1210</v>
      </c>
      <c r="D1647" s="289" t="s">
        <v>2137</v>
      </c>
      <c r="E1647" s="289" t="s">
        <v>1919</v>
      </c>
      <c r="F1647" s="218">
        <v>2273</v>
      </c>
      <c r="G1647" s="237" t="s">
        <v>1541</v>
      </c>
      <c r="H1647" s="475" t="s">
        <v>631</v>
      </c>
      <c r="I1647" s="478">
        <v>10</v>
      </c>
      <c r="J1647" s="243">
        <v>0.22239999999999999</v>
      </c>
      <c r="K1647" s="243">
        <v>0.13347999999999999</v>
      </c>
      <c r="L1647" s="243">
        <v>8.8919999999999999E-2</v>
      </c>
    </row>
    <row r="1648" spans="1:12" ht="26.4" customHeight="1">
      <c r="A1648" s="288">
        <v>722</v>
      </c>
      <c r="B1648" s="523"/>
      <c r="C1648" s="288" t="s">
        <v>1210</v>
      </c>
      <c r="D1648" s="289" t="s">
        <v>2137</v>
      </c>
      <c r="E1648" s="289" t="s">
        <v>1919</v>
      </c>
      <c r="F1648" s="218">
        <v>2274</v>
      </c>
      <c r="G1648" s="237" t="s">
        <v>1541</v>
      </c>
      <c r="H1648" s="475" t="s">
        <v>631</v>
      </c>
      <c r="I1648" s="478">
        <v>10</v>
      </c>
      <c r="J1648" s="243">
        <v>0.22239999999999999</v>
      </c>
      <c r="K1648" s="243">
        <v>0.13347999999999999</v>
      </c>
      <c r="L1648" s="243">
        <v>8.8919999999999999E-2</v>
      </c>
    </row>
    <row r="1649" spans="1:12" ht="26.4" customHeight="1">
      <c r="A1649" s="288">
        <v>723</v>
      </c>
      <c r="B1649" s="523"/>
      <c r="C1649" s="288" t="s">
        <v>1210</v>
      </c>
      <c r="D1649" s="289" t="s">
        <v>2137</v>
      </c>
      <c r="E1649" s="289" t="s">
        <v>1919</v>
      </c>
      <c r="F1649" s="218">
        <v>2275</v>
      </c>
      <c r="G1649" s="237" t="s">
        <v>1541</v>
      </c>
      <c r="H1649" s="475" t="s">
        <v>631</v>
      </c>
      <c r="I1649" s="478">
        <v>84</v>
      </c>
      <c r="J1649" s="243">
        <v>1.86816</v>
      </c>
      <c r="K1649" s="243">
        <v>1.12138</v>
      </c>
      <c r="L1649" s="243">
        <v>0.74678</v>
      </c>
    </row>
    <row r="1650" spans="1:12" ht="26.4" customHeight="1">
      <c r="A1650" s="288">
        <v>724</v>
      </c>
      <c r="B1650" s="523"/>
      <c r="C1650" s="288" t="s">
        <v>1210</v>
      </c>
      <c r="D1650" s="289" t="s">
        <v>2137</v>
      </c>
      <c r="E1650" s="289" t="s">
        <v>1919</v>
      </c>
      <c r="F1650" s="218">
        <v>2276</v>
      </c>
      <c r="G1650" s="237" t="s">
        <v>1541</v>
      </c>
      <c r="H1650" s="475" t="s">
        <v>631</v>
      </c>
      <c r="I1650" s="478">
        <v>37</v>
      </c>
      <c r="J1650" s="243">
        <v>0.82287999999999994</v>
      </c>
      <c r="K1650" s="243">
        <v>0.49390000000000001</v>
      </c>
      <c r="L1650" s="243">
        <v>0.32897999999999999</v>
      </c>
    </row>
    <row r="1651" spans="1:12" ht="26.4" customHeight="1">
      <c r="A1651" s="288">
        <v>725</v>
      </c>
      <c r="B1651" s="523"/>
      <c r="C1651" s="288" t="s">
        <v>1210</v>
      </c>
      <c r="D1651" s="289" t="s">
        <v>2137</v>
      </c>
      <c r="E1651" s="289" t="s">
        <v>1919</v>
      </c>
      <c r="F1651" s="218">
        <v>2277</v>
      </c>
      <c r="G1651" s="237" t="s">
        <v>1541</v>
      </c>
      <c r="H1651" s="475" t="s">
        <v>631</v>
      </c>
      <c r="I1651" s="478">
        <v>166.3</v>
      </c>
      <c r="J1651" s="243">
        <v>3.6985100000000002</v>
      </c>
      <c r="K1651" s="243">
        <v>2.2200199999999999</v>
      </c>
      <c r="L1651" s="243">
        <v>1.4784900000000001</v>
      </c>
    </row>
    <row r="1652" spans="1:12" ht="26.4" customHeight="1">
      <c r="A1652" s="288">
        <v>726</v>
      </c>
      <c r="B1652" s="523"/>
      <c r="C1652" s="288" t="s">
        <v>1210</v>
      </c>
      <c r="D1652" s="289" t="s">
        <v>2137</v>
      </c>
      <c r="E1652" s="289" t="s">
        <v>1919</v>
      </c>
      <c r="F1652" s="218">
        <v>2278</v>
      </c>
      <c r="G1652" s="237" t="s">
        <v>1541</v>
      </c>
      <c r="H1652" s="475" t="s">
        <v>631</v>
      </c>
      <c r="I1652" s="478">
        <v>70.5</v>
      </c>
      <c r="J1652" s="243">
        <v>1.56792</v>
      </c>
      <c r="K1652" s="243">
        <v>0.94116999999999995</v>
      </c>
      <c r="L1652" s="243">
        <v>0.62675000000000003</v>
      </c>
    </row>
    <row r="1653" spans="1:12" ht="26.4" customHeight="1">
      <c r="A1653" s="288">
        <v>727</v>
      </c>
      <c r="B1653" s="523"/>
      <c r="C1653" s="288" t="s">
        <v>1210</v>
      </c>
      <c r="D1653" s="289" t="s">
        <v>2137</v>
      </c>
      <c r="E1653" s="289" t="s">
        <v>1919</v>
      </c>
      <c r="F1653" s="218">
        <v>29094</v>
      </c>
      <c r="G1653" s="237" t="s">
        <v>1541</v>
      </c>
      <c r="H1653" s="475" t="s">
        <v>631</v>
      </c>
      <c r="I1653" s="478">
        <v>57</v>
      </c>
      <c r="J1653" s="243">
        <v>0.85211000000000003</v>
      </c>
      <c r="K1653" s="243">
        <v>0.51146999999999998</v>
      </c>
      <c r="L1653" s="243">
        <v>0.34064</v>
      </c>
    </row>
    <row r="1654" spans="1:12" ht="26.4" customHeight="1">
      <c r="A1654" s="288">
        <v>728</v>
      </c>
      <c r="B1654" s="523"/>
      <c r="C1654" s="288" t="s">
        <v>1210</v>
      </c>
      <c r="D1654" s="289" t="s">
        <v>2137</v>
      </c>
      <c r="E1654" s="289" t="s">
        <v>632</v>
      </c>
      <c r="F1654" s="218">
        <v>31003</v>
      </c>
      <c r="G1654" s="237" t="s">
        <v>1541</v>
      </c>
      <c r="H1654" s="475" t="s">
        <v>1138</v>
      </c>
      <c r="I1654" s="478">
        <v>1</v>
      </c>
      <c r="J1654" s="243">
        <v>131.46854999999999</v>
      </c>
      <c r="K1654" s="243">
        <v>18.389250000000001</v>
      </c>
      <c r="L1654" s="243">
        <v>113.0793</v>
      </c>
    </row>
    <row r="1655" spans="1:12" ht="26.4" customHeight="1">
      <c r="A1655" s="288">
        <v>729</v>
      </c>
      <c r="B1655" s="523"/>
      <c r="C1655" s="288" t="s">
        <v>1210</v>
      </c>
      <c r="D1655" s="289" t="s">
        <v>2137</v>
      </c>
      <c r="E1655" s="289" t="s">
        <v>1255</v>
      </c>
      <c r="F1655" s="218">
        <v>31400</v>
      </c>
      <c r="G1655" s="237" t="s">
        <v>1569</v>
      </c>
      <c r="H1655" s="475" t="s">
        <v>631</v>
      </c>
      <c r="I1655" s="478">
        <v>70</v>
      </c>
      <c r="J1655" s="243">
        <v>74.6995</v>
      </c>
      <c r="K1655" s="243">
        <v>26.643090000000001</v>
      </c>
      <c r="L1655" s="243">
        <v>48.05641</v>
      </c>
    </row>
    <row r="1656" spans="1:12" ht="26.4" customHeight="1">
      <c r="A1656" s="288">
        <v>730</v>
      </c>
      <c r="B1656" s="523"/>
      <c r="C1656" s="288" t="s">
        <v>1210</v>
      </c>
      <c r="D1656" s="289" t="s">
        <v>2137</v>
      </c>
      <c r="E1656" s="289" t="s">
        <v>1255</v>
      </c>
      <c r="F1656" s="218">
        <v>31401</v>
      </c>
      <c r="G1656" s="237" t="s">
        <v>1571</v>
      </c>
      <c r="H1656" s="475" t="s">
        <v>631</v>
      </c>
      <c r="I1656" s="478">
        <v>40</v>
      </c>
      <c r="J1656" s="243">
        <v>47.459449999999997</v>
      </c>
      <c r="K1656" s="243">
        <v>11.33738</v>
      </c>
      <c r="L1656" s="243">
        <v>36.122070000000001</v>
      </c>
    </row>
    <row r="1657" spans="1:12" ht="26.4" customHeight="1">
      <c r="A1657" s="288">
        <v>731</v>
      </c>
      <c r="B1657" s="523"/>
      <c r="C1657" s="288" t="s">
        <v>1210</v>
      </c>
      <c r="D1657" s="289" t="s">
        <v>2137</v>
      </c>
      <c r="E1657" s="289" t="s">
        <v>1255</v>
      </c>
      <c r="F1657" s="218">
        <v>31402</v>
      </c>
      <c r="G1657" s="237" t="s">
        <v>1571</v>
      </c>
      <c r="H1657" s="475" t="s">
        <v>631</v>
      </c>
      <c r="I1657" s="478">
        <v>16</v>
      </c>
      <c r="J1657" s="243">
        <v>18.983779999999999</v>
      </c>
      <c r="K1657" s="243">
        <v>4.5347799999999996</v>
      </c>
      <c r="L1657" s="243">
        <v>14.449</v>
      </c>
    </row>
    <row r="1658" spans="1:12" ht="26.4" customHeight="1">
      <c r="A1658" s="288">
        <v>732</v>
      </c>
      <c r="B1658" s="523"/>
      <c r="C1658" s="288" t="s">
        <v>1210</v>
      </c>
      <c r="D1658" s="289" t="s">
        <v>2137</v>
      </c>
      <c r="E1658" s="289" t="s">
        <v>1919</v>
      </c>
      <c r="F1658" s="218">
        <v>31800</v>
      </c>
      <c r="G1658" s="237" t="s">
        <v>1576</v>
      </c>
      <c r="H1658" s="475" t="s">
        <v>631</v>
      </c>
      <c r="I1658" s="478">
        <v>52.84</v>
      </c>
      <c r="J1658" s="243">
        <v>43.663249999999998</v>
      </c>
      <c r="K1658" s="243">
        <v>17.829139999999999</v>
      </c>
      <c r="L1658" s="243">
        <v>25.834109999999999</v>
      </c>
    </row>
    <row r="1659" spans="1:12" ht="26.4" customHeight="1">
      <c r="A1659" s="288">
        <v>733</v>
      </c>
      <c r="B1659" s="523"/>
      <c r="C1659" s="288" t="s">
        <v>1210</v>
      </c>
      <c r="D1659" s="289" t="s">
        <v>2137</v>
      </c>
      <c r="E1659" s="289" t="s">
        <v>1255</v>
      </c>
      <c r="F1659" s="218">
        <v>40033</v>
      </c>
      <c r="G1659" s="237" t="s">
        <v>1576</v>
      </c>
      <c r="H1659" s="475" t="s">
        <v>631</v>
      </c>
      <c r="I1659" s="478">
        <v>29.36</v>
      </c>
      <c r="J1659" s="243">
        <v>21.342479999999998</v>
      </c>
      <c r="K1659" s="243">
        <v>9.0708599999999997</v>
      </c>
      <c r="L1659" s="243">
        <v>12.27162</v>
      </c>
    </row>
    <row r="1660" spans="1:12" ht="26.4" customHeight="1">
      <c r="A1660" s="288">
        <v>734</v>
      </c>
      <c r="B1660" s="523"/>
      <c r="C1660" s="288" t="s">
        <v>1210</v>
      </c>
      <c r="D1660" s="289" t="s">
        <v>2137</v>
      </c>
      <c r="E1660" s="289" t="s">
        <v>2382</v>
      </c>
      <c r="F1660" s="218">
        <v>41405</v>
      </c>
      <c r="G1660" s="237" t="s">
        <v>1537</v>
      </c>
      <c r="H1660" s="475" t="s">
        <v>631</v>
      </c>
      <c r="I1660" s="478">
        <v>38</v>
      </c>
      <c r="J1660" s="243">
        <v>34.698340000000002</v>
      </c>
      <c r="K1660" s="243">
        <v>4.5107400000000002</v>
      </c>
      <c r="L1660" s="243">
        <v>30.1876</v>
      </c>
    </row>
    <row r="1661" spans="1:12" ht="26.4" customHeight="1">
      <c r="A1661" s="288">
        <v>735</v>
      </c>
      <c r="B1661" s="523"/>
      <c r="C1661" s="288" t="s">
        <v>1210</v>
      </c>
      <c r="D1661" s="289" t="s">
        <v>2137</v>
      </c>
      <c r="E1661" s="289" t="s">
        <v>1919</v>
      </c>
      <c r="F1661" s="218">
        <v>46019</v>
      </c>
      <c r="G1661" s="237" t="s">
        <v>1547</v>
      </c>
      <c r="H1661" s="475" t="s">
        <v>631</v>
      </c>
      <c r="I1661" s="478">
        <v>17</v>
      </c>
      <c r="J1661" s="243">
        <v>37.503259999999997</v>
      </c>
      <c r="K1661" s="243">
        <v>8.9594799999999992</v>
      </c>
      <c r="L1661" s="243">
        <v>28.543780000000002</v>
      </c>
    </row>
    <row r="1662" spans="1:12" ht="26.4" customHeight="1">
      <c r="A1662" s="288">
        <v>736</v>
      </c>
      <c r="B1662" s="523"/>
      <c r="C1662" s="288" t="s">
        <v>1210</v>
      </c>
      <c r="D1662" s="289" t="s">
        <v>2138</v>
      </c>
      <c r="E1662" s="289" t="s">
        <v>2250</v>
      </c>
      <c r="F1662" s="218">
        <v>29141</v>
      </c>
      <c r="G1662" s="237" t="s">
        <v>1551</v>
      </c>
      <c r="H1662" s="475" t="s">
        <v>1149</v>
      </c>
      <c r="I1662" s="207">
        <v>70.5</v>
      </c>
      <c r="J1662" s="243">
        <v>54.020009999999999</v>
      </c>
      <c r="K1662" s="243">
        <v>16.751740000000002</v>
      </c>
      <c r="L1662" s="243">
        <v>37.268270000000001</v>
      </c>
    </row>
    <row r="1663" spans="1:12" ht="26.4" customHeight="1">
      <c r="A1663" s="288">
        <v>737</v>
      </c>
      <c r="B1663" s="523"/>
      <c r="C1663" s="288" t="s">
        <v>1210</v>
      </c>
      <c r="D1663" s="289" t="s">
        <v>2138</v>
      </c>
      <c r="E1663" s="289" t="s">
        <v>1919</v>
      </c>
      <c r="F1663" s="218">
        <v>2279</v>
      </c>
      <c r="G1663" s="237" t="s">
        <v>1551</v>
      </c>
      <c r="H1663" s="475" t="s">
        <v>631</v>
      </c>
      <c r="I1663" s="478">
        <v>51.5</v>
      </c>
      <c r="J1663" s="243">
        <v>2.4431600000000002</v>
      </c>
      <c r="K1663" s="243">
        <v>1.0943700000000001</v>
      </c>
      <c r="L1663" s="243">
        <v>1.3487899999999999</v>
      </c>
    </row>
    <row r="1664" spans="1:12" ht="26.4" customHeight="1">
      <c r="A1664" s="288">
        <v>738</v>
      </c>
      <c r="B1664" s="523"/>
      <c r="C1664" s="288" t="s">
        <v>1210</v>
      </c>
      <c r="D1664" s="289" t="s">
        <v>2138</v>
      </c>
      <c r="E1664" s="289" t="s">
        <v>1919</v>
      </c>
      <c r="F1664" s="218">
        <v>2280</v>
      </c>
      <c r="G1664" s="237" t="s">
        <v>1551</v>
      </c>
      <c r="H1664" s="475" t="s">
        <v>631</v>
      </c>
      <c r="I1664" s="478">
        <v>33</v>
      </c>
      <c r="J1664" s="243">
        <v>1.56552</v>
      </c>
      <c r="K1664" s="243">
        <v>0.70118999999999998</v>
      </c>
      <c r="L1664" s="243">
        <v>0.86433000000000004</v>
      </c>
    </row>
    <row r="1665" spans="1:12" ht="26.4" customHeight="1">
      <c r="A1665" s="288">
        <v>739</v>
      </c>
      <c r="B1665" s="523"/>
      <c r="C1665" s="288" t="s">
        <v>1210</v>
      </c>
      <c r="D1665" s="289" t="s">
        <v>2138</v>
      </c>
      <c r="E1665" s="289" t="s">
        <v>1919</v>
      </c>
      <c r="F1665" s="218">
        <v>2281</v>
      </c>
      <c r="G1665" s="237" t="s">
        <v>1551</v>
      </c>
      <c r="H1665" s="475" t="s">
        <v>631</v>
      </c>
      <c r="I1665" s="478">
        <v>62</v>
      </c>
      <c r="J1665" s="243">
        <v>2.9412799999999999</v>
      </c>
      <c r="K1665" s="243">
        <v>1.3174600000000001</v>
      </c>
      <c r="L1665" s="243">
        <v>1.62382</v>
      </c>
    </row>
    <row r="1666" spans="1:12" ht="26.4" customHeight="1">
      <c r="A1666" s="288">
        <v>740</v>
      </c>
      <c r="B1666" s="523"/>
      <c r="C1666" s="288" t="s">
        <v>1210</v>
      </c>
      <c r="D1666" s="289" t="s">
        <v>2138</v>
      </c>
      <c r="E1666" s="289" t="s">
        <v>1919</v>
      </c>
      <c r="F1666" s="218">
        <v>2282</v>
      </c>
      <c r="G1666" s="237" t="s">
        <v>1551</v>
      </c>
      <c r="H1666" s="475" t="s">
        <v>631</v>
      </c>
      <c r="I1666" s="478">
        <v>76</v>
      </c>
      <c r="J1666" s="243">
        <v>3.6054400000000002</v>
      </c>
      <c r="K1666" s="243">
        <v>1.6149899999999999</v>
      </c>
      <c r="L1666" s="243">
        <v>1.9904500000000001</v>
      </c>
    </row>
    <row r="1667" spans="1:12" ht="26.4" customHeight="1">
      <c r="A1667" s="288">
        <v>741</v>
      </c>
      <c r="B1667" s="523"/>
      <c r="C1667" s="288" t="s">
        <v>1210</v>
      </c>
      <c r="D1667" s="289" t="s">
        <v>2138</v>
      </c>
      <c r="E1667" s="289" t="s">
        <v>1919</v>
      </c>
      <c r="F1667" s="218">
        <v>2283</v>
      </c>
      <c r="G1667" s="237" t="s">
        <v>1551</v>
      </c>
      <c r="H1667" s="475" t="s">
        <v>631</v>
      </c>
      <c r="I1667" s="478">
        <v>15</v>
      </c>
      <c r="J1667" s="243">
        <v>0.71160000000000001</v>
      </c>
      <c r="K1667" s="243">
        <v>0.31873000000000001</v>
      </c>
      <c r="L1667" s="243">
        <v>0.39287</v>
      </c>
    </row>
    <row r="1668" spans="1:12" ht="26.4" customHeight="1">
      <c r="A1668" s="288">
        <v>742</v>
      </c>
      <c r="B1668" s="523"/>
      <c r="C1668" s="288" t="s">
        <v>1210</v>
      </c>
      <c r="D1668" s="289" t="s">
        <v>2138</v>
      </c>
      <c r="E1668" s="289" t="s">
        <v>1919</v>
      </c>
      <c r="F1668" s="218">
        <v>29411</v>
      </c>
      <c r="G1668" s="237" t="s">
        <v>1551</v>
      </c>
      <c r="H1668" s="475" t="s">
        <v>631</v>
      </c>
      <c r="I1668" s="478">
        <v>43.5</v>
      </c>
      <c r="J1668" s="243">
        <v>2.0640000000000001</v>
      </c>
      <c r="K1668" s="243">
        <v>0.92454999999999998</v>
      </c>
      <c r="L1668" s="243">
        <v>1.1394500000000001</v>
      </c>
    </row>
    <row r="1669" spans="1:12" ht="26.4" customHeight="1">
      <c r="A1669" s="288">
        <v>743</v>
      </c>
      <c r="B1669" s="523"/>
      <c r="C1669" s="288" t="s">
        <v>1210</v>
      </c>
      <c r="D1669" s="289" t="s">
        <v>2138</v>
      </c>
      <c r="E1669" s="289" t="s">
        <v>632</v>
      </c>
      <c r="F1669" s="218">
        <v>42805</v>
      </c>
      <c r="G1669" s="237" t="s">
        <v>1551</v>
      </c>
      <c r="H1669" s="475" t="s">
        <v>1138</v>
      </c>
      <c r="I1669" s="478">
        <v>1</v>
      </c>
      <c r="J1669" s="243">
        <v>2.2000000000000002</v>
      </c>
      <c r="K1669" s="243">
        <v>0.98073999999999995</v>
      </c>
      <c r="L1669" s="243">
        <v>1.21926</v>
      </c>
    </row>
    <row r="1670" spans="1:12" ht="26.4" customHeight="1">
      <c r="A1670" s="288">
        <v>744</v>
      </c>
      <c r="B1670" s="523"/>
      <c r="C1670" s="288" t="s">
        <v>1210</v>
      </c>
      <c r="D1670" s="289" t="s">
        <v>2138</v>
      </c>
      <c r="E1670" s="289" t="s">
        <v>1255</v>
      </c>
      <c r="F1670" s="218">
        <v>48200</v>
      </c>
      <c r="G1670" s="237" t="s">
        <v>1569</v>
      </c>
      <c r="H1670" s="475" t="s">
        <v>631</v>
      </c>
      <c r="I1670" s="478">
        <v>32</v>
      </c>
      <c r="J1670" s="243">
        <v>22.908329999999999</v>
      </c>
      <c r="K1670" s="243">
        <v>8.1705199999999998</v>
      </c>
      <c r="L1670" s="243">
        <v>14.73781</v>
      </c>
    </row>
    <row r="1671" spans="1:12" ht="26.4" customHeight="1">
      <c r="A1671" s="288">
        <v>745</v>
      </c>
      <c r="B1671" s="523"/>
      <c r="C1671" s="288" t="s">
        <v>1210</v>
      </c>
      <c r="D1671" s="289" t="s">
        <v>2015</v>
      </c>
      <c r="E1671" s="289" t="s">
        <v>799</v>
      </c>
      <c r="F1671" s="218">
        <v>12313</v>
      </c>
      <c r="G1671" s="237" t="s">
        <v>1549</v>
      </c>
      <c r="H1671" s="475" t="s">
        <v>1149</v>
      </c>
      <c r="I1671" s="207">
        <v>279.60000000000002</v>
      </c>
      <c r="J1671" s="243">
        <v>404.65392000000003</v>
      </c>
      <c r="K1671" s="243">
        <v>171.56308999999999</v>
      </c>
      <c r="L1671" s="243">
        <v>233.09083000000001</v>
      </c>
    </row>
    <row r="1672" spans="1:12" ht="26.4" customHeight="1">
      <c r="A1672" s="288">
        <v>746</v>
      </c>
      <c r="B1672" s="523"/>
      <c r="C1672" s="288" t="s">
        <v>1210</v>
      </c>
      <c r="D1672" s="289" t="s">
        <v>2015</v>
      </c>
      <c r="E1672" s="289" t="s">
        <v>632</v>
      </c>
      <c r="F1672" s="218">
        <v>42905</v>
      </c>
      <c r="G1672" s="237" t="s">
        <v>1541</v>
      </c>
      <c r="H1672" s="475" t="s">
        <v>1138</v>
      </c>
      <c r="I1672" s="478">
        <v>1</v>
      </c>
      <c r="J1672" s="243">
        <v>13</v>
      </c>
      <c r="K1672" s="243">
        <v>5.9145799999999999</v>
      </c>
      <c r="L1672" s="243">
        <v>7.0854200000000001</v>
      </c>
    </row>
    <row r="1673" spans="1:12" ht="26.4" customHeight="1">
      <c r="A1673" s="288">
        <v>747</v>
      </c>
      <c r="B1673" s="523"/>
      <c r="C1673" s="288" t="s">
        <v>1210</v>
      </c>
      <c r="D1673" s="289" t="s">
        <v>2016</v>
      </c>
      <c r="E1673" s="289" t="s">
        <v>1255</v>
      </c>
      <c r="F1673" s="218">
        <v>12314</v>
      </c>
      <c r="G1673" s="237" t="s">
        <v>1549</v>
      </c>
      <c r="H1673" s="475" t="s">
        <v>631</v>
      </c>
      <c r="I1673" s="478">
        <v>568</v>
      </c>
      <c r="J1673" s="243">
        <v>61.085000000000001</v>
      </c>
      <c r="K1673" s="243">
        <v>61.085000000000001</v>
      </c>
      <c r="L1673" s="243">
        <v>0</v>
      </c>
    </row>
    <row r="1674" spans="1:12" ht="26.4" customHeight="1">
      <c r="A1674" s="288">
        <v>748</v>
      </c>
      <c r="B1674" s="523"/>
      <c r="C1674" s="288" t="s">
        <v>1210</v>
      </c>
      <c r="D1674" s="289" t="s">
        <v>2139</v>
      </c>
      <c r="E1674" s="289" t="s">
        <v>2251</v>
      </c>
      <c r="F1674" s="218">
        <v>41295</v>
      </c>
      <c r="G1674" s="237" t="s">
        <v>1537</v>
      </c>
      <c r="H1674" s="475" t="s">
        <v>1149</v>
      </c>
      <c r="I1674" s="207">
        <v>46.7</v>
      </c>
      <c r="J1674" s="243">
        <v>579.42368999999997</v>
      </c>
      <c r="K1674" s="243">
        <v>81.131270000000001</v>
      </c>
      <c r="L1674" s="243">
        <v>498.29241999999999</v>
      </c>
    </row>
    <row r="1675" spans="1:12" ht="26.4" customHeight="1">
      <c r="A1675" s="288">
        <v>749</v>
      </c>
      <c r="B1675" s="523"/>
      <c r="C1675" s="288" t="s">
        <v>1210</v>
      </c>
      <c r="D1675" s="289" t="s">
        <v>2139</v>
      </c>
      <c r="E1675" s="289" t="s">
        <v>1215</v>
      </c>
      <c r="F1675" s="218">
        <v>41293</v>
      </c>
      <c r="G1675" s="237" t="s">
        <v>1537</v>
      </c>
      <c r="H1675" s="475" t="s">
        <v>1138</v>
      </c>
      <c r="I1675" s="478">
        <v>1</v>
      </c>
      <c r="J1675" s="243">
        <v>10</v>
      </c>
      <c r="K1675" s="243">
        <v>3.0055299999999998</v>
      </c>
      <c r="L1675" s="243">
        <v>6.9944699999999997</v>
      </c>
    </row>
    <row r="1676" spans="1:12" ht="26.4" customHeight="1">
      <c r="A1676" s="288">
        <v>750</v>
      </c>
      <c r="B1676" s="523"/>
      <c r="C1676" s="288" t="s">
        <v>1210</v>
      </c>
      <c r="D1676" s="289" t="s">
        <v>2139</v>
      </c>
      <c r="E1676" s="289" t="s">
        <v>1215</v>
      </c>
      <c r="F1676" s="218">
        <v>41650</v>
      </c>
      <c r="G1676" s="237" t="s">
        <v>1537</v>
      </c>
      <c r="H1676" s="475" t="s">
        <v>1138</v>
      </c>
      <c r="I1676" s="478">
        <v>1</v>
      </c>
      <c r="J1676" s="243">
        <v>10</v>
      </c>
      <c r="K1676" s="243">
        <v>3.0055299999999998</v>
      </c>
      <c r="L1676" s="243">
        <v>6.9944699999999997</v>
      </c>
    </row>
    <row r="1677" spans="1:12" ht="26.4" customHeight="1">
      <c r="A1677" s="288">
        <v>751</v>
      </c>
      <c r="B1677" s="523"/>
      <c r="C1677" s="288" t="s">
        <v>1210</v>
      </c>
      <c r="D1677" s="289" t="s">
        <v>2139</v>
      </c>
      <c r="E1677" s="289" t="s">
        <v>1255</v>
      </c>
      <c r="F1677" s="218">
        <v>41294</v>
      </c>
      <c r="G1677" s="237" t="s">
        <v>1537</v>
      </c>
      <c r="H1677" s="475" t="s">
        <v>1929</v>
      </c>
      <c r="I1677" s="478">
        <v>68</v>
      </c>
      <c r="J1677" s="243">
        <v>20</v>
      </c>
      <c r="K1677" s="243">
        <v>3.9668199999999998</v>
      </c>
      <c r="L1677" s="243">
        <v>16.033180000000002</v>
      </c>
    </row>
    <row r="1678" spans="1:12" ht="26.4" customHeight="1">
      <c r="A1678" s="288">
        <v>752</v>
      </c>
      <c r="B1678" s="523"/>
      <c r="C1678" s="288" t="s">
        <v>1792</v>
      </c>
      <c r="D1678" s="289" t="s">
        <v>2140</v>
      </c>
      <c r="E1678" s="289" t="s">
        <v>2252</v>
      </c>
      <c r="F1678" s="218">
        <v>23607</v>
      </c>
      <c r="G1678" s="237" t="s">
        <v>1555</v>
      </c>
      <c r="H1678" s="475" t="s">
        <v>1149</v>
      </c>
      <c r="I1678" s="207">
        <v>488.1</v>
      </c>
      <c r="J1678" s="243">
        <v>872.50539000000003</v>
      </c>
      <c r="K1678" s="243">
        <v>360.17565000000002</v>
      </c>
      <c r="L1678" s="243">
        <v>512.32974000000002</v>
      </c>
    </row>
    <row r="1679" spans="1:12" ht="26.4" customHeight="1">
      <c r="A1679" s="288">
        <v>753</v>
      </c>
      <c r="B1679" s="523"/>
      <c r="C1679" s="288" t="s">
        <v>1793</v>
      </c>
      <c r="D1679" s="289" t="s">
        <v>2140</v>
      </c>
      <c r="E1679" s="289" t="s">
        <v>1934</v>
      </c>
      <c r="F1679" s="218">
        <v>2228</v>
      </c>
      <c r="G1679" s="237" t="s">
        <v>1555</v>
      </c>
      <c r="H1679" s="475" t="s">
        <v>631</v>
      </c>
      <c r="I1679" s="478">
        <v>190</v>
      </c>
      <c r="J1679" s="243">
        <v>2.3616999999999999</v>
      </c>
      <c r="K1679" s="243">
        <v>1.7024999999999999</v>
      </c>
      <c r="L1679" s="243">
        <v>0.65920000000000001</v>
      </c>
    </row>
    <row r="1680" spans="1:12" ht="26.4" customHeight="1">
      <c r="A1680" s="288">
        <v>754</v>
      </c>
      <c r="B1680" s="523"/>
      <c r="C1680" s="288" t="s">
        <v>1792</v>
      </c>
      <c r="D1680" s="289" t="s">
        <v>2140</v>
      </c>
      <c r="E1680" s="289" t="s">
        <v>1934</v>
      </c>
      <c r="F1680" s="218">
        <v>2229</v>
      </c>
      <c r="G1680" s="237" t="s">
        <v>1555</v>
      </c>
      <c r="H1680" s="475" t="s">
        <v>631</v>
      </c>
      <c r="I1680" s="478">
        <v>71</v>
      </c>
      <c r="J1680" s="243">
        <v>0.88253000000000004</v>
      </c>
      <c r="K1680" s="243">
        <v>0.63622999999999996</v>
      </c>
      <c r="L1680" s="243">
        <v>0.24629999999999999</v>
      </c>
    </row>
    <row r="1681" spans="1:12" ht="26.4" customHeight="1">
      <c r="A1681" s="288">
        <v>755</v>
      </c>
      <c r="B1681" s="523"/>
      <c r="C1681" s="288" t="s">
        <v>1793</v>
      </c>
      <c r="D1681" s="289" t="s">
        <v>2140</v>
      </c>
      <c r="E1681" s="289" t="s">
        <v>1934</v>
      </c>
      <c r="F1681" s="218">
        <v>2230</v>
      </c>
      <c r="G1681" s="237" t="s">
        <v>1555</v>
      </c>
      <c r="H1681" s="475" t="s">
        <v>631</v>
      </c>
      <c r="I1681" s="478">
        <v>12</v>
      </c>
      <c r="J1681" s="243">
        <v>0.14915999999999999</v>
      </c>
      <c r="K1681" s="243">
        <v>0.10754</v>
      </c>
      <c r="L1681" s="243">
        <v>4.1619999999999997E-2</v>
      </c>
    </row>
    <row r="1682" spans="1:12" ht="26.4" customHeight="1">
      <c r="A1682" s="288">
        <v>756</v>
      </c>
      <c r="B1682" s="523"/>
      <c r="C1682" s="288" t="s">
        <v>1792</v>
      </c>
      <c r="D1682" s="289" t="s">
        <v>2140</v>
      </c>
      <c r="E1682" s="289" t="s">
        <v>1934</v>
      </c>
      <c r="F1682" s="218">
        <v>2231</v>
      </c>
      <c r="G1682" s="237" t="s">
        <v>1555</v>
      </c>
      <c r="H1682" s="475" t="s">
        <v>631</v>
      </c>
      <c r="I1682" s="478">
        <v>175</v>
      </c>
      <c r="J1682" s="243">
        <v>2.1752500000000001</v>
      </c>
      <c r="K1682" s="243">
        <v>1.5680499999999999</v>
      </c>
      <c r="L1682" s="243">
        <v>0.60719999999999996</v>
      </c>
    </row>
    <row r="1683" spans="1:12" ht="26.4" customHeight="1">
      <c r="A1683" s="288">
        <v>757</v>
      </c>
      <c r="B1683" s="523"/>
      <c r="C1683" s="288" t="s">
        <v>1793</v>
      </c>
      <c r="D1683" s="289" t="s">
        <v>2140</v>
      </c>
      <c r="E1683" s="289" t="s">
        <v>1934</v>
      </c>
      <c r="F1683" s="218">
        <v>2232</v>
      </c>
      <c r="G1683" s="237" t="s">
        <v>1555</v>
      </c>
      <c r="H1683" s="475" t="s">
        <v>631</v>
      </c>
      <c r="I1683" s="478">
        <v>302</v>
      </c>
      <c r="J1683" s="243">
        <v>3.75386</v>
      </c>
      <c r="K1683" s="243">
        <v>2.7060499999999998</v>
      </c>
      <c r="L1683" s="243">
        <v>1.0478099999999999</v>
      </c>
    </row>
    <row r="1684" spans="1:12" ht="26.4" customHeight="1">
      <c r="A1684" s="288">
        <v>758</v>
      </c>
      <c r="B1684" s="523"/>
      <c r="C1684" s="288" t="s">
        <v>1792</v>
      </c>
      <c r="D1684" s="289" t="s">
        <v>2140</v>
      </c>
      <c r="E1684" s="289" t="s">
        <v>1934</v>
      </c>
      <c r="F1684" s="218">
        <v>2233</v>
      </c>
      <c r="G1684" s="237" t="s">
        <v>1555</v>
      </c>
      <c r="H1684" s="475" t="s">
        <v>631</v>
      </c>
      <c r="I1684" s="478">
        <v>144</v>
      </c>
      <c r="J1684" s="243">
        <v>1.78992</v>
      </c>
      <c r="K1684" s="243">
        <v>1.2902499999999999</v>
      </c>
      <c r="L1684" s="243">
        <v>0.49967</v>
      </c>
    </row>
    <row r="1685" spans="1:12" ht="26.4" customHeight="1">
      <c r="A1685" s="288">
        <v>759</v>
      </c>
      <c r="B1685" s="523"/>
      <c r="C1685" s="288" t="s">
        <v>1792</v>
      </c>
      <c r="D1685" s="289" t="s">
        <v>2140</v>
      </c>
      <c r="E1685" s="289" t="s">
        <v>1934</v>
      </c>
      <c r="F1685" s="218">
        <v>2234</v>
      </c>
      <c r="G1685" s="237" t="s">
        <v>1555</v>
      </c>
      <c r="H1685" s="475" t="s">
        <v>631</v>
      </c>
      <c r="I1685" s="478">
        <v>324</v>
      </c>
      <c r="J1685" s="243">
        <v>4.0273199999999996</v>
      </c>
      <c r="K1685" s="243">
        <v>2.9031199999999999</v>
      </c>
      <c r="L1685" s="243">
        <v>1.1242000000000001</v>
      </c>
    </row>
    <row r="1686" spans="1:12" ht="26.4" customHeight="1">
      <c r="A1686" s="288">
        <v>760</v>
      </c>
      <c r="B1686" s="523"/>
      <c r="C1686" s="288" t="s">
        <v>1793</v>
      </c>
      <c r="D1686" s="289" t="s">
        <v>2140</v>
      </c>
      <c r="E1686" s="289" t="s">
        <v>1934</v>
      </c>
      <c r="F1686" s="218">
        <v>2235</v>
      </c>
      <c r="G1686" s="237" t="s">
        <v>1555</v>
      </c>
      <c r="H1686" s="475" t="s">
        <v>631</v>
      </c>
      <c r="I1686" s="478">
        <v>184</v>
      </c>
      <c r="J1686" s="243">
        <v>2.2871199999999998</v>
      </c>
      <c r="K1686" s="243">
        <v>1.6486799999999999</v>
      </c>
      <c r="L1686" s="243">
        <v>0.63844000000000001</v>
      </c>
    </row>
    <row r="1687" spans="1:12" ht="26.4" customHeight="1">
      <c r="A1687" s="288">
        <v>761</v>
      </c>
      <c r="B1687" s="523"/>
      <c r="C1687" s="288" t="s">
        <v>1792</v>
      </c>
      <c r="D1687" s="289" t="s">
        <v>2140</v>
      </c>
      <c r="E1687" s="289" t="s">
        <v>1934</v>
      </c>
      <c r="F1687" s="218">
        <v>2236</v>
      </c>
      <c r="G1687" s="237" t="s">
        <v>1555</v>
      </c>
      <c r="H1687" s="475" t="s">
        <v>631</v>
      </c>
      <c r="I1687" s="478">
        <v>124</v>
      </c>
      <c r="J1687" s="243">
        <v>1.54132</v>
      </c>
      <c r="K1687" s="243">
        <v>1.1110899999999999</v>
      </c>
      <c r="L1687" s="243">
        <v>0.43023</v>
      </c>
    </row>
    <row r="1688" spans="1:12" ht="26.4" customHeight="1">
      <c r="A1688" s="288">
        <v>762</v>
      </c>
      <c r="B1688" s="523"/>
      <c r="C1688" s="288" t="s">
        <v>1793</v>
      </c>
      <c r="D1688" s="289" t="s">
        <v>2140</v>
      </c>
      <c r="E1688" s="289" t="s">
        <v>1934</v>
      </c>
      <c r="F1688" s="218">
        <v>2237</v>
      </c>
      <c r="G1688" s="237" t="s">
        <v>1555</v>
      </c>
      <c r="H1688" s="475" t="s">
        <v>631</v>
      </c>
      <c r="I1688" s="478">
        <v>12</v>
      </c>
      <c r="J1688" s="243">
        <v>0.14915999999999999</v>
      </c>
      <c r="K1688" s="243">
        <v>0.10754</v>
      </c>
      <c r="L1688" s="243">
        <v>4.1619999999999997E-2</v>
      </c>
    </row>
    <row r="1689" spans="1:12" ht="26.4" customHeight="1">
      <c r="A1689" s="288">
        <v>763</v>
      </c>
      <c r="B1689" s="523"/>
      <c r="C1689" s="288" t="s">
        <v>1792</v>
      </c>
      <c r="D1689" s="289" t="s">
        <v>2140</v>
      </c>
      <c r="E1689" s="289" t="s">
        <v>1934</v>
      </c>
      <c r="F1689" s="218">
        <v>2238</v>
      </c>
      <c r="G1689" s="237" t="s">
        <v>1555</v>
      </c>
      <c r="H1689" s="475" t="s">
        <v>631</v>
      </c>
      <c r="I1689" s="478">
        <v>186</v>
      </c>
      <c r="J1689" s="243">
        <v>2.3119800000000001</v>
      </c>
      <c r="K1689" s="243">
        <v>1.66658</v>
      </c>
      <c r="L1689" s="243">
        <v>0.64539999999999997</v>
      </c>
    </row>
    <row r="1690" spans="1:12" ht="26.4" customHeight="1">
      <c r="A1690" s="288">
        <v>764</v>
      </c>
      <c r="B1690" s="523"/>
      <c r="C1690" s="288" t="s">
        <v>1793</v>
      </c>
      <c r="D1690" s="289" t="s">
        <v>2140</v>
      </c>
      <c r="E1690" s="289" t="s">
        <v>1934</v>
      </c>
      <c r="F1690" s="218">
        <v>2239</v>
      </c>
      <c r="G1690" s="237" t="s">
        <v>1555</v>
      </c>
      <c r="H1690" s="475" t="s">
        <v>631</v>
      </c>
      <c r="I1690" s="478">
        <v>28</v>
      </c>
      <c r="J1690" s="243">
        <v>0.34804000000000002</v>
      </c>
      <c r="K1690" s="243">
        <v>0.25089</v>
      </c>
      <c r="L1690" s="243">
        <v>9.715E-2</v>
      </c>
    </row>
    <row r="1691" spans="1:12" ht="26.4" customHeight="1">
      <c r="A1691" s="288">
        <v>765</v>
      </c>
      <c r="B1691" s="523"/>
      <c r="C1691" s="288" t="s">
        <v>1792</v>
      </c>
      <c r="D1691" s="289" t="s">
        <v>2140</v>
      </c>
      <c r="E1691" s="289" t="s">
        <v>1934</v>
      </c>
      <c r="F1691" s="218">
        <v>23608</v>
      </c>
      <c r="G1691" s="237" t="s">
        <v>1555</v>
      </c>
      <c r="H1691" s="475" t="s">
        <v>631</v>
      </c>
      <c r="I1691" s="478">
        <v>40</v>
      </c>
      <c r="J1691" s="243">
        <v>0.49963999999999997</v>
      </c>
      <c r="K1691" s="243">
        <v>0.36021999999999998</v>
      </c>
      <c r="L1691" s="243">
        <v>0.13941999999999999</v>
      </c>
    </row>
    <row r="1692" spans="1:12" ht="26.4" customHeight="1">
      <c r="A1692" s="288">
        <v>766</v>
      </c>
      <c r="B1692" s="523"/>
      <c r="C1692" s="288" t="s">
        <v>1793</v>
      </c>
      <c r="D1692" s="289" t="s">
        <v>2140</v>
      </c>
      <c r="E1692" s="289" t="s">
        <v>633</v>
      </c>
      <c r="F1692" s="218">
        <v>23672</v>
      </c>
      <c r="G1692" s="237" t="s">
        <v>1555</v>
      </c>
      <c r="H1692" s="475" t="s">
        <v>1138</v>
      </c>
      <c r="I1692" s="478">
        <v>1</v>
      </c>
      <c r="J1692" s="243">
        <v>24.3</v>
      </c>
      <c r="K1692" s="243">
        <v>10.85758</v>
      </c>
      <c r="L1692" s="243">
        <v>13.44242</v>
      </c>
    </row>
    <row r="1693" spans="1:12" ht="26.4" customHeight="1">
      <c r="A1693" s="288">
        <v>767</v>
      </c>
      <c r="B1693" s="523"/>
      <c r="C1693" s="288" t="s">
        <v>1792</v>
      </c>
      <c r="D1693" s="289" t="s">
        <v>2140</v>
      </c>
      <c r="E1693" s="289" t="s">
        <v>1142</v>
      </c>
      <c r="F1693" s="218">
        <v>41645</v>
      </c>
      <c r="G1693" s="237" t="s">
        <v>1580</v>
      </c>
      <c r="H1693" s="475" t="s">
        <v>1138</v>
      </c>
      <c r="I1693" s="478">
        <v>1</v>
      </c>
      <c r="J1693" s="243">
        <v>9.9499999999999993</v>
      </c>
      <c r="K1693" s="243">
        <v>0.248</v>
      </c>
      <c r="L1693" s="243">
        <v>9.7010000000000005</v>
      </c>
    </row>
    <row r="1694" spans="1:12" ht="26.4" customHeight="1">
      <c r="A1694" s="288">
        <v>768</v>
      </c>
      <c r="B1694" s="523"/>
      <c r="C1694" s="288" t="s">
        <v>30</v>
      </c>
      <c r="D1694" s="289" t="s">
        <v>2141</v>
      </c>
      <c r="E1694" s="289" t="s">
        <v>2385</v>
      </c>
      <c r="F1694" s="218">
        <v>277022</v>
      </c>
      <c r="G1694" s="237" t="s">
        <v>1581</v>
      </c>
      <c r="H1694" s="475" t="s">
        <v>1149</v>
      </c>
      <c r="I1694" s="207">
        <v>227.1</v>
      </c>
      <c r="J1694" s="243">
        <v>1164.7860900000001</v>
      </c>
      <c r="K1694" s="243">
        <v>147.87825000000001</v>
      </c>
      <c r="L1694" s="243">
        <v>1016.90784</v>
      </c>
    </row>
    <row r="1695" spans="1:12" ht="26.4" customHeight="1">
      <c r="A1695" s="288">
        <v>769</v>
      </c>
      <c r="B1695" s="523"/>
      <c r="C1695" s="288" t="s">
        <v>30</v>
      </c>
      <c r="D1695" s="289" t="s">
        <v>2141</v>
      </c>
      <c r="E1695" s="289" t="s">
        <v>1919</v>
      </c>
      <c r="F1695" s="218">
        <v>2284</v>
      </c>
      <c r="G1695" s="237" t="s">
        <v>1581</v>
      </c>
      <c r="H1695" s="475" t="s">
        <v>631</v>
      </c>
      <c r="I1695" s="478">
        <v>139.1</v>
      </c>
      <c r="J1695" s="243">
        <v>4.6626300000000001</v>
      </c>
      <c r="K1695" s="243">
        <v>3.222</v>
      </c>
      <c r="L1695" s="243">
        <v>1.4406300000000001</v>
      </c>
    </row>
    <row r="1696" spans="1:12" ht="26.4" customHeight="1">
      <c r="A1696" s="288">
        <v>770</v>
      </c>
      <c r="B1696" s="523"/>
      <c r="C1696" s="288" t="s">
        <v>30</v>
      </c>
      <c r="D1696" s="289" t="s">
        <v>2141</v>
      </c>
      <c r="E1696" s="289" t="s">
        <v>1919</v>
      </c>
      <c r="F1696" s="218">
        <v>2285</v>
      </c>
      <c r="G1696" s="237" t="s">
        <v>1581</v>
      </c>
      <c r="H1696" s="475" t="s">
        <v>631</v>
      </c>
      <c r="I1696" s="478">
        <v>17</v>
      </c>
      <c r="J1696" s="243">
        <v>0.56984000000000001</v>
      </c>
      <c r="K1696" s="243">
        <v>0.39378000000000002</v>
      </c>
      <c r="L1696" s="243">
        <v>0.17605999999999999</v>
      </c>
    </row>
    <row r="1697" spans="1:12" ht="26.4" customHeight="1">
      <c r="A1697" s="288">
        <v>771</v>
      </c>
      <c r="B1697" s="523"/>
      <c r="C1697" s="288" t="s">
        <v>30</v>
      </c>
      <c r="D1697" s="289" t="s">
        <v>2141</v>
      </c>
      <c r="E1697" s="289" t="s">
        <v>1919</v>
      </c>
      <c r="F1697" s="218">
        <v>2286</v>
      </c>
      <c r="G1697" s="237" t="s">
        <v>1581</v>
      </c>
      <c r="H1697" s="475" t="s">
        <v>631</v>
      </c>
      <c r="I1697" s="478">
        <v>211.4</v>
      </c>
      <c r="J1697" s="243">
        <v>7.0861299999999998</v>
      </c>
      <c r="K1697" s="243">
        <v>4.8967299999999998</v>
      </c>
      <c r="L1697" s="243">
        <v>2.1894</v>
      </c>
    </row>
    <row r="1698" spans="1:12" ht="26.4" customHeight="1">
      <c r="A1698" s="288">
        <v>772</v>
      </c>
      <c r="B1698" s="523"/>
      <c r="C1698" s="288" t="s">
        <v>30</v>
      </c>
      <c r="D1698" s="289" t="s">
        <v>2141</v>
      </c>
      <c r="E1698" s="289" t="s">
        <v>1919</v>
      </c>
      <c r="F1698" s="218">
        <v>2287</v>
      </c>
      <c r="G1698" s="237" t="s">
        <v>1581</v>
      </c>
      <c r="H1698" s="475" t="s">
        <v>631</v>
      </c>
      <c r="I1698" s="478">
        <v>76</v>
      </c>
      <c r="J1698" s="243">
        <v>2.54752</v>
      </c>
      <c r="K1698" s="243">
        <v>1.7604</v>
      </c>
      <c r="L1698" s="243">
        <v>0.78712000000000004</v>
      </c>
    </row>
    <row r="1699" spans="1:12" ht="26.4" customHeight="1">
      <c r="A1699" s="288">
        <v>773</v>
      </c>
      <c r="B1699" s="523"/>
      <c r="C1699" s="288" t="s">
        <v>30</v>
      </c>
      <c r="D1699" s="289" t="s">
        <v>2141</v>
      </c>
      <c r="E1699" s="289" t="s">
        <v>1919</v>
      </c>
      <c r="F1699" s="218">
        <v>2288</v>
      </c>
      <c r="G1699" s="237" t="s">
        <v>1581</v>
      </c>
      <c r="H1699" s="475" t="s">
        <v>631</v>
      </c>
      <c r="I1699" s="478">
        <v>208</v>
      </c>
      <c r="J1699" s="243">
        <v>6.9721599999999997</v>
      </c>
      <c r="K1699" s="243">
        <v>4.8179699999999999</v>
      </c>
      <c r="L1699" s="243">
        <v>2.1541899999999998</v>
      </c>
    </row>
    <row r="1700" spans="1:12" ht="26.4" customHeight="1">
      <c r="A1700" s="288">
        <v>774</v>
      </c>
      <c r="B1700" s="523"/>
      <c r="C1700" s="288" t="s">
        <v>30</v>
      </c>
      <c r="D1700" s="289" t="s">
        <v>2141</v>
      </c>
      <c r="E1700" s="289" t="s">
        <v>1919</v>
      </c>
      <c r="F1700" s="218">
        <v>2289</v>
      </c>
      <c r="G1700" s="237" t="s">
        <v>1581</v>
      </c>
      <c r="H1700" s="475" t="s">
        <v>631</v>
      </c>
      <c r="I1700" s="478">
        <v>89.6</v>
      </c>
      <c r="J1700" s="243">
        <v>3.00339</v>
      </c>
      <c r="K1700" s="243">
        <v>2.0754199999999998</v>
      </c>
      <c r="L1700" s="243">
        <v>0.92796999999999996</v>
      </c>
    </row>
    <row r="1701" spans="1:12" ht="26.4" customHeight="1">
      <c r="A1701" s="288">
        <v>775</v>
      </c>
      <c r="B1701" s="523"/>
      <c r="C1701" s="288" t="s">
        <v>30</v>
      </c>
      <c r="D1701" s="289" t="s">
        <v>2141</v>
      </c>
      <c r="E1701" s="289" t="s">
        <v>1919</v>
      </c>
      <c r="F1701" s="218">
        <v>2290</v>
      </c>
      <c r="G1701" s="237" t="s">
        <v>1581</v>
      </c>
      <c r="H1701" s="475" t="s">
        <v>631</v>
      </c>
      <c r="I1701" s="478">
        <v>53.9</v>
      </c>
      <c r="J1701" s="243">
        <v>1.8067299999999999</v>
      </c>
      <c r="K1701" s="243">
        <v>1.24848</v>
      </c>
      <c r="L1701" s="243">
        <v>0.55825000000000002</v>
      </c>
    </row>
    <row r="1702" spans="1:12" ht="26.4" customHeight="1">
      <c r="A1702" s="288">
        <v>776</v>
      </c>
      <c r="B1702" s="523"/>
      <c r="C1702" s="288" t="s">
        <v>30</v>
      </c>
      <c r="D1702" s="289" t="s">
        <v>2141</v>
      </c>
      <c r="E1702" s="289" t="s">
        <v>1919</v>
      </c>
      <c r="F1702" s="218">
        <v>2291</v>
      </c>
      <c r="G1702" s="237" t="s">
        <v>1581</v>
      </c>
      <c r="H1702" s="475" t="s">
        <v>631</v>
      </c>
      <c r="I1702" s="478">
        <v>65.599999999999994</v>
      </c>
      <c r="J1702" s="243">
        <v>2.1989200000000002</v>
      </c>
      <c r="K1702" s="243">
        <v>1.51952</v>
      </c>
      <c r="L1702" s="243">
        <v>0.6794</v>
      </c>
    </row>
    <row r="1703" spans="1:12" ht="26.4" customHeight="1">
      <c r="A1703" s="288">
        <v>777</v>
      </c>
      <c r="B1703" s="523"/>
      <c r="C1703" s="288" t="s">
        <v>30</v>
      </c>
      <c r="D1703" s="289" t="s">
        <v>2141</v>
      </c>
      <c r="E1703" s="289" t="s">
        <v>1919</v>
      </c>
      <c r="F1703" s="218">
        <v>2292</v>
      </c>
      <c r="G1703" s="237" t="s">
        <v>1581</v>
      </c>
      <c r="H1703" s="475" t="s">
        <v>631</v>
      </c>
      <c r="I1703" s="478">
        <v>28.6</v>
      </c>
      <c r="J1703" s="243">
        <v>0.95867000000000002</v>
      </c>
      <c r="K1703" s="243">
        <v>0.66252</v>
      </c>
      <c r="L1703" s="243">
        <v>0.29615000000000002</v>
      </c>
    </row>
    <row r="1704" spans="1:12" ht="26.4" customHeight="1">
      <c r="A1704" s="288">
        <v>778</v>
      </c>
      <c r="B1704" s="523"/>
      <c r="C1704" s="288" t="s">
        <v>30</v>
      </c>
      <c r="D1704" s="289" t="s">
        <v>2141</v>
      </c>
      <c r="E1704" s="289" t="s">
        <v>1919</v>
      </c>
      <c r="F1704" s="218">
        <v>2293</v>
      </c>
      <c r="G1704" s="237" t="s">
        <v>1581</v>
      </c>
      <c r="H1704" s="475" t="s">
        <v>631</v>
      </c>
      <c r="I1704" s="478">
        <v>76.400000000000006</v>
      </c>
      <c r="J1704" s="243">
        <v>2.5609299999999999</v>
      </c>
      <c r="K1704" s="243">
        <v>1.76972</v>
      </c>
      <c r="L1704" s="243">
        <v>0.79120999999999997</v>
      </c>
    </row>
    <row r="1705" spans="1:12" ht="26.4" customHeight="1">
      <c r="A1705" s="288">
        <v>779</v>
      </c>
      <c r="B1705" s="523"/>
      <c r="C1705" s="288" t="s">
        <v>30</v>
      </c>
      <c r="D1705" s="289" t="s">
        <v>2141</v>
      </c>
      <c r="E1705" s="289" t="s">
        <v>1919</v>
      </c>
      <c r="F1705" s="218">
        <v>2294</v>
      </c>
      <c r="G1705" s="237" t="s">
        <v>1581</v>
      </c>
      <c r="H1705" s="475" t="s">
        <v>631</v>
      </c>
      <c r="I1705" s="478">
        <v>44.5</v>
      </c>
      <c r="J1705" s="243">
        <v>1.4916400000000001</v>
      </c>
      <c r="K1705" s="243">
        <v>1.03074</v>
      </c>
      <c r="L1705" s="243">
        <v>0.46089999999999998</v>
      </c>
    </row>
    <row r="1706" spans="1:12" ht="26.4" customHeight="1">
      <c r="A1706" s="288">
        <v>780</v>
      </c>
      <c r="B1706" s="523"/>
      <c r="C1706" s="288" t="s">
        <v>30</v>
      </c>
      <c r="D1706" s="289" t="s">
        <v>2141</v>
      </c>
      <c r="E1706" s="289" t="s">
        <v>1919</v>
      </c>
      <c r="F1706" s="218">
        <v>2295</v>
      </c>
      <c r="G1706" s="237" t="s">
        <v>1581</v>
      </c>
      <c r="H1706" s="475" t="s">
        <v>631</v>
      </c>
      <c r="I1706" s="478">
        <v>35</v>
      </c>
      <c r="J1706" s="243">
        <v>1.1732</v>
      </c>
      <c r="K1706" s="243">
        <v>0.81071000000000004</v>
      </c>
      <c r="L1706" s="243">
        <v>0.36248999999999998</v>
      </c>
    </row>
    <row r="1707" spans="1:12" ht="26.4" customHeight="1">
      <c r="A1707" s="288">
        <v>781</v>
      </c>
      <c r="B1707" s="523"/>
      <c r="C1707" s="288" t="s">
        <v>30</v>
      </c>
      <c r="D1707" s="289" t="s">
        <v>2141</v>
      </c>
      <c r="E1707" s="289" t="s">
        <v>1919</v>
      </c>
      <c r="F1707" s="218">
        <v>2296</v>
      </c>
      <c r="G1707" s="237" t="s">
        <v>1581</v>
      </c>
      <c r="H1707" s="475" t="s">
        <v>631</v>
      </c>
      <c r="I1707" s="478">
        <v>75.599999999999994</v>
      </c>
      <c r="J1707" s="243">
        <v>2.5341100000000001</v>
      </c>
      <c r="K1707" s="243">
        <v>1.75118</v>
      </c>
      <c r="L1707" s="243">
        <v>0.78293000000000001</v>
      </c>
    </row>
    <row r="1708" spans="1:12" ht="26.4" customHeight="1">
      <c r="A1708" s="288">
        <v>782</v>
      </c>
      <c r="B1708" s="523"/>
      <c r="C1708" s="288" t="s">
        <v>30</v>
      </c>
      <c r="D1708" s="289" t="s">
        <v>2141</v>
      </c>
      <c r="E1708" s="289" t="s">
        <v>1919</v>
      </c>
      <c r="F1708" s="218">
        <v>41421</v>
      </c>
      <c r="G1708" s="237" t="s">
        <v>1537</v>
      </c>
      <c r="H1708" s="475" t="s">
        <v>631</v>
      </c>
      <c r="I1708" s="478">
        <v>48</v>
      </c>
      <c r="J1708" s="243">
        <v>59.724359999999997</v>
      </c>
      <c r="K1708" s="243">
        <v>7.3659600000000003</v>
      </c>
      <c r="L1708" s="243">
        <v>52.358400000000003</v>
      </c>
    </row>
    <row r="1709" spans="1:12" ht="26.4" customHeight="1">
      <c r="A1709" s="288">
        <v>783</v>
      </c>
      <c r="B1709" s="523"/>
      <c r="C1709" s="288" t="s">
        <v>30</v>
      </c>
      <c r="D1709" s="289" t="s">
        <v>2141</v>
      </c>
      <c r="E1709" s="289" t="s">
        <v>1255</v>
      </c>
      <c r="F1709" s="218">
        <v>60002</v>
      </c>
      <c r="G1709" s="237" t="s">
        <v>1576</v>
      </c>
      <c r="H1709" s="475" t="s">
        <v>631</v>
      </c>
      <c r="I1709" s="478">
        <v>23.5</v>
      </c>
      <c r="J1709" s="243">
        <v>17.258410000000001</v>
      </c>
      <c r="K1709" s="243">
        <v>7.3348199999999997</v>
      </c>
      <c r="L1709" s="243">
        <v>9.9235900000000008</v>
      </c>
    </row>
    <row r="1710" spans="1:12" ht="26.4" customHeight="1">
      <c r="A1710" s="288">
        <v>784</v>
      </c>
      <c r="B1710" s="523"/>
      <c r="C1710" s="288" t="s">
        <v>30</v>
      </c>
      <c r="D1710" s="289" t="s">
        <v>2141</v>
      </c>
      <c r="E1710" s="289" t="s">
        <v>1255</v>
      </c>
      <c r="F1710" s="218">
        <v>60003</v>
      </c>
      <c r="G1710" s="237" t="s">
        <v>1576</v>
      </c>
      <c r="H1710" s="475" t="s">
        <v>631</v>
      </c>
      <c r="I1710" s="478">
        <v>18</v>
      </c>
      <c r="J1710" s="243">
        <v>13.219189999999999</v>
      </c>
      <c r="K1710" s="243">
        <v>5.6181599999999996</v>
      </c>
      <c r="L1710" s="243">
        <v>7.6010299999999997</v>
      </c>
    </row>
    <row r="1711" spans="1:12" ht="26.4" customHeight="1">
      <c r="A1711" s="288">
        <v>785</v>
      </c>
      <c r="B1711" s="523"/>
      <c r="C1711" s="288" t="s">
        <v>30</v>
      </c>
      <c r="D1711" s="289" t="s">
        <v>2141</v>
      </c>
      <c r="E1711" s="289" t="s">
        <v>1255</v>
      </c>
      <c r="F1711" s="218">
        <v>60004</v>
      </c>
      <c r="G1711" s="237" t="s">
        <v>1576</v>
      </c>
      <c r="H1711" s="475" t="s">
        <v>631</v>
      </c>
      <c r="I1711" s="478">
        <v>30</v>
      </c>
      <c r="J1711" s="243">
        <v>22.056280000000001</v>
      </c>
      <c r="K1711" s="243">
        <v>9.3737999999999992</v>
      </c>
      <c r="L1711" s="243">
        <v>12.68248</v>
      </c>
    </row>
    <row r="1712" spans="1:12" ht="26.4" customHeight="1">
      <c r="A1712" s="288">
        <v>786</v>
      </c>
      <c r="B1712" s="523"/>
      <c r="C1712" s="288" t="s">
        <v>30</v>
      </c>
      <c r="D1712" s="289" t="s">
        <v>2141</v>
      </c>
      <c r="E1712" s="289" t="s">
        <v>1255</v>
      </c>
      <c r="F1712" s="218">
        <v>60005</v>
      </c>
      <c r="G1712" s="237" t="s">
        <v>1576</v>
      </c>
      <c r="H1712" s="475" t="s">
        <v>631</v>
      </c>
      <c r="I1712" s="478">
        <v>15</v>
      </c>
      <c r="J1712" s="243">
        <v>10.991720000000001</v>
      </c>
      <c r="K1712" s="243">
        <v>4.6715999999999998</v>
      </c>
      <c r="L1712" s="243">
        <v>6.3201200000000002</v>
      </c>
    </row>
    <row r="1713" spans="1:12" ht="26.4" customHeight="1">
      <c r="A1713" s="288">
        <v>787</v>
      </c>
      <c r="B1713" s="523"/>
      <c r="C1713" s="288" t="s">
        <v>30</v>
      </c>
      <c r="D1713" s="289" t="s">
        <v>2141</v>
      </c>
      <c r="E1713" s="289" t="s">
        <v>1919</v>
      </c>
      <c r="F1713" s="218">
        <v>62561</v>
      </c>
      <c r="G1713" s="237" t="s">
        <v>1567</v>
      </c>
      <c r="H1713" s="475" t="s">
        <v>631</v>
      </c>
      <c r="I1713" s="478">
        <v>72</v>
      </c>
      <c r="J1713" s="243">
        <v>59.130400000000002</v>
      </c>
      <c r="K1713" s="243">
        <v>15.11993</v>
      </c>
      <c r="L1713" s="243">
        <v>44.010469999999998</v>
      </c>
    </row>
    <row r="1714" spans="1:12" ht="26.4" customHeight="1">
      <c r="A1714" s="288">
        <v>788</v>
      </c>
      <c r="B1714" s="523"/>
      <c r="C1714" s="288" t="s">
        <v>30</v>
      </c>
      <c r="D1714" s="289" t="s">
        <v>2141</v>
      </c>
      <c r="E1714" s="289" t="s">
        <v>1919</v>
      </c>
      <c r="F1714" s="218">
        <v>62562</v>
      </c>
      <c r="G1714" s="237" t="s">
        <v>1567</v>
      </c>
      <c r="H1714" s="475" t="s">
        <v>631</v>
      </c>
      <c r="I1714" s="478">
        <v>130</v>
      </c>
      <c r="J1714" s="243">
        <v>48.400599999999997</v>
      </c>
      <c r="K1714" s="243">
        <v>11.99877</v>
      </c>
      <c r="L1714" s="243">
        <v>36.401829999999997</v>
      </c>
    </row>
    <row r="1715" spans="1:12" ht="26.4" customHeight="1">
      <c r="A1715" s="288">
        <v>789</v>
      </c>
      <c r="B1715" s="523"/>
      <c r="C1715" s="288" t="s">
        <v>30</v>
      </c>
      <c r="D1715" s="289" t="s">
        <v>2141</v>
      </c>
      <c r="E1715" s="289" t="s">
        <v>632</v>
      </c>
      <c r="F1715" s="218">
        <v>277003</v>
      </c>
      <c r="G1715" s="237" t="s">
        <v>1581</v>
      </c>
      <c r="H1715" s="475" t="s">
        <v>1138</v>
      </c>
      <c r="I1715" s="478">
        <v>1</v>
      </c>
      <c r="J1715" s="243">
        <v>78.89</v>
      </c>
      <c r="K1715" s="243">
        <v>35.17595</v>
      </c>
      <c r="L1715" s="243">
        <v>43.71405</v>
      </c>
    </row>
    <row r="1716" spans="1:12" ht="26.4" customHeight="1">
      <c r="A1716" s="288">
        <v>790</v>
      </c>
      <c r="B1716" s="523"/>
      <c r="C1716" s="288" t="s">
        <v>30</v>
      </c>
      <c r="D1716" s="289" t="s">
        <v>2141</v>
      </c>
      <c r="E1716" s="289" t="s">
        <v>1919</v>
      </c>
      <c r="F1716" s="218">
        <v>277008</v>
      </c>
      <c r="G1716" s="237" t="s">
        <v>1581</v>
      </c>
      <c r="H1716" s="475" t="s">
        <v>631</v>
      </c>
      <c r="I1716" s="478">
        <v>164.4</v>
      </c>
      <c r="J1716" s="243">
        <v>5.5146800000000002</v>
      </c>
      <c r="K1716" s="243">
        <v>3.8107899999999999</v>
      </c>
      <c r="L1716" s="243">
        <v>1.7038899999999999</v>
      </c>
    </row>
    <row r="1717" spans="1:12" ht="26.4" customHeight="1">
      <c r="A1717" s="288">
        <v>791</v>
      </c>
      <c r="B1717" s="523"/>
      <c r="C1717" s="288" t="s">
        <v>30</v>
      </c>
      <c r="D1717" s="289" t="s">
        <v>2141</v>
      </c>
      <c r="E1717" s="289" t="s">
        <v>1919</v>
      </c>
      <c r="F1717" s="218">
        <v>277021</v>
      </c>
      <c r="G1717" s="237" t="s">
        <v>1581</v>
      </c>
      <c r="H1717" s="475" t="s">
        <v>631</v>
      </c>
      <c r="I1717" s="478">
        <v>383.4</v>
      </c>
      <c r="J1717" s="243">
        <v>3.98</v>
      </c>
      <c r="K1717" s="243">
        <v>2.5107400000000002</v>
      </c>
      <c r="L1717" s="243">
        <v>1.46926</v>
      </c>
    </row>
    <row r="1718" spans="1:12" ht="26.4" customHeight="1">
      <c r="A1718" s="288">
        <v>792</v>
      </c>
      <c r="B1718" s="523"/>
      <c r="C1718" s="288" t="s">
        <v>30</v>
      </c>
      <c r="D1718" s="289" t="s">
        <v>2141</v>
      </c>
      <c r="E1718" s="289" t="s">
        <v>1919</v>
      </c>
      <c r="F1718" s="218">
        <v>277024</v>
      </c>
      <c r="G1718" s="237" t="s">
        <v>1581</v>
      </c>
      <c r="H1718" s="475" t="s">
        <v>631</v>
      </c>
      <c r="I1718" s="478">
        <v>436.1</v>
      </c>
      <c r="J1718" s="243">
        <v>7.8766800000000003</v>
      </c>
      <c r="K1718" s="243">
        <v>5.3451000000000004</v>
      </c>
      <c r="L1718" s="243">
        <v>2.5315799999999999</v>
      </c>
    </row>
    <row r="1719" spans="1:12" ht="26.4" customHeight="1">
      <c r="A1719" s="288">
        <v>793</v>
      </c>
      <c r="B1719" s="523"/>
      <c r="C1719" s="288" t="s">
        <v>30</v>
      </c>
      <c r="D1719" s="289" t="s">
        <v>2142</v>
      </c>
      <c r="E1719" s="289" t="s">
        <v>2253</v>
      </c>
      <c r="F1719" s="218">
        <v>62577</v>
      </c>
      <c r="G1719" s="237" t="s">
        <v>1569</v>
      </c>
      <c r="H1719" s="475" t="s">
        <v>1149</v>
      </c>
      <c r="I1719" s="207">
        <v>228.1</v>
      </c>
      <c r="J1719" s="243">
        <v>12.291040000000001</v>
      </c>
      <c r="K1719" s="243">
        <v>10.41208</v>
      </c>
      <c r="L1719" s="243">
        <v>1.87896</v>
      </c>
    </row>
    <row r="1720" spans="1:12" ht="26.4" customHeight="1">
      <c r="A1720" s="288">
        <v>794</v>
      </c>
      <c r="B1720" s="523"/>
      <c r="C1720" s="288" t="s">
        <v>30</v>
      </c>
      <c r="D1720" s="289" t="s">
        <v>2142</v>
      </c>
      <c r="E1720" s="289" t="s">
        <v>1919</v>
      </c>
      <c r="F1720" s="218">
        <v>2297</v>
      </c>
      <c r="G1720" s="237" t="s">
        <v>1569</v>
      </c>
      <c r="H1720" s="475" t="s">
        <v>631</v>
      </c>
      <c r="I1720" s="478">
        <v>78</v>
      </c>
      <c r="J1720" s="243">
        <v>0.12636</v>
      </c>
      <c r="K1720" s="243">
        <v>0.11368</v>
      </c>
      <c r="L1720" s="243">
        <v>1.268E-2</v>
      </c>
    </row>
    <row r="1721" spans="1:12" ht="26.4" customHeight="1">
      <c r="A1721" s="288">
        <v>795</v>
      </c>
      <c r="B1721" s="523"/>
      <c r="C1721" s="288" t="s">
        <v>30</v>
      </c>
      <c r="D1721" s="289" t="s">
        <v>2142</v>
      </c>
      <c r="E1721" s="289" t="s">
        <v>1919</v>
      </c>
      <c r="F1721" s="218">
        <v>2298</v>
      </c>
      <c r="G1721" s="237" t="s">
        <v>1569</v>
      </c>
      <c r="H1721" s="475" t="s">
        <v>631</v>
      </c>
      <c r="I1721" s="478">
        <v>93.5</v>
      </c>
      <c r="J1721" s="243">
        <v>0.15146999999999999</v>
      </c>
      <c r="K1721" s="243">
        <v>0.13628000000000001</v>
      </c>
      <c r="L1721" s="243">
        <v>1.519E-2</v>
      </c>
    </row>
    <row r="1722" spans="1:12" ht="26.4" customHeight="1">
      <c r="A1722" s="288">
        <v>796</v>
      </c>
      <c r="B1722" s="523"/>
      <c r="C1722" s="288" t="s">
        <v>30</v>
      </c>
      <c r="D1722" s="289" t="s">
        <v>2142</v>
      </c>
      <c r="E1722" s="289" t="s">
        <v>1919</v>
      </c>
      <c r="F1722" s="218">
        <v>2299</v>
      </c>
      <c r="G1722" s="237" t="s">
        <v>1569</v>
      </c>
      <c r="H1722" s="475" t="s">
        <v>631</v>
      </c>
      <c r="I1722" s="478">
        <v>118.5</v>
      </c>
      <c r="J1722" s="243">
        <v>0.19197</v>
      </c>
      <c r="K1722" s="243">
        <v>0.17274999999999999</v>
      </c>
      <c r="L1722" s="243">
        <v>1.9220000000000001E-2</v>
      </c>
    </row>
    <row r="1723" spans="1:12" ht="26.4" customHeight="1">
      <c r="A1723" s="288">
        <v>797</v>
      </c>
      <c r="B1723" s="523"/>
      <c r="C1723" s="288" t="s">
        <v>30</v>
      </c>
      <c r="D1723" s="289" t="s">
        <v>2142</v>
      </c>
      <c r="E1723" s="289" t="s">
        <v>1919</v>
      </c>
      <c r="F1723" s="218">
        <v>2300</v>
      </c>
      <c r="G1723" s="237" t="s">
        <v>1569</v>
      </c>
      <c r="H1723" s="475" t="s">
        <v>631</v>
      </c>
      <c r="I1723" s="478">
        <v>25</v>
      </c>
      <c r="J1723" s="243">
        <v>4.0500000000000001E-2</v>
      </c>
      <c r="K1723" s="243">
        <v>3.6470000000000002E-2</v>
      </c>
      <c r="L1723" s="243">
        <v>4.0299999999999997E-3</v>
      </c>
    </row>
    <row r="1724" spans="1:12" ht="26.4" customHeight="1">
      <c r="A1724" s="288">
        <v>798</v>
      </c>
      <c r="B1724" s="523"/>
      <c r="C1724" s="288" t="s">
        <v>30</v>
      </c>
      <c r="D1724" s="289" t="s">
        <v>2142</v>
      </c>
      <c r="E1724" s="289" t="s">
        <v>1919</v>
      </c>
      <c r="F1724" s="218">
        <v>2301</v>
      </c>
      <c r="G1724" s="237" t="s">
        <v>1569</v>
      </c>
      <c r="H1724" s="475" t="s">
        <v>631</v>
      </c>
      <c r="I1724" s="478">
        <v>62</v>
      </c>
      <c r="J1724" s="243">
        <v>0.10044</v>
      </c>
      <c r="K1724" s="243">
        <v>9.042E-2</v>
      </c>
      <c r="L1724" s="243">
        <v>1.0019999999999999E-2</v>
      </c>
    </row>
    <row r="1725" spans="1:12" ht="26.4" customHeight="1">
      <c r="A1725" s="288">
        <v>799</v>
      </c>
      <c r="B1725" s="523"/>
      <c r="C1725" s="288" t="s">
        <v>30</v>
      </c>
      <c r="D1725" s="289" t="s">
        <v>2142</v>
      </c>
      <c r="E1725" s="289" t="s">
        <v>1919</v>
      </c>
      <c r="F1725" s="218">
        <v>2302</v>
      </c>
      <c r="G1725" s="237" t="s">
        <v>1569</v>
      </c>
      <c r="H1725" s="475" t="s">
        <v>631</v>
      </c>
      <c r="I1725" s="478">
        <v>105</v>
      </c>
      <c r="J1725" s="243">
        <v>0.17000999999999999</v>
      </c>
      <c r="K1725" s="243">
        <v>0.15303</v>
      </c>
      <c r="L1725" s="243">
        <v>1.6979999999999999E-2</v>
      </c>
    </row>
    <row r="1726" spans="1:12" ht="26.4" customHeight="1">
      <c r="A1726" s="288">
        <v>800</v>
      </c>
      <c r="B1726" s="523"/>
      <c r="C1726" s="288" t="s">
        <v>30</v>
      </c>
      <c r="D1726" s="289" t="s">
        <v>2142</v>
      </c>
      <c r="E1726" s="289" t="s">
        <v>1919</v>
      </c>
      <c r="F1726" s="218">
        <v>2303</v>
      </c>
      <c r="G1726" s="237" t="s">
        <v>1569</v>
      </c>
      <c r="H1726" s="475" t="s">
        <v>631</v>
      </c>
      <c r="I1726" s="478">
        <v>50.5</v>
      </c>
      <c r="J1726" s="243">
        <v>8.1809999999999994E-2</v>
      </c>
      <c r="K1726" s="243">
        <v>7.3599999999999999E-2</v>
      </c>
      <c r="L1726" s="243">
        <v>8.2100000000000003E-3</v>
      </c>
    </row>
    <row r="1727" spans="1:12" ht="26.4" customHeight="1">
      <c r="A1727" s="288">
        <v>801</v>
      </c>
      <c r="B1727" s="523"/>
      <c r="C1727" s="288" t="s">
        <v>30</v>
      </c>
      <c r="D1727" s="289" t="s">
        <v>2142</v>
      </c>
      <c r="E1727" s="289" t="s">
        <v>1919</v>
      </c>
      <c r="F1727" s="218">
        <v>2304</v>
      </c>
      <c r="G1727" s="237" t="s">
        <v>1569</v>
      </c>
      <c r="H1727" s="475" t="s">
        <v>631</v>
      </c>
      <c r="I1727" s="478">
        <v>65</v>
      </c>
      <c r="J1727" s="243">
        <v>0.1053</v>
      </c>
      <c r="K1727" s="243">
        <v>9.4789999999999999E-2</v>
      </c>
      <c r="L1727" s="243">
        <v>1.051E-2</v>
      </c>
    </row>
    <row r="1728" spans="1:12" ht="26.4" customHeight="1">
      <c r="A1728" s="288">
        <v>802</v>
      </c>
      <c r="B1728" s="523"/>
      <c r="C1728" s="288" t="s">
        <v>30</v>
      </c>
      <c r="D1728" s="289" t="s">
        <v>2142</v>
      </c>
      <c r="E1728" s="289" t="s">
        <v>1919</v>
      </c>
      <c r="F1728" s="218">
        <v>2305</v>
      </c>
      <c r="G1728" s="237" t="s">
        <v>1569</v>
      </c>
      <c r="H1728" s="475" t="s">
        <v>631</v>
      </c>
      <c r="I1728" s="478">
        <v>242.5</v>
      </c>
      <c r="J1728" s="243">
        <v>0.39284999999999998</v>
      </c>
      <c r="K1728" s="243">
        <v>0.35347000000000001</v>
      </c>
      <c r="L1728" s="243">
        <v>3.9379999999999998E-2</v>
      </c>
    </row>
    <row r="1729" spans="1:12" ht="26.4" customHeight="1">
      <c r="A1729" s="288">
        <v>803</v>
      </c>
      <c r="B1729" s="523"/>
      <c r="C1729" s="288" t="s">
        <v>30</v>
      </c>
      <c r="D1729" s="289" t="s">
        <v>2142</v>
      </c>
      <c r="E1729" s="289" t="s">
        <v>1919</v>
      </c>
      <c r="F1729" s="218">
        <v>62580</v>
      </c>
      <c r="G1729" s="237" t="s">
        <v>1569</v>
      </c>
      <c r="H1729" s="475" t="s">
        <v>631</v>
      </c>
      <c r="I1729" s="478">
        <v>124</v>
      </c>
      <c r="J1729" s="243">
        <v>0.20430999999999999</v>
      </c>
      <c r="K1729" s="243">
        <v>0.18382999999999999</v>
      </c>
      <c r="L1729" s="243">
        <v>2.0480000000000002E-2</v>
      </c>
    </row>
    <row r="1730" spans="1:12" ht="26.4" customHeight="1">
      <c r="A1730" s="288">
        <v>804</v>
      </c>
      <c r="B1730" s="523"/>
      <c r="C1730" s="288" t="s">
        <v>30</v>
      </c>
      <c r="D1730" s="289" t="s">
        <v>2142</v>
      </c>
      <c r="E1730" s="289" t="s">
        <v>632</v>
      </c>
      <c r="F1730" s="218">
        <v>62879</v>
      </c>
      <c r="G1730" s="237" t="s">
        <v>1569</v>
      </c>
      <c r="H1730" s="475" t="s">
        <v>1138</v>
      </c>
      <c r="I1730" s="478">
        <v>1</v>
      </c>
      <c r="J1730" s="243">
        <v>1.3</v>
      </c>
      <c r="K1730" s="243">
        <v>1.16964</v>
      </c>
      <c r="L1730" s="243">
        <v>0.13036</v>
      </c>
    </row>
    <row r="1731" spans="1:12" ht="26.4" customHeight="1">
      <c r="A1731" s="288">
        <v>805</v>
      </c>
      <c r="B1731" s="523"/>
      <c r="C1731" s="288" t="s">
        <v>30</v>
      </c>
      <c r="D1731" s="289" t="s">
        <v>2142</v>
      </c>
      <c r="E1731" s="289" t="s">
        <v>2254</v>
      </c>
      <c r="F1731" s="218">
        <v>63970</v>
      </c>
      <c r="G1731" s="237" t="s">
        <v>1571</v>
      </c>
      <c r="H1731" s="475" t="s">
        <v>1149</v>
      </c>
      <c r="I1731" s="207">
        <v>395.7</v>
      </c>
      <c r="J1731" s="243">
        <v>8542.1534800000009</v>
      </c>
      <c r="K1731" s="243">
        <v>1638.3389500000001</v>
      </c>
      <c r="L1731" s="243">
        <v>6903.8145299999996</v>
      </c>
    </row>
    <row r="1732" spans="1:12" ht="26.4" customHeight="1">
      <c r="A1732" s="288">
        <v>806</v>
      </c>
      <c r="B1732" s="523"/>
      <c r="C1732" s="288" t="s">
        <v>30</v>
      </c>
      <c r="D1732" s="289" t="s">
        <v>2142</v>
      </c>
      <c r="E1732" s="289" t="s">
        <v>1919</v>
      </c>
      <c r="F1732" s="218">
        <v>2306</v>
      </c>
      <c r="G1732" s="237" t="s">
        <v>1571</v>
      </c>
      <c r="H1732" s="475" t="s">
        <v>631</v>
      </c>
      <c r="I1732" s="478">
        <v>4.4000000000000004</v>
      </c>
      <c r="J1732" s="243">
        <v>0.84040000000000004</v>
      </c>
      <c r="K1732" s="243">
        <v>0.18626999999999999</v>
      </c>
      <c r="L1732" s="243">
        <v>0.65412999999999999</v>
      </c>
    </row>
    <row r="1733" spans="1:12" ht="26.4" customHeight="1">
      <c r="A1733" s="288">
        <v>807</v>
      </c>
      <c r="B1733" s="523"/>
      <c r="C1733" s="288" t="s">
        <v>30</v>
      </c>
      <c r="D1733" s="289" t="s">
        <v>2142</v>
      </c>
      <c r="E1733" s="289" t="s">
        <v>1919</v>
      </c>
      <c r="F1733" s="218">
        <v>2307</v>
      </c>
      <c r="G1733" s="237" t="s">
        <v>1571</v>
      </c>
      <c r="H1733" s="475" t="s">
        <v>631</v>
      </c>
      <c r="I1733" s="478">
        <v>140</v>
      </c>
      <c r="J1733" s="243">
        <v>26.74</v>
      </c>
      <c r="K1733" s="243">
        <v>5.9279200000000003</v>
      </c>
      <c r="L1733" s="243">
        <v>20.812080000000002</v>
      </c>
    </row>
    <row r="1734" spans="1:12" ht="26.4" customHeight="1">
      <c r="A1734" s="288">
        <v>808</v>
      </c>
      <c r="B1734" s="523"/>
      <c r="C1734" s="288" t="s">
        <v>30</v>
      </c>
      <c r="D1734" s="289" t="s">
        <v>2142</v>
      </c>
      <c r="E1734" s="289" t="s">
        <v>1919</v>
      </c>
      <c r="F1734" s="218">
        <v>2308</v>
      </c>
      <c r="G1734" s="237" t="s">
        <v>1571</v>
      </c>
      <c r="H1734" s="475" t="s">
        <v>631</v>
      </c>
      <c r="I1734" s="478">
        <v>84</v>
      </c>
      <c r="J1734" s="243">
        <v>16.044</v>
      </c>
      <c r="K1734" s="243">
        <v>3.5567700000000002</v>
      </c>
      <c r="L1734" s="243">
        <v>12.48723</v>
      </c>
    </row>
    <row r="1735" spans="1:12" ht="26.4" customHeight="1">
      <c r="A1735" s="288">
        <v>809</v>
      </c>
      <c r="B1735" s="523"/>
      <c r="C1735" s="288" t="s">
        <v>30</v>
      </c>
      <c r="D1735" s="289" t="s">
        <v>2142</v>
      </c>
      <c r="E1735" s="289" t="s">
        <v>1919</v>
      </c>
      <c r="F1735" s="218">
        <v>2309</v>
      </c>
      <c r="G1735" s="237" t="s">
        <v>1571</v>
      </c>
      <c r="H1735" s="475" t="s">
        <v>631</v>
      </c>
      <c r="I1735" s="478">
        <v>14</v>
      </c>
      <c r="J1735" s="243">
        <v>2.6739999999999999</v>
      </c>
      <c r="K1735" s="243">
        <v>0.59280999999999995</v>
      </c>
      <c r="L1735" s="243">
        <v>2.0811899999999999</v>
      </c>
    </row>
    <row r="1736" spans="1:12" ht="26.4" customHeight="1">
      <c r="A1736" s="288">
        <v>810</v>
      </c>
      <c r="B1736" s="523"/>
      <c r="C1736" s="288" t="s">
        <v>30</v>
      </c>
      <c r="D1736" s="289" t="s">
        <v>2142</v>
      </c>
      <c r="E1736" s="289" t="s">
        <v>1919</v>
      </c>
      <c r="F1736" s="218">
        <v>2310</v>
      </c>
      <c r="G1736" s="237" t="s">
        <v>1571</v>
      </c>
      <c r="H1736" s="475" t="s">
        <v>631</v>
      </c>
      <c r="I1736" s="478">
        <v>20</v>
      </c>
      <c r="J1736" s="243">
        <v>3.82</v>
      </c>
      <c r="K1736" s="243">
        <v>0.84682999999999997</v>
      </c>
      <c r="L1736" s="243">
        <v>2.9731700000000001</v>
      </c>
    </row>
    <row r="1737" spans="1:12" ht="26.4" customHeight="1">
      <c r="A1737" s="288">
        <v>811</v>
      </c>
      <c r="B1737" s="523"/>
      <c r="C1737" s="288" t="s">
        <v>30</v>
      </c>
      <c r="D1737" s="289" t="s">
        <v>2142</v>
      </c>
      <c r="E1737" s="289" t="s">
        <v>1919</v>
      </c>
      <c r="F1737" s="218">
        <v>2311</v>
      </c>
      <c r="G1737" s="237" t="s">
        <v>1571</v>
      </c>
      <c r="H1737" s="475" t="s">
        <v>631</v>
      </c>
      <c r="I1737" s="478">
        <v>76</v>
      </c>
      <c r="J1737" s="243">
        <v>14.516</v>
      </c>
      <c r="K1737" s="243">
        <v>3.2179799999999998</v>
      </c>
      <c r="L1737" s="243">
        <v>11.298019999999999</v>
      </c>
    </row>
    <row r="1738" spans="1:12" ht="26.4" customHeight="1">
      <c r="A1738" s="288">
        <v>812</v>
      </c>
      <c r="B1738" s="523"/>
      <c r="C1738" s="288" t="s">
        <v>30</v>
      </c>
      <c r="D1738" s="289" t="s">
        <v>2142</v>
      </c>
      <c r="E1738" s="289" t="s">
        <v>1919</v>
      </c>
      <c r="F1738" s="218">
        <v>2312</v>
      </c>
      <c r="G1738" s="237" t="s">
        <v>1571</v>
      </c>
      <c r="H1738" s="475" t="s">
        <v>631</v>
      </c>
      <c r="I1738" s="478">
        <v>36</v>
      </c>
      <c r="J1738" s="243">
        <v>6.8760000000000003</v>
      </c>
      <c r="K1738" s="243">
        <v>1.5243199999999999</v>
      </c>
      <c r="L1738" s="243">
        <v>5.35168</v>
      </c>
    </row>
    <row r="1739" spans="1:12" ht="26.4" customHeight="1">
      <c r="A1739" s="288">
        <v>813</v>
      </c>
      <c r="B1739" s="523"/>
      <c r="C1739" s="288" t="s">
        <v>30</v>
      </c>
      <c r="D1739" s="289" t="s">
        <v>2142</v>
      </c>
      <c r="E1739" s="289" t="s">
        <v>1919</v>
      </c>
      <c r="F1739" s="218">
        <v>2313</v>
      </c>
      <c r="G1739" s="237" t="s">
        <v>1571</v>
      </c>
      <c r="H1739" s="475" t="s">
        <v>631</v>
      </c>
      <c r="I1739" s="478">
        <v>80</v>
      </c>
      <c r="J1739" s="243">
        <v>15.28</v>
      </c>
      <c r="K1739" s="243">
        <v>3.38733</v>
      </c>
      <c r="L1739" s="243">
        <v>11.892670000000001</v>
      </c>
    </row>
    <row r="1740" spans="1:12" ht="26.4" customHeight="1">
      <c r="A1740" s="288">
        <v>814</v>
      </c>
      <c r="B1740" s="523"/>
      <c r="C1740" s="288" t="s">
        <v>30</v>
      </c>
      <c r="D1740" s="289" t="s">
        <v>2142</v>
      </c>
      <c r="E1740" s="289" t="s">
        <v>1919</v>
      </c>
      <c r="F1740" s="218">
        <v>2314</v>
      </c>
      <c r="G1740" s="237" t="s">
        <v>1571</v>
      </c>
      <c r="H1740" s="475" t="s">
        <v>631</v>
      </c>
      <c r="I1740" s="478">
        <v>82</v>
      </c>
      <c r="J1740" s="243">
        <v>15.662000000000001</v>
      </c>
      <c r="K1740" s="243">
        <v>3.4721000000000002</v>
      </c>
      <c r="L1740" s="243">
        <v>12.1899</v>
      </c>
    </row>
    <row r="1741" spans="1:12" ht="26.4" customHeight="1">
      <c r="A1741" s="288">
        <v>815</v>
      </c>
      <c r="B1741" s="523"/>
      <c r="C1741" s="288" t="s">
        <v>30</v>
      </c>
      <c r="D1741" s="289" t="s">
        <v>2142</v>
      </c>
      <c r="E1741" s="289" t="s">
        <v>1919</v>
      </c>
      <c r="F1741" s="218">
        <v>2315</v>
      </c>
      <c r="G1741" s="237" t="s">
        <v>1571</v>
      </c>
      <c r="H1741" s="475" t="s">
        <v>631</v>
      </c>
      <c r="I1741" s="478">
        <v>45</v>
      </c>
      <c r="J1741" s="243">
        <v>8.5950000000000006</v>
      </c>
      <c r="K1741" s="243">
        <v>1.90544</v>
      </c>
      <c r="L1741" s="243">
        <v>6.6895600000000002</v>
      </c>
    </row>
    <row r="1742" spans="1:12" ht="26.4" customHeight="1">
      <c r="A1742" s="288">
        <v>816</v>
      </c>
      <c r="B1742" s="523"/>
      <c r="C1742" s="288" t="s">
        <v>30</v>
      </c>
      <c r="D1742" s="289" t="s">
        <v>2142</v>
      </c>
      <c r="E1742" s="289" t="s">
        <v>1919</v>
      </c>
      <c r="F1742" s="218">
        <v>2316</v>
      </c>
      <c r="G1742" s="237" t="s">
        <v>1571</v>
      </c>
      <c r="H1742" s="475" t="s">
        <v>631</v>
      </c>
      <c r="I1742" s="478">
        <v>74</v>
      </c>
      <c r="J1742" s="243">
        <v>14.134</v>
      </c>
      <c r="K1742" s="243">
        <v>3.1333099999999998</v>
      </c>
      <c r="L1742" s="243">
        <v>11.000690000000001</v>
      </c>
    </row>
    <row r="1743" spans="1:12" ht="26.4" customHeight="1">
      <c r="A1743" s="288">
        <v>817</v>
      </c>
      <c r="B1743" s="523"/>
      <c r="C1743" s="288" t="s">
        <v>30</v>
      </c>
      <c r="D1743" s="289" t="s">
        <v>2142</v>
      </c>
      <c r="E1743" s="289" t="s">
        <v>1919</v>
      </c>
      <c r="F1743" s="218">
        <v>2317</v>
      </c>
      <c r="G1743" s="237" t="s">
        <v>1571</v>
      </c>
      <c r="H1743" s="475" t="s">
        <v>631</v>
      </c>
      <c r="I1743" s="478">
        <v>28</v>
      </c>
      <c r="J1743" s="243">
        <v>5.3479999999999999</v>
      </c>
      <c r="K1743" s="243">
        <v>1.1856199999999999</v>
      </c>
      <c r="L1743" s="243">
        <v>4.1623799999999997</v>
      </c>
    </row>
    <row r="1744" spans="1:12" ht="26.4" customHeight="1">
      <c r="A1744" s="288">
        <v>818</v>
      </c>
      <c r="B1744" s="523"/>
      <c r="C1744" s="288" t="s">
        <v>30</v>
      </c>
      <c r="D1744" s="289" t="s">
        <v>2142</v>
      </c>
      <c r="E1744" s="289" t="s">
        <v>1919</v>
      </c>
      <c r="F1744" s="218">
        <v>2318</v>
      </c>
      <c r="G1744" s="237" t="s">
        <v>1571</v>
      </c>
      <c r="H1744" s="475" t="s">
        <v>631</v>
      </c>
      <c r="I1744" s="478">
        <v>136</v>
      </c>
      <c r="J1744" s="243">
        <v>25.975999999999999</v>
      </c>
      <c r="K1744" s="243">
        <v>5.7585699999999997</v>
      </c>
      <c r="L1744" s="243">
        <v>20.21743</v>
      </c>
    </row>
    <row r="1745" spans="1:12" ht="26.4" customHeight="1">
      <c r="A1745" s="288">
        <v>819</v>
      </c>
      <c r="B1745" s="523"/>
      <c r="C1745" s="288" t="s">
        <v>30</v>
      </c>
      <c r="D1745" s="289" t="s">
        <v>2142</v>
      </c>
      <c r="E1745" s="289" t="s">
        <v>1919</v>
      </c>
      <c r="F1745" s="218">
        <v>2319</v>
      </c>
      <c r="G1745" s="237" t="s">
        <v>1571</v>
      </c>
      <c r="H1745" s="475" t="s">
        <v>631</v>
      </c>
      <c r="I1745" s="478">
        <v>16</v>
      </c>
      <c r="J1745" s="243">
        <v>3.056</v>
      </c>
      <c r="K1745" s="243">
        <v>0.67747999999999997</v>
      </c>
      <c r="L1745" s="243">
        <v>2.37852</v>
      </c>
    </row>
    <row r="1746" spans="1:12" ht="26.4" customHeight="1">
      <c r="A1746" s="288">
        <v>820</v>
      </c>
      <c r="B1746" s="523"/>
      <c r="C1746" s="288" t="s">
        <v>30</v>
      </c>
      <c r="D1746" s="289" t="s">
        <v>2142</v>
      </c>
      <c r="E1746" s="289" t="s">
        <v>1919</v>
      </c>
      <c r="F1746" s="218">
        <v>2320</v>
      </c>
      <c r="G1746" s="237" t="s">
        <v>1571</v>
      </c>
      <c r="H1746" s="475" t="s">
        <v>631</v>
      </c>
      <c r="I1746" s="478">
        <v>17</v>
      </c>
      <c r="J1746" s="243">
        <v>3.2469999999999999</v>
      </c>
      <c r="K1746" s="243">
        <v>0.71982000000000002</v>
      </c>
      <c r="L1746" s="243">
        <v>2.52718</v>
      </c>
    </row>
    <row r="1747" spans="1:12" ht="26.4" customHeight="1">
      <c r="A1747" s="288">
        <v>821</v>
      </c>
      <c r="B1747" s="523"/>
      <c r="C1747" s="288" t="s">
        <v>30</v>
      </c>
      <c r="D1747" s="289" t="s">
        <v>2142</v>
      </c>
      <c r="E1747" s="289" t="s">
        <v>1919</v>
      </c>
      <c r="F1747" s="218">
        <v>2321</v>
      </c>
      <c r="G1747" s="237" t="s">
        <v>1571</v>
      </c>
      <c r="H1747" s="475" t="s">
        <v>631</v>
      </c>
      <c r="I1747" s="478">
        <v>60</v>
      </c>
      <c r="J1747" s="243">
        <v>11.46</v>
      </c>
      <c r="K1747" s="243">
        <v>2.5405000000000002</v>
      </c>
      <c r="L1747" s="243">
        <v>8.9194999999999993</v>
      </c>
    </row>
    <row r="1748" spans="1:12" ht="26.4" customHeight="1">
      <c r="A1748" s="288">
        <v>822</v>
      </c>
      <c r="B1748" s="523"/>
      <c r="C1748" s="288" t="s">
        <v>30</v>
      </c>
      <c r="D1748" s="289" t="s">
        <v>2142</v>
      </c>
      <c r="E1748" s="289" t="s">
        <v>1919</v>
      </c>
      <c r="F1748" s="218">
        <v>2322</v>
      </c>
      <c r="G1748" s="237" t="s">
        <v>1571</v>
      </c>
      <c r="H1748" s="475" t="s">
        <v>631</v>
      </c>
      <c r="I1748" s="478">
        <v>86</v>
      </c>
      <c r="J1748" s="243">
        <v>16.425999999999998</v>
      </c>
      <c r="K1748" s="243">
        <v>3.6414499999999999</v>
      </c>
      <c r="L1748" s="243">
        <v>12.784549999999999</v>
      </c>
    </row>
    <row r="1749" spans="1:12" ht="26.4" customHeight="1">
      <c r="A1749" s="288">
        <v>823</v>
      </c>
      <c r="B1749" s="523"/>
      <c r="C1749" s="288" t="s">
        <v>30</v>
      </c>
      <c r="D1749" s="289" t="s">
        <v>2142</v>
      </c>
      <c r="E1749" s="289" t="s">
        <v>1919</v>
      </c>
      <c r="F1749" s="218">
        <v>2323</v>
      </c>
      <c r="G1749" s="237" t="s">
        <v>1571</v>
      </c>
      <c r="H1749" s="475" t="s">
        <v>631</v>
      </c>
      <c r="I1749" s="478">
        <v>220.6</v>
      </c>
      <c r="J1749" s="243">
        <v>42.134599999999999</v>
      </c>
      <c r="K1749" s="243">
        <v>9.3406699999999994</v>
      </c>
      <c r="L1749" s="243">
        <v>32.793930000000003</v>
      </c>
    </row>
    <row r="1750" spans="1:12" ht="26.4" customHeight="1">
      <c r="A1750" s="288">
        <v>824</v>
      </c>
      <c r="B1750" s="523"/>
      <c r="C1750" s="288" t="s">
        <v>30</v>
      </c>
      <c r="D1750" s="289" t="s">
        <v>2142</v>
      </c>
      <c r="E1750" s="289" t="s">
        <v>1919</v>
      </c>
      <c r="F1750" s="218">
        <v>2324</v>
      </c>
      <c r="G1750" s="237" t="s">
        <v>1571</v>
      </c>
      <c r="H1750" s="475" t="s">
        <v>631</v>
      </c>
      <c r="I1750" s="478">
        <v>144</v>
      </c>
      <c r="J1750" s="243">
        <v>27.504000000000001</v>
      </c>
      <c r="K1750" s="243">
        <v>6.09727</v>
      </c>
      <c r="L1750" s="243">
        <v>21.40673</v>
      </c>
    </row>
    <row r="1751" spans="1:12" ht="26.4" customHeight="1">
      <c r="A1751" s="288">
        <v>825</v>
      </c>
      <c r="B1751" s="523"/>
      <c r="C1751" s="288" t="s">
        <v>30</v>
      </c>
      <c r="D1751" s="289" t="s">
        <v>2142</v>
      </c>
      <c r="E1751" s="289" t="s">
        <v>1919</v>
      </c>
      <c r="F1751" s="218">
        <v>2325</v>
      </c>
      <c r="G1751" s="237" t="s">
        <v>1571</v>
      </c>
      <c r="H1751" s="475" t="s">
        <v>631</v>
      </c>
      <c r="I1751" s="478">
        <v>18</v>
      </c>
      <c r="J1751" s="243">
        <v>3.4380000000000002</v>
      </c>
      <c r="K1751" s="243">
        <v>0.76215999999999995</v>
      </c>
      <c r="L1751" s="243">
        <v>2.67584</v>
      </c>
    </row>
    <row r="1752" spans="1:12" ht="26.4" customHeight="1">
      <c r="A1752" s="288">
        <v>826</v>
      </c>
      <c r="B1752" s="523"/>
      <c r="C1752" s="288" t="s">
        <v>30</v>
      </c>
      <c r="D1752" s="289" t="s">
        <v>2142</v>
      </c>
      <c r="E1752" s="289" t="s">
        <v>1919</v>
      </c>
      <c r="F1752" s="218">
        <v>2326</v>
      </c>
      <c r="G1752" s="237" t="s">
        <v>1571</v>
      </c>
      <c r="H1752" s="475" t="s">
        <v>631</v>
      </c>
      <c r="I1752" s="478">
        <v>136</v>
      </c>
      <c r="J1752" s="243">
        <v>25.975999999999999</v>
      </c>
      <c r="K1752" s="243">
        <v>5.7585699999999997</v>
      </c>
      <c r="L1752" s="243">
        <v>20.21743</v>
      </c>
    </row>
    <row r="1753" spans="1:12" ht="26.4" customHeight="1">
      <c r="A1753" s="288">
        <v>827</v>
      </c>
      <c r="B1753" s="523"/>
      <c r="C1753" s="288" t="s">
        <v>30</v>
      </c>
      <c r="D1753" s="289" t="s">
        <v>2142</v>
      </c>
      <c r="E1753" s="289" t="s">
        <v>1919</v>
      </c>
      <c r="F1753" s="218">
        <v>2327</v>
      </c>
      <c r="G1753" s="237" t="s">
        <v>1571</v>
      </c>
      <c r="H1753" s="475" t="s">
        <v>631</v>
      </c>
      <c r="I1753" s="478">
        <v>34</v>
      </c>
      <c r="J1753" s="243">
        <v>6.4939999999999998</v>
      </c>
      <c r="K1753" s="243">
        <v>1.43964</v>
      </c>
      <c r="L1753" s="243">
        <v>5.05436</v>
      </c>
    </row>
    <row r="1754" spans="1:12" ht="26.4" customHeight="1">
      <c r="A1754" s="288">
        <v>828</v>
      </c>
      <c r="B1754" s="523"/>
      <c r="C1754" s="288" t="s">
        <v>30</v>
      </c>
      <c r="D1754" s="289" t="s">
        <v>2142</v>
      </c>
      <c r="E1754" s="289" t="s">
        <v>1919</v>
      </c>
      <c r="F1754" s="218">
        <v>2328</v>
      </c>
      <c r="G1754" s="237" t="s">
        <v>1571</v>
      </c>
      <c r="H1754" s="475" t="s">
        <v>631</v>
      </c>
      <c r="I1754" s="478">
        <v>64</v>
      </c>
      <c r="J1754" s="243">
        <v>12.224</v>
      </c>
      <c r="K1754" s="243">
        <v>2.70994</v>
      </c>
      <c r="L1754" s="243">
        <v>9.5140600000000006</v>
      </c>
    </row>
    <row r="1755" spans="1:12" ht="26.4" customHeight="1">
      <c r="A1755" s="288">
        <v>829</v>
      </c>
      <c r="B1755" s="523"/>
      <c r="C1755" s="288" t="s">
        <v>30</v>
      </c>
      <c r="D1755" s="289" t="s">
        <v>2142</v>
      </c>
      <c r="E1755" s="289" t="s">
        <v>1919</v>
      </c>
      <c r="F1755" s="218">
        <v>2329</v>
      </c>
      <c r="G1755" s="237" t="s">
        <v>1571</v>
      </c>
      <c r="H1755" s="475" t="s">
        <v>631</v>
      </c>
      <c r="I1755" s="478">
        <v>250</v>
      </c>
      <c r="J1755" s="243">
        <v>47.75</v>
      </c>
      <c r="K1755" s="243">
        <v>10.58555</v>
      </c>
      <c r="L1755" s="243">
        <v>37.164450000000002</v>
      </c>
    </row>
    <row r="1756" spans="1:12" ht="26.4" customHeight="1">
      <c r="A1756" s="288">
        <v>830</v>
      </c>
      <c r="B1756" s="523"/>
      <c r="C1756" s="288" t="s">
        <v>30</v>
      </c>
      <c r="D1756" s="289" t="s">
        <v>2142</v>
      </c>
      <c r="E1756" s="289" t="s">
        <v>1919</v>
      </c>
      <c r="F1756" s="218">
        <v>2330</v>
      </c>
      <c r="G1756" s="237" t="s">
        <v>1571</v>
      </c>
      <c r="H1756" s="475" t="s">
        <v>631</v>
      </c>
      <c r="I1756" s="478">
        <v>50</v>
      </c>
      <c r="J1756" s="243">
        <v>9.5500000000000007</v>
      </c>
      <c r="K1756" s="243">
        <v>2.11713</v>
      </c>
      <c r="L1756" s="243">
        <v>7.4328700000000003</v>
      </c>
    </row>
    <row r="1757" spans="1:12" ht="26.4" customHeight="1">
      <c r="A1757" s="288">
        <v>831</v>
      </c>
      <c r="B1757" s="523"/>
      <c r="C1757" s="288" t="s">
        <v>30</v>
      </c>
      <c r="D1757" s="289" t="s">
        <v>2142</v>
      </c>
      <c r="E1757" s="289" t="s">
        <v>1919</v>
      </c>
      <c r="F1757" s="218">
        <v>2331</v>
      </c>
      <c r="G1757" s="237" t="s">
        <v>1571</v>
      </c>
      <c r="H1757" s="475" t="s">
        <v>631</v>
      </c>
      <c r="I1757" s="478">
        <v>61</v>
      </c>
      <c r="J1757" s="243">
        <v>11.651</v>
      </c>
      <c r="K1757" s="243">
        <v>2.58284</v>
      </c>
      <c r="L1757" s="243">
        <v>9.0681600000000007</v>
      </c>
    </row>
    <row r="1758" spans="1:12" ht="26.4" customHeight="1">
      <c r="A1758" s="288">
        <v>832</v>
      </c>
      <c r="B1758" s="523"/>
      <c r="C1758" s="288" t="s">
        <v>30</v>
      </c>
      <c r="D1758" s="289" t="s">
        <v>2142</v>
      </c>
      <c r="E1758" s="289" t="s">
        <v>1919</v>
      </c>
      <c r="F1758" s="218">
        <v>2332</v>
      </c>
      <c r="G1758" s="237" t="s">
        <v>1571</v>
      </c>
      <c r="H1758" s="475" t="s">
        <v>631</v>
      </c>
      <c r="I1758" s="478">
        <v>40</v>
      </c>
      <c r="J1758" s="243">
        <v>7.64</v>
      </c>
      <c r="K1758" s="243">
        <v>1.69367</v>
      </c>
      <c r="L1758" s="243">
        <v>5.9463299999999997</v>
      </c>
    </row>
    <row r="1759" spans="1:12" ht="26.4" customHeight="1">
      <c r="A1759" s="288">
        <v>833</v>
      </c>
      <c r="B1759" s="523"/>
      <c r="C1759" s="288" t="s">
        <v>30</v>
      </c>
      <c r="D1759" s="289" t="s">
        <v>2142</v>
      </c>
      <c r="E1759" s="289" t="s">
        <v>1919</v>
      </c>
      <c r="F1759" s="218">
        <v>2333</v>
      </c>
      <c r="G1759" s="237" t="s">
        <v>1571</v>
      </c>
      <c r="H1759" s="475" t="s">
        <v>631</v>
      </c>
      <c r="I1759" s="478">
        <v>40</v>
      </c>
      <c r="J1759" s="243">
        <v>7.64</v>
      </c>
      <c r="K1759" s="243">
        <v>1.69367</v>
      </c>
      <c r="L1759" s="243">
        <v>5.9463299999999997</v>
      </c>
    </row>
    <row r="1760" spans="1:12" ht="26.4" customHeight="1">
      <c r="A1760" s="288">
        <v>834</v>
      </c>
      <c r="B1760" s="523"/>
      <c r="C1760" s="288" t="s">
        <v>30</v>
      </c>
      <c r="D1760" s="289" t="s">
        <v>2142</v>
      </c>
      <c r="E1760" s="289" t="s">
        <v>1919</v>
      </c>
      <c r="F1760" s="218">
        <v>2334</v>
      </c>
      <c r="G1760" s="237" t="s">
        <v>1571</v>
      </c>
      <c r="H1760" s="475" t="s">
        <v>631</v>
      </c>
      <c r="I1760" s="478">
        <v>74</v>
      </c>
      <c r="J1760" s="243">
        <v>14.134</v>
      </c>
      <c r="K1760" s="243">
        <v>3.1333099999999998</v>
      </c>
      <c r="L1760" s="243">
        <v>11.000690000000001</v>
      </c>
    </row>
    <row r="1761" spans="1:12" ht="26.4" customHeight="1">
      <c r="A1761" s="288">
        <v>835</v>
      </c>
      <c r="B1761" s="523"/>
      <c r="C1761" s="288" t="s">
        <v>30</v>
      </c>
      <c r="D1761" s="289" t="s">
        <v>2142</v>
      </c>
      <c r="E1761" s="289" t="s">
        <v>1919</v>
      </c>
      <c r="F1761" s="218">
        <v>2335</v>
      </c>
      <c r="G1761" s="237" t="s">
        <v>1571</v>
      </c>
      <c r="H1761" s="475" t="s">
        <v>631</v>
      </c>
      <c r="I1761" s="478">
        <v>70</v>
      </c>
      <c r="J1761" s="243">
        <v>13.37</v>
      </c>
      <c r="K1761" s="243">
        <v>2.9639600000000002</v>
      </c>
      <c r="L1761" s="243">
        <v>10.406040000000001</v>
      </c>
    </row>
    <row r="1762" spans="1:12" ht="26.4" customHeight="1">
      <c r="A1762" s="288">
        <v>836</v>
      </c>
      <c r="B1762" s="523"/>
      <c r="C1762" s="288" t="s">
        <v>30</v>
      </c>
      <c r="D1762" s="289" t="s">
        <v>2142</v>
      </c>
      <c r="E1762" s="289" t="s">
        <v>1919</v>
      </c>
      <c r="F1762" s="218">
        <v>2336</v>
      </c>
      <c r="G1762" s="237" t="s">
        <v>1571</v>
      </c>
      <c r="H1762" s="475" t="s">
        <v>631</v>
      </c>
      <c r="I1762" s="478">
        <v>48</v>
      </c>
      <c r="J1762" s="243">
        <v>9.1679999999999993</v>
      </c>
      <c r="K1762" s="243">
        <v>2.0324499999999999</v>
      </c>
      <c r="L1762" s="243">
        <v>7.1355500000000003</v>
      </c>
    </row>
    <row r="1763" spans="1:12" ht="26.4" customHeight="1">
      <c r="A1763" s="288">
        <v>837</v>
      </c>
      <c r="B1763" s="523"/>
      <c r="C1763" s="288" t="s">
        <v>30</v>
      </c>
      <c r="D1763" s="289" t="s">
        <v>2142</v>
      </c>
      <c r="E1763" s="289" t="s">
        <v>1919</v>
      </c>
      <c r="F1763" s="218">
        <v>2337</v>
      </c>
      <c r="G1763" s="237" t="s">
        <v>1537</v>
      </c>
      <c r="H1763" s="475" t="s">
        <v>631</v>
      </c>
      <c r="I1763" s="478">
        <v>36</v>
      </c>
      <c r="J1763" s="243">
        <v>205.81272000000001</v>
      </c>
      <c r="K1763" s="243">
        <v>31.557919999999999</v>
      </c>
      <c r="L1763" s="243">
        <v>174.25479999999999</v>
      </c>
    </row>
    <row r="1764" spans="1:12" ht="26.4" customHeight="1">
      <c r="A1764" s="288">
        <v>838</v>
      </c>
      <c r="B1764" s="523"/>
      <c r="C1764" s="288" t="s">
        <v>30</v>
      </c>
      <c r="D1764" s="289" t="s">
        <v>2142</v>
      </c>
      <c r="E1764" s="289" t="s">
        <v>1919</v>
      </c>
      <c r="F1764" s="218">
        <v>2338</v>
      </c>
      <c r="G1764" s="237" t="s">
        <v>1537</v>
      </c>
      <c r="H1764" s="475" t="s">
        <v>631</v>
      </c>
      <c r="I1764" s="478">
        <v>200</v>
      </c>
      <c r="J1764" s="243">
        <v>1143.404</v>
      </c>
      <c r="K1764" s="243">
        <v>175.32193000000001</v>
      </c>
      <c r="L1764" s="243">
        <v>968.08207000000004</v>
      </c>
    </row>
    <row r="1765" spans="1:12" ht="26.4" customHeight="1">
      <c r="A1765" s="288">
        <v>839</v>
      </c>
      <c r="B1765" s="523"/>
      <c r="C1765" s="288" t="s">
        <v>30</v>
      </c>
      <c r="D1765" s="289" t="s">
        <v>2142</v>
      </c>
      <c r="E1765" s="289" t="s">
        <v>1919</v>
      </c>
      <c r="F1765" s="218">
        <v>41265</v>
      </c>
      <c r="G1765" s="237" t="s">
        <v>1537</v>
      </c>
      <c r="H1765" s="475" t="s">
        <v>631</v>
      </c>
      <c r="I1765" s="478">
        <v>306</v>
      </c>
      <c r="J1765" s="243">
        <v>1749.41228</v>
      </c>
      <c r="K1765" s="243">
        <v>268.24311</v>
      </c>
      <c r="L1765" s="243">
        <v>1481.1691699999999</v>
      </c>
    </row>
    <row r="1766" spans="1:12" ht="26.4" customHeight="1">
      <c r="A1766" s="288">
        <v>840</v>
      </c>
      <c r="B1766" s="523"/>
      <c r="C1766" s="288" t="s">
        <v>30</v>
      </c>
      <c r="D1766" s="289" t="s">
        <v>2143</v>
      </c>
      <c r="E1766" s="289" t="s">
        <v>1215</v>
      </c>
      <c r="F1766" s="218">
        <v>63968</v>
      </c>
      <c r="G1766" s="237" t="s">
        <v>1571</v>
      </c>
      <c r="H1766" s="475" t="s">
        <v>1138</v>
      </c>
      <c r="I1766" s="478">
        <v>1</v>
      </c>
      <c r="J1766" s="243">
        <v>172</v>
      </c>
      <c r="K1766" s="243">
        <v>25.617699999999999</v>
      </c>
      <c r="L1766" s="243">
        <v>146.38229999999999</v>
      </c>
    </row>
    <row r="1767" spans="1:12" ht="26.4" customHeight="1">
      <c r="A1767" s="288">
        <v>841</v>
      </c>
      <c r="B1767" s="523"/>
      <c r="C1767" s="288" t="s">
        <v>30</v>
      </c>
      <c r="D1767" s="289" t="s">
        <v>2143</v>
      </c>
      <c r="E1767" s="289" t="s">
        <v>1919</v>
      </c>
      <c r="F1767" s="218">
        <v>63969</v>
      </c>
      <c r="G1767" s="237" t="s">
        <v>1571</v>
      </c>
      <c r="H1767" s="475" t="s">
        <v>631</v>
      </c>
      <c r="I1767" s="478">
        <v>108</v>
      </c>
      <c r="J1767" s="243">
        <v>20.632000000000001</v>
      </c>
      <c r="K1767" s="243">
        <v>4.5738300000000001</v>
      </c>
      <c r="L1767" s="243">
        <v>16.05817</v>
      </c>
    </row>
    <row r="1768" spans="1:12" ht="26.4" customHeight="1">
      <c r="A1768" s="288">
        <v>842</v>
      </c>
      <c r="B1768" s="523"/>
      <c r="C1768" s="288" t="s">
        <v>30</v>
      </c>
      <c r="D1768" s="289" t="s">
        <v>2143</v>
      </c>
      <c r="E1768" s="289" t="s">
        <v>1270</v>
      </c>
      <c r="F1768" s="218">
        <v>63971</v>
      </c>
      <c r="G1768" s="237" t="s">
        <v>1571</v>
      </c>
      <c r="H1768" s="475" t="s">
        <v>1138</v>
      </c>
      <c r="I1768" s="478">
        <v>1</v>
      </c>
      <c r="J1768" s="243">
        <v>11.5617</v>
      </c>
      <c r="K1768" s="243">
        <v>5.4595500000000001</v>
      </c>
      <c r="L1768" s="243">
        <v>6.10215</v>
      </c>
    </row>
    <row r="1769" spans="1:12" ht="26.4" customHeight="1">
      <c r="A1769" s="288">
        <v>843</v>
      </c>
      <c r="B1769" s="523"/>
      <c r="C1769" s="288" t="s">
        <v>30</v>
      </c>
      <c r="D1769" s="289" t="s">
        <v>2031</v>
      </c>
      <c r="E1769" s="289" t="s">
        <v>2255</v>
      </c>
      <c r="F1769" s="218">
        <v>29097</v>
      </c>
      <c r="G1769" s="237" t="s">
        <v>1541</v>
      </c>
      <c r="H1769" s="475" t="s">
        <v>1149</v>
      </c>
      <c r="I1769" s="246">
        <v>347</v>
      </c>
      <c r="J1769" s="243">
        <v>428.97433000000001</v>
      </c>
      <c r="K1769" s="243">
        <v>122.75539000000001</v>
      </c>
      <c r="L1769" s="243">
        <v>306.21893999999998</v>
      </c>
    </row>
    <row r="1770" spans="1:12" ht="26.4" customHeight="1">
      <c r="A1770" s="288">
        <v>844</v>
      </c>
      <c r="B1770" s="523"/>
      <c r="C1770" s="288" t="s">
        <v>30</v>
      </c>
      <c r="D1770" s="289" t="s">
        <v>2031</v>
      </c>
      <c r="E1770" s="204" t="s">
        <v>2337</v>
      </c>
      <c r="F1770" s="218">
        <v>26624</v>
      </c>
      <c r="G1770" s="237" t="s">
        <v>1536</v>
      </c>
      <c r="H1770" s="475" t="s">
        <v>1138</v>
      </c>
      <c r="I1770" s="478">
        <v>1</v>
      </c>
      <c r="J1770" s="243">
        <v>17.283300000000001</v>
      </c>
      <c r="K1770" s="243">
        <v>14.883100000000001</v>
      </c>
      <c r="L1770" s="243">
        <v>2.4001999999999999</v>
      </c>
    </row>
    <row r="1771" spans="1:12" ht="26.4" customHeight="1">
      <c r="A1771" s="288">
        <v>845</v>
      </c>
      <c r="B1771" s="523"/>
      <c r="C1771" s="288" t="s">
        <v>30</v>
      </c>
      <c r="D1771" s="289" t="s">
        <v>2031</v>
      </c>
      <c r="E1771" s="204" t="s">
        <v>632</v>
      </c>
      <c r="F1771" s="218">
        <v>29102</v>
      </c>
      <c r="G1771" s="237" t="s">
        <v>1541</v>
      </c>
      <c r="H1771" s="475" t="s">
        <v>1138</v>
      </c>
      <c r="I1771" s="478">
        <v>1</v>
      </c>
      <c r="J1771" s="243">
        <v>8</v>
      </c>
      <c r="K1771" s="243">
        <v>3.6775000000000002</v>
      </c>
      <c r="L1771" s="243">
        <v>4.3224999999999998</v>
      </c>
    </row>
    <row r="1772" spans="1:12" ht="26.4" customHeight="1">
      <c r="A1772" s="288">
        <v>846</v>
      </c>
      <c r="B1772" s="523"/>
      <c r="C1772" s="288" t="s">
        <v>30</v>
      </c>
      <c r="D1772" s="289" t="s">
        <v>2031</v>
      </c>
      <c r="E1772" s="204" t="s">
        <v>1995</v>
      </c>
      <c r="F1772" s="218">
        <v>29147</v>
      </c>
      <c r="G1772" s="237" t="s">
        <v>1541</v>
      </c>
      <c r="H1772" s="475" t="s">
        <v>1138</v>
      </c>
      <c r="I1772" s="478">
        <v>1</v>
      </c>
      <c r="J1772" s="243">
        <v>65.915000000000006</v>
      </c>
      <c r="K1772" s="243">
        <v>30.53651</v>
      </c>
      <c r="L1772" s="243">
        <v>35.378489999999999</v>
      </c>
    </row>
    <row r="1773" spans="1:12" ht="26.4" customHeight="1">
      <c r="A1773" s="288">
        <v>847</v>
      </c>
      <c r="B1773" s="523"/>
      <c r="C1773" s="288" t="s">
        <v>30</v>
      </c>
      <c r="D1773" s="289" t="s">
        <v>1506</v>
      </c>
      <c r="E1773" s="204" t="s">
        <v>2256</v>
      </c>
      <c r="F1773" s="218">
        <v>277000</v>
      </c>
      <c r="G1773" s="237" t="s">
        <v>1581</v>
      </c>
      <c r="H1773" s="475" t="s">
        <v>1149</v>
      </c>
      <c r="I1773" s="207">
        <v>552.5</v>
      </c>
      <c r="J1773" s="243">
        <v>580.56926999999996</v>
      </c>
      <c r="K1773" s="243">
        <v>239.25613999999999</v>
      </c>
      <c r="L1773" s="243">
        <v>341.31313</v>
      </c>
    </row>
    <row r="1774" spans="1:12" ht="26.4" customHeight="1">
      <c r="A1774" s="288">
        <v>848</v>
      </c>
      <c r="B1774" s="523"/>
      <c r="C1774" s="288" t="s">
        <v>30</v>
      </c>
      <c r="D1774" s="289" t="s">
        <v>1506</v>
      </c>
      <c r="E1774" s="204" t="s">
        <v>630</v>
      </c>
      <c r="F1774" s="218">
        <v>277001</v>
      </c>
      <c r="G1774" s="237" t="s">
        <v>1581</v>
      </c>
      <c r="H1774" s="475" t="s">
        <v>1149</v>
      </c>
      <c r="I1774" s="207">
        <v>172.7</v>
      </c>
      <c r="J1774" s="243">
        <v>91.930999999999997</v>
      </c>
      <c r="K1774" s="243">
        <v>37.926310000000001</v>
      </c>
      <c r="L1774" s="243">
        <v>54.004689999999997</v>
      </c>
    </row>
    <row r="1775" spans="1:12" ht="26.4" customHeight="1">
      <c r="A1775" s="288">
        <v>849</v>
      </c>
      <c r="B1775" s="523"/>
      <c r="C1775" s="288" t="s">
        <v>30</v>
      </c>
      <c r="D1775" s="289" t="s">
        <v>1507</v>
      </c>
      <c r="E1775" s="204" t="s">
        <v>1271</v>
      </c>
      <c r="F1775" s="218">
        <v>277002</v>
      </c>
      <c r="G1775" s="237" t="s">
        <v>1581</v>
      </c>
      <c r="H1775" s="475" t="s">
        <v>1149</v>
      </c>
      <c r="I1775" s="207">
        <v>29.9</v>
      </c>
      <c r="J1775" s="243">
        <v>2.1</v>
      </c>
      <c r="K1775" s="243">
        <v>0.80057999999999996</v>
      </c>
      <c r="L1775" s="243">
        <v>1.29942</v>
      </c>
    </row>
    <row r="1776" spans="1:12" ht="26.4" customHeight="1">
      <c r="A1776" s="288">
        <v>850</v>
      </c>
      <c r="B1776" s="523"/>
      <c r="C1776" s="288" t="s">
        <v>30</v>
      </c>
      <c r="D1776" s="289" t="s">
        <v>1508</v>
      </c>
      <c r="E1776" s="204" t="s">
        <v>1990</v>
      </c>
      <c r="F1776" s="218">
        <v>277004</v>
      </c>
      <c r="G1776" s="237" t="s">
        <v>1581</v>
      </c>
      <c r="H1776" s="475" t="s">
        <v>1138</v>
      </c>
      <c r="I1776" s="478">
        <v>1</v>
      </c>
      <c r="J1776" s="243">
        <v>9.7225000000000001</v>
      </c>
      <c r="K1776" s="243">
        <v>4.0112899999999998</v>
      </c>
      <c r="L1776" s="243">
        <v>5.7112100000000003</v>
      </c>
    </row>
    <row r="1777" spans="1:12" ht="26.4" customHeight="1">
      <c r="A1777" s="288">
        <v>851</v>
      </c>
      <c r="B1777" s="523"/>
      <c r="C1777" s="288" t="s">
        <v>30</v>
      </c>
      <c r="D1777" s="289" t="s">
        <v>1507</v>
      </c>
      <c r="E1777" s="204" t="s">
        <v>1990</v>
      </c>
      <c r="F1777" s="218">
        <v>277005</v>
      </c>
      <c r="G1777" s="237" t="s">
        <v>1581</v>
      </c>
      <c r="H1777" s="475" t="s">
        <v>1138</v>
      </c>
      <c r="I1777" s="478">
        <v>1</v>
      </c>
      <c r="J1777" s="243">
        <v>9.7225000000000001</v>
      </c>
      <c r="K1777" s="243">
        <v>4.0112899999999998</v>
      </c>
      <c r="L1777" s="243">
        <v>5.7112100000000003</v>
      </c>
    </row>
    <row r="1778" spans="1:12" ht="26.4" customHeight="1">
      <c r="A1778" s="288">
        <v>852</v>
      </c>
      <c r="B1778" s="523"/>
      <c r="C1778" s="288" t="s">
        <v>30</v>
      </c>
      <c r="D1778" s="289" t="s">
        <v>1507</v>
      </c>
      <c r="E1778" s="204" t="s">
        <v>1991</v>
      </c>
      <c r="F1778" s="218">
        <v>277006</v>
      </c>
      <c r="G1778" s="237" t="s">
        <v>1581</v>
      </c>
      <c r="H1778" s="475" t="s">
        <v>1138</v>
      </c>
      <c r="I1778" s="478">
        <v>1</v>
      </c>
      <c r="J1778" s="243">
        <v>27.364999999999998</v>
      </c>
      <c r="K1778" s="243">
        <v>11.28961</v>
      </c>
      <c r="L1778" s="243">
        <v>16.075389999999999</v>
      </c>
    </row>
    <row r="1779" spans="1:12" ht="26.4" customHeight="1">
      <c r="A1779" s="288">
        <v>853</v>
      </c>
      <c r="B1779" s="523"/>
      <c r="C1779" s="288" t="s">
        <v>1794</v>
      </c>
      <c r="D1779" s="289" t="s">
        <v>1509</v>
      </c>
      <c r="E1779" s="204" t="s">
        <v>2257</v>
      </c>
      <c r="F1779" s="218">
        <v>277010</v>
      </c>
      <c r="G1779" s="237" t="s">
        <v>1581</v>
      </c>
      <c r="H1779" s="475" t="s">
        <v>1149</v>
      </c>
      <c r="I1779" s="207">
        <v>316.5</v>
      </c>
      <c r="J1779" s="243">
        <v>137.46612999999999</v>
      </c>
      <c r="K1779" s="243">
        <v>54.527889999999999</v>
      </c>
      <c r="L1779" s="243">
        <v>82.938239999999993</v>
      </c>
    </row>
    <row r="1780" spans="1:12" ht="26.4" customHeight="1">
      <c r="A1780" s="288">
        <v>854</v>
      </c>
      <c r="B1780" s="523"/>
      <c r="C1780" s="288" t="s">
        <v>1794</v>
      </c>
      <c r="D1780" s="289" t="s">
        <v>1509</v>
      </c>
      <c r="E1780" s="204" t="s">
        <v>630</v>
      </c>
      <c r="F1780" s="218">
        <v>277012</v>
      </c>
      <c r="G1780" s="237" t="s">
        <v>1581</v>
      </c>
      <c r="H1780" s="475" t="s">
        <v>1149</v>
      </c>
      <c r="I1780" s="207">
        <v>157.19999999999999</v>
      </c>
      <c r="J1780" s="243">
        <v>97.045000000000002</v>
      </c>
      <c r="K1780" s="243">
        <v>40.036020000000001</v>
      </c>
      <c r="L1780" s="243">
        <v>57.008980000000001</v>
      </c>
    </row>
    <row r="1781" spans="1:12" ht="26.4" customHeight="1">
      <c r="A1781" s="288">
        <v>855</v>
      </c>
      <c r="B1781" s="523"/>
      <c r="C1781" s="288" t="s">
        <v>1794</v>
      </c>
      <c r="D1781" s="289" t="s">
        <v>1992</v>
      </c>
      <c r="E1781" s="204" t="s">
        <v>1141</v>
      </c>
      <c r="F1781" s="218">
        <v>277013</v>
      </c>
      <c r="G1781" s="237" t="s">
        <v>1581</v>
      </c>
      <c r="H1781" s="475" t="s">
        <v>1138</v>
      </c>
      <c r="I1781" s="478">
        <v>1</v>
      </c>
      <c r="J1781" s="243">
        <v>5.3456000000000001</v>
      </c>
      <c r="K1781" s="243">
        <v>2.2051400000000001</v>
      </c>
      <c r="L1781" s="243">
        <v>3.14046</v>
      </c>
    </row>
    <row r="1782" spans="1:12" ht="26.4" customHeight="1">
      <c r="A1782" s="288">
        <v>856</v>
      </c>
      <c r="B1782" s="523"/>
      <c r="C1782" s="288" t="s">
        <v>1794</v>
      </c>
      <c r="D1782" s="289" t="s">
        <v>1992</v>
      </c>
      <c r="E1782" s="204" t="s">
        <v>632</v>
      </c>
      <c r="F1782" s="218">
        <v>277018</v>
      </c>
      <c r="G1782" s="237" t="s">
        <v>1581</v>
      </c>
      <c r="H1782" s="475" t="s">
        <v>1138</v>
      </c>
      <c r="I1782" s="478">
        <v>1</v>
      </c>
      <c r="J1782" s="243">
        <v>9.9469999999999992</v>
      </c>
      <c r="K1782" s="243">
        <v>4.10365</v>
      </c>
      <c r="L1782" s="243">
        <v>5.84335</v>
      </c>
    </row>
    <row r="1783" spans="1:12" ht="26.4" customHeight="1">
      <c r="A1783" s="288">
        <v>857</v>
      </c>
      <c r="B1783" s="523"/>
      <c r="C1783" s="288" t="s">
        <v>1794</v>
      </c>
      <c r="D1783" s="289" t="s">
        <v>1992</v>
      </c>
      <c r="E1783" s="204" t="s">
        <v>629</v>
      </c>
      <c r="F1783" s="218">
        <v>277011</v>
      </c>
      <c r="G1783" s="237" t="s">
        <v>1581</v>
      </c>
      <c r="H1783" s="475" t="s">
        <v>1138</v>
      </c>
      <c r="I1783" s="478">
        <v>1</v>
      </c>
      <c r="J1783" s="243">
        <v>9.8179999999999996</v>
      </c>
      <c r="K1783" s="243">
        <v>4.0911499999999998</v>
      </c>
      <c r="L1783" s="243">
        <v>5.7268499999999998</v>
      </c>
    </row>
    <row r="1784" spans="1:12" ht="26.4" customHeight="1">
      <c r="A1784" s="288">
        <v>858</v>
      </c>
      <c r="B1784" s="523"/>
      <c r="C1784" s="288" t="s">
        <v>1794</v>
      </c>
      <c r="D1784" s="289" t="s">
        <v>1992</v>
      </c>
      <c r="E1784" s="204" t="s">
        <v>628</v>
      </c>
      <c r="F1784" s="218">
        <v>277014</v>
      </c>
      <c r="G1784" s="237" t="s">
        <v>1581</v>
      </c>
      <c r="H1784" s="475" t="s">
        <v>1138</v>
      </c>
      <c r="I1784" s="478">
        <v>1</v>
      </c>
      <c r="J1784" s="243">
        <v>9.968</v>
      </c>
      <c r="K1784" s="243">
        <v>4.1125100000000003</v>
      </c>
      <c r="L1784" s="243">
        <v>5.8554899999999996</v>
      </c>
    </row>
    <row r="1785" spans="1:12" ht="26.4" customHeight="1">
      <c r="A1785" s="288">
        <v>859</v>
      </c>
      <c r="B1785" s="523"/>
      <c r="C1785" s="288" t="s">
        <v>1794</v>
      </c>
      <c r="D1785" s="289" t="s">
        <v>1992</v>
      </c>
      <c r="E1785" s="204" t="s">
        <v>628</v>
      </c>
      <c r="F1785" s="218">
        <v>277015</v>
      </c>
      <c r="G1785" s="237" t="s">
        <v>1581</v>
      </c>
      <c r="H1785" s="475" t="s">
        <v>1138</v>
      </c>
      <c r="I1785" s="478">
        <v>1</v>
      </c>
      <c r="J1785" s="243">
        <v>9.968</v>
      </c>
      <c r="K1785" s="243">
        <v>4.1125100000000003</v>
      </c>
      <c r="L1785" s="243">
        <v>5.8554899999999996</v>
      </c>
    </row>
    <row r="1786" spans="1:12" ht="26.4" customHeight="1">
      <c r="A1786" s="288">
        <v>860</v>
      </c>
      <c r="B1786" s="523"/>
      <c r="C1786" s="288" t="s">
        <v>1794</v>
      </c>
      <c r="D1786" s="289" t="s">
        <v>1992</v>
      </c>
      <c r="E1786" s="204" t="s">
        <v>1993</v>
      </c>
      <c r="F1786" s="218">
        <v>277017</v>
      </c>
      <c r="G1786" s="237" t="s">
        <v>1581</v>
      </c>
      <c r="H1786" s="475" t="s">
        <v>1138</v>
      </c>
      <c r="I1786" s="478">
        <v>1</v>
      </c>
      <c r="J1786" s="243">
        <v>50.301000000000002</v>
      </c>
      <c r="K1786" s="243">
        <v>20.75131</v>
      </c>
      <c r="L1786" s="243">
        <v>29.549689999999998</v>
      </c>
    </row>
    <row r="1787" spans="1:12" ht="26.4" customHeight="1">
      <c r="A1787" s="288">
        <v>861</v>
      </c>
      <c r="B1787" s="523"/>
      <c r="C1787" s="288" t="s">
        <v>1794</v>
      </c>
      <c r="D1787" s="289" t="s">
        <v>1992</v>
      </c>
      <c r="E1787" s="204" t="s">
        <v>1825</v>
      </c>
      <c r="F1787" s="218">
        <v>277019</v>
      </c>
      <c r="G1787" s="237" t="s">
        <v>1581</v>
      </c>
      <c r="H1787" s="475" t="s">
        <v>1138</v>
      </c>
      <c r="I1787" s="478">
        <v>1</v>
      </c>
      <c r="J1787" s="243">
        <v>5.1529999999999996</v>
      </c>
      <c r="K1787" s="243">
        <v>2.1262300000000001</v>
      </c>
      <c r="L1787" s="243">
        <v>3.02677</v>
      </c>
    </row>
    <row r="1788" spans="1:12" ht="26.4" customHeight="1">
      <c r="A1788" s="288">
        <v>862</v>
      </c>
      <c r="B1788" s="523"/>
      <c r="C1788" s="288" t="s">
        <v>1794</v>
      </c>
      <c r="D1788" s="289" t="s">
        <v>1992</v>
      </c>
      <c r="E1788" s="204" t="s">
        <v>1215</v>
      </c>
      <c r="F1788" s="218">
        <v>277720</v>
      </c>
      <c r="G1788" s="237" t="s">
        <v>1581</v>
      </c>
      <c r="H1788" s="475" t="s">
        <v>1138</v>
      </c>
      <c r="I1788" s="478">
        <v>1</v>
      </c>
      <c r="J1788" s="243">
        <v>6.367</v>
      </c>
      <c r="K1788" s="243">
        <v>2.6540400000000002</v>
      </c>
      <c r="L1788" s="243">
        <v>3.7129599999999998</v>
      </c>
    </row>
    <row r="1789" spans="1:12" ht="26.4" customHeight="1">
      <c r="A1789" s="288">
        <v>863</v>
      </c>
      <c r="B1789" s="523"/>
      <c r="C1789" s="288" t="s">
        <v>1210</v>
      </c>
      <c r="D1789" s="289" t="s">
        <v>1510</v>
      </c>
      <c r="E1789" s="204" t="s">
        <v>2304</v>
      </c>
      <c r="F1789" s="218">
        <v>9591</v>
      </c>
      <c r="G1789" s="237" t="s">
        <v>1557</v>
      </c>
      <c r="H1789" s="475" t="s">
        <v>1149</v>
      </c>
      <c r="I1789" s="207">
        <v>148.80000000000001</v>
      </c>
      <c r="J1789" s="243">
        <v>26.34836</v>
      </c>
      <c r="K1789" s="243">
        <v>14.097009999999999</v>
      </c>
      <c r="L1789" s="243">
        <v>12.25135</v>
      </c>
    </row>
    <row r="1790" spans="1:12" ht="26.4" customHeight="1">
      <c r="A1790" s="288">
        <v>864</v>
      </c>
      <c r="B1790" s="523"/>
      <c r="C1790" s="288" t="s">
        <v>1210</v>
      </c>
      <c r="D1790" s="289" t="s">
        <v>1511</v>
      </c>
      <c r="E1790" s="204" t="s">
        <v>1924</v>
      </c>
      <c r="F1790" s="218">
        <v>25761</v>
      </c>
      <c r="G1790" s="237" t="s">
        <v>1545</v>
      </c>
      <c r="H1790" s="475" t="s">
        <v>1149</v>
      </c>
      <c r="I1790" s="207">
        <v>183.2</v>
      </c>
      <c r="J1790" s="243">
        <v>104.83199999999999</v>
      </c>
      <c r="K1790" s="243">
        <v>52.630130000000001</v>
      </c>
      <c r="L1790" s="243">
        <v>52.20187</v>
      </c>
    </row>
    <row r="1791" spans="1:12" ht="26.4" customHeight="1">
      <c r="A1791" s="288">
        <v>865</v>
      </c>
      <c r="B1791" s="523"/>
      <c r="C1791" s="288" t="s">
        <v>1210</v>
      </c>
      <c r="D1791" s="289" t="s">
        <v>1511</v>
      </c>
      <c r="E1791" s="204" t="s">
        <v>627</v>
      </c>
      <c r="F1791" s="218">
        <v>24760</v>
      </c>
      <c r="G1791" s="237" t="s">
        <v>1545</v>
      </c>
      <c r="H1791" s="475" t="s">
        <v>1138</v>
      </c>
      <c r="I1791" s="478">
        <v>1</v>
      </c>
      <c r="J1791" s="243">
        <v>1.4</v>
      </c>
      <c r="K1791" s="243">
        <v>1.17147</v>
      </c>
      <c r="L1791" s="243">
        <v>0.22853000000000001</v>
      </c>
    </row>
    <row r="1792" spans="1:12" ht="26.4" customHeight="1">
      <c r="A1792" s="288">
        <v>866</v>
      </c>
      <c r="B1792" s="523"/>
      <c r="C1792" s="288" t="s">
        <v>1210</v>
      </c>
      <c r="D1792" s="289" t="s">
        <v>1512</v>
      </c>
      <c r="E1792" s="204" t="s">
        <v>1272</v>
      </c>
      <c r="F1792" s="218">
        <v>25900</v>
      </c>
      <c r="G1792" s="237" t="s">
        <v>1570</v>
      </c>
      <c r="H1792" s="475" t="s">
        <v>1149</v>
      </c>
      <c r="I1792" s="207">
        <v>26.8</v>
      </c>
      <c r="J1792" s="243">
        <v>44.7821</v>
      </c>
      <c r="K1792" s="243">
        <v>6.4859400000000003</v>
      </c>
      <c r="L1792" s="243">
        <v>38.29616</v>
      </c>
    </row>
    <row r="1793" spans="1:12" ht="26.4" customHeight="1">
      <c r="A1793" s="288">
        <v>867</v>
      </c>
      <c r="B1793" s="523"/>
      <c r="C1793" s="288" t="s">
        <v>1210</v>
      </c>
      <c r="D1793" s="289" t="s">
        <v>1512</v>
      </c>
      <c r="E1793" s="204" t="s">
        <v>626</v>
      </c>
      <c r="F1793" s="218">
        <v>25901</v>
      </c>
      <c r="G1793" s="237" t="s">
        <v>1570</v>
      </c>
      <c r="H1793" s="475" t="s">
        <v>1149</v>
      </c>
      <c r="I1793" s="207">
        <v>142.6</v>
      </c>
      <c r="J1793" s="243">
        <v>16.71</v>
      </c>
      <c r="K1793" s="243">
        <v>3.9510700000000001</v>
      </c>
      <c r="L1793" s="243">
        <v>12.758929999999999</v>
      </c>
    </row>
    <row r="1794" spans="1:12" ht="26.4" customHeight="1">
      <c r="A1794" s="288">
        <v>868</v>
      </c>
      <c r="B1794" s="523"/>
      <c r="C1794" s="288" t="s">
        <v>1210</v>
      </c>
      <c r="D1794" s="289" t="s">
        <v>1512</v>
      </c>
      <c r="E1794" s="204" t="s">
        <v>971</v>
      </c>
      <c r="F1794" s="218">
        <v>25902</v>
      </c>
      <c r="G1794" s="237" t="s">
        <v>1570</v>
      </c>
      <c r="H1794" s="475" t="s">
        <v>1138</v>
      </c>
      <c r="I1794" s="478">
        <v>1</v>
      </c>
      <c r="J1794" s="243">
        <v>0.48699999999999999</v>
      </c>
      <c r="K1794" s="243">
        <v>0.17785999999999999</v>
      </c>
      <c r="L1794" s="243">
        <v>0.30914000000000003</v>
      </c>
    </row>
    <row r="1795" spans="1:12" ht="26.4" customHeight="1">
      <c r="A1795" s="288">
        <v>869</v>
      </c>
      <c r="B1795" s="523"/>
      <c r="C1795" s="288" t="s">
        <v>1210</v>
      </c>
      <c r="D1795" s="289" t="s">
        <v>1512</v>
      </c>
      <c r="E1795" s="204" t="s">
        <v>625</v>
      </c>
      <c r="F1795" s="218">
        <v>25904</v>
      </c>
      <c r="G1795" s="237" t="s">
        <v>1570</v>
      </c>
      <c r="H1795" s="475" t="s">
        <v>1149</v>
      </c>
      <c r="I1795" s="207">
        <v>129.5</v>
      </c>
      <c r="J1795" s="243">
        <v>88.773380000000003</v>
      </c>
      <c r="K1795" s="243">
        <v>28.153639999999999</v>
      </c>
      <c r="L1795" s="243">
        <v>60.61974</v>
      </c>
    </row>
    <row r="1796" spans="1:12" ht="26.4" customHeight="1">
      <c r="A1796" s="288">
        <v>870</v>
      </c>
      <c r="B1796" s="523"/>
      <c r="C1796" s="288" t="s">
        <v>1210</v>
      </c>
      <c r="D1796" s="289" t="s">
        <v>1512</v>
      </c>
      <c r="E1796" s="204" t="s">
        <v>624</v>
      </c>
      <c r="F1796" s="218">
        <v>25905</v>
      </c>
      <c r="G1796" s="237" t="s">
        <v>1570</v>
      </c>
      <c r="H1796" s="475" t="s">
        <v>1149</v>
      </c>
      <c r="I1796" s="207">
        <v>14.2</v>
      </c>
      <c r="J1796" s="243">
        <v>6.73</v>
      </c>
      <c r="K1796" s="243">
        <v>2.4670299999999998</v>
      </c>
      <c r="L1796" s="243">
        <v>4.2629700000000001</v>
      </c>
    </row>
    <row r="1797" spans="1:12" ht="26.4" customHeight="1">
      <c r="A1797" s="288">
        <v>871</v>
      </c>
      <c r="B1797" s="523"/>
      <c r="C1797" s="288" t="s">
        <v>1210</v>
      </c>
      <c r="D1797" s="289" t="s">
        <v>1512</v>
      </c>
      <c r="E1797" s="204" t="s">
        <v>1273</v>
      </c>
      <c r="F1797" s="218">
        <v>25906</v>
      </c>
      <c r="G1797" s="237" t="s">
        <v>1570</v>
      </c>
      <c r="H1797" s="475" t="s">
        <v>1138</v>
      </c>
      <c r="I1797" s="478">
        <v>1</v>
      </c>
      <c r="J1797" s="243">
        <v>0.84299999999999997</v>
      </c>
      <c r="K1797" s="243">
        <v>0.30165999999999998</v>
      </c>
      <c r="L1797" s="243">
        <v>0.54134000000000004</v>
      </c>
    </row>
    <row r="1798" spans="1:12" ht="26.4" customHeight="1">
      <c r="A1798" s="288">
        <v>872</v>
      </c>
      <c r="B1798" s="523"/>
      <c r="C1798" s="288" t="s">
        <v>1210</v>
      </c>
      <c r="D1798" s="289" t="s">
        <v>1512</v>
      </c>
      <c r="E1798" s="204" t="s">
        <v>623</v>
      </c>
      <c r="F1798" s="218">
        <v>25907</v>
      </c>
      <c r="G1798" s="237" t="s">
        <v>1570</v>
      </c>
      <c r="H1798" s="475" t="s">
        <v>1138</v>
      </c>
      <c r="I1798" s="478">
        <v>1</v>
      </c>
      <c r="J1798" s="243">
        <v>2.5</v>
      </c>
      <c r="K1798" s="243">
        <v>0.83716999999999997</v>
      </c>
      <c r="L1798" s="243">
        <v>1.66283</v>
      </c>
    </row>
    <row r="1799" spans="1:12" ht="26.4" customHeight="1">
      <c r="A1799" s="288">
        <v>873</v>
      </c>
      <c r="B1799" s="523"/>
      <c r="C1799" s="288" t="s">
        <v>1210</v>
      </c>
      <c r="D1799" s="289" t="s">
        <v>1512</v>
      </c>
      <c r="E1799" s="204" t="s">
        <v>622</v>
      </c>
      <c r="F1799" s="218">
        <v>27789</v>
      </c>
      <c r="G1799" s="237" t="s">
        <v>1563</v>
      </c>
      <c r="H1799" s="475" t="s">
        <v>1149</v>
      </c>
      <c r="I1799" s="207">
        <v>225.9</v>
      </c>
      <c r="J1799" s="243">
        <v>90.186670000000007</v>
      </c>
      <c r="K1799" s="243">
        <v>42.693129999999996</v>
      </c>
      <c r="L1799" s="243">
        <v>47.493540000000003</v>
      </c>
    </row>
    <row r="1800" spans="1:12" ht="26.4" customHeight="1">
      <c r="A1800" s="288">
        <v>874</v>
      </c>
      <c r="B1800" s="523"/>
      <c r="C1800" s="288" t="s">
        <v>1210</v>
      </c>
      <c r="D1800" s="289" t="s">
        <v>1512</v>
      </c>
      <c r="E1800" s="204" t="s">
        <v>1141</v>
      </c>
      <c r="F1800" s="218">
        <v>28188</v>
      </c>
      <c r="G1800" s="237" t="s">
        <v>1541</v>
      </c>
      <c r="H1800" s="475" t="s">
        <v>1138</v>
      </c>
      <c r="I1800" s="478">
        <v>1</v>
      </c>
      <c r="J1800" s="243">
        <v>8.9320000000000004</v>
      </c>
      <c r="K1800" s="243">
        <v>3.8233299999999999</v>
      </c>
      <c r="L1800" s="243">
        <v>5.10867</v>
      </c>
    </row>
    <row r="1801" spans="1:12" ht="26.4" customHeight="1">
      <c r="A1801" s="288">
        <v>875</v>
      </c>
      <c r="B1801" s="523"/>
      <c r="C1801" s="288" t="s">
        <v>1210</v>
      </c>
      <c r="D1801" s="289" t="s">
        <v>1512</v>
      </c>
      <c r="E1801" s="204" t="s">
        <v>1994</v>
      </c>
      <c r="F1801" s="218">
        <v>25903</v>
      </c>
      <c r="G1801" s="237" t="s">
        <v>1570</v>
      </c>
      <c r="H1801" s="475" t="s">
        <v>1138</v>
      </c>
      <c r="I1801" s="478">
        <v>1</v>
      </c>
      <c r="J1801" s="243">
        <v>0.61499999999999999</v>
      </c>
      <c r="K1801" s="243">
        <v>0.21557000000000001</v>
      </c>
      <c r="L1801" s="243">
        <v>0.39943000000000001</v>
      </c>
    </row>
    <row r="1802" spans="1:12" ht="26.4" customHeight="1">
      <c r="A1802" s="288">
        <v>876</v>
      </c>
      <c r="B1802" s="523"/>
      <c r="C1802" s="288" t="s">
        <v>1210</v>
      </c>
      <c r="D1802" s="289" t="s">
        <v>1512</v>
      </c>
      <c r="E1802" s="204" t="s">
        <v>621</v>
      </c>
      <c r="F1802" s="218">
        <v>25908</v>
      </c>
      <c r="G1802" s="237" t="s">
        <v>1570</v>
      </c>
      <c r="H1802" s="475" t="s">
        <v>1138</v>
      </c>
      <c r="I1802" s="478">
        <v>1</v>
      </c>
      <c r="J1802" s="243">
        <v>0.34</v>
      </c>
      <c r="K1802" s="243">
        <v>0.12470000000000001</v>
      </c>
      <c r="L1802" s="243">
        <v>0.21529999999999999</v>
      </c>
    </row>
    <row r="1803" spans="1:12" ht="26.4" customHeight="1">
      <c r="A1803" s="288">
        <v>877</v>
      </c>
      <c r="B1803" s="523"/>
      <c r="C1803" s="288" t="s">
        <v>1210</v>
      </c>
      <c r="D1803" s="289" t="s">
        <v>1512</v>
      </c>
      <c r="E1803" s="204" t="s">
        <v>1274</v>
      </c>
      <c r="F1803" s="218">
        <v>72000</v>
      </c>
      <c r="G1803" s="237" t="s">
        <v>1567</v>
      </c>
      <c r="H1803" s="475" t="s">
        <v>1138</v>
      </c>
      <c r="I1803" s="478">
        <v>1</v>
      </c>
      <c r="J1803" s="243">
        <v>1.5</v>
      </c>
      <c r="K1803" s="243">
        <v>1.07457</v>
      </c>
      <c r="L1803" s="243">
        <v>0.42542999999999997</v>
      </c>
    </row>
    <row r="1804" spans="1:12" ht="26.4" customHeight="1">
      <c r="A1804" s="288">
        <v>878</v>
      </c>
      <c r="B1804" s="523"/>
      <c r="C1804" s="288" t="s">
        <v>1210</v>
      </c>
      <c r="D1804" s="289" t="s">
        <v>1513</v>
      </c>
      <c r="E1804" s="204" t="s">
        <v>620</v>
      </c>
      <c r="F1804" s="218">
        <v>79000</v>
      </c>
      <c r="G1804" s="237" t="s">
        <v>1558</v>
      </c>
      <c r="H1804" s="475" t="s">
        <v>1149</v>
      </c>
      <c r="I1804" s="207">
        <v>139.4</v>
      </c>
      <c r="J1804" s="243">
        <v>378.05837000000002</v>
      </c>
      <c r="K1804" s="243">
        <v>45.335090000000001</v>
      </c>
      <c r="L1804" s="243">
        <v>332.72327999999999</v>
      </c>
    </row>
    <row r="1805" spans="1:12" ht="26.4" customHeight="1">
      <c r="A1805" s="288">
        <v>879</v>
      </c>
      <c r="B1805" s="523"/>
      <c r="C1805" s="288" t="s">
        <v>1210</v>
      </c>
      <c r="D1805" s="289" t="s">
        <v>1514</v>
      </c>
      <c r="E1805" s="204" t="s">
        <v>12767</v>
      </c>
      <c r="F1805" s="218">
        <v>79001</v>
      </c>
      <c r="G1805" s="237" t="s">
        <v>1558</v>
      </c>
      <c r="H1805" s="475" t="s">
        <v>1149</v>
      </c>
      <c r="I1805" s="207">
        <v>376.6</v>
      </c>
      <c r="J1805" s="243">
        <v>164.209</v>
      </c>
      <c r="K1805" s="243">
        <v>24.175419999999999</v>
      </c>
      <c r="L1805" s="243">
        <v>140.03358</v>
      </c>
    </row>
    <row r="1806" spans="1:12" ht="26.4" customHeight="1">
      <c r="A1806" s="288">
        <v>880</v>
      </c>
      <c r="B1806" s="523"/>
      <c r="C1806" s="288" t="s">
        <v>1210</v>
      </c>
      <c r="D1806" s="289" t="s">
        <v>1515</v>
      </c>
      <c r="E1806" s="289" t="s">
        <v>619</v>
      </c>
      <c r="F1806" s="218">
        <v>26724</v>
      </c>
      <c r="G1806" s="237" t="s">
        <v>1552</v>
      </c>
      <c r="H1806" s="475" t="s">
        <v>1149</v>
      </c>
      <c r="I1806" s="207">
        <v>168.2</v>
      </c>
      <c r="J1806" s="243">
        <v>1.891</v>
      </c>
      <c r="K1806" s="243">
        <v>0.32730999999999999</v>
      </c>
      <c r="L1806" s="243">
        <v>1.56369</v>
      </c>
    </row>
    <row r="1807" spans="1:12" ht="26.4" customHeight="1">
      <c r="A1807" s="288">
        <v>881</v>
      </c>
      <c r="B1807" s="523"/>
      <c r="C1807" s="288" t="s">
        <v>1210</v>
      </c>
      <c r="D1807" s="289" t="s">
        <v>1515</v>
      </c>
      <c r="E1807" s="289" t="s">
        <v>1930</v>
      </c>
      <c r="F1807" s="218">
        <v>26726</v>
      </c>
      <c r="G1807" s="237" t="s">
        <v>1565</v>
      </c>
      <c r="H1807" s="475" t="s">
        <v>1149</v>
      </c>
      <c r="I1807" s="207">
        <v>411.3</v>
      </c>
      <c r="J1807" s="243">
        <v>433.44830000000002</v>
      </c>
      <c r="K1807" s="243">
        <v>117.86678000000001</v>
      </c>
      <c r="L1807" s="243">
        <v>315.58152000000001</v>
      </c>
    </row>
    <row r="1808" spans="1:12" ht="26.4" customHeight="1">
      <c r="A1808" s="288">
        <v>882</v>
      </c>
      <c r="B1808" s="523"/>
      <c r="C1808" s="288" t="s">
        <v>1210</v>
      </c>
      <c r="D1808" s="289" t="s">
        <v>1516</v>
      </c>
      <c r="E1808" s="289" t="s">
        <v>1275</v>
      </c>
      <c r="F1808" s="218">
        <v>28247</v>
      </c>
      <c r="G1808" s="237" t="s">
        <v>1569</v>
      </c>
      <c r="H1808" s="475" t="s">
        <v>1138</v>
      </c>
      <c r="I1808" s="478">
        <v>1</v>
      </c>
      <c r="J1808" s="243">
        <v>23.13749</v>
      </c>
      <c r="K1808" s="243">
        <v>18.120270000000001</v>
      </c>
      <c r="L1808" s="243">
        <v>5.01722</v>
      </c>
    </row>
    <row r="1809" spans="1:15" ht="26.4" customHeight="1">
      <c r="A1809" s="288">
        <v>883</v>
      </c>
      <c r="B1809" s="523"/>
      <c r="C1809" s="288" t="s">
        <v>1210</v>
      </c>
      <c r="D1809" s="289" t="s">
        <v>1516</v>
      </c>
      <c r="E1809" s="289" t="s">
        <v>1995</v>
      </c>
      <c r="F1809" s="218">
        <v>29479</v>
      </c>
      <c r="G1809" s="237" t="s">
        <v>1570</v>
      </c>
      <c r="H1809" s="475" t="s">
        <v>1138</v>
      </c>
      <c r="I1809" s="478">
        <v>1</v>
      </c>
      <c r="J1809" s="243">
        <v>1.3420000000000001</v>
      </c>
      <c r="K1809" s="243">
        <v>0.60711000000000004</v>
      </c>
      <c r="L1809" s="243">
        <v>0.73489000000000004</v>
      </c>
    </row>
    <row r="1810" spans="1:15" ht="26.4" customHeight="1">
      <c r="A1810" s="288">
        <v>884</v>
      </c>
      <c r="B1810" s="523"/>
      <c r="C1810" s="288" t="s">
        <v>1210</v>
      </c>
      <c r="D1810" s="289" t="s">
        <v>1516</v>
      </c>
      <c r="E1810" s="289" t="s">
        <v>1276</v>
      </c>
      <c r="F1810" s="218">
        <v>41192</v>
      </c>
      <c r="G1810" s="237" t="s">
        <v>1562</v>
      </c>
      <c r="H1810" s="475" t="s">
        <v>1138</v>
      </c>
      <c r="I1810" s="478">
        <v>1</v>
      </c>
      <c r="J1810" s="243">
        <v>15.965199999999999</v>
      </c>
      <c r="K1810" s="243">
        <v>4.6124000000000001</v>
      </c>
      <c r="L1810" s="243">
        <v>11.3528</v>
      </c>
    </row>
    <row r="1811" spans="1:15" ht="26.4" customHeight="1">
      <c r="A1811" s="288">
        <v>885</v>
      </c>
      <c r="B1811" s="523"/>
      <c r="C1811" s="288" t="s">
        <v>1210</v>
      </c>
      <c r="D1811" s="289" t="s">
        <v>1494</v>
      </c>
      <c r="E1811" s="289" t="s">
        <v>2332</v>
      </c>
      <c r="F1811" s="218">
        <v>28000</v>
      </c>
      <c r="G1811" s="237" t="s">
        <v>1563</v>
      </c>
      <c r="H1811" s="475" t="s">
        <v>1138</v>
      </c>
      <c r="I1811" s="478">
        <v>1</v>
      </c>
      <c r="J1811" s="243">
        <v>16.633330000000001</v>
      </c>
      <c r="K1811" s="243">
        <v>4.3881899999999998</v>
      </c>
      <c r="L1811" s="243">
        <v>12.245139999999999</v>
      </c>
    </row>
    <row r="1812" spans="1:15" ht="26.4" customHeight="1">
      <c r="A1812" s="288">
        <v>886</v>
      </c>
      <c r="B1812" s="523"/>
      <c r="C1812" s="288" t="s">
        <v>1210</v>
      </c>
      <c r="D1812" s="289" t="s">
        <v>1494</v>
      </c>
      <c r="E1812" s="289" t="s">
        <v>618</v>
      </c>
      <c r="F1812" s="218">
        <v>79002</v>
      </c>
      <c r="G1812" s="237" t="s">
        <v>1558</v>
      </c>
      <c r="H1812" s="475" t="s">
        <v>1149</v>
      </c>
      <c r="I1812" s="207">
        <v>106.2</v>
      </c>
      <c r="J1812" s="243">
        <v>1008.07917</v>
      </c>
      <c r="K1812" s="243">
        <v>67.95438</v>
      </c>
      <c r="L1812" s="243">
        <v>940.12478999999996</v>
      </c>
    </row>
    <row r="1813" spans="1:15" ht="26.4" customHeight="1">
      <c r="A1813" s="288">
        <v>887</v>
      </c>
      <c r="B1813" s="523"/>
      <c r="C1813" s="288" t="s">
        <v>1210</v>
      </c>
      <c r="D1813" s="289" t="s">
        <v>1494</v>
      </c>
      <c r="E1813" s="289" t="s">
        <v>1141</v>
      </c>
      <c r="F1813" s="218">
        <v>31042</v>
      </c>
      <c r="G1813" s="237" t="s">
        <v>1577</v>
      </c>
      <c r="H1813" s="475" t="s">
        <v>1138</v>
      </c>
      <c r="I1813" s="478">
        <v>1</v>
      </c>
      <c r="J1813" s="243">
        <v>39.083179999999999</v>
      </c>
      <c r="K1813" s="243">
        <v>11.56235</v>
      </c>
      <c r="L1813" s="243">
        <v>27.52083</v>
      </c>
    </row>
    <row r="1814" spans="1:15" ht="26.4" customHeight="1">
      <c r="A1814" s="288">
        <v>888</v>
      </c>
      <c r="B1814" s="523"/>
      <c r="C1814" s="288" t="s">
        <v>1210</v>
      </c>
      <c r="D1814" s="289" t="s">
        <v>1494</v>
      </c>
      <c r="E1814" s="289" t="s">
        <v>1277</v>
      </c>
      <c r="F1814" s="218">
        <v>41490</v>
      </c>
      <c r="G1814" s="237" t="s">
        <v>1574</v>
      </c>
      <c r="H1814" s="475" t="s">
        <v>1138</v>
      </c>
      <c r="I1814" s="478">
        <v>1</v>
      </c>
      <c r="J1814" s="243">
        <v>11.13442</v>
      </c>
      <c r="K1814" s="243">
        <v>2.2269600000000001</v>
      </c>
      <c r="L1814" s="243">
        <v>8.9074600000000004</v>
      </c>
    </row>
    <row r="1815" spans="1:15" ht="26.4" customHeight="1">
      <c r="A1815" s="288">
        <v>889</v>
      </c>
      <c r="B1815" s="524"/>
      <c r="C1815" s="288" t="s">
        <v>1210</v>
      </c>
      <c r="D1815" s="289" t="s">
        <v>1494</v>
      </c>
      <c r="E1815" s="289" t="s">
        <v>2474</v>
      </c>
      <c r="F1815" s="218">
        <v>79003</v>
      </c>
      <c r="G1815" s="237" t="s">
        <v>1558</v>
      </c>
      <c r="H1815" s="475" t="s">
        <v>1149</v>
      </c>
      <c r="I1815" s="207">
        <v>364.9</v>
      </c>
      <c r="J1815" s="243">
        <v>255.14742000000001</v>
      </c>
      <c r="K1815" s="243">
        <v>26.38344</v>
      </c>
      <c r="L1815" s="243">
        <v>228.76398</v>
      </c>
    </row>
    <row r="1816" spans="1:15" s="198" customFormat="1" ht="26.4" customHeight="1">
      <c r="A1816" s="292"/>
      <c r="B1816" s="303" t="s">
        <v>2215</v>
      </c>
      <c r="C1816" s="303" t="s">
        <v>3</v>
      </c>
      <c r="D1816" s="303" t="s">
        <v>3</v>
      </c>
      <c r="E1816" s="303" t="s">
        <v>3</v>
      </c>
      <c r="F1816" s="303" t="s">
        <v>3</v>
      </c>
      <c r="G1816" s="303" t="s">
        <v>3</v>
      </c>
      <c r="H1816" s="303" t="s">
        <v>3</v>
      </c>
      <c r="I1816" s="303" t="s">
        <v>3</v>
      </c>
      <c r="J1816" s="293">
        <f>SUM(J927:J1815)</f>
        <v>73130.622570000007</v>
      </c>
      <c r="K1816" s="293">
        <f>SUM(K927:K1815)</f>
        <v>27857.799520000011</v>
      </c>
      <c r="L1816" s="293">
        <f>SUM(L927:L1815)</f>
        <v>45272.822050000017</v>
      </c>
      <c r="M1816" s="197"/>
      <c r="N1816" s="197"/>
      <c r="O1816" s="197"/>
    </row>
    <row r="1817" spans="1:15" s="197" customFormat="1" ht="26.4" customHeight="1">
      <c r="A1817" s="213">
        <v>1</v>
      </c>
      <c r="B1817" s="525" t="s">
        <v>13238</v>
      </c>
      <c r="C1817" s="215" t="s">
        <v>1795</v>
      </c>
      <c r="D1817" s="248" t="s">
        <v>2144</v>
      </c>
      <c r="E1817" s="214" t="s">
        <v>1278</v>
      </c>
      <c r="F1817" s="214" t="s">
        <v>617</v>
      </c>
      <c r="G1817" s="249" t="s">
        <v>3</v>
      </c>
      <c r="H1817" s="262" t="s">
        <v>631</v>
      </c>
      <c r="I1817" s="285">
        <v>1199</v>
      </c>
      <c r="J1817" s="273">
        <v>186.65700000000001</v>
      </c>
      <c r="K1817" s="273">
        <v>22.485880000000002</v>
      </c>
      <c r="L1817" s="273">
        <v>164.17112</v>
      </c>
    </row>
    <row r="1818" spans="1:15" ht="26.4" customHeight="1">
      <c r="A1818" s="221">
        <v>2</v>
      </c>
      <c r="B1818" s="526"/>
      <c r="C1818" s="215" t="s">
        <v>1795</v>
      </c>
      <c r="D1818" s="248" t="s">
        <v>2144</v>
      </c>
      <c r="E1818" s="203" t="s">
        <v>1897</v>
      </c>
      <c r="F1818" s="203" t="s">
        <v>616</v>
      </c>
      <c r="G1818" s="230" t="s">
        <v>1531</v>
      </c>
      <c r="H1818" s="262" t="s">
        <v>1138</v>
      </c>
      <c r="I1818" s="285">
        <v>1</v>
      </c>
      <c r="J1818" s="273">
        <v>291.35924999999997</v>
      </c>
      <c r="K1818" s="273">
        <v>124.58116</v>
      </c>
      <c r="L1818" s="273">
        <v>166.77808999999999</v>
      </c>
    </row>
    <row r="1819" spans="1:15" ht="26.4" customHeight="1">
      <c r="A1819" s="221">
        <v>3</v>
      </c>
      <c r="B1819" s="526"/>
      <c r="C1819" s="215" t="s">
        <v>1795</v>
      </c>
      <c r="D1819" s="248" t="s">
        <v>2144</v>
      </c>
      <c r="E1819" s="203" t="s">
        <v>1898</v>
      </c>
      <c r="F1819" s="203" t="s">
        <v>615</v>
      </c>
      <c r="G1819" s="252" t="s">
        <v>3</v>
      </c>
      <c r="H1819" s="262" t="s">
        <v>1138</v>
      </c>
      <c r="I1819" s="285">
        <v>1</v>
      </c>
      <c r="J1819" s="273">
        <v>21.843050000000002</v>
      </c>
      <c r="K1819" s="273">
        <v>12.57658</v>
      </c>
      <c r="L1819" s="273">
        <v>9.26647</v>
      </c>
    </row>
    <row r="1820" spans="1:15" ht="26.4" customHeight="1">
      <c r="A1820" s="221">
        <v>4</v>
      </c>
      <c r="B1820" s="526"/>
      <c r="C1820" s="215" t="s">
        <v>1795</v>
      </c>
      <c r="D1820" s="248" t="s">
        <v>2144</v>
      </c>
      <c r="E1820" s="203" t="s">
        <v>1899</v>
      </c>
      <c r="F1820" s="203" t="s">
        <v>614</v>
      </c>
      <c r="G1820" s="252" t="s">
        <v>3</v>
      </c>
      <c r="H1820" s="262" t="s">
        <v>1138</v>
      </c>
      <c r="I1820" s="285">
        <v>1</v>
      </c>
      <c r="J1820" s="273">
        <v>5.0999999999999996</v>
      </c>
      <c r="K1820" s="273">
        <v>4.4497999999999998</v>
      </c>
      <c r="L1820" s="273">
        <v>0.6502</v>
      </c>
    </row>
    <row r="1821" spans="1:15" ht="26.4" customHeight="1">
      <c r="A1821" s="221">
        <v>5</v>
      </c>
      <c r="B1821" s="526"/>
      <c r="C1821" s="215" t="s">
        <v>1795</v>
      </c>
      <c r="D1821" s="248" t="s">
        <v>2144</v>
      </c>
      <c r="E1821" s="203" t="s">
        <v>1899</v>
      </c>
      <c r="F1821" s="203" t="s">
        <v>613</v>
      </c>
      <c r="G1821" s="252" t="s">
        <v>3</v>
      </c>
      <c r="H1821" s="262" t="s">
        <v>1138</v>
      </c>
      <c r="I1821" s="285">
        <v>1</v>
      </c>
      <c r="J1821" s="273">
        <v>31.178170000000001</v>
      </c>
      <c r="K1821" s="273">
        <v>25.0779</v>
      </c>
      <c r="L1821" s="273">
        <v>6.1002700000000001</v>
      </c>
    </row>
    <row r="1822" spans="1:15" ht="26.4" customHeight="1">
      <c r="A1822" s="221">
        <v>6</v>
      </c>
      <c r="B1822" s="526"/>
      <c r="C1822" s="215" t="s">
        <v>1795</v>
      </c>
      <c r="D1822" s="253" t="s">
        <v>1517</v>
      </c>
      <c r="E1822" s="203" t="s">
        <v>1900</v>
      </c>
      <c r="F1822" s="203" t="s">
        <v>612</v>
      </c>
      <c r="G1822" s="230" t="s">
        <v>1533</v>
      </c>
      <c r="H1822" s="262" t="s">
        <v>1138</v>
      </c>
      <c r="I1822" s="285">
        <v>1</v>
      </c>
      <c r="J1822" s="273">
        <v>360.22363999999999</v>
      </c>
      <c r="K1822" s="273">
        <v>116.31089</v>
      </c>
      <c r="L1822" s="273">
        <v>243.91274999999999</v>
      </c>
    </row>
    <row r="1823" spans="1:15" ht="26.4" customHeight="1">
      <c r="A1823" s="221">
        <v>7</v>
      </c>
      <c r="B1823" s="526"/>
      <c r="C1823" s="215" t="s">
        <v>1795</v>
      </c>
      <c r="D1823" s="253" t="s">
        <v>1518</v>
      </c>
      <c r="E1823" s="203" t="s">
        <v>1901</v>
      </c>
      <c r="F1823" s="203" t="s">
        <v>611</v>
      </c>
      <c r="G1823" s="252" t="s">
        <v>3</v>
      </c>
      <c r="H1823" s="262" t="s">
        <v>1138</v>
      </c>
      <c r="I1823" s="285">
        <v>1</v>
      </c>
      <c r="J1823" s="273">
        <v>21.843039999999998</v>
      </c>
      <c r="K1823" s="273">
        <v>12.18932</v>
      </c>
      <c r="L1823" s="273">
        <v>9.6537199999999999</v>
      </c>
    </row>
    <row r="1824" spans="1:15" ht="26.4" customHeight="1">
      <c r="A1824" s="221">
        <v>8</v>
      </c>
      <c r="B1824" s="526"/>
      <c r="C1824" s="215" t="s">
        <v>1795</v>
      </c>
      <c r="D1824" s="253" t="s">
        <v>1517</v>
      </c>
      <c r="E1824" s="203" t="s">
        <v>1902</v>
      </c>
      <c r="F1824" s="203" t="s">
        <v>610</v>
      </c>
      <c r="G1824" s="252" t="s">
        <v>3</v>
      </c>
      <c r="H1824" s="262" t="s">
        <v>1138</v>
      </c>
      <c r="I1824" s="285">
        <v>1</v>
      </c>
      <c r="J1824" s="273">
        <v>17.3565</v>
      </c>
      <c r="K1824" s="273">
        <v>10.74339</v>
      </c>
      <c r="L1824" s="273">
        <v>6.6131099999999998</v>
      </c>
    </row>
    <row r="1825" spans="1:12" ht="26.4" customHeight="1">
      <c r="A1825" s="221">
        <v>9</v>
      </c>
      <c r="B1825" s="526"/>
      <c r="C1825" s="215" t="s">
        <v>1795</v>
      </c>
      <c r="D1825" s="253" t="s">
        <v>1517</v>
      </c>
      <c r="E1825" s="203" t="s">
        <v>1902</v>
      </c>
      <c r="F1825" s="203" t="s">
        <v>609</v>
      </c>
      <c r="G1825" s="252" t="s">
        <v>3</v>
      </c>
      <c r="H1825" s="262" t="s">
        <v>1138</v>
      </c>
      <c r="I1825" s="285">
        <v>1</v>
      </c>
      <c r="J1825" s="273">
        <v>4.1666699999999999</v>
      </c>
      <c r="K1825" s="273">
        <v>3.46488</v>
      </c>
      <c r="L1825" s="273">
        <v>0.70179000000000002</v>
      </c>
    </row>
    <row r="1826" spans="1:12" ht="26.4" customHeight="1">
      <c r="A1826" s="221">
        <v>10</v>
      </c>
      <c r="B1826" s="526"/>
      <c r="C1826" s="215" t="s">
        <v>1795</v>
      </c>
      <c r="D1826" s="253" t="s">
        <v>1517</v>
      </c>
      <c r="E1826" s="203" t="s">
        <v>1279</v>
      </c>
      <c r="F1826" s="203" t="s">
        <v>608</v>
      </c>
      <c r="G1826" s="252" t="s">
        <v>3</v>
      </c>
      <c r="H1826" s="262" t="s">
        <v>631</v>
      </c>
      <c r="I1826" s="285">
        <v>840</v>
      </c>
      <c r="J1826" s="273">
        <v>207.18862999999999</v>
      </c>
      <c r="K1826" s="273">
        <v>99.116029999999995</v>
      </c>
      <c r="L1826" s="273">
        <v>108.07259999999999</v>
      </c>
    </row>
    <row r="1827" spans="1:12" ht="26.4" customHeight="1">
      <c r="A1827" s="221">
        <v>11</v>
      </c>
      <c r="B1827" s="526"/>
      <c r="C1827" s="215" t="s">
        <v>1795</v>
      </c>
      <c r="D1827" s="253" t="s">
        <v>1517</v>
      </c>
      <c r="E1827" s="203" t="s">
        <v>1903</v>
      </c>
      <c r="F1827" s="203" t="s">
        <v>607</v>
      </c>
      <c r="G1827" s="252" t="s">
        <v>3</v>
      </c>
      <c r="H1827" s="262" t="s">
        <v>631</v>
      </c>
      <c r="I1827" s="285">
        <v>100</v>
      </c>
      <c r="J1827" s="273">
        <v>28.930730000000001</v>
      </c>
      <c r="K1827" s="273">
        <v>19.565560000000001</v>
      </c>
      <c r="L1827" s="273">
        <v>9.3651700000000009</v>
      </c>
    </row>
    <row r="1828" spans="1:12" ht="26.4" customHeight="1">
      <c r="A1828" s="221">
        <v>12</v>
      </c>
      <c r="B1828" s="526"/>
      <c r="C1828" s="215" t="s">
        <v>1795</v>
      </c>
      <c r="D1828" s="253" t="s">
        <v>1517</v>
      </c>
      <c r="E1828" s="203" t="s">
        <v>1903</v>
      </c>
      <c r="F1828" s="203" t="s">
        <v>606</v>
      </c>
      <c r="G1828" s="252" t="s">
        <v>3</v>
      </c>
      <c r="H1828" s="262" t="s">
        <v>631</v>
      </c>
      <c r="I1828" s="285">
        <v>597</v>
      </c>
      <c r="J1828" s="273">
        <v>33.297899999999998</v>
      </c>
      <c r="K1828" s="273">
        <v>15.99652</v>
      </c>
      <c r="L1828" s="273">
        <v>17.301380000000002</v>
      </c>
    </row>
    <row r="1829" spans="1:12" ht="26.4" customHeight="1">
      <c r="A1829" s="221">
        <v>13</v>
      </c>
      <c r="B1829" s="526"/>
      <c r="C1829" s="215" t="s">
        <v>1795</v>
      </c>
      <c r="D1829" s="253" t="s">
        <v>1517</v>
      </c>
      <c r="E1829" s="203" t="s">
        <v>1903</v>
      </c>
      <c r="F1829" s="203" t="s">
        <v>605</v>
      </c>
      <c r="G1829" s="252" t="s">
        <v>3</v>
      </c>
      <c r="H1829" s="262" t="s">
        <v>631</v>
      </c>
      <c r="I1829" s="285">
        <v>101</v>
      </c>
      <c r="J1829" s="273">
        <v>2.6</v>
      </c>
      <c r="K1829" s="273">
        <v>1.64391</v>
      </c>
      <c r="L1829" s="273">
        <v>0.95609</v>
      </c>
    </row>
    <row r="1830" spans="1:12" ht="26.4" customHeight="1">
      <c r="A1830" s="221">
        <v>14</v>
      </c>
      <c r="B1830" s="526"/>
      <c r="C1830" s="215" t="s">
        <v>1795</v>
      </c>
      <c r="D1830" s="253" t="s">
        <v>1517</v>
      </c>
      <c r="E1830" s="203" t="s">
        <v>1903</v>
      </c>
      <c r="F1830" s="203" t="s">
        <v>604</v>
      </c>
      <c r="G1830" s="230" t="s">
        <v>1576</v>
      </c>
      <c r="H1830" s="262" t="s">
        <v>1138</v>
      </c>
      <c r="I1830" s="285">
        <v>1</v>
      </c>
      <c r="J1830" s="273">
        <v>571.21276999999998</v>
      </c>
      <c r="K1830" s="273">
        <v>432.68621000000002</v>
      </c>
      <c r="L1830" s="273">
        <v>138.52655999999999</v>
      </c>
    </row>
    <row r="1831" spans="1:12" ht="26.4" customHeight="1">
      <c r="A1831" s="221">
        <v>15</v>
      </c>
      <c r="B1831" s="526"/>
      <c r="C1831" s="215" t="s">
        <v>1795</v>
      </c>
      <c r="D1831" s="253" t="s">
        <v>1517</v>
      </c>
      <c r="E1831" s="203" t="s">
        <v>1903</v>
      </c>
      <c r="F1831" s="203" t="s">
        <v>603</v>
      </c>
      <c r="G1831" s="252" t="s">
        <v>3</v>
      </c>
      <c r="H1831" s="262" t="s">
        <v>1138</v>
      </c>
      <c r="I1831" s="285">
        <v>1</v>
      </c>
      <c r="J1831" s="273">
        <v>3.6</v>
      </c>
      <c r="K1831" s="273">
        <v>3.4815299999999998</v>
      </c>
      <c r="L1831" s="273">
        <v>0.11847000000000001</v>
      </c>
    </row>
    <row r="1832" spans="1:12" ht="26.4" customHeight="1">
      <c r="A1832" s="221">
        <v>16</v>
      </c>
      <c r="B1832" s="526"/>
      <c r="C1832" s="215" t="s">
        <v>1795</v>
      </c>
      <c r="D1832" s="253" t="s">
        <v>1517</v>
      </c>
      <c r="E1832" s="203" t="s">
        <v>1903</v>
      </c>
      <c r="F1832" s="203" t="s">
        <v>602</v>
      </c>
      <c r="G1832" s="252" t="s">
        <v>3</v>
      </c>
      <c r="H1832" s="262" t="s">
        <v>1138</v>
      </c>
      <c r="I1832" s="285">
        <v>1</v>
      </c>
      <c r="J1832" s="273">
        <v>3.6</v>
      </c>
      <c r="K1832" s="273">
        <v>3.4815399999999999</v>
      </c>
      <c r="L1832" s="273">
        <v>0.11846</v>
      </c>
    </row>
    <row r="1833" spans="1:12" ht="26.4" customHeight="1">
      <c r="A1833" s="221">
        <v>17</v>
      </c>
      <c r="B1833" s="526"/>
      <c r="C1833" s="201" t="s">
        <v>1796</v>
      </c>
      <c r="D1833" s="253" t="s">
        <v>1519</v>
      </c>
      <c r="E1833" s="203" t="s">
        <v>1848</v>
      </c>
      <c r="F1833" s="203" t="s">
        <v>601</v>
      </c>
      <c r="G1833" s="230" t="s">
        <v>1533</v>
      </c>
      <c r="H1833" s="262" t="s">
        <v>1138</v>
      </c>
      <c r="I1833" s="285">
        <v>1</v>
      </c>
      <c r="J1833" s="273">
        <v>209.66185999999999</v>
      </c>
      <c r="K1833" s="273">
        <v>183.20358999999999</v>
      </c>
      <c r="L1833" s="273">
        <v>26.458269999999999</v>
      </c>
    </row>
    <row r="1834" spans="1:12" ht="26.4" customHeight="1">
      <c r="A1834" s="221">
        <v>18</v>
      </c>
      <c r="B1834" s="526"/>
      <c r="C1834" s="201" t="s">
        <v>1796</v>
      </c>
      <c r="D1834" s="253" t="s">
        <v>1519</v>
      </c>
      <c r="E1834" s="203" t="s">
        <v>1904</v>
      </c>
      <c r="F1834" s="203" t="s">
        <v>600</v>
      </c>
      <c r="G1834" s="252" t="s">
        <v>3</v>
      </c>
      <c r="H1834" s="262" t="s">
        <v>1138</v>
      </c>
      <c r="I1834" s="285">
        <v>1</v>
      </c>
      <c r="J1834" s="273">
        <v>5.3</v>
      </c>
      <c r="K1834" s="273">
        <v>2.7908900000000001</v>
      </c>
      <c r="L1834" s="273">
        <v>2.5091100000000002</v>
      </c>
    </row>
    <row r="1835" spans="1:12" ht="26.4" customHeight="1">
      <c r="A1835" s="221">
        <v>19</v>
      </c>
      <c r="B1835" s="526"/>
      <c r="C1835" s="201" t="s">
        <v>1796</v>
      </c>
      <c r="D1835" s="253" t="s">
        <v>1520</v>
      </c>
      <c r="E1835" s="203" t="s">
        <v>2308</v>
      </c>
      <c r="F1835" s="203" t="s">
        <v>599</v>
      </c>
      <c r="G1835" s="252" t="s">
        <v>3</v>
      </c>
      <c r="H1835" s="262" t="s">
        <v>631</v>
      </c>
      <c r="I1835" s="285">
        <v>67</v>
      </c>
      <c r="J1835" s="273">
        <v>306.13341000000003</v>
      </c>
      <c r="K1835" s="273">
        <v>112.03609</v>
      </c>
      <c r="L1835" s="273">
        <v>194.09732</v>
      </c>
    </row>
    <row r="1836" spans="1:12" ht="26.4" customHeight="1">
      <c r="A1836" s="221">
        <v>20</v>
      </c>
      <c r="B1836" s="526"/>
      <c r="C1836" s="201" t="s">
        <v>1796</v>
      </c>
      <c r="D1836" s="253" t="s">
        <v>1520</v>
      </c>
      <c r="E1836" s="203" t="s">
        <v>2307</v>
      </c>
      <c r="F1836" s="203" t="s">
        <v>598</v>
      </c>
      <c r="G1836" s="252" t="s">
        <v>3</v>
      </c>
      <c r="H1836" s="262" t="s">
        <v>631</v>
      </c>
      <c r="I1836" s="285">
        <v>120</v>
      </c>
      <c r="J1836" s="273">
        <v>171.8442</v>
      </c>
      <c r="K1836" s="273">
        <v>96.572839999999999</v>
      </c>
      <c r="L1836" s="273">
        <v>75.271360000000001</v>
      </c>
    </row>
    <row r="1837" spans="1:12" ht="26.4" customHeight="1">
      <c r="A1837" s="221">
        <v>21</v>
      </c>
      <c r="B1837" s="526"/>
      <c r="C1837" s="201" t="s">
        <v>1796</v>
      </c>
      <c r="D1837" s="253" t="s">
        <v>1520</v>
      </c>
      <c r="E1837" s="203" t="s">
        <v>2309</v>
      </c>
      <c r="F1837" s="203" t="s">
        <v>597</v>
      </c>
      <c r="G1837" s="252" t="s">
        <v>3</v>
      </c>
      <c r="H1837" s="262" t="s">
        <v>631</v>
      </c>
      <c r="I1837" s="285">
        <v>43</v>
      </c>
      <c r="J1837" s="273">
        <v>70.773820000000001</v>
      </c>
      <c r="K1837" s="273">
        <v>46.597729999999999</v>
      </c>
      <c r="L1837" s="273">
        <v>24.176089999999999</v>
      </c>
    </row>
    <row r="1838" spans="1:12" ht="26.4" customHeight="1">
      <c r="A1838" s="221">
        <v>22</v>
      </c>
      <c r="B1838" s="526"/>
      <c r="C1838" s="201" t="s">
        <v>1796</v>
      </c>
      <c r="D1838" s="253" t="s">
        <v>1520</v>
      </c>
      <c r="E1838" s="203" t="s">
        <v>1903</v>
      </c>
      <c r="F1838" s="203" t="s">
        <v>596</v>
      </c>
      <c r="G1838" s="252" t="s">
        <v>3</v>
      </c>
      <c r="H1838" s="262" t="s">
        <v>631</v>
      </c>
      <c r="I1838" s="285">
        <v>25</v>
      </c>
      <c r="J1838" s="273">
        <v>141.54764</v>
      </c>
      <c r="K1838" s="273">
        <v>85.761719999999997</v>
      </c>
      <c r="L1838" s="273">
        <v>55.785919999999997</v>
      </c>
    </row>
    <row r="1839" spans="1:12" ht="26.4" customHeight="1">
      <c r="A1839" s="221">
        <v>23</v>
      </c>
      <c r="B1839" s="526"/>
      <c r="C1839" s="201" t="s">
        <v>1796</v>
      </c>
      <c r="D1839" s="253" t="s">
        <v>1520</v>
      </c>
      <c r="E1839" s="203" t="s">
        <v>2310</v>
      </c>
      <c r="F1839" s="203" t="s">
        <v>595</v>
      </c>
      <c r="G1839" s="252" t="s">
        <v>3</v>
      </c>
      <c r="H1839" s="262" t="s">
        <v>631</v>
      </c>
      <c r="I1839" s="285">
        <v>502</v>
      </c>
      <c r="J1839" s="273">
        <v>68.854489999999998</v>
      </c>
      <c r="K1839" s="273">
        <v>43.598170000000003</v>
      </c>
      <c r="L1839" s="273">
        <v>25.256319999999999</v>
      </c>
    </row>
    <row r="1840" spans="1:12" ht="26.4" customHeight="1">
      <c r="A1840" s="221">
        <v>24</v>
      </c>
      <c r="B1840" s="526"/>
      <c r="C1840" s="201" t="s">
        <v>1796</v>
      </c>
      <c r="D1840" s="253" t="s">
        <v>1520</v>
      </c>
      <c r="E1840" s="203" t="s">
        <v>478</v>
      </c>
      <c r="F1840" s="203" t="s">
        <v>594</v>
      </c>
      <c r="G1840" s="252" t="s">
        <v>3</v>
      </c>
      <c r="H1840" s="262" t="s">
        <v>1138</v>
      </c>
      <c r="I1840" s="285">
        <v>1</v>
      </c>
      <c r="J1840" s="273">
        <v>44.536369999999998</v>
      </c>
      <c r="K1840" s="273">
        <v>7.42272</v>
      </c>
      <c r="L1840" s="273">
        <v>37.11365</v>
      </c>
    </row>
    <row r="1841" spans="1:12" ht="26.4" customHeight="1">
      <c r="A1841" s="221">
        <v>25</v>
      </c>
      <c r="B1841" s="526"/>
      <c r="C1841" s="201" t="s">
        <v>1797</v>
      </c>
      <c r="D1841" s="253" t="s">
        <v>2213</v>
      </c>
      <c r="E1841" s="203" t="s">
        <v>1903</v>
      </c>
      <c r="F1841" s="203" t="s">
        <v>593</v>
      </c>
      <c r="G1841" s="252" t="s">
        <v>3</v>
      </c>
      <c r="H1841" s="262" t="s">
        <v>631</v>
      </c>
      <c r="I1841" s="285">
        <v>318</v>
      </c>
      <c r="J1841" s="273">
        <v>102.596</v>
      </c>
      <c r="K1841" s="273">
        <v>71.837779999999995</v>
      </c>
      <c r="L1841" s="273">
        <v>30.758220000000001</v>
      </c>
    </row>
    <row r="1842" spans="1:12" ht="26.4" customHeight="1">
      <c r="A1842" s="221">
        <v>26</v>
      </c>
      <c r="B1842" s="526"/>
      <c r="C1842" s="201" t="s">
        <v>1797</v>
      </c>
      <c r="D1842" s="253" t="s">
        <v>2213</v>
      </c>
      <c r="E1842" s="203" t="s">
        <v>1903</v>
      </c>
      <c r="F1842" s="203" t="s">
        <v>592</v>
      </c>
      <c r="G1842" s="252" t="s">
        <v>3</v>
      </c>
      <c r="H1842" s="262" t="s">
        <v>631</v>
      </c>
      <c r="I1842" s="285">
        <v>970</v>
      </c>
      <c r="J1842" s="273">
        <v>323.64</v>
      </c>
      <c r="K1842" s="273">
        <v>266.36387000000002</v>
      </c>
      <c r="L1842" s="273">
        <v>57.276130000000002</v>
      </c>
    </row>
    <row r="1843" spans="1:12" ht="26.4" customHeight="1">
      <c r="A1843" s="221">
        <v>27</v>
      </c>
      <c r="B1843" s="526"/>
      <c r="C1843" s="201" t="s">
        <v>1797</v>
      </c>
      <c r="D1843" s="253" t="s">
        <v>2213</v>
      </c>
      <c r="E1843" s="203" t="s">
        <v>1903</v>
      </c>
      <c r="F1843" s="203" t="s">
        <v>591</v>
      </c>
      <c r="G1843" s="252" t="s">
        <v>3</v>
      </c>
      <c r="H1843" s="262" t="s">
        <v>631</v>
      </c>
      <c r="I1843" s="285">
        <v>882</v>
      </c>
      <c r="J1843" s="273">
        <v>124.01862</v>
      </c>
      <c r="K1843" s="273">
        <v>54.56194</v>
      </c>
      <c r="L1843" s="273">
        <v>69.456680000000006</v>
      </c>
    </row>
    <row r="1844" spans="1:12" ht="26.4" customHeight="1">
      <c r="A1844" s="221">
        <v>28</v>
      </c>
      <c r="B1844" s="526"/>
      <c r="C1844" s="201" t="s">
        <v>1797</v>
      </c>
      <c r="D1844" s="253" t="s">
        <v>2213</v>
      </c>
      <c r="E1844" s="203" t="s">
        <v>1848</v>
      </c>
      <c r="F1844" s="203" t="s">
        <v>590</v>
      </c>
      <c r="G1844" s="230" t="s">
        <v>1528</v>
      </c>
      <c r="H1844" s="262" t="s">
        <v>1138</v>
      </c>
      <c r="I1844" s="285">
        <v>1</v>
      </c>
      <c r="J1844" s="273">
        <v>660.49985000000004</v>
      </c>
      <c r="K1844" s="273">
        <v>431.86124999999998</v>
      </c>
      <c r="L1844" s="273">
        <v>228.6386</v>
      </c>
    </row>
    <row r="1845" spans="1:12" ht="26.4" customHeight="1">
      <c r="A1845" s="221">
        <v>29</v>
      </c>
      <c r="B1845" s="526"/>
      <c r="C1845" s="201" t="s">
        <v>1797</v>
      </c>
      <c r="D1845" s="253" t="s">
        <v>2213</v>
      </c>
      <c r="E1845" s="203" t="s">
        <v>478</v>
      </c>
      <c r="F1845" s="203" t="s">
        <v>589</v>
      </c>
      <c r="G1845" s="252" t="s">
        <v>3</v>
      </c>
      <c r="H1845" s="262" t="s">
        <v>1138</v>
      </c>
      <c r="I1845" s="285">
        <v>1</v>
      </c>
      <c r="J1845" s="273">
        <v>2.8450000000000002</v>
      </c>
      <c r="K1845" s="273">
        <v>2.2324899999999999</v>
      </c>
      <c r="L1845" s="273">
        <v>0.61251</v>
      </c>
    </row>
    <row r="1846" spans="1:12" ht="26.4" customHeight="1">
      <c r="A1846" s="221">
        <v>30</v>
      </c>
      <c r="B1846" s="526"/>
      <c r="C1846" s="201" t="s">
        <v>1797</v>
      </c>
      <c r="D1846" s="253" t="s">
        <v>2213</v>
      </c>
      <c r="E1846" s="203" t="s">
        <v>478</v>
      </c>
      <c r="F1846" s="203" t="s">
        <v>588</v>
      </c>
      <c r="G1846" s="252" t="s">
        <v>3</v>
      </c>
      <c r="H1846" s="262" t="s">
        <v>1138</v>
      </c>
      <c r="I1846" s="285">
        <v>1</v>
      </c>
      <c r="J1846" s="273">
        <v>1.1000000000000001</v>
      </c>
      <c r="K1846" s="273">
        <v>0.96592999999999996</v>
      </c>
      <c r="L1846" s="273">
        <v>0.13406999999999999</v>
      </c>
    </row>
    <row r="1847" spans="1:12" ht="26.4" customHeight="1">
      <c r="A1847" s="221">
        <v>31</v>
      </c>
      <c r="B1847" s="526"/>
      <c r="C1847" s="201" t="s">
        <v>1797</v>
      </c>
      <c r="D1847" s="253" t="s">
        <v>3</v>
      </c>
      <c r="E1847" s="203" t="s">
        <v>1280</v>
      </c>
      <c r="F1847" s="203" t="s">
        <v>587</v>
      </c>
      <c r="G1847" s="252" t="s">
        <v>3</v>
      </c>
      <c r="H1847" s="262" t="s">
        <v>631</v>
      </c>
      <c r="I1847" s="285">
        <v>1213</v>
      </c>
      <c r="J1847" s="273">
        <v>306.65708999999998</v>
      </c>
      <c r="K1847" s="273">
        <v>250.09254999999999</v>
      </c>
      <c r="L1847" s="273">
        <v>56.564540000000001</v>
      </c>
    </row>
    <row r="1848" spans="1:12" ht="26.4" customHeight="1">
      <c r="A1848" s="221">
        <v>32</v>
      </c>
      <c r="B1848" s="526"/>
      <c r="C1848" s="201" t="s">
        <v>1797</v>
      </c>
      <c r="D1848" s="266" t="s">
        <v>2345</v>
      </c>
      <c r="E1848" s="203" t="s">
        <v>586</v>
      </c>
      <c r="F1848" s="203" t="s">
        <v>585</v>
      </c>
      <c r="G1848" s="230" t="s">
        <v>1579</v>
      </c>
      <c r="H1848" s="262" t="s">
        <v>1138</v>
      </c>
      <c r="I1848" s="285">
        <v>1</v>
      </c>
      <c r="J1848" s="273">
        <v>500.95388000000003</v>
      </c>
      <c r="K1848" s="273">
        <v>244.19003000000001</v>
      </c>
      <c r="L1848" s="273">
        <v>256.76384999999999</v>
      </c>
    </row>
    <row r="1849" spans="1:12" ht="26.4" customHeight="1">
      <c r="A1849" s="221">
        <v>33</v>
      </c>
      <c r="B1849" s="526"/>
      <c r="C1849" s="201" t="s">
        <v>1797</v>
      </c>
      <c r="D1849" s="266" t="s">
        <v>2345</v>
      </c>
      <c r="E1849" s="203" t="s">
        <v>1281</v>
      </c>
      <c r="F1849" s="203" t="s">
        <v>584</v>
      </c>
      <c r="G1849" s="252" t="s">
        <v>3</v>
      </c>
      <c r="H1849" s="262" t="s">
        <v>1138</v>
      </c>
      <c r="I1849" s="285">
        <v>1</v>
      </c>
      <c r="J1849" s="273">
        <v>8.2669999999999995</v>
      </c>
      <c r="K1849" s="273">
        <v>7.3898700000000002</v>
      </c>
      <c r="L1849" s="273">
        <v>0.87712999999999997</v>
      </c>
    </row>
    <row r="1850" spans="1:12" ht="26.4" customHeight="1">
      <c r="A1850" s="221">
        <v>34</v>
      </c>
      <c r="B1850" s="526"/>
      <c r="C1850" s="201" t="s">
        <v>1797</v>
      </c>
      <c r="D1850" s="266" t="s">
        <v>2345</v>
      </c>
      <c r="E1850" s="203" t="s">
        <v>1281</v>
      </c>
      <c r="F1850" s="203" t="s">
        <v>583</v>
      </c>
      <c r="G1850" s="252" t="s">
        <v>3</v>
      </c>
      <c r="H1850" s="262" t="s">
        <v>1138</v>
      </c>
      <c r="I1850" s="285">
        <v>1</v>
      </c>
      <c r="J1850" s="273">
        <v>2.726</v>
      </c>
      <c r="K1850" s="273">
        <v>2.5891000000000002</v>
      </c>
      <c r="L1850" s="273">
        <v>0.13689999999999999</v>
      </c>
    </row>
    <row r="1851" spans="1:12" ht="26.4" customHeight="1">
      <c r="A1851" s="221">
        <v>35</v>
      </c>
      <c r="B1851" s="526"/>
      <c r="C1851" s="201" t="s">
        <v>1797</v>
      </c>
      <c r="D1851" s="266" t="s">
        <v>2345</v>
      </c>
      <c r="E1851" s="203" t="s">
        <v>480</v>
      </c>
      <c r="F1851" s="203" t="s">
        <v>582</v>
      </c>
      <c r="G1851" s="252" t="s">
        <v>3</v>
      </c>
      <c r="H1851" s="262" t="s">
        <v>1138</v>
      </c>
      <c r="I1851" s="285">
        <v>1</v>
      </c>
      <c r="J1851" s="273">
        <v>8.8258600000000005</v>
      </c>
      <c r="K1851" s="273">
        <v>7.2155899999999997</v>
      </c>
      <c r="L1851" s="273">
        <v>1.6102700000000001</v>
      </c>
    </row>
    <row r="1852" spans="1:12" ht="26.4" customHeight="1">
      <c r="A1852" s="221">
        <v>36</v>
      </c>
      <c r="B1852" s="526"/>
      <c r="C1852" s="201" t="s">
        <v>1797</v>
      </c>
      <c r="D1852" s="266" t="s">
        <v>3</v>
      </c>
      <c r="E1852" s="203" t="s">
        <v>1903</v>
      </c>
      <c r="F1852" s="203" t="s">
        <v>581</v>
      </c>
      <c r="G1852" s="252" t="s">
        <v>3</v>
      </c>
      <c r="H1852" s="262" t="s">
        <v>631</v>
      </c>
      <c r="I1852" s="285">
        <v>1946</v>
      </c>
      <c r="J1852" s="273">
        <v>353.52911999999998</v>
      </c>
      <c r="K1852" s="273">
        <v>171.15258</v>
      </c>
      <c r="L1852" s="273">
        <v>182.37654000000001</v>
      </c>
    </row>
    <row r="1853" spans="1:12" ht="26.4" customHeight="1">
      <c r="A1853" s="221">
        <v>37</v>
      </c>
      <c r="B1853" s="526"/>
      <c r="C1853" s="201" t="s">
        <v>1797</v>
      </c>
      <c r="D1853" s="266" t="s">
        <v>3</v>
      </c>
      <c r="E1853" s="203" t="s">
        <v>1903</v>
      </c>
      <c r="F1853" s="203" t="s">
        <v>580</v>
      </c>
      <c r="G1853" s="252" t="s">
        <v>3</v>
      </c>
      <c r="H1853" s="262" t="s">
        <v>631</v>
      </c>
      <c r="I1853" s="285">
        <v>307</v>
      </c>
      <c r="J1853" s="273">
        <v>337.94600000000003</v>
      </c>
      <c r="K1853" s="273">
        <v>231.04732000000001</v>
      </c>
      <c r="L1853" s="273">
        <v>106.89868</v>
      </c>
    </row>
    <row r="1854" spans="1:12" ht="26.4" customHeight="1">
      <c r="A1854" s="221">
        <v>38</v>
      </c>
      <c r="B1854" s="526"/>
      <c r="C1854" s="201" t="s">
        <v>1797</v>
      </c>
      <c r="D1854" s="266" t="s">
        <v>1948</v>
      </c>
      <c r="E1854" s="203" t="s">
        <v>1848</v>
      </c>
      <c r="F1854" s="203" t="s">
        <v>579</v>
      </c>
      <c r="G1854" s="230" t="s">
        <v>1533</v>
      </c>
      <c r="H1854" s="262" t="s">
        <v>1138</v>
      </c>
      <c r="I1854" s="285">
        <v>1</v>
      </c>
      <c r="J1854" s="273">
        <v>956.31293000000005</v>
      </c>
      <c r="K1854" s="273">
        <v>514.07870000000003</v>
      </c>
      <c r="L1854" s="273">
        <v>442.23423000000003</v>
      </c>
    </row>
    <row r="1855" spans="1:12" ht="26.4" customHeight="1">
      <c r="A1855" s="221">
        <v>39</v>
      </c>
      <c r="B1855" s="526"/>
      <c r="C1855" s="201" t="s">
        <v>1797</v>
      </c>
      <c r="D1855" s="266" t="s">
        <v>1948</v>
      </c>
      <c r="E1855" s="203" t="s">
        <v>1905</v>
      </c>
      <c r="F1855" s="203" t="s">
        <v>578</v>
      </c>
      <c r="G1855" s="252" t="s">
        <v>3</v>
      </c>
      <c r="H1855" s="262" t="s">
        <v>1138</v>
      </c>
      <c r="I1855" s="285">
        <v>1</v>
      </c>
      <c r="J1855" s="273">
        <v>155.68727999999999</v>
      </c>
      <c r="K1855" s="273">
        <v>35.462130000000002</v>
      </c>
      <c r="L1855" s="273">
        <v>120.22515</v>
      </c>
    </row>
    <row r="1856" spans="1:12" ht="26.4" customHeight="1">
      <c r="A1856" s="221">
        <v>40</v>
      </c>
      <c r="B1856" s="526"/>
      <c r="C1856" s="201" t="s">
        <v>1797</v>
      </c>
      <c r="D1856" s="266" t="s">
        <v>1948</v>
      </c>
      <c r="E1856" s="203" t="s">
        <v>478</v>
      </c>
      <c r="F1856" s="203" t="s">
        <v>577</v>
      </c>
      <c r="G1856" s="252" t="s">
        <v>3</v>
      </c>
      <c r="H1856" s="262" t="s">
        <v>1138</v>
      </c>
      <c r="I1856" s="285">
        <v>1</v>
      </c>
      <c r="J1856" s="273">
        <v>1.1459999999999999</v>
      </c>
      <c r="K1856" s="273">
        <v>1.1459999999999999</v>
      </c>
      <c r="L1856" s="273">
        <v>0</v>
      </c>
    </row>
    <row r="1857" spans="1:12" ht="26.4" customHeight="1">
      <c r="A1857" s="221">
        <v>41</v>
      </c>
      <c r="B1857" s="526"/>
      <c r="C1857" s="201" t="s">
        <v>1797</v>
      </c>
      <c r="D1857" s="266" t="s">
        <v>1948</v>
      </c>
      <c r="E1857" s="203" t="s">
        <v>478</v>
      </c>
      <c r="F1857" s="203" t="s">
        <v>576</v>
      </c>
      <c r="G1857" s="252" t="s">
        <v>3</v>
      </c>
      <c r="H1857" s="262" t="s">
        <v>1138</v>
      </c>
      <c r="I1857" s="285">
        <v>1</v>
      </c>
      <c r="J1857" s="273">
        <v>1.1459999999999999</v>
      </c>
      <c r="K1857" s="273">
        <v>1.1459999999999999</v>
      </c>
      <c r="L1857" s="273">
        <v>0</v>
      </c>
    </row>
    <row r="1858" spans="1:12" ht="26.4" customHeight="1">
      <c r="A1858" s="221">
        <v>42</v>
      </c>
      <c r="B1858" s="526"/>
      <c r="C1858" s="201" t="s">
        <v>1797</v>
      </c>
      <c r="D1858" s="253" t="s">
        <v>2207</v>
      </c>
      <c r="E1858" s="203" t="s">
        <v>2386</v>
      </c>
      <c r="F1858" s="203" t="s">
        <v>575</v>
      </c>
      <c r="G1858" s="252" t="s">
        <v>3</v>
      </c>
      <c r="H1858" s="262" t="s">
        <v>631</v>
      </c>
      <c r="I1858" s="285">
        <v>399</v>
      </c>
      <c r="J1858" s="273">
        <v>512.70509000000004</v>
      </c>
      <c r="K1858" s="273">
        <v>371.44022999999999</v>
      </c>
      <c r="L1858" s="273">
        <v>141.26486</v>
      </c>
    </row>
    <row r="1859" spans="1:12" ht="26.4" customHeight="1">
      <c r="A1859" s="221">
        <v>43</v>
      </c>
      <c r="B1859" s="526"/>
      <c r="C1859" s="201" t="s">
        <v>1797</v>
      </c>
      <c r="D1859" s="253" t="s">
        <v>2207</v>
      </c>
      <c r="E1859" s="203" t="s">
        <v>2475</v>
      </c>
      <c r="F1859" s="203" t="s">
        <v>574</v>
      </c>
      <c r="G1859" s="252" t="s">
        <v>3</v>
      </c>
      <c r="H1859" s="262" t="s">
        <v>631</v>
      </c>
      <c r="I1859" s="285">
        <v>201</v>
      </c>
      <c r="J1859" s="273">
        <v>11.86666</v>
      </c>
      <c r="K1859" s="273">
        <v>11.86666</v>
      </c>
      <c r="L1859" s="273">
        <v>0</v>
      </c>
    </row>
    <row r="1860" spans="1:12" ht="26.4" customHeight="1">
      <c r="A1860" s="221">
        <v>44</v>
      </c>
      <c r="B1860" s="526"/>
      <c r="C1860" s="201" t="s">
        <v>1797</v>
      </c>
      <c r="D1860" s="253" t="s">
        <v>2207</v>
      </c>
      <c r="E1860" s="203" t="s">
        <v>2476</v>
      </c>
      <c r="F1860" s="203" t="s">
        <v>573</v>
      </c>
      <c r="G1860" s="252" t="s">
        <v>3</v>
      </c>
      <c r="H1860" s="262" t="s">
        <v>631</v>
      </c>
      <c r="I1860" s="285">
        <v>274</v>
      </c>
      <c r="J1860" s="273">
        <v>21.478000000000002</v>
      </c>
      <c r="K1860" s="273">
        <v>18.524010000000001</v>
      </c>
      <c r="L1860" s="273">
        <v>2.9539900000000001</v>
      </c>
    </row>
    <row r="1861" spans="1:12" ht="26.4" customHeight="1">
      <c r="A1861" s="221">
        <v>45</v>
      </c>
      <c r="B1861" s="526"/>
      <c r="C1861" s="201" t="s">
        <v>1797</v>
      </c>
      <c r="D1861" s="253" t="s">
        <v>2207</v>
      </c>
      <c r="E1861" s="203" t="s">
        <v>2477</v>
      </c>
      <c r="F1861" s="203" t="s">
        <v>572</v>
      </c>
      <c r="G1861" s="252" t="s">
        <v>3</v>
      </c>
      <c r="H1861" s="262" t="s">
        <v>631</v>
      </c>
      <c r="I1861" s="285">
        <v>244</v>
      </c>
      <c r="J1861" s="273">
        <v>122.49227999999999</v>
      </c>
      <c r="K1861" s="273">
        <v>43.114750000000001</v>
      </c>
      <c r="L1861" s="273">
        <v>79.377529999999993</v>
      </c>
    </row>
    <row r="1862" spans="1:12" ht="26.4" customHeight="1">
      <c r="A1862" s="221">
        <v>46</v>
      </c>
      <c r="B1862" s="526"/>
      <c r="C1862" s="201" t="s">
        <v>1797</v>
      </c>
      <c r="D1862" s="253" t="s">
        <v>2207</v>
      </c>
      <c r="E1862" s="203" t="s">
        <v>2478</v>
      </c>
      <c r="F1862" s="203" t="s">
        <v>571</v>
      </c>
      <c r="G1862" s="252" t="s">
        <v>3</v>
      </c>
      <c r="H1862" s="262" t="s">
        <v>631</v>
      </c>
      <c r="I1862" s="285">
        <v>46</v>
      </c>
      <c r="J1862" s="273">
        <v>18.312000000000001</v>
      </c>
      <c r="K1862" s="273">
        <v>16.142990000000001</v>
      </c>
      <c r="L1862" s="273">
        <v>2.1690100000000001</v>
      </c>
    </row>
    <row r="1863" spans="1:12" ht="26.4" customHeight="1">
      <c r="A1863" s="221">
        <v>47</v>
      </c>
      <c r="B1863" s="526"/>
      <c r="C1863" s="201" t="s">
        <v>1797</v>
      </c>
      <c r="D1863" s="253" t="s">
        <v>2207</v>
      </c>
      <c r="E1863" s="203" t="s">
        <v>1282</v>
      </c>
      <c r="F1863" s="203" t="s">
        <v>570</v>
      </c>
      <c r="G1863" s="230" t="s">
        <v>1543</v>
      </c>
      <c r="H1863" s="262" t="s">
        <v>1138</v>
      </c>
      <c r="I1863" s="285">
        <v>1</v>
      </c>
      <c r="J1863" s="273">
        <v>128.17693</v>
      </c>
      <c r="K1863" s="273">
        <v>77.907730000000001</v>
      </c>
      <c r="L1863" s="273">
        <v>50.269199999999998</v>
      </c>
    </row>
    <row r="1864" spans="1:12" ht="26.4" customHeight="1">
      <c r="A1864" s="221">
        <v>48</v>
      </c>
      <c r="B1864" s="526"/>
      <c r="C1864" s="201" t="s">
        <v>1797</v>
      </c>
      <c r="D1864" s="253" t="s">
        <v>2207</v>
      </c>
      <c r="E1864" s="203" t="s">
        <v>1312</v>
      </c>
      <c r="F1864" s="203" t="s">
        <v>569</v>
      </c>
      <c r="G1864" s="252" t="s">
        <v>3</v>
      </c>
      <c r="H1864" s="262" t="s">
        <v>1138</v>
      </c>
      <c r="I1864" s="285">
        <v>1</v>
      </c>
      <c r="J1864" s="273">
        <v>10.348000000000001</v>
      </c>
      <c r="K1864" s="273">
        <v>7.4801599999999997</v>
      </c>
      <c r="L1864" s="273">
        <v>2.8678400000000002</v>
      </c>
    </row>
    <row r="1865" spans="1:12" ht="26.4" customHeight="1">
      <c r="A1865" s="221">
        <v>49</v>
      </c>
      <c r="B1865" s="526"/>
      <c r="C1865" s="201" t="s">
        <v>1797</v>
      </c>
      <c r="D1865" s="253" t="s">
        <v>2207</v>
      </c>
      <c r="E1865" s="203" t="s">
        <v>1906</v>
      </c>
      <c r="F1865" s="203" t="s">
        <v>568</v>
      </c>
      <c r="G1865" s="252" t="s">
        <v>3</v>
      </c>
      <c r="H1865" s="262" t="s">
        <v>631</v>
      </c>
      <c r="I1865" s="285">
        <v>648</v>
      </c>
      <c r="J1865" s="273">
        <v>156.41811000000001</v>
      </c>
      <c r="K1865" s="273">
        <v>121.60120999999999</v>
      </c>
      <c r="L1865" s="273">
        <v>34.816899999999997</v>
      </c>
    </row>
    <row r="1866" spans="1:12" ht="26.4" customHeight="1">
      <c r="A1866" s="221">
        <v>50</v>
      </c>
      <c r="B1866" s="526"/>
      <c r="C1866" s="201" t="s">
        <v>1797</v>
      </c>
      <c r="D1866" s="266" t="s">
        <v>1949</v>
      </c>
      <c r="E1866" s="203" t="s">
        <v>567</v>
      </c>
      <c r="F1866" s="203" t="s">
        <v>566</v>
      </c>
      <c r="G1866" s="230" t="s">
        <v>1565</v>
      </c>
      <c r="H1866" s="262" t="s">
        <v>1138</v>
      </c>
      <c r="I1866" s="285">
        <v>1</v>
      </c>
      <c r="J1866" s="273">
        <v>531.54391999999996</v>
      </c>
      <c r="K1866" s="273">
        <v>321.04937999999999</v>
      </c>
      <c r="L1866" s="273">
        <v>210.49454</v>
      </c>
    </row>
    <row r="1867" spans="1:12" ht="26.4" customHeight="1">
      <c r="A1867" s="221">
        <v>51</v>
      </c>
      <c r="B1867" s="526"/>
      <c r="C1867" s="201" t="s">
        <v>1797</v>
      </c>
      <c r="D1867" s="266" t="s">
        <v>1949</v>
      </c>
      <c r="E1867" s="203" t="s">
        <v>1283</v>
      </c>
      <c r="F1867" s="203" t="s">
        <v>565</v>
      </c>
      <c r="G1867" s="252" t="s">
        <v>3</v>
      </c>
      <c r="H1867" s="262" t="s">
        <v>1138</v>
      </c>
      <c r="I1867" s="285">
        <v>1</v>
      </c>
      <c r="J1867" s="273">
        <v>4.8499999999999996</v>
      </c>
      <c r="K1867" s="273">
        <v>4.02095</v>
      </c>
      <c r="L1867" s="273">
        <v>0.82904999999999995</v>
      </c>
    </row>
    <row r="1868" spans="1:12" ht="26.4" customHeight="1">
      <c r="A1868" s="221">
        <v>52</v>
      </c>
      <c r="B1868" s="526"/>
      <c r="C1868" s="201" t="s">
        <v>1797</v>
      </c>
      <c r="D1868" s="266" t="s">
        <v>1949</v>
      </c>
      <c r="E1868" s="203" t="s">
        <v>1283</v>
      </c>
      <c r="F1868" s="203" t="s">
        <v>564</v>
      </c>
      <c r="G1868" s="252" t="s">
        <v>3</v>
      </c>
      <c r="H1868" s="262" t="s">
        <v>1138</v>
      </c>
      <c r="I1868" s="285">
        <v>1</v>
      </c>
      <c r="J1868" s="273">
        <v>4.8499999999999996</v>
      </c>
      <c r="K1868" s="273">
        <v>4.02095</v>
      </c>
      <c r="L1868" s="273">
        <v>0.82904999999999995</v>
      </c>
    </row>
    <row r="1869" spans="1:12" ht="26.4" customHeight="1">
      <c r="A1869" s="221">
        <v>53</v>
      </c>
      <c r="B1869" s="526"/>
      <c r="C1869" s="201" t="s">
        <v>1797</v>
      </c>
      <c r="D1869" s="266" t="s">
        <v>1949</v>
      </c>
      <c r="E1869" s="203" t="s">
        <v>1284</v>
      </c>
      <c r="F1869" s="203" t="s">
        <v>563</v>
      </c>
      <c r="G1869" s="252" t="s">
        <v>3</v>
      </c>
      <c r="H1869" s="262" t="s">
        <v>1138</v>
      </c>
      <c r="I1869" s="285">
        <v>1</v>
      </c>
      <c r="J1869" s="273">
        <v>14.56203</v>
      </c>
      <c r="K1869" s="273">
        <v>11.51145</v>
      </c>
      <c r="L1869" s="273">
        <v>3.0505800000000001</v>
      </c>
    </row>
    <row r="1870" spans="1:12" ht="26.4" customHeight="1">
      <c r="A1870" s="221">
        <v>54</v>
      </c>
      <c r="B1870" s="526"/>
      <c r="C1870" s="201" t="s">
        <v>1797</v>
      </c>
      <c r="D1870" s="266" t="s">
        <v>1949</v>
      </c>
      <c r="E1870" s="203" t="s">
        <v>1826</v>
      </c>
      <c r="F1870" s="203" t="s">
        <v>562</v>
      </c>
      <c r="G1870" s="252" t="s">
        <v>3</v>
      </c>
      <c r="H1870" s="262" t="s">
        <v>631</v>
      </c>
      <c r="I1870" s="285">
        <v>884</v>
      </c>
      <c r="J1870" s="273">
        <v>485.54953</v>
      </c>
      <c r="K1870" s="273">
        <v>315.47375</v>
      </c>
      <c r="L1870" s="273">
        <v>170.07578000000001</v>
      </c>
    </row>
    <row r="1871" spans="1:12" s="216" customFormat="1" ht="26.4" customHeight="1">
      <c r="A1871" s="213">
        <v>55</v>
      </c>
      <c r="B1871" s="526"/>
      <c r="C1871" s="201" t="s">
        <v>1797</v>
      </c>
      <c r="D1871" s="266" t="s">
        <v>1950</v>
      </c>
      <c r="E1871" s="214" t="s">
        <v>1285</v>
      </c>
      <c r="F1871" s="214" t="s">
        <v>561</v>
      </c>
      <c r="G1871" s="254" t="s">
        <v>1552</v>
      </c>
      <c r="H1871" s="262" t="s">
        <v>1138</v>
      </c>
      <c r="I1871" s="250">
        <v>1</v>
      </c>
      <c r="J1871" s="273">
        <v>461.56491</v>
      </c>
      <c r="K1871" s="273">
        <v>98.108199999999997</v>
      </c>
      <c r="L1871" s="273">
        <v>363.45670999999999</v>
      </c>
    </row>
    <row r="1872" spans="1:12" ht="26.4" customHeight="1">
      <c r="A1872" s="221">
        <v>56</v>
      </c>
      <c r="B1872" s="526"/>
      <c r="C1872" s="201" t="s">
        <v>1797</v>
      </c>
      <c r="D1872" s="266" t="s">
        <v>1950</v>
      </c>
      <c r="E1872" s="203" t="s">
        <v>1286</v>
      </c>
      <c r="F1872" s="203" t="s">
        <v>560</v>
      </c>
      <c r="G1872" s="252" t="s">
        <v>3</v>
      </c>
      <c r="H1872" s="262" t="s">
        <v>1138</v>
      </c>
      <c r="I1872" s="285">
        <v>1</v>
      </c>
      <c r="J1872" s="273">
        <v>79.166669999999996</v>
      </c>
      <c r="K1872" s="273">
        <v>65.225139999999996</v>
      </c>
      <c r="L1872" s="273">
        <v>13.94153</v>
      </c>
    </row>
    <row r="1873" spans="1:12" ht="26.4" customHeight="1">
      <c r="A1873" s="221">
        <v>57</v>
      </c>
      <c r="B1873" s="526"/>
      <c r="C1873" s="201" t="s">
        <v>1797</v>
      </c>
      <c r="D1873" s="266" t="s">
        <v>1950</v>
      </c>
      <c r="E1873" s="203" t="s">
        <v>1286</v>
      </c>
      <c r="F1873" s="203" t="s">
        <v>559</v>
      </c>
      <c r="G1873" s="252" t="s">
        <v>3</v>
      </c>
      <c r="H1873" s="262" t="s">
        <v>1138</v>
      </c>
      <c r="I1873" s="285">
        <v>1</v>
      </c>
      <c r="J1873" s="273">
        <v>4.5</v>
      </c>
      <c r="K1873" s="273">
        <v>4.5</v>
      </c>
      <c r="L1873" s="273">
        <v>0</v>
      </c>
    </row>
    <row r="1874" spans="1:12" ht="26.4" customHeight="1">
      <c r="A1874" s="221">
        <v>58</v>
      </c>
      <c r="B1874" s="526"/>
      <c r="C1874" s="201" t="s">
        <v>1797</v>
      </c>
      <c r="D1874" s="266" t="s">
        <v>1950</v>
      </c>
      <c r="E1874" s="203" t="s">
        <v>2311</v>
      </c>
      <c r="F1874" s="203" t="s">
        <v>558</v>
      </c>
      <c r="G1874" s="252" t="s">
        <v>3</v>
      </c>
      <c r="H1874" s="262" t="s">
        <v>631</v>
      </c>
      <c r="I1874" s="285">
        <v>256</v>
      </c>
      <c r="J1874" s="273">
        <v>31.581579999999999</v>
      </c>
      <c r="K1874" s="273">
        <v>25.264800000000001</v>
      </c>
      <c r="L1874" s="273">
        <v>6.3167799999999996</v>
      </c>
    </row>
    <row r="1875" spans="1:12" ht="26.4" customHeight="1">
      <c r="A1875" s="221">
        <v>59</v>
      </c>
      <c r="B1875" s="526"/>
      <c r="C1875" s="201" t="s">
        <v>1797</v>
      </c>
      <c r="D1875" s="266" t="s">
        <v>1950</v>
      </c>
      <c r="E1875" s="203" t="s">
        <v>2313</v>
      </c>
      <c r="F1875" s="203" t="s">
        <v>557</v>
      </c>
      <c r="G1875" s="252" t="s">
        <v>3</v>
      </c>
      <c r="H1875" s="262" t="s">
        <v>631</v>
      </c>
      <c r="I1875" s="285">
        <v>414</v>
      </c>
      <c r="J1875" s="273">
        <v>90.382949999999994</v>
      </c>
      <c r="K1875" s="273">
        <v>45.901110000000003</v>
      </c>
      <c r="L1875" s="273">
        <v>44.481839999999998</v>
      </c>
    </row>
    <row r="1876" spans="1:12" ht="26.4" customHeight="1">
      <c r="A1876" s="221">
        <v>60</v>
      </c>
      <c r="B1876" s="526"/>
      <c r="C1876" s="201" t="s">
        <v>1797</v>
      </c>
      <c r="D1876" s="266" t="s">
        <v>1950</v>
      </c>
      <c r="E1876" s="203" t="s">
        <v>2312</v>
      </c>
      <c r="F1876" s="203" t="s">
        <v>556</v>
      </c>
      <c r="G1876" s="252" t="s">
        <v>3</v>
      </c>
      <c r="H1876" s="262" t="s">
        <v>631</v>
      </c>
      <c r="I1876" s="285">
        <v>267</v>
      </c>
      <c r="J1876" s="273">
        <v>3.4255</v>
      </c>
      <c r="K1876" s="273">
        <v>2.7382200000000001</v>
      </c>
      <c r="L1876" s="273">
        <v>0.68728</v>
      </c>
    </row>
    <row r="1877" spans="1:12" ht="26.4" customHeight="1">
      <c r="A1877" s="221">
        <v>61</v>
      </c>
      <c r="B1877" s="526"/>
      <c r="C1877" s="201" t="s">
        <v>1797</v>
      </c>
      <c r="D1877" s="266" t="s">
        <v>1950</v>
      </c>
      <c r="E1877" s="203" t="s">
        <v>2314</v>
      </c>
      <c r="F1877" s="203" t="s">
        <v>555</v>
      </c>
      <c r="G1877" s="252" t="s">
        <v>3</v>
      </c>
      <c r="H1877" s="262" t="s">
        <v>631</v>
      </c>
      <c r="I1877" s="285">
        <v>82</v>
      </c>
      <c r="J1877" s="273">
        <v>0.67649999999999999</v>
      </c>
      <c r="K1877" s="273">
        <v>0.54144000000000003</v>
      </c>
      <c r="L1877" s="273">
        <v>0.13506000000000001</v>
      </c>
    </row>
    <row r="1878" spans="1:12" ht="26.4" customHeight="1">
      <c r="A1878" s="221">
        <v>62</v>
      </c>
      <c r="B1878" s="526"/>
      <c r="C1878" s="201" t="s">
        <v>1797</v>
      </c>
      <c r="D1878" s="266" t="s">
        <v>1950</v>
      </c>
      <c r="E1878" s="203" t="s">
        <v>2315</v>
      </c>
      <c r="F1878" s="203" t="s">
        <v>554</v>
      </c>
      <c r="G1878" s="252" t="s">
        <v>3</v>
      </c>
      <c r="H1878" s="262" t="s">
        <v>631</v>
      </c>
      <c r="I1878" s="285">
        <v>136</v>
      </c>
      <c r="J1878" s="273">
        <v>0.43</v>
      </c>
      <c r="K1878" s="273">
        <v>0.34416000000000002</v>
      </c>
      <c r="L1878" s="273">
        <v>8.584E-2</v>
      </c>
    </row>
    <row r="1879" spans="1:12" ht="26.4" customHeight="1">
      <c r="A1879" s="221">
        <v>63</v>
      </c>
      <c r="B1879" s="526"/>
      <c r="C1879" s="201" t="s">
        <v>1996</v>
      </c>
      <c r="D1879" s="266" t="s">
        <v>1950</v>
      </c>
      <c r="E1879" s="203" t="s">
        <v>1903</v>
      </c>
      <c r="F1879" s="203" t="s">
        <v>553</v>
      </c>
      <c r="G1879" s="252" t="s">
        <v>3</v>
      </c>
      <c r="H1879" s="262" t="s">
        <v>631</v>
      </c>
      <c r="I1879" s="285">
        <v>50</v>
      </c>
      <c r="J1879" s="273">
        <v>5.8712499999999999</v>
      </c>
      <c r="K1879" s="273">
        <v>4.1337599999999997</v>
      </c>
      <c r="L1879" s="273">
        <v>1.73749</v>
      </c>
    </row>
    <row r="1880" spans="1:12" ht="26.4" customHeight="1">
      <c r="A1880" s="221">
        <v>64</v>
      </c>
      <c r="B1880" s="526"/>
      <c r="C1880" s="201" t="s">
        <v>1797</v>
      </c>
      <c r="D1880" s="266" t="s">
        <v>2145</v>
      </c>
      <c r="E1880" s="203" t="s">
        <v>552</v>
      </c>
      <c r="F1880" s="203" t="s">
        <v>551</v>
      </c>
      <c r="G1880" s="230" t="s">
        <v>1579</v>
      </c>
      <c r="H1880" s="262" t="s">
        <v>1138</v>
      </c>
      <c r="I1880" s="285">
        <v>1</v>
      </c>
      <c r="J1880" s="273">
        <v>548.59639000000004</v>
      </c>
      <c r="K1880" s="273">
        <v>309.40607</v>
      </c>
      <c r="L1880" s="273">
        <v>239.19032000000001</v>
      </c>
    </row>
    <row r="1881" spans="1:12" ht="26.4" customHeight="1">
      <c r="A1881" s="221">
        <v>65</v>
      </c>
      <c r="B1881" s="526"/>
      <c r="C1881" s="201" t="s">
        <v>1797</v>
      </c>
      <c r="D1881" s="266" t="s">
        <v>2145</v>
      </c>
      <c r="E1881" s="203" t="s">
        <v>1903</v>
      </c>
      <c r="F1881" s="203" t="s">
        <v>550</v>
      </c>
      <c r="G1881" s="252" t="s">
        <v>3</v>
      </c>
      <c r="H1881" s="262" t="s">
        <v>631</v>
      </c>
      <c r="I1881" s="285">
        <v>246</v>
      </c>
      <c r="J1881" s="273">
        <v>146.78199000000001</v>
      </c>
      <c r="K1881" s="273">
        <v>80.66968</v>
      </c>
      <c r="L1881" s="273">
        <v>66.112309999999994</v>
      </c>
    </row>
    <row r="1882" spans="1:12" ht="26.4" customHeight="1">
      <c r="A1882" s="221">
        <v>66</v>
      </c>
      <c r="B1882" s="526"/>
      <c r="C1882" s="201" t="s">
        <v>1797</v>
      </c>
      <c r="D1882" s="266" t="s">
        <v>2145</v>
      </c>
      <c r="E1882" s="203" t="s">
        <v>1903</v>
      </c>
      <c r="F1882" s="203" t="s">
        <v>549</v>
      </c>
      <c r="G1882" s="252" t="s">
        <v>3</v>
      </c>
      <c r="H1882" s="262" t="s">
        <v>631</v>
      </c>
      <c r="I1882" s="285">
        <v>83</v>
      </c>
      <c r="J1882" s="273">
        <v>63.259590000000003</v>
      </c>
      <c r="K1882" s="273">
        <v>38.425440000000002</v>
      </c>
      <c r="L1882" s="273">
        <v>24.834150000000001</v>
      </c>
    </row>
    <row r="1883" spans="1:12" ht="26.4" customHeight="1">
      <c r="A1883" s="221">
        <v>67</v>
      </c>
      <c r="B1883" s="526"/>
      <c r="C1883" s="201" t="s">
        <v>1797</v>
      </c>
      <c r="D1883" s="266" t="s">
        <v>2145</v>
      </c>
      <c r="E1883" s="203" t="s">
        <v>1903</v>
      </c>
      <c r="F1883" s="203" t="s">
        <v>548</v>
      </c>
      <c r="G1883" s="252" t="s">
        <v>3</v>
      </c>
      <c r="H1883" s="262" t="s">
        <v>631</v>
      </c>
      <c r="I1883" s="285">
        <v>130</v>
      </c>
      <c r="J1883" s="273">
        <v>32.938510000000001</v>
      </c>
      <c r="K1883" s="273">
        <v>17.68337</v>
      </c>
      <c r="L1883" s="273">
        <v>15.255140000000001</v>
      </c>
    </row>
    <row r="1884" spans="1:12" ht="26.4" customHeight="1">
      <c r="A1884" s="221">
        <v>68</v>
      </c>
      <c r="B1884" s="526"/>
      <c r="C1884" s="201" t="s">
        <v>1797</v>
      </c>
      <c r="D1884" s="266" t="s">
        <v>2145</v>
      </c>
      <c r="E1884" s="203" t="s">
        <v>1903</v>
      </c>
      <c r="F1884" s="203" t="s">
        <v>547</v>
      </c>
      <c r="G1884" s="252" t="s">
        <v>3</v>
      </c>
      <c r="H1884" s="262" t="s">
        <v>631</v>
      </c>
      <c r="I1884" s="285">
        <v>87</v>
      </c>
      <c r="J1884" s="273">
        <v>59.901009999999999</v>
      </c>
      <c r="K1884" s="273">
        <v>41.40146</v>
      </c>
      <c r="L1884" s="273">
        <v>18.499549999999999</v>
      </c>
    </row>
    <row r="1885" spans="1:12" ht="26.4" customHeight="1">
      <c r="A1885" s="221">
        <v>69</v>
      </c>
      <c r="B1885" s="526"/>
      <c r="C1885" s="201" t="s">
        <v>1797</v>
      </c>
      <c r="D1885" s="266" t="s">
        <v>2145</v>
      </c>
      <c r="E1885" s="203" t="s">
        <v>1287</v>
      </c>
      <c r="F1885" s="203" t="s">
        <v>546</v>
      </c>
      <c r="G1885" s="252" t="s">
        <v>3</v>
      </c>
      <c r="H1885" s="262" t="s">
        <v>1138</v>
      </c>
      <c r="I1885" s="251">
        <v>1</v>
      </c>
      <c r="J1885" s="273">
        <v>62.5</v>
      </c>
      <c r="K1885" s="273">
        <v>49.019190000000002</v>
      </c>
      <c r="L1885" s="273">
        <v>13.48081</v>
      </c>
    </row>
    <row r="1886" spans="1:12" ht="26.4" customHeight="1">
      <c r="A1886" s="221">
        <v>70</v>
      </c>
      <c r="B1886" s="526"/>
      <c r="C1886" s="201" t="s">
        <v>1797</v>
      </c>
      <c r="D1886" s="266" t="s">
        <v>2145</v>
      </c>
      <c r="E1886" s="203" t="s">
        <v>1288</v>
      </c>
      <c r="F1886" s="203" t="s">
        <v>545</v>
      </c>
      <c r="G1886" s="252" t="s">
        <v>3</v>
      </c>
      <c r="H1886" s="262" t="s">
        <v>1138</v>
      </c>
      <c r="I1886" s="251">
        <v>1</v>
      </c>
      <c r="J1886" s="273">
        <v>9.7874300000000005</v>
      </c>
      <c r="K1886" s="273">
        <v>8.2616200000000006</v>
      </c>
      <c r="L1886" s="273">
        <v>1.5258100000000001</v>
      </c>
    </row>
    <row r="1887" spans="1:12" ht="26.4" customHeight="1">
      <c r="A1887" s="221">
        <v>71</v>
      </c>
      <c r="B1887" s="526"/>
      <c r="C1887" s="201" t="s">
        <v>1797</v>
      </c>
      <c r="D1887" s="266" t="s">
        <v>2145</v>
      </c>
      <c r="E1887" s="203" t="s">
        <v>1903</v>
      </c>
      <c r="F1887" s="203" t="s">
        <v>544</v>
      </c>
      <c r="G1887" s="252" t="s">
        <v>3</v>
      </c>
      <c r="H1887" s="262" t="s">
        <v>631</v>
      </c>
      <c r="I1887" s="285">
        <v>435</v>
      </c>
      <c r="J1887" s="273">
        <v>138.51582999999999</v>
      </c>
      <c r="K1887" s="273">
        <v>116.92771</v>
      </c>
      <c r="L1887" s="273">
        <v>21.58812</v>
      </c>
    </row>
    <row r="1888" spans="1:12" ht="26.4" customHeight="1">
      <c r="A1888" s="221">
        <v>72</v>
      </c>
      <c r="B1888" s="526"/>
      <c r="C1888" s="201" t="s">
        <v>1797</v>
      </c>
      <c r="D1888" s="266" t="s">
        <v>2145</v>
      </c>
      <c r="E1888" s="203" t="s">
        <v>2316</v>
      </c>
      <c r="F1888" s="203" t="s">
        <v>543</v>
      </c>
      <c r="G1888" s="252" t="s">
        <v>3</v>
      </c>
      <c r="H1888" s="262" t="s">
        <v>631</v>
      </c>
      <c r="I1888" s="285">
        <v>13</v>
      </c>
      <c r="J1888" s="273">
        <v>11.718170000000001</v>
      </c>
      <c r="K1888" s="273">
        <v>9.8459699999999994</v>
      </c>
      <c r="L1888" s="273">
        <v>1.8722000000000001</v>
      </c>
    </row>
    <row r="1889" spans="1:12" ht="26.4" customHeight="1">
      <c r="A1889" s="221">
        <v>73</v>
      </c>
      <c r="B1889" s="526"/>
      <c r="C1889" s="201" t="s">
        <v>1797</v>
      </c>
      <c r="D1889" s="266" t="s">
        <v>2145</v>
      </c>
      <c r="E1889" s="203" t="s">
        <v>2317</v>
      </c>
      <c r="F1889" s="203" t="s">
        <v>542</v>
      </c>
      <c r="G1889" s="252" t="s">
        <v>3</v>
      </c>
      <c r="H1889" s="262" t="s">
        <v>631</v>
      </c>
      <c r="I1889" s="285">
        <v>65</v>
      </c>
      <c r="J1889" s="273">
        <v>52.724290000000003</v>
      </c>
      <c r="K1889" s="273">
        <v>22.26538</v>
      </c>
      <c r="L1889" s="273">
        <v>30.458909999999999</v>
      </c>
    </row>
    <row r="1890" spans="1:12" ht="26.4" customHeight="1">
      <c r="A1890" s="221">
        <v>74</v>
      </c>
      <c r="B1890" s="526"/>
      <c r="C1890" s="201" t="s">
        <v>1797</v>
      </c>
      <c r="D1890" s="266" t="s">
        <v>2145</v>
      </c>
      <c r="E1890" s="203" t="s">
        <v>2318</v>
      </c>
      <c r="F1890" s="203" t="s">
        <v>541</v>
      </c>
      <c r="G1890" s="252" t="s">
        <v>3</v>
      </c>
      <c r="H1890" s="262" t="s">
        <v>1138</v>
      </c>
      <c r="I1890" s="251">
        <v>1</v>
      </c>
      <c r="J1890" s="273">
        <v>8.2540000000000002E-2</v>
      </c>
      <c r="K1890" s="273">
        <v>5.9909999999999998E-2</v>
      </c>
      <c r="L1890" s="273">
        <v>2.2630000000000001E-2</v>
      </c>
    </row>
    <row r="1891" spans="1:12" ht="26.4" customHeight="1">
      <c r="A1891" s="221">
        <v>75</v>
      </c>
      <c r="B1891" s="526"/>
      <c r="C1891" s="201" t="s">
        <v>1797</v>
      </c>
      <c r="D1891" s="266" t="s">
        <v>1951</v>
      </c>
      <c r="E1891" s="203" t="s">
        <v>540</v>
      </c>
      <c r="F1891" s="203" t="s">
        <v>539</v>
      </c>
      <c r="G1891" s="230" t="s">
        <v>1534</v>
      </c>
      <c r="H1891" s="475" t="s">
        <v>1138</v>
      </c>
      <c r="I1891" s="251">
        <v>1</v>
      </c>
      <c r="J1891" s="273">
        <v>238.96852000000001</v>
      </c>
      <c r="K1891" s="273">
        <v>129.34415999999999</v>
      </c>
      <c r="L1891" s="273">
        <v>109.62436</v>
      </c>
    </row>
    <row r="1892" spans="1:12" ht="26.4" customHeight="1">
      <c r="A1892" s="221">
        <v>76</v>
      </c>
      <c r="B1892" s="526"/>
      <c r="C1892" s="201" t="s">
        <v>1797</v>
      </c>
      <c r="D1892" s="266" t="s">
        <v>1951</v>
      </c>
      <c r="E1892" s="203" t="s">
        <v>2479</v>
      </c>
      <c r="F1892" s="203" t="s">
        <v>538</v>
      </c>
      <c r="G1892" s="252" t="s">
        <v>3</v>
      </c>
      <c r="H1892" s="262" t="s">
        <v>631</v>
      </c>
      <c r="I1892" s="285">
        <v>304</v>
      </c>
      <c r="J1892" s="273">
        <v>200.10085000000001</v>
      </c>
      <c r="K1892" s="273">
        <v>139.23925</v>
      </c>
      <c r="L1892" s="273">
        <v>60.861600000000003</v>
      </c>
    </row>
    <row r="1893" spans="1:12" ht="26.4" customHeight="1">
      <c r="A1893" s="221">
        <v>77</v>
      </c>
      <c r="B1893" s="526"/>
      <c r="C1893" s="201" t="s">
        <v>1797</v>
      </c>
      <c r="D1893" s="266" t="s">
        <v>1951</v>
      </c>
      <c r="E1893" s="203" t="s">
        <v>2480</v>
      </c>
      <c r="F1893" s="203" t="s">
        <v>537</v>
      </c>
      <c r="G1893" s="252" t="s">
        <v>3</v>
      </c>
      <c r="H1893" s="262" t="s">
        <v>1138</v>
      </c>
      <c r="I1893" s="251">
        <v>1</v>
      </c>
      <c r="J1893" s="273">
        <v>2.22749</v>
      </c>
      <c r="K1893" s="273">
        <v>2.22749</v>
      </c>
      <c r="L1893" s="273">
        <v>0</v>
      </c>
    </row>
    <row r="1894" spans="1:12" ht="26.4" customHeight="1">
      <c r="A1894" s="221">
        <v>78</v>
      </c>
      <c r="B1894" s="526"/>
      <c r="C1894" s="201" t="s">
        <v>1797</v>
      </c>
      <c r="D1894" s="266" t="s">
        <v>1951</v>
      </c>
      <c r="E1894" s="203" t="s">
        <v>1289</v>
      </c>
      <c r="F1894" s="203" t="s">
        <v>536</v>
      </c>
      <c r="G1894" s="252" t="s">
        <v>3</v>
      </c>
      <c r="H1894" s="262" t="s">
        <v>1138</v>
      </c>
      <c r="I1894" s="251">
        <v>1</v>
      </c>
      <c r="J1894" s="273">
        <v>18.72662</v>
      </c>
      <c r="K1894" s="273">
        <v>11.761100000000001</v>
      </c>
      <c r="L1894" s="273">
        <v>6.9655199999999997</v>
      </c>
    </row>
    <row r="1895" spans="1:12" ht="26.4" customHeight="1">
      <c r="A1895" s="221">
        <v>79</v>
      </c>
      <c r="B1895" s="526"/>
      <c r="C1895" s="201" t="s">
        <v>1797</v>
      </c>
      <c r="D1895" s="266" t="s">
        <v>1951</v>
      </c>
      <c r="E1895" s="203" t="s">
        <v>2319</v>
      </c>
      <c r="F1895" s="203" t="s">
        <v>535</v>
      </c>
      <c r="G1895" s="252" t="s">
        <v>3</v>
      </c>
      <c r="H1895" s="262" t="s">
        <v>631</v>
      </c>
      <c r="I1895" s="285">
        <v>302</v>
      </c>
      <c r="J1895" s="273">
        <v>14.229889999999999</v>
      </c>
      <c r="K1895" s="273">
        <v>11.56799</v>
      </c>
      <c r="L1895" s="273">
        <v>2.6619000000000002</v>
      </c>
    </row>
    <row r="1896" spans="1:12" ht="26.4" customHeight="1">
      <c r="A1896" s="221">
        <v>80</v>
      </c>
      <c r="B1896" s="526"/>
      <c r="C1896" s="201" t="s">
        <v>1797</v>
      </c>
      <c r="D1896" s="266" t="s">
        <v>1951</v>
      </c>
      <c r="E1896" s="203" t="s">
        <v>1903</v>
      </c>
      <c r="F1896" s="203" t="s">
        <v>534</v>
      </c>
      <c r="G1896" s="252" t="s">
        <v>3</v>
      </c>
      <c r="H1896" s="262" t="s">
        <v>631</v>
      </c>
      <c r="I1896" s="285">
        <v>512</v>
      </c>
      <c r="J1896" s="273">
        <v>295.7534</v>
      </c>
      <c r="K1896" s="273">
        <v>225.39081999999999</v>
      </c>
      <c r="L1896" s="273">
        <v>70.362579999999994</v>
      </c>
    </row>
    <row r="1897" spans="1:12" ht="26.4" customHeight="1">
      <c r="A1897" s="221">
        <v>81</v>
      </c>
      <c r="B1897" s="526"/>
      <c r="C1897" s="201" t="s">
        <v>1797</v>
      </c>
      <c r="D1897" s="266" t="s">
        <v>1951</v>
      </c>
      <c r="E1897" s="203" t="s">
        <v>2320</v>
      </c>
      <c r="F1897" s="203" t="s">
        <v>533</v>
      </c>
      <c r="G1897" s="252" t="s">
        <v>3</v>
      </c>
      <c r="H1897" s="262" t="s">
        <v>631</v>
      </c>
      <c r="I1897" s="285">
        <v>308</v>
      </c>
      <c r="J1897" s="273">
        <v>49.950870000000002</v>
      </c>
      <c r="K1897" s="273">
        <v>30.364229999999999</v>
      </c>
      <c r="L1897" s="273">
        <v>19.586639999999999</v>
      </c>
    </row>
    <row r="1898" spans="1:12" ht="26.4" customHeight="1">
      <c r="A1898" s="221">
        <v>82</v>
      </c>
      <c r="B1898" s="526"/>
      <c r="C1898" s="201" t="s">
        <v>1797</v>
      </c>
      <c r="D1898" s="266" t="s">
        <v>1952</v>
      </c>
      <c r="E1898" s="203" t="s">
        <v>1848</v>
      </c>
      <c r="F1898" s="203" t="s">
        <v>532</v>
      </c>
      <c r="G1898" s="230" t="s">
        <v>1531</v>
      </c>
      <c r="H1898" s="262" t="s">
        <v>1138</v>
      </c>
      <c r="I1898" s="251">
        <v>1</v>
      </c>
      <c r="J1898" s="273">
        <v>171.98621</v>
      </c>
      <c r="K1898" s="273">
        <v>128.59609</v>
      </c>
      <c r="L1898" s="273">
        <v>43.390120000000003</v>
      </c>
    </row>
    <row r="1899" spans="1:12" ht="26.4" customHeight="1">
      <c r="A1899" s="221">
        <v>83</v>
      </c>
      <c r="B1899" s="526"/>
      <c r="C1899" s="201" t="s">
        <v>1797</v>
      </c>
      <c r="D1899" s="266" t="s">
        <v>1952</v>
      </c>
      <c r="E1899" s="203" t="s">
        <v>2321</v>
      </c>
      <c r="F1899" s="203" t="s">
        <v>531</v>
      </c>
      <c r="G1899" s="252" t="s">
        <v>3</v>
      </c>
      <c r="H1899" s="262" t="s">
        <v>631</v>
      </c>
      <c r="I1899" s="285">
        <v>288</v>
      </c>
      <c r="J1899" s="273">
        <v>48.416020000000003</v>
      </c>
      <c r="K1899" s="273">
        <v>21.656330000000001</v>
      </c>
      <c r="L1899" s="273">
        <v>26.759689999999999</v>
      </c>
    </row>
    <row r="1900" spans="1:12" ht="26.4" customHeight="1">
      <c r="A1900" s="221">
        <v>84</v>
      </c>
      <c r="B1900" s="526"/>
      <c r="C1900" s="201" t="s">
        <v>1797</v>
      </c>
      <c r="D1900" s="266" t="s">
        <v>1952</v>
      </c>
      <c r="E1900" s="203" t="s">
        <v>2346</v>
      </c>
      <c r="F1900" s="203" t="s">
        <v>530</v>
      </c>
      <c r="G1900" s="252" t="s">
        <v>3</v>
      </c>
      <c r="H1900" s="262" t="s">
        <v>631</v>
      </c>
      <c r="I1900" s="285">
        <v>780</v>
      </c>
      <c r="J1900" s="273">
        <v>104.36839000000001</v>
      </c>
      <c r="K1900" s="273">
        <v>57.112299999999998</v>
      </c>
      <c r="L1900" s="273">
        <v>47.25609</v>
      </c>
    </row>
    <row r="1901" spans="1:12" ht="26.4" customHeight="1">
      <c r="A1901" s="221">
        <v>85</v>
      </c>
      <c r="B1901" s="526"/>
      <c r="C1901" s="201" t="s">
        <v>1797</v>
      </c>
      <c r="D1901" s="266" t="s">
        <v>1952</v>
      </c>
      <c r="E1901" s="203" t="s">
        <v>2481</v>
      </c>
      <c r="F1901" s="203" t="s">
        <v>529</v>
      </c>
      <c r="G1901" s="252" t="s">
        <v>3</v>
      </c>
      <c r="H1901" s="262" t="s">
        <v>631</v>
      </c>
      <c r="I1901" s="285">
        <v>756</v>
      </c>
      <c r="J1901" s="273">
        <v>134.55749</v>
      </c>
      <c r="K1901" s="273">
        <v>65.844269999999995</v>
      </c>
      <c r="L1901" s="273">
        <v>68.713220000000007</v>
      </c>
    </row>
    <row r="1902" spans="1:12" ht="26.4" customHeight="1">
      <c r="A1902" s="221">
        <v>86</v>
      </c>
      <c r="B1902" s="526"/>
      <c r="C1902" s="201" t="s">
        <v>1797</v>
      </c>
      <c r="D1902" s="266" t="s">
        <v>1952</v>
      </c>
      <c r="E1902" s="203" t="s">
        <v>1290</v>
      </c>
      <c r="F1902" s="203" t="s">
        <v>528</v>
      </c>
      <c r="G1902" s="252" t="s">
        <v>3</v>
      </c>
      <c r="H1902" s="475" t="s">
        <v>1138</v>
      </c>
      <c r="I1902" s="251">
        <v>1</v>
      </c>
      <c r="J1902" s="273">
        <v>1.1000000000000001</v>
      </c>
      <c r="K1902" s="273">
        <v>0.97957000000000005</v>
      </c>
      <c r="L1902" s="273">
        <v>0.12043</v>
      </c>
    </row>
    <row r="1903" spans="1:12" ht="26.4" customHeight="1">
      <c r="A1903" s="221">
        <v>87</v>
      </c>
      <c r="B1903" s="526"/>
      <c r="C1903" s="201" t="s">
        <v>1797</v>
      </c>
      <c r="D1903" s="266" t="s">
        <v>1952</v>
      </c>
      <c r="E1903" s="203" t="s">
        <v>1290</v>
      </c>
      <c r="F1903" s="203" t="s">
        <v>527</v>
      </c>
      <c r="G1903" s="252" t="s">
        <v>3</v>
      </c>
      <c r="H1903" s="262" t="s">
        <v>1138</v>
      </c>
      <c r="I1903" s="251">
        <v>1</v>
      </c>
      <c r="J1903" s="273">
        <v>2.8450000000000002</v>
      </c>
      <c r="K1903" s="273">
        <v>2.2328000000000001</v>
      </c>
      <c r="L1903" s="273">
        <v>0.61219999999999997</v>
      </c>
    </row>
    <row r="1904" spans="1:12" ht="26.4" customHeight="1">
      <c r="A1904" s="221">
        <v>88</v>
      </c>
      <c r="B1904" s="526"/>
      <c r="C1904" s="201" t="s">
        <v>1797</v>
      </c>
      <c r="D1904" s="266" t="s">
        <v>1952</v>
      </c>
      <c r="E1904" s="203" t="s">
        <v>2322</v>
      </c>
      <c r="F1904" s="203" t="s">
        <v>526</v>
      </c>
      <c r="G1904" s="252" t="s">
        <v>3</v>
      </c>
      <c r="H1904" s="262" t="s">
        <v>631</v>
      </c>
      <c r="I1904" s="285">
        <v>100</v>
      </c>
      <c r="J1904" s="273">
        <v>94.310649999999995</v>
      </c>
      <c r="K1904" s="273">
        <v>78.199039999999997</v>
      </c>
      <c r="L1904" s="273">
        <v>16.111609999999999</v>
      </c>
    </row>
    <row r="1905" spans="1:12" ht="26.4" customHeight="1">
      <c r="A1905" s="221">
        <v>89</v>
      </c>
      <c r="B1905" s="526"/>
      <c r="C1905" s="201" t="s">
        <v>1797</v>
      </c>
      <c r="D1905" s="266" t="s">
        <v>1952</v>
      </c>
      <c r="E1905" s="203" t="s">
        <v>2316</v>
      </c>
      <c r="F1905" s="203" t="s">
        <v>525</v>
      </c>
      <c r="G1905" s="252" t="s">
        <v>3</v>
      </c>
      <c r="H1905" s="262" t="s">
        <v>631</v>
      </c>
      <c r="I1905" s="285">
        <v>382</v>
      </c>
      <c r="J1905" s="273">
        <v>74.640309999999999</v>
      </c>
      <c r="K1905" s="273">
        <v>42.833379999999998</v>
      </c>
      <c r="L1905" s="273">
        <v>31.806930000000001</v>
      </c>
    </row>
    <row r="1906" spans="1:12" ht="26.4" customHeight="1">
      <c r="A1906" s="221">
        <v>90</v>
      </c>
      <c r="B1906" s="526"/>
      <c r="C1906" s="201" t="s">
        <v>1797</v>
      </c>
      <c r="D1906" s="266" t="s">
        <v>1953</v>
      </c>
      <c r="E1906" s="203" t="s">
        <v>524</v>
      </c>
      <c r="F1906" s="203" t="s">
        <v>523</v>
      </c>
      <c r="G1906" s="230" t="s">
        <v>1560</v>
      </c>
      <c r="H1906" s="262" t="s">
        <v>1138</v>
      </c>
      <c r="I1906" s="251">
        <v>1</v>
      </c>
      <c r="J1906" s="273">
        <v>196.27722</v>
      </c>
      <c r="K1906" s="273">
        <v>99.633650000000003</v>
      </c>
      <c r="L1906" s="273">
        <v>96.643569999999997</v>
      </c>
    </row>
    <row r="1907" spans="1:12" ht="26.4" customHeight="1">
      <c r="A1907" s="221">
        <v>91</v>
      </c>
      <c r="B1907" s="526"/>
      <c r="C1907" s="201" t="s">
        <v>1797</v>
      </c>
      <c r="D1907" s="266" t="s">
        <v>1953</v>
      </c>
      <c r="E1907" s="203" t="s">
        <v>1291</v>
      </c>
      <c r="F1907" s="203" t="s">
        <v>522</v>
      </c>
      <c r="G1907" s="252" t="s">
        <v>3</v>
      </c>
      <c r="H1907" s="262" t="s">
        <v>631</v>
      </c>
      <c r="I1907" s="285">
        <v>1001</v>
      </c>
      <c r="J1907" s="273">
        <v>400.25470999999999</v>
      </c>
      <c r="K1907" s="273">
        <v>180.48304999999999</v>
      </c>
      <c r="L1907" s="273">
        <v>219.77166</v>
      </c>
    </row>
    <row r="1908" spans="1:12" ht="26.4" customHeight="1">
      <c r="A1908" s="221">
        <v>92</v>
      </c>
      <c r="B1908" s="526"/>
      <c r="C1908" s="201" t="s">
        <v>1797</v>
      </c>
      <c r="D1908" s="266" t="s">
        <v>1953</v>
      </c>
      <c r="E1908" s="203" t="s">
        <v>1292</v>
      </c>
      <c r="F1908" s="203" t="s">
        <v>521</v>
      </c>
      <c r="G1908" s="252" t="s">
        <v>3</v>
      </c>
      <c r="H1908" s="262" t="s">
        <v>1138</v>
      </c>
      <c r="I1908" s="251">
        <v>1</v>
      </c>
      <c r="J1908" s="273">
        <v>9.1666600000000003</v>
      </c>
      <c r="K1908" s="273">
        <v>7.2464199999999996</v>
      </c>
      <c r="L1908" s="273">
        <v>1.9202399999999999</v>
      </c>
    </row>
    <row r="1909" spans="1:12" ht="26.4" customHeight="1">
      <c r="A1909" s="221">
        <v>93</v>
      </c>
      <c r="B1909" s="526"/>
      <c r="C1909" s="201" t="s">
        <v>1797</v>
      </c>
      <c r="D1909" s="266" t="s">
        <v>1953</v>
      </c>
      <c r="E1909" s="203" t="s">
        <v>1292</v>
      </c>
      <c r="F1909" s="203" t="s">
        <v>520</v>
      </c>
      <c r="G1909" s="252" t="s">
        <v>3</v>
      </c>
      <c r="H1909" s="475" t="s">
        <v>1138</v>
      </c>
      <c r="I1909" s="251">
        <v>1</v>
      </c>
      <c r="J1909" s="273">
        <v>2.22749</v>
      </c>
      <c r="K1909" s="273">
        <v>1.8927700000000001</v>
      </c>
      <c r="L1909" s="273">
        <v>0.33472000000000002</v>
      </c>
    </row>
    <row r="1910" spans="1:12" ht="26.4" customHeight="1">
      <c r="A1910" s="221">
        <v>94</v>
      </c>
      <c r="B1910" s="526"/>
      <c r="C1910" s="201" t="s">
        <v>1797</v>
      </c>
      <c r="D1910" s="266" t="s">
        <v>1955</v>
      </c>
      <c r="E1910" s="203" t="s">
        <v>519</v>
      </c>
      <c r="F1910" s="203" t="s">
        <v>518</v>
      </c>
      <c r="G1910" s="252" t="s">
        <v>3</v>
      </c>
      <c r="H1910" s="262" t="s">
        <v>1138</v>
      </c>
      <c r="I1910" s="251">
        <v>1</v>
      </c>
      <c r="J1910" s="273">
        <v>0.16399</v>
      </c>
      <c r="K1910" s="273">
        <v>0.13811000000000001</v>
      </c>
      <c r="L1910" s="273">
        <v>2.588E-2</v>
      </c>
    </row>
    <row r="1911" spans="1:12" ht="26.4" customHeight="1">
      <c r="A1911" s="221">
        <v>95</v>
      </c>
      <c r="B1911" s="526"/>
      <c r="C1911" s="201" t="s">
        <v>1798</v>
      </c>
      <c r="D1911" s="266" t="s">
        <v>1954</v>
      </c>
      <c r="E1911" s="203" t="s">
        <v>1848</v>
      </c>
      <c r="F1911" s="203" t="s">
        <v>517</v>
      </c>
      <c r="G1911" s="230" t="s">
        <v>1558</v>
      </c>
      <c r="H1911" s="262" t="s">
        <v>1138</v>
      </c>
      <c r="I1911" s="251">
        <v>1</v>
      </c>
      <c r="J1911" s="273">
        <v>1931.76385</v>
      </c>
      <c r="K1911" s="273">
        <v>703.45039999999995</v>
      </c>
      <c r="L1911" s="273">
        <v>1228.3134500000001</v>
      </c>
    </row>
    <row r="1912" spans="1:12" ht="26.4" customHeight="1">
      <c r="A1912" s="221">
        <v>96</v>
      </c>
      <c r="B1912" s="526"/>
      <c r="C1912" s="201" t="s">
        <v>1798</v>
      </c>
      <c r="D1912" s="266" t="s">
        <v>1954</v>
      </c>
      <c r="E1912" s="203" t="s">
        <v>480</v>
      </c>
      <c r="F1912" s="203" t="s">
        <v>516</v>
      </c>
      <c r="G1912" s="252" t="s">
        <v>3</v>
      </c>
      <c r="H1912" s="475" t="s">
        <v>1138</v>
      </c>
      <c r="I1912" s="251">
        <v>1</v>
      </c>
      <c r="J1912" s="273">
        <v>8.3333300000000001</v>
      </c>
      <c r="K1912" s="273">
        <v>5.6595000000000004</v>
      </c>
      <c r="L1912" s="273">
        <v>2.6738300000000002</v>
      </c>
    </row>
    <row r="1913" spans="1:12" ht="26.4" customHeight="1">
      <c r="A1913" s="221">
        <v>97</v>
      </c>
      <c r="B1913" s="526"/>
      <c r="C1913" s="201" t="s">
        <v>1798</v>
      </c>
      <c r="D1913" s="266" t="s">
        <v>1954</v>
      </c>
      <c r="E1913" s="203" t="s">
        <v>480</v>
      </c>
      <c r="F1913" s="203" t="s">
        <v>515</v>
      </c>
      <c r="G1913" s="252" t="s">
        <v>3</v>
      </c>
      <c r="H1913" s="262" t="s">
        <v>1138</v>
      </c>
      <c r="I1913" s="251">
        <v>1</v>
      </c>
      <c r="J1913" s="273">
        <v>16.66667</v>
      </c>
      <c r="K1913" s="273">
        <v>11.318239999999999</v>
      </c>
      <c r="L1913" s="273">
        <v>5.3484299999999996</v>
      </c>
    </row>
    <row r="1914" spans="1:12" ht="26.4" customHeight="1">
      <c r="A1914" s="221">
        <v>98</v>
      </c>
      <c r="B1914" s="526"/>
      <c r="C1914" s="201" t="s">
        <v>1798</v>
      </c>
      <c r="D1914" s="266" t="s">
        <v>1954</v>
      </c>
      <c r="E1914" s="203" t="s">
        <v>480</v>
      </c>
      <c r="F1914" s="203" t="s">
        <v>514</v>
      </c>
      <c r="G1914" s="252" t="s">
        <v>3</v>
      </c>
      <c r="H1914" s="262" t="s">
        <v>1138</v>
      </c>
      <c r="I1914" s="251">
        <v>1</v>
      </c>
      <c r="J1914" s="273">
        <v>16.66667</v>
      </c>
      <c r="K1914" s="273">
        <v>11.319240000000001</v>
      </c>
      <c r="L1914" s="273">
        <v>5.3474300000000001</v>
      </c>
    </row>
    <row r="1915" spans="1:12" ht="26.4" customHeight="1">
      <c r="A1915" s="221">
        <v>99</v>
      </c>
      <c r="B1915" s="526"/>
      <c r="C1915" s="201" t="s">
        <v>1798</v>
      </c>
      <c r="D1915" s="266" t="s">
        <v>1954</v>
      </c>
      <c r="E1915" s="203" t="s">
        <v>513</v>
      </c>
      <c r="F1915" s="203" t="s">
        <v>512</v>
      </c>
      <c r="G1915" s="252" t="s">
        <v>3</v>
      </c>
      <c r="H1915" s="475" t="s">
        <v>1138</v>
      </c>
      <c r="I1915" s="251">
        <v>1</v>
      </c>
      <c r="J1915" s="273">
        <v>25.575600000000001</v>
      </c>
      <c r="K1915" s="273">
        <v>14.333080000000001</v>
      </c>
      <c r="L1915" s="273">
        <v>11.242520000000001</v>
      </c>
    </row>
    <row r="1916" spans="1:12" ht="26.4" customHeight="1">
      <c r="A1916" s="221">
        <v>100</v>
      </c>
      <c r="B1916" s="526"/>
      <c r="C1916" s="201" t="s">
        <v>1798</v>
      </c>
      <c r="D1916" s="266" t="s">
        <v>1954</v>
      </c>
      <c r="E1916" s="203" t="s">
        <v>2482</v>
      </c>
      <c r="F1916" s="203" t="s">
        <v>511</v>
      </c>
      <c r="G1916" s="252" t="s">
        <v>3</v>
      </c>
      <c r="H1916" s="262" t="s">
        <v>631</v>
      </c>
      <c r="I1916" s="285">
        <v>1508</v>
      </c>
      <c r="J1916" s="273">
        <v>156.34819999999999</v>
      </c>
      <c r="K1916" s="273">
        <v>78.665059999999997</v>
      </c>
      <c r="L1916" s="273">
        <v>77.683139999999995</v>
      </c>
    </row>
    <row r="1917" spans="1:12" ht="26.4" customHeight="1">
      <c r="A1917" s="221">
        <v>101</v>
      </c>
      <c r="B1917" s="526"/>
      <c r="C1917" s="201" t="s">
        <v>1798</v>
      </c>
      <c r="D1917" s="266" t="s">
        <v>1954</v>
      </c>
      <c r="E1917" s="203" t="s">
        <v>2483</v>
      </c>
      <c r="F1917" s="203" t="s">
        <v>510</v>
      </c>
      <c r="G1917" s="252" t="s">
        <v>3</v>
      </c>
      <c r="H1917" s="262" t="s">
        <v>631</v>
      </c>
      <c r="I1917" s="285">
        <v>698</v>
      </c>
      <c r="J1917" s="273">
        <v>5.4787999999999997</v>
      </c>
      <c r="K1917" s="273">
        <v>3.8602099999999999</v>
      </c>
      <c r="L1917" s="273">
        <v>1.61859</v>
      </c>
    </row>
    <row r="1918" spans="1:12" ht="26.4" customHeight="1">
      <c r="A1918" s="221">
        <v>102</v>
      </c>
      <c r="B1918" s="526"/>
      <c r="C1918" s="201" t="s">
        <v>1798</v>
      </c>
      <c r="D1918" s="266" t="s">
        <v>1954</v>
      </c>
      <c r="E1918" s="203" t="s">
        <v>2484</v>
      </c>
      <c r="F1918" s="203" t="s">
        <v>509</v>
      </c>
      <c r="G1918" s="252" t="s">
        <v>3</v>
      </c>
      <c r="H1918" s="262" t="s">
        <v>631</v>
      </c>
      <c r="I1918" s="285">
        <v>272</v>
      </c>
      <c r="J1918" s="273">
        <v>33.32282</v>
      </c>
      <c r="K1918" s="273">
        <v>33.32282</v>
      </c>
      <c r="L1918" s="273">
        <v>0</v>
      </c>
    </row>
    <row r="1919" spans="1:12" ht="26.4" customHeight="1">
      <c r="A1919" s="221">
        <v>103</v>
      </c>
      <c r="B1919" s="526"/>
      <c r="C1919" s="201" t="s">
        <v>1798</v>
      </c>
      <c r="D1919" s="266" t="s">
        <v>1954</v>
      </c>
      <c r="E1919" s="203" t="s">
        <v>2485</v>
      </c>
      <c r="F1919" s="203" t="s">
        <v>508</v>
      </c>
      <c r="G1919" s="252" t="s">
        <v>3</v>
      </c>
      <c r="H1919" s="262" t="s">
        <v>631</v>
      </c>
      <c r="I1919" s="285">
        <v>1410</v>
      </c>
      <c r="J1919" s="273">
        <v>52.943049999999999</v>
      </c>
      <c r="K1919" s="273">
        <v>52.943049999999999</v>
      </c>
      <c r="L1919" s="273">
        <v>0</v>
      </c>
    </row>
    <row r="1920" spans="1:12" ht="26.4" customHeight="1">
      <c r="A1920" s="221">
        <v>104</v>
      </c>
      <c r="B1920" s="526"/>
      <c r="C1920" s="201" t="s">
        <v>1798</v>
      </c>
      <c r="D1920" s="266" t="s">
        <v>1954</v>
      </c>
      <c r="E1920" s="203" t="s">
        <v>1903</v>
      </c>
      <c r="F1920" s="203" t="s">
        <v>507</v>
      </c>
      <c r="G1920" s="252" t="s">
        <v>3</v>
      </c>
      <c r="H1920" s="262" t="s">
        <v>631</v>
      </c>
      <c r="I1920" s="285">
        <v>404</v>
      </c>
      <c r="J1920" s="273">
        <v>68.492800000000003</v>
      </c>
      <c r="K1920" s="273">
        <v>45.144820000000003</v>
      </c>
      <c r="L1920" s="273">
        <v>23.34798</v>
      </c>
    </row>
    <row r="1921" spans="1:12" ht="26.4" customHeight="1">
      <c r="A1921" s="221">
        <v>105</v>
      </c>
      <c r="B1921" s="526"/>
      <c r="C1921" s="201" t="s">
        <v>1799</v>
      </c>
      <c r="D1921" s="266" t="s">
        <v>1956</v>
      </c>
      <c r="E1921" s="203" t="s">
        <v>2486</v>
      </c>
      <c r="F1921" s="203" t="s">
        <v>506</v>
      </c>
      <c r="G1921" s="252" t="s">
        <v>3</v>
      </c>
      <c r="H1921" s="262" t="s">
        <v>631</v>
      </c>
      <c r="I1921" s="285">
        <v>542</v>
      </c>
      <c r="J1921" s="273">
        <v>358.18937</v>
      </c>
      <c r="K1921" s="273">
        <v>97.798959999999994</v>
      </c>
      <c r="L1921" s="273">
        <v>260.39040999999997</v>
      </c>
    </row>
    <row r="1922" spans="1:12" ht="26.4" customHeight="1">
      <c r="A1922" s="221">
        <v>106</v>
      </c>
      <c r="B1922" s="526"/>
      <c r="C1922" s="201" t="s">
        <v>1799</v>
      </c>
      <c r="D1922" s="266" t="s">
        <v>1956</v>
      </c>
      <c r="E1922" s="203" t="s">
        <v>1293</v>
      </c>
      <c r="F1922" s="203" t="s">
        <v>505</v>
      </c>
      <c r="G1922" s="230" t="s">
        <v>1567</v>
      </c>
      <c r="H1922" s="262" t="s">
        <v>1138</v>
      </c>
      <c r="I1922" s="251">
        <v>1</v>
      </c>
      <c r="J1922" s="273">
        <v>723.56124</v>
      </c>
      <c r="K1922" s="273">
        <v>201.01366999999999</v>
      </c>
      <c r="L1922" s="273">
        <v>522.54756999999995</v>
      </c>
    </row>
    <row r="1923" spans="1:12" ht="26.4" customHeight="1">
      <c r="A1923" s="221">
        <v>107</v>
      </c>
      <c r="B1923" s="526"/>
      <c r="C1923" s="201" t="s">
        <v>1799</v>
      </c>
      <c r="D1923" s="266" t="s">
        <v>1956</v>
      </c>
      <c r="E1923" s="203" t="s">
        <v>1294</v>
      </c>
      <c r="F1923" s="203" t="s">
        <v>504</v>
      </c>
      <c r="G1923" s="252" t="s">
        <v>3</v>
      </c>
      <c r="H1923" s="475" t="s">
        <v>1138</v>
      </c>
      <c r="I1923" s="251">
        <v>1</v>
      </c>
      <c r="J1923" s="273">
        <v>11.77726</v>
      </c>
      <c r="K1923" s="273">
        <v>9.02529</v>
      </c>
      <c r="L1923" s="273">
        <v>2.75197</v>
      </c>
    </row>
    <row r="1924" spans="1:12" ht="26.4" customHeight="1">
      <c r="A1924" s="221">
        <v>108</v>
      </c>
      <c r="B1924" s="526"/>
      <c r="C1924" s="201" t="s">
        <v>1799</v>
      </c>
      <c r="D1924" s="266" t="s">
        <v>1956</v>
      </c>
      <c r="E1924" s="203" t="s">
        <v>1295</v>
      </c>
      <c r="F1924" s="203" t="s">
        <v>503</v>
      </c>
      <c r="G1924" s="252" t="s">
        <v>3</v>
      </c>
      <c r="H1924" s="262" t="s">
        <v>1138</v>
      </c>
      <c r="I1924" s="251">
        <v>1</v>
      </c>
      <c r="J1924" s="273">
        <v>33.333329999999997</v>
      </c>
      <c r="K1924" s="273">
        <v>22.0167</v>
      </c>
      <c r="L1924" s="273">
        <v>11.31663</v>
      </c>
    </row>
    <row r="1925" spans="1:12" ht="26.4" customHeight="1">
      <c r="A1925" s="221">
        <v>109</v>
      </c>
      <c r="B1925" s="526"/>
      <c r="C1925" s="201" t="s">
        <v>1799</v>
      </c>
      <c r="D1925" s="266" t="s">
        <v>1956</v>
      </c>
      <c r="E1925" s="203" t="s">
        <v>1296</v>
      </c>
      <c r="F1925" s="203" t="s">
        <v>502</v>
      </c>
      <c r="G1925" s="252" t="s">
        <v>3</v>
      </c>
      <c r="H1925" s="475" t="s">
        <v>1138</v>
      </c>
      <c r="I1925" s="251">
        <v>1</v>
      </c>
      <c r="J1925" s="273">
        <v>8.7370000000000001</v>
      </c>
      <c r="K1925" s="273">
        <v>4.5624099999999999</v>
      </c>
      <c r="L1925" s="273">
        <v>4.1745900000000002</v>
      </c>
    </row>
    <row r="1926" spans="1:12" ht="26.4" customHeight="1">
      <c r="A1926" s="221">
        <v>110</v>
      </c>
      <c r="B1926" s="526"/>
      <c r="C1926" s="201" t="s">
        <v>1799</v>
      </c>
      <c r="D1926" s="266" t="s">
        <v>1956</v>
      </c>
      <c r="E1926" s="203" t="s">
        <v>2323</v>
      </c>
      <c r="F1926" s="203" t="s">
        <v>501</v>
      </c>
      <c r="G1926" s="252" t="s">
        <v>3</v>
      </c>
      <c r="H1926" s="262" t="s">
        <v>631</v>
      </c>
      <c r="I1926" s="285">
        <v>1087</v>
      </c>
      <c r="J1926" s="273">
        <v>358.67658999999998</v>
      </c>
      <c r="K1926" s="273">
        <v>219.10366999999999</v>
      </c>
      <c r="L1926" s="273">
        <v>139.57292000000001</v>
      </c>
    </row>
    <row r="1927" spans="1:12" ht="26.4" customHeight="1">
      <c r="A1927" s="221">
        <v>111</v>
      </c>
      <c r="B1927" s="526"/>
      <c r="C1927" s="201" t="s">
        <v>1799</v>
      </c>
      <c r="D1927" s="266" t="s">
        <v>1956</v>
      </c>
      <c r="E1927" s="203" t="s">
        <v>2324</v>
      </c>
      <c r="F1927" s="203" t="s">
        <v>500</v>
      </c>
      <c r="G1927" s="252" t="s">
        <v>3</v>
      </c>
      <c r="H1927" s="262" t="s">
        <v>631</v>
      </c>
      <c r="I1927" s="285">
        <v>873</v>
      </c>
      <c r="J1927" s="273">
        <v>550.90345000000002</v>
      </c>
      <c r="K1927" s="273">
        <v>414.17581999999999</v>
      </c>
      <c r="L1927" s="273">
        <v>136.72763</v>
      </c>
    </row>
    <row r="1928" spans="1:12" ht="26.4" customHeight="1">
      <c r="A1928" s="221">
        <v>112</v>
      </c>
      <c r="B1928" s="526"/>
      <c r="C1928" s="201" t="s">
        <v>1799</v>
      </c>
      <c r="D1928" s="266" t="s">
        <v>1956</v>
      </c>
      <c r="E1928" s="203" t="s">
        <v>2325</v>
      </c>
      <c r="F1928" s="203" t="s">
        <v>499</v>
      </c>
      <c r="G1928" s="252" t="s">
        <v>3</v>
      </c>
      <c r="H1928" s="262" t="s">
        <v>631</v>
      </c>
      <c r="I1928" s="285">
        <v>238</v>
      </c>
      <c r="J1928" s="273">
        <v>157.75722999999999</v>
      </c>
      <c r="K1928" s="273">
        <v>82.444670000000002</v>
      </c>
      <c r="L1928" s="273">
        <v>75.312560000000005</v>
      </c>
    </row>
    <row r="1929" spans="1:12" ht="26.4" customHeight="1">
      <c r="A1929" s="221">
        <v>113</v>
      </c>
      <c r="B1929" s="526"/>
      <c r="C1929" s="201" t="s">
        <v>1799</v>
      </c>
      <c r="D1929" s="266" t="s">
        <v>1957</v>
      </c>
      <c r="E1929" s="203" t="s">
        <v>1827</v>
      </c>
      <c r="F1929" s="203" t="s">
        <v>498</v>
      </c>
      <c r="G1929" s="252" t="s">
        <v>3</v>
      </c>
      <c r="H1929" s="262" t="s">
        <v>631</v>
      </c>
      <c r="I1929" s="285">
        <v>350</v>
      </c>
      <c r="J1929" s="273">
        <v>156.29996</v>
      </c>
      <c r="K1929" s="273">
        <v>156.29996</v>
      </c>
      <c r="L1929" s="273">
        <v>0</v>
      </c>
    </row>
    <row r="1930" spans="1:12" ht="26.4" customHeight="1">
      <c r="A1930" s="221">
        <v>114</v>
      </c>
      <c r="B1930" s="526"/>
      <c r="C1930" s="201" t="s">
        <v>1799</v>
      </c>
      <c r="D1930" s="266" t="s">
        <v>1957</v>
      </c>
      <c r="E1930" s="203" t="s">
        <v>1848</v>
      </c>
      <c r="F1930" s="203" t="s">
        <v>497</v>
      </c>
      <c r="G1930" s="252" t="s">
        <v>3</v>
      </c>
      <c r="H1930" s="262" t="s">
        <v>1138</v>
      </c>
      <c r="I1930" s="251">
        <v>1</v>
      </c>
      <c r="J1930" s="273">
        <v>773.80268999999998</v>
      </c>
      <c r="K1930" s="273">
        <v>461.82276000000002</v>
      </c>
      <c r="L1930" s="273">
        <v>311.97993000000002</v>
      </c>
    </row>
    <row r="1931" spans="1:12" ht="26.4" customHeight="1">
      <c r="A1931" s="221">
        <v>115</v>
      </c>
      <c r="B1931" s="526"/>
      <c r="C1931" s="201" t="s">
        <v>1799</v>
      </c>
      <c r="D1931" s="266" t="s">
        <v>1957</v>
      </c>
      <c r="E1931" s="203" t="s">
        <v>1848</v>
      </c>
      <c r="F1931" s="203" t="s">
        <v>496</v>
      </c>
      <c r="G1931" s="252" t="s">
        <v>3</v>
      </c>
      <c r="H1931" s="475" t="s">
        <v>1138</v>
      </c>
      <c r="I1931" s="251">
        <v>1</v>
      </c>
      <c r="J1931" s="273">
        <v>15.075710000000001</v>
      </c>
      <c r="K1931" s="273">
        <v>9.95749</v>
      </c>
      <c r="L1931" s="273">
        <v>5.11822</v>
      </c>
    </row>
    <row r="1932" spans="1:12" ht="26.4" customHeight="1">
      <c r="A1932" s="221">
        <v>116</v>
      </c>
      <c r="B1932" s="526"/>
      <c r="C1932" s="201" t="s">
        <v>1799</v>
      </c>
      <c r="D1932" s="266" t="s">
        <v>1957</v>
      </c>
      <c r="E1932" s="203" t="s">
        <v>478</v>
      </c>
      <c r="F1932" s="203" t="s">
        <v>495</v>
      </c>
      <c r="G1932" s="252" t="s">
        <v>3</v>
      </c>
      <c r="H1932" s="262" t="s">
        <v>1138</v>
      </c>
      <c r="I1932" s="251">
        <v>1</v>
      </c>
      <c r="J1932" s="273">
        <v>15.075710000000001</v>
      </c>
      <c r="K1932" s="273">
        <v>9.9574999999999996</v>
      </c>
      <c r="L1932" s="273">
        <v>5.1182100000000004</v>
      </c>
    </row>
    <row r="1933" spans="1:12" ht="26.4" customHeight="1">
      <c r="A1933" s="221">
        <v>117</v>
      </c>
      <c r="B1933" s="526"/>
      <c r="C1933" s="201" t="s">
        <v>1799</v>
      </c>
      <c r="D1933" s="266" t="s">
        <v>1957</v>
      </c>
      <c r="E1933" s="203" t="s">
        <v>478</v>
      </c>
      <c r="F1933" s="203" t="s">
        <v>494</v>
      </c>
      <c r="G1933" s="252" t="s">
        <v>3</v>
      </c>
      <c r="H1933" s="475" t="s">
        <v>1138</v>
      </c>
      <c r="I1933" s="251">
        <v>1</v>
      </c>
      <c r="J1933" s="273">
        <v>1.1458299999999999</v>
      </c>
      <c r="K1933" s="273">
        <v>1.0386200000000001</v>
      </c>
      <c r="L1933" s="273">
        <v>0.10721</v>
      </c>
    </row>
    <row r="1934" spans="1:12" ht="26.4" customHeight="1">
      <c r="A1934" s="221">
        <v>118</v>
      </c>
      <c r="B1934" s="526"/>
      <c r="C1934" s="201" t="s">
        <v>1799</v>
      </c>
      <c r="D1934" s="266" t="s">
        <v>1957</v>
      </c>
      <c r="E1934" s="203" t="s">
        <v>478</v>
      </c>
      <c r="F1934" s="203" t="s">
        <v>493</v>
      </c>
      <c r="G1934" s="252" t="s">
        <v>3</v>
      </c>
      <c r="H1934" s="262" t="s">
        <v>1138</v>
      </c>
      <c r="I1934" s="251">
        <v>1</v>
      </c>
      <c r="J1934" s="273">
        <v>1.1458299999999999</v>
      </c>
      <c r="K1934" s="273">
        <v>1.0386200000000001</v>
      </c>
      <c r="L1934" s="273">
        <v>0.10721</v>
      </c>
    </row>
    <row r="1935" spans="1:12" ht="26.4" customHeight="1">
      <c r="A1935" s="221">
        <v>119</v>
      </c>
      <c r="B1935" s="526"/>
      <c r="C1935" s="201" t="s">
        <v>1799</v>
      </c>
      <c r="D1935" s="266" t="s">
        <v>1957</v>
      </c>
      <c r="E1935" s="203" t="s">
        <v>478</v>
      </c>
      <c r="F1935" s="203" t="s">
        <v>492</v>
      </c>
      <c r="G1935" s="252" t="s">
        <v>3</v>
      </c>
      <c r="H1935" s="262" t="s">
        <v>1138</v>
      </c>
      <c r="I1935" s="251">
        <v>1</v>
      </c>
      <c r="J1935" s="273">
        <v>1.1000000000000001</v>
      </c>
      <c r="K1935" s="273">
        <v>0.88680999999999999</v>
      </c>
      <c r="L1935" s="273">
        <v>0.21318999999999999</v>
      </c>
    </row>
    <row r="1936" spans="1:12" ht="26.4" customHeight="1">
      <c r="A1936" s="221">
        <v>120</v>
      </c>
      <c r="B1936" s="526"/>
      <c r="C1936" s="201" t="s">
        <v>1799</v>
      </c>
      <c r="D1936" s="266" t="s">
        <v>1957</v>
      </c>
      <c r="E1936" s="203" t="s">
        <v>1905</v>
      </c>
      <c r="F1936" s="203" t="s">
        <v>491</v>
      </c>
      <c r="G1936" s="252" t="s">
        <v>3</v>
      </c>
      <c r="H1936" s="262" t="s">
        <v>1138</v>
      </c>
      <c r="I1936" s="251">
        <v>1</v>
      </c>
      <c r="J1936" s="273">
        <v>18.963000000000001</v>
      </c>
      <c r="K1936" s="273">
        <v>9.8913100000000007</v>
      </c>
      <c r="L1936" s="273">
        <v>9.0716900000000003</v>
      </c>
    </row>
    <row r="1937" spans="1:12" ht="26.4" customHeight="1">
      <c r="A1937" s="221">
        <v>121</v>
      </c>
      <c r="B1937" s="526"/>
      <c r="C1937" s="201" t="s">
        <v>1799</v>
      </c>
      <c r="D1937" s="266" t="s">
        <v>1957</v>
      </c>
      <c r="E1937" s="203" t="s">
        <v>1907</v>
      </c>
      <c r="F1937" s="203" t="s">
        <v>490</v>
      </c>
      <c r="G1937" s="252" t="s">
        <v>3</v>
      </c>
      <c r="H1937" s="475" t="s">
        <v>1138</v>
      </c>
      <c r="I1937" s="251">
        <v>1</v>
      </c>
      <c r="J1937" s="273">
        <v>1.159</v>
      </c>
      <c r="K1937" s="273">
        <v>0.69894000000000001</v>
      </c>
      <c r="L1937" s="273">
        <v>0.46006000000000002</v>
      </c>
    </row>
    <row r="1938" spans="1:12" ht="26.4" customHeight="1">
      <c r="A1938" s="221">
        <v>122</v>
      </c>
      <c r="B1938" s="526"/>
      <c r="C1938" s="201" t="s">
        <v>1799</v>
      </c>
      <c r="D1938" s="266" t="s">
        <v>1957</v>
      </c>
      <c r="E1938" s="203" t="s">
        <v>1908</v>
      </c>
      <c r="F1938" s="203" t="s">
        <v>489</v>
      </c>
      <c r="G1938" s="252" t="s">
        <v>3</v>
      </c>
      <c r="H1938" s="262" t="s">
        <v>1138</v>
      </c>
      <c r="I1938" s="251">
        <v>1</v>
      </c>
      <c r="J1938" s="273">
        <v>0.95392999999999994</v>
      </c>
      <c r="K1938" s="273">
        <v>0.57181999999999999</v>
      </c>
      <c r="L1938" s="273">
        <v>0.38211000000000001</v>
      </c>
    </row>
    <row r="1939" spans="1:12" ht="26.4" customHeight="1">
      <c r="A1939" s="221">
        <v>123</v>
      </c>
      <c r="B1939" s="526"/>
      <c r="C1939" s="201" t="s">
        <v>1799</v>
      </c>
      <c r="D1939" s="266" t="s">
        <v>1957</v>
      </c>
      <c r="E1939" s="203" t="s">
        <v>2326</v>
      </c>
      <c r="F1939" s="203" t="s">
        <v>488</v>
      </c>
      <c r="G1939" s="252" t="s">
        <v>3</v>
      </c>
      <c r="H1939" s="262" t="s">
        <v>631</v>
      </c>
      <c r="I1939" s="285">
        <v>1873</v>
      </c>
      <c r="J1939" s="273">
        <v>176.28173000000001</v>
      </c>
      <c r="K1939" s="273">
        <v>118.62391</v>
      </c>
      <c r="L1939" s="273">
        <v>57.657820000000001</v>
      </c>
    </row>
    <row r="1940" spans="1:12" ht="26.4" customHeight="1">
      <c r="A1940" s="221">
        <v>124</v>
      </c>
      <c r="B1940" s="526"/>
      <c r="C1940" s="201" t="s">
        <v>1799</v>
      </c>
      <c r="D1940" s="266" t="s">
        <v>1957</v>
      </c>
      <c r="E1940" s="203" t="s">
        <v>2327</v>
      </c>
      <c r="F1940" s="203" t="s">
        <v>487</v>
      </c>
      <c r="G1940" s="252" t="s">
        <v>3</v>
      </c>
      <c r="H1940" s="262" t="s">
        <v>631</v>
      </c>
      <c r="I1940" s="285">
        <v>620</v>
      </c>
      <c r="J1940" s="273">
        <v>175.02718999999999</v>
      </c>
      <c r="K1940" s="273">
        <v>138.24662000000001</v>
      </c>
      <c r="L1940" s="273">
        <v>36.780569999999997</v>
      </c>
    </row>
    <row r="1941" spans="1:12" ht="26.4" customHeight="1">
      <c r="A1941" s="221">
        <v>125</v>
      </c>
      <c r="B1941" s="526"/>
      <c r="C1941" s="201" t="s">
        <v>1799</v>
      </c>
      <c r="D1941" s="266" t="s">
        <v>1957</v>
      </c>
      <c r="E1941" s="203" t="s">
        <v>2328</v>
      </c>
      <c r="F1941" s="203" t="s">
        <v>486</v>
      </c>
      <c r="G1941" s="252" t="s">
        <v>3</v>
      </c>
      <c r="H1941" s="262" t="s">
        <v>631</v>
      </c>
      <c r="I1941" s="285">
        <v>438</v>
      </c>
      <c r="J1941" s="273">
        <v>395.67102999999997</v>
      </c>
      <c r="K1941" s="273">
        <v>300.32069000000001</v>
      </c>
      <c r="L1941" s="273">
        <v>95.350340000000003</v>
      </c>
    </row>
    <row r="1942" spans="1:12" ht="26.4" customHeight="1">
      <c r="A1942" s="221">
        <v>126</v>
      </c>
      <c r="B1942" s="526"/>
      <c r="C1942" s="201" t="s">
        <v>1799</v>
      </c>
      <c r="D1942" s="266" t="s">
        <v>1957</v>
      </c>
      <c r="E1942" s="203" t="s">
        <v>2329</v>
      </c>
      <c r="F1942" s="203" t="s">
        <v>485</v>
      </c>
      <c r="G1942" s="252" t="s">
        <v>3</v>
      </c>
      <c r="H1942" s="262" t="s">
        <v>631</v>
      </c>
      <c r="I1942" s="285">
        <v>939</v>
      </c>
      <c r="J1942" s="273">
        <v>306.17241000000001</v>
      </c>
      <c r="K1942" s="273">
        <v>247.88302999999999</v>
      </c>
      <c r="L1942" s="273">
        <v>58.289380000000001</v>
      </c>
    </row>
    <row r="1943" spans="1:12" ht="26.4" customHeight="1">
      <c r="A1943" s="221">
        <v>127</v>
      </c>
      <c r="B1943" s="526"/>
      <c r="C1943" s="201" t="s">
        <v>1799</v>
      </c>
      <c r="D1943" s="266" t="s">
        <v>1957</v>
      </c>
      <c r="E1943" s="203" t="s">
        <v>2330</v>
      </c>
      <c r="F1943" s="203" t="s">
        <v>484</v>
      </c>
      <c r="G1943" s="252" t="s">
        <v>3</v>
      </c>
      <c r="H1943" s="262" t="s">
        <v>631</v>
      </c>
      <c r="I1943" s="285">
        <v>984</v>
      </c>
      <c r="J1943" s="273">
        <v>199.88867999999999</v>
      </c>
      <c r="K1943" s="273">
        <v>142.49547999999999</v>
      </c>
      <c r="L1943" s="273">
        <v>57.3932</v>
      </c>
    </row>
    <row r="1944" spans="1:12" ht="26.4" customHeight="1">
      <c r="A1944" s="221">
        <v>128</v>
      </c>
      <c r="B1944" s="526"/>
      <c r="C1944" s="201" t="s">
        <v>1799</v>
      </c>
      <c r="D1944" s="266" t="s">
        <v>1957</v>
      </c>
      <c r="E1944" s="203" t="s">
        <v>2331</v>
      </c>
      <c r="F1944" s="203" t="s">
        <v>483</v>
      </c>
      <c r="G1944" s="252" t="s">
        <v>3</v>
      </c>
      <c r="H1944" s="262" t="s">
        <v>631</v>
      </c>
      <c r="I1944" s="285">
        <v>1261</v>
      </c>
      <c r="J1944" s="273">
        <v>144.13800000000001</v>
      </c>
      <c r="K1944" s="273">
        <v>79.681010000000001</v>
      </c>
      <c r="L1944" s="273">
        <v>64.456990000000005</v>
      </c>
    </row>
    <row r="1945" spans="1:12" ht="26.4" customHeight="1">
      <c r="A1945" s="221">
        <v>129</v>
      </c>
      <c r="B1945" s="526"/>
      <c r="C1945" s="201" t="s">
        <v>1800</v>
      </c>
      <c r="D1945" s="266" t="s">
        <v>1958</v>
      </c>
      <c r="E1945" s="203" t="s">
        <v>1848</v>
      </c>
      <c r="F1945" s="203" t="s">
        <v>482</v>
      </c>
      <c r="G1945" s="230" t="s">
        <v>1534</v>
      </c>
      <c r="H1945" s="262" t="s">
        <v>1138</v>
      </c>
      <c r="I1945" s="251">
        <v>1</v>
      </c>
      <c r="J1945" s="273">
        <v>570.58861000000002</v>
      </c>
      <c r="K1945" s="273">
        <v>416.94722999999999</v>
      </c>
      <c r="L1945" s="273">
        <v>153.64138</v>
      </c>
    </row>
    <row r="1946" spans="1:12" ht="26.4" customHeight="1">
      <c r="A1946" s="221">
        <v>130</v>
      </c>
      <c r="B1946" s="526"/>
      <c r="C1946" s="201" t="s">
        <v>1800</v>
      </c>
      <c r="D1946" s="266" t="s">
        <v>1958</v>
      </c>
      <c r="E1946" s="203" t="s">
        <v>1903</v>
      </c>
      <c r="F1946" s="203" t="s">
        <v>481</v>
      </c>
      <c r="G1946" s="252" t="s">
        <v>3</v>
      </c>
      <c r="H1946" s="262" t="s">
        <v>631</v>
      </c>
      <c r="I1946" s="285">
        <v>1575</v>
      </c>
      <c r="J1946" s="273">
        <v>160.28399999999999</v>
      </c>
      <c r="K1946" s="273">
        <v>93.172929999999994</v>
      </c>
      <c r="L1946" s="273">
        <v>67.111069999999998</v>
      </c>
    </row>
    <row r="1947" spans="1:12" ht="26.4" customHeight="1">
      <c r="A1947" s="221">
        <v>131</v>
      </c>
      <c r="B1947" s="526"/>
      <c r="C1947" s="201" t="s">
        <v>1800</v>
      </c>
      <c r="D1947" s="266" t="s">
        <v>1958</v>
      </c>
      <c r="E1947" s="203" t="s">
        <v>480</v>
      </c>
      <c r="F1947" s="258" t="s">
        <v>479</v>
      </c>
      <c r="G1947" s="252" t="s">
        <v>3</v>
      </c>
      <c r="H1947" s="262" t="s">
        <v>1138</v>
      </c>
      <c r="I1947" s="251">
        <v>1</v>
      </c>
      <c r="J1947" s="273">
        <v>144.56804</v>
      </c>
      <c r="K1947" s="273">
        <v>144.56804</v>
      </c>
      <c r="L1947" s="273">
        <v>0</v>
      </c>
    </row>
    <row r="1948" spans="1:12" ht="26.4" customHeight="1">
      <c r="A1948" s="221">
        <v>132</v>
      </c>
      <c r="B1948" s="526"/>
      <c r="C1948" s="201" t="s">
        <v>1800</v>
      </c>
      <c r="D1948" s="266" t="s">
        <v>1958</v>
      </c>
      <c r="E1948" s="203" t="s">
        <v>478</v>
      </c>
      <c r="F1948" s="258" t="s">
        <v>477</v>
      </c>
      <c r="G1948" s="252" t="s">
        <v>3</v>
      </c>
      <c r="H1948" s="262" t="s">
        <v>1138</v>
      </c>
      <c r="I1948" s="251">
        <v>1</v>
      </c>
      <c r="J1948" s="273">
        <v>10.919420000000001</v>
      </c>
      <c r="K1948" s="273">
        <v>1.21235</v>
      </c>
      <c r="L1948" s="273">
        <v>9.7070699999999999</v>
      </c>
    </row>
    <row r="1949" spans="1:12" ht="26.4" customHeight="1">
      <c r="A1949" s="221">
        <v>133</v>
      </c>
      <c r="B1949" s="526"/>
      <c r="C1949" s="201" t="s">
        <v>1801</v>
      </c>
      <c r="D1949" s="266" t="s">
        <v>1959</v>
      </c>
      <c r="E1949" s="203" t="s">
        <v>476</v>
      </c>
      <c r="F1949" s="258" t="s">
        <v>475</v>
      </c>
      <c r="G1949" s="255" t="s">
        <v>1565</v>
      </c>
      <c r="H1949" s="475" t="s">
        <v>1138</v>
      </c>
      <c r="I1949" s="251">
        <v>1</v>
      </c>
      <c r="J1949" s="273">
        <v>585.73242000000005</v>
      </c>
      <c r="K1949" s="273">
        <v>322.84780999999998</v>
      </c>
      <c r="L1949" s="273">
        <v>262.88461000000001</v>
      </c>
    </row>
    <row r="1950" spans="1:12" ht="26.4" customHeight="1">
      <c r="A1950" s="221">
        <v>134</v>
      </c>
      <c r="B1950" s="527"/>
      <c r="C1950" s="201" t="s">
        <v>1801</v>
      </c>
      <c r="D1950" s="266" t="s">
        <v>1959</v>
      </c>
      <c r="E1950" s="203" t="s">
        <v>474</v>
      </c>
      <c r="F1950" s="258" t="s">
        <v>473</v>
      </c>
      <c r="G1950" s="252" t="s">
        <v>3</v>
      </c>
      <c r="H1950" s="262" t="s">
        <v>1138</v>
      </c>
      <c r="I1950" s="251">
        <v>1</v>
      </c>
      <c r="J1950" s="273">
        <v>3.2</v>
      </c>
      <c r="K1950" s="273">
        <v>2.0611199999999998</v>
      </c>
      <c r="L1950" s="273">
        <v>1.1388799999999999</v>
      </c>
    </row>
    <row r="1951" spans="1:12" ht="26.4" customHeight="1">
      <c r="A1951" s="267"/>
      <c r="B1951" s="303" t="s">
        <v>2215</v>
      </c>
      <c r="C1951" s="303" t="s">
        <v>3</v>
      </c>
      <c r="D1951" s="303" t="s">
        <v>3</v>
      </c>
      <c r="E1951" s="303" t="s">
        <v>3</v>
      </c>
      <c r="F1951" s="303" t="s">
        <v>3</v>
      </c>
      <c r="G1951" s="303" t="s">
        <v>3</v>
      </c>
      <c r="H1951" s="303" t="s">
        <v>3</v>
      </c>
      <c r="I1951" s="303" t="s">
        <v>3</v>
      </c>
      <c r="J1951" s="293">
        <f>SUM(J1817:J1950)</f>
        <v>20920.255659999992</v>
      </c>
      <c r="K1951" s="293">
        <f>SUM(K1817:K1950)</f>
        <v>11951.169310000001</v>
      </c>
      <c r="L1951" s="293">
        <f>SUM(L1817:L1950)</f>
        <v>8969.0863500000032</v>
      </c>
    </row>
    <row r="1952" spans="1:12" ht="26.4" customHeight="1">
      <c r="A1952" s="224">
        <v>1</v>
      </c>
      <c r="B1952" s="530" t="s">
        <v>13239</v>
      </c>
      <c r="C1952" s="288" t="s">
        <v>25</v>
      </c>
      <c r="D1952" s="288" t="s">
        <v>2146</v>
      </c>
      <c r="E1952" s="288" t="s">
        <v>2391</v>
      </c>
      <c r="F1952" s="236" t="s">
        <v>1589</v>
      </c>
      <c r="G1952" s="236" t="s">
        <v>1539</v>
      </c>
      <c r="H1952" s="475" t="s">
        <v>1149</v>
      </c>
      <c r="I1952" s="268">
        <v>216.2</v>
      </c>
      <c r="J1952" s="274">
        <v>110.1</v>
      </c>
      <c r="K1952" s="274">
        <v>50.6</v>
      </c>
      <c r="L1952" s="274">
        <f t="shared" ref="L1952:L2015" si="3">SUM(J1952-K1952)</f>
        <v>59.499999999999993</v>
      </c>
    </row>
    <row r="1953" spans="1:12" ht="26.4" customHeight="1">
      <c r="A1953" s="224">
        <f t="shared" ref="A1953:A2016" si="4">SUM(A1952+1)</f>
        <v>2</v>
      </c>
      <c r="B1953" s="531"/>
      <c r="C1953" s="288" t="s">
        <v>25</v>
      </c>
      <c r="D1953" s="288" t="s">
        <v>2147</v>
      </c>
      <c r="E1953" s="288" t="s">
        <v>1831</v>
      </c>
      <c r="F1953" s="236" t="s">
        <v>1590</v>
      </c>
      <c r="G1953" s="236" t="s">
        <v>1563</v>
      </c>
      <c r="H1953" s="475" t="s">
        <v>1149</v>
      </c>
      <c r="I1953" s="241">
        <v>11.9</v>
      </c>
      <c r="J1953" s="274">
        <v>25.1</v>
      </c>
      <c r="K1953" s="274">
        <v>21.3</v>
      </c>
      <c r="L1953" s="274">
        <f t="shared" si="3"/>
        <v>3.8000000000000007</v>
      </c>
    </row>
    <row r="1954" spans="1:12" ht="26.4" customHeight="1">
      <c r="A1954" s="224">
        <f t="shared" si="4"/>
        <v>3</v>
      </c>
      <c r="B1954" s="531"/>
      <c r="C1954" s="288" t="s">
        <v>25</v>
      </c>
      <c r="D1954" s="288" t="s">
        <v>2148</v>
      </c>
      <c r="E1954" s="288" t="s">
        <v>1809</v>
      </c>
      <c r="F1954" s="298" t="s">
        <v>1591</v>
      </c>
      <c r="G1954" s="236" t="s">
        <v>1529</v>
      </c>
      <c r="H1954" s="475" t="s">
        <v>1138</v>
      </c>
      <c r="I1954" s="241">
        <v>1</v>
      </c>
      <c r="J1954" s="274">
        <v>20.5</v>
      </c>
      <c r="K1954" s="274">
        <v>20</v>
      </c>
      <c r="L1954" s="274">
        <f t="shared" si="3"/>
        <v>0.5</v>
      </c>
    </row>
    <row r="1955" spans="1:12" ht="26.4" customHeight="1">
      <c r="A1955" s="224">
        <f t="shared" si="4"/>
        <v>4</v>
      </c>
      <c r="B1955" s="531"/>
      <c r="C1955" s="288" t="s">
        <v>25</v>
      </c>
      <c r="D1955" s="288" t="s">
        <v>2149</v>
      </c>
      <c r="E1955" s="288" t="s">
        <v>472</v>
      </c>
      <c r="F1955" s="298" t="s">
        <v>1592</v>
      </c>
      <c r="G1955" s="236" t="s">
        <v>1544</v>
      </c>
      <c r="H1955" s="475" t="s">
        <v>1149</v>
      </c>
      <c r="I1955" s="241">
        <v>547.1</v>
      </c>
      <c r="J1955" s="274">
        <v>791.6</v>
      </c>
      <c r="K1955" s="274">
        <v>273.3</v>
      </c>
      <c r="L1955" s="274">
        <f t="shared" si="3"/>
        <v>518.29999999999995</v>
      </c>
    </row>
    <row r="1956" spans="1:12" ht="26.4" customHeight="1">
      <c r="A1956" s="224">
        <f t="shared" si="4"/>
        <v>5</v>
      </c>
      <c r="B1956" s="531"/>
      <c r="C1956" s="288" t="s">
        <v>25</v>
      </c>
      <c r="D1956" s="288" t="s">
        <v>2150</v>
      </c>
      <c r="E1956" s="288" t="s">
        <v>2487</v>
      </c>
      <c r="F1956" s="298" t="s">
        <v>1593</v>
      </c>
      <c r="G1956" s="236" t="s">
        <v>1528</v>
      </c>
      <c r="H1956" s="475" t="s">
        <v>1138</v>
      </c>
      <c r="I1956" s="241">
        <v>1</v>
      </c>
      <c r="J1956" s="274">
        <v>21.7</v>
      </c>
      <c r="K1956" s="274">
        <v>17.3</v>
      </c>
      <c r="L1956" s="274">
        <f t="shared" si="3"/>
        <v>4.3999999999999986</v>
      </c>
    </row>
    <row r="1957" spans="1:12" ht="26.4" customHeight="1">
      <c r="A1957" s="224">
        <f t="shared" si="4"/>
        <v>6</v>
      </c>
      <c r="B1957" s="531"/>
      <c r="C1957" s="288" t="s">
        <v>25</v>
      </c>
      <c r="D1957" s="288" t="s">
        <v>2151</v>
      </c>
      <c r="E1957" s="288" t="s">
        <v>2488</v>
      </c>
      <c r="F1957" s="298" t="s">
        <v>1594</v>
      </c>
      <c r="G1957" s="236" t="s">
        <v>1582</v>
      </c>
      <c r="H1957" s="475" t="s">
        <v>1149</v>
      </c>
      <c r="I1957" s="241">
        <v>584.1</v>
      </c>
      <c r="J1957" s="274">
        <v>779</v>
      </c>
      <c r="K1957" s="274">
        <v>422.3</v>
      </c>
      <c r="L1957" s="274">
        <f t="shared" si="3"/>
        <v>356.7</v>
      </c>
    </row>
    <row r="1958" spans="1:12" ht="26.4" customHeight="1">
      <c r="A1958" s="224">
        <f t="shared" si="4"/>
        <v>7</v>
      </c>
      <c r="B1958" s="531"/>
      <c r="C1958" s="288" t="s">
        <v>25</v>
      </c>
      <c r="D1958" s="288" t="s">
        <v>2151</v>
      </c>
      <c r="E1958" s="288" t="s">
        <v>2489</v>
      </c>
      <c r="F1958" s="298" t="s">
        <v>1595</v>
      </c>
      <c r="G1958" s="236" t="s">
        <v>1546</v>
      </c>
      <c r="H1958" s="475" t="s">
        <v>1149</v>
      </c>
      <c r="I1958" s="241">
        <v>758</v>
      </c>
      <c r="J1958" s="274">
        <v>883</v>
      </c>
      <c r="K1958" s="274">
        <v>359.6</v>
      </c>
      <c r="L1958" s="274">
        <f t="shared" si="3"/>
        <v>523.4</v>
      </c>
    </row>
    <row r="1959" spans="1:12" ht="26.4" customHeight="1">
      <c r="A1959" s="224">
        <f t="shared" si="4"/>
        <v>8</v>
      </c>
      <c r="B1959" s="531"/>
      <c r="C1959" s="288" t="s">
        <v>25</v>
      </c>
      <c r="D1959" s="288" t="s">
        <v>2152</v>
      </c>
      <c r="E1959" s="288" t="s">
        <v>471</v>
      </c>
      <c r="F1959" s="298" t="s">
        <v>1596</v>
      </c>
      <c r="G1959" s="236" t="s">
        <v>1581</v>
      </c>
      <c r="H1959" s="475" t="s">
        <v>1149</v>
      </c>
      <c r="I1959" s="268">
        <v>190</v>
      </c>
      <c r="J1959" s="274">
        <v>543.20000000000005</v>
      </c>
      <c r="K1959" s="274">
        <v>79.5</v>
      </c>
      <c r="L1959" s="243">
        <f t="shared" si="3"/>
        <v>463.70000000000005</v>
      </c>
    </row>
    <row r="1960" spans="1:12" ht="26.4" customHeight="1">
      <c r="A1960" s="224">
        <f t="shared" si="4"/>
        <v>9</v>
      </c>
      <c r="B1960" s="531"/>
      <c r="C1960" s="288" t="s">
        <v>25</v>
      </c>
      <c r="D1960" s="288" t="s">
        <v>2153</v>
      </c>
      <c r="E1960" s="288" t="s">
        <v>2387</v>
      </c>
      <c r="F1960" s="298" t="s">
        <v>1597</v>
      </c>
      <c r="G1960" s="236" t="s">
        <v>1551</v>
      </c>
      <c r="H1960" s="475" t="s">
        <v>1149</v>
      </c>
      <c r="I1960" s="268">
        <v>91</v>
      </c>
      <c r="J1960" s="274">
        <v>107.7</v>
      </c>
      <c r="K1960" s="274">
        <v>27.7</v>
      </c>
      <c r="L1960" s="274">
        <f t="shared" si="3"/>
        <v>80</v>
      </c>
    </row>
    <row r="1961" spans="1:12" ht="26.4" customHeight="1">
      <c r="A1961" s="224">
        <f t="shared" si="4"/>
        <v>10</v>
      </c>
      <c r="B1961" s="531"/>
      <c r="C1961" s="288" t="s">
        <v>25</v>
      </c>
      <c r="D1961" s="288" t="s">
        <v>2154</v>
      </c>
      <c r="E1961" s="288" t="s">
        <v>2490</v>
      </c>
      <c r="F1961" s="298" t="s">
        <v>1598</v>
      </c>
      <c r="G1961" s="236" t="s">
        <v>1536</v>
      </c>
      <c r="H1961" s="475" t="s">
        <v>1149</v>
      </c>
      <c r="I1961" s="268">
        <v>292</v>
      </c>
      <c r="J1961" s="274">
        <v>209.8</v>
      </c>
      <c r="K1961" s="274">
        <v>70.099999999999994</v>
      </c>
      <c r="L1961" s="274">
        <f t="shared" si="3"/>
        <v>139.70000000000002</v>
      </c>
    </row>
    <row r="1962" spans="1:12" ht="26.4" customHeight="1">
      <c r="A1962" s="224">
        <f t="shared" si="4"/>
        <v>11</v>
      </c>
      <c r="B1962" s="531"/>
      <c r="C1962" s="288" t="s">
        <v>25</v>
      </c>
      <c r="D1962" s="288" t="s">
        <v>2155</v>
      </c>
      <c r="E1962" s="208" t="s">
        <v>2491</v>
      </c>
      <c r="F1962" s="298" t="s">
        <v>1599</v>
      </c>
      <c r="G1962" s="236" t="s">
        <v>1571</v>
      </c>
      <c r="H1962" s="475" t="s">
        <v>1149</v>
      </c>
      <c r="I1962" s="268">
        <v>169.2</v>
      </c>
      <c r="J1962" s="274">
        <v>685.5</v>
      </c>
      <c r="K1962" s="243">
        <v>132.80000000000001</v>
      </c>
      <c r="L1962" s="274">
        <f t="shared" si="3"/>
        <v>552.70000000000005</v>
      </c>
    </row>
    <row r="1963" spans="1:12" ht="26.4" customHeight="1">
      <c r="A1963" s="224">
        <f t="shared" si="4"/>
        <v>12</v>
      </c>
      <c r="B1963" s="531"/>
      <c r="C1963" s="288" t="s">
        <v>25</v>
      </c>
      <c r="D1963" s="289" t="s">
        <v>2156</v>
      </c>
      <c r="E1963" s="288" t="s">
        <v>1313</v>
      </c>
      <c r="F1963" s="298" t="s">
        <v>1600</v>
      </c>
      <c r="G1963" s="236" t="s">
        <v>1536</v>
      </c>
      <c r="H1963" s="475" t="s">
        <v>1149</v>
      </c>
      <c r="I1963" s="268">
        <v>251</v>
      </c>
      <c r="J1963" s="274">
        <v>46.5</v>
      </c>
      <c r="K1963" s="274">
        <v>24.3</v>
      </c>
      <c r="L1963" s="274">
        <f t="shared" si="3"/>
        <v>22.2</v>
      </c>
    </row>
    <row r="1964" spans="1:12" ht="26.4" customHeight="1">
      <c r="A1964" s="224">
        <f t="shared" si="4"/>
        <v>13</v>
      </c>
      <c r="B1964" s="531"/>
      <c r="C1964" s="288" t="s">
        <v>25</v>
      </c>
      <c r="D1964" s="288" t="s">
        <v>1521</v>
      </c>
      <c r="E1964" s="288" t="s">
        <v>2492</v>
      </c>
      <c r="F1964" s="298" t="s">
        <v>1601</v>
      </c>
      <c r="G1964" s="236" t="s">
        <v>1548</v>
      </c>
      <c r="H1964" s="475" t="s">
        <v>1149</v>
      </c>
      <c r="I1964" s="268">
        <v>127</v>
      </c>
      <c r="J1964" s="274">
        <v>114.9</v>
      </c>
      <c r="K1964" s="274">
        <v>26.6</v>
      </c>
      <c r="L1964" s="274">
        <f t="shared" si="3"/>
        <v>88.300000000000011</v>
      </c>
    </row>
    <row r="1965" spans="1:12" ht="26.4" customHeight="1">
      <c r="A1965" s="224">
        <f t="shared" si="4"/>
        <v>14</v>
      </c>
      <c r="B1965" s="531"/>
      <c r="C1965" s="288" t="s">
        <v>25</v>
      </c>
      <c r="D1965" s="288" t="s">
        <v>2157</v>
      </c>
      <c r="E1965" s="288" t="s">
        <v>1314</v>
      </c>
      <c r="F1965" s="298" t="s">
        <v>1602</v>
      </c>
      <c r="G1965" s="236" t="s">
        <v>1558</v>
      </c>
      <c r="H1965" s="475" t="s">
        <v>1149</v>
      </c>
      <c r="I1965" s="268">
        <v>465</v>
      </c>
      <c r="J1965" s="274">
        <v>268.3</v>
      </c>
      <c r="K1965" s="274">
        <v>38.5</v>
      </c>
      <c r="L1965" s="274">
        <f t="shared" si="3"/>
        <v>229.8</v>
      </c>
    </row>
    <row r="1966" spans="1:12" ht="26.4" customHeight="1">
      <c r="A1966" s="224">
        <f t="shared" si="4"/>
        <v>15</v>
      </c>
      <c r="B1966" s="531"/>
      <c r="C1966" s="288" t="s">
        <v>25</v>
      </c>
      <c r="D1966" s="288" t="s">
        <v>2158</v>
      </c>
      <c r="E1966" s="288" t="s">
        <v>1315</v>
      </c>
      <c r="F1966" s="298" t="s">
        <v>1603</v>
      </c>
      <c r="G1966" s="236" t="s">
        <v>1550</v>
      </c>
      <c r="H1966" s="475" t="s">
        <v>1149</v>
      </c>
      <c r="I1966" s="268">
        <v>118</v>
      </c>
      <c r="J1966" s="274">
        <v>119</v>
      </c>
      <c r="K1966" s="274">
        <v>38.1</v>
      </c>
      <c r="L1966" s="274">
        <f t="shared" si="3"/>
        <v>80.900000000000006</v>
      </c>
    </row>
    <row r="1967" spans="1:12" ht="26.4" customHeight="1">
      <c r="A1967" s="224">
        <f t="shared" si="4"/>
        <v>16</v>
      </c>
      <c r="B1967" s="531"/>
      <c r="C1967" s="288" t="s">
        <v>25</v>
      </c>
      <c r="D1967" s="288" t="s">
        <v>2159</v>
      </c>
      <c r="E1967" s="288" t="s">
        <v>1316</v>
      </c>
      <c r="F1967" s="298" t="s">
        <v>1604</v>
      </c>
      <c r="G1967" s="236" t="s">
        <v>1546</v>
      </c>
      <c r="H1967" s="475" t="s">
        <v>1149</v>
      </c>
      <c r="I1967" s="268">
        <v>182</v>
      </c>
      <c r="J1967" s="274">
        <v>219.6</v>
      </c>
      <c r="K1967" s="274">
        <v>134.4</v>
      </c>
      <c r="L1967" s="274">
        <f t="shared" si="3"/>
        <v>85.199999999999989</v>
      </c>
    </row>
    <row r="1968" spans="1:12" ht="26.4" customHeight="1">
      <c r="A1968" s="224">
        <f t="shared" si="4"/>
        <v>17</v>
      </c>
      <c r="B1968" s="531"/>
      <c r="C1968" s="288" t="s">
        <v>25</v>
      </c>
      <c r="D1968" s="288" t="s">
        <v>2160</v>
      </c>
      <c r="E1968" s="288" t="s">
        <v>470</v>
      </c>
      <c r="F1968" s="298" t="s">
        <v>1605</v>
      </c>
      <c r="G1968" s="236" t="s">
        <v>1583</v>
      </c>
      <c r="H1968" s="475" t="s">
        <v>1149</v>
      </c>
      <c r="I1968" s="268">
        <v>178</v>
      </c>
      <c r="J1968" s="274">
        <v>198.2</v>
      </c>
      <c r="K1968" s="274">
        <v>88.4</v>
      </c>
      <c r="L1968" s="274">
        <f t="shared" si="3"/>
        <v>109.79999999999998</v>
      </c>
    </row>
    <row r="1969" spans="1:12" ht="26.4" customHeight="1">
      <c r="A1969" s="224">
        <f t="shared" si="4"/>
        <v>18</v>
      </c>
      <c r="B1969" s="531"/>
      <c r="C1969" s="288" t="s">
        <v>25</v>
      </c>
      <c r="D1969" s="288" t="s">
        <v>2147</v>
      </c>
      <c r="E1969" s="288" t="s">
        <v>1317</v>
      </c>
      <c r="F1969" s="298" t="s">
        <v>1606</v>
      </c>
      <c r="G1969" s="236" t="s">
        <v>1548</v>
      </c>
      <c r="H1969" s="475" t="s">
        <v>1149</v>
      </c>
      <c r="I1969" s="241">
        <v>560.79999999999995</v>
      </c>
      <c r="J1969" s="274">
        <v>807.8</v>
      </c>
      <c r="K1969" s="274">
        <v>345.7</v>
      </c>
      <c r="L1969" s="274">
        <f t="shared" si="3"/>
        <v>462.09999999999997</v>
      </c>
    </row>
    <row r="1970" spans="1:12" ht="26.4" customHeight="1">
      <c r="A1970" s="224">
        <f t="shared" si="4"/>
        <v>19</v>
      </c>
      <c r="B1970" s="531"/>
      <c r="C1970" s="288" t="s">
        <v>25</v>
      </c>
      <c r="D1970" s="288" t="s">
        <v>2148</v>
      </c>
      <c r="E1970" s="288" t="s">
        <v>1319</v>
      </c>
      <c r="F1970" s="298" t="s">
        <v>1607</v>
      </c>
      <c r="G1970" s="236" t="s">
        <v>1529</v>
      </c>
      <c r="H1970" s="475" t="s">
        <v>1149</v>
      </c>
      <c r="I1970" s="268">
        <v>688</v>
      </c>
      <c r="J1970" s="274">
        <v>563.9</v>
      </c>
      <c r="K1970" s="274">
        <v>205.7</v>
      </c>
      <c r="L1970" s="274">
        <f t="shared" si="3"/>
        <v>358.2</v>
      </c>
    </row>
    <row r="1971" spans="1:12" ht="26.4" customHeight="1">
      <c r="A1971" s="224">
        <f t="shared" si="4"/>
        <v>20</v>
      </c>
      <c r="B1971" s="531"/>
      <c r="C1971" s="288" t="s">
        <v>25</v>
      </c>
      <c r="D1971" s="288" t="s">
        <v>2161</v>
      </c>
      <c r="E1971" s="288" t="s">
        <v>1318</v>
      </c>
      <c r="F1971" s="298" t="s">
        <v>1608</v>
      </c>
      <c r="G1971" s="236" t="s">
        <v>1528</v>
      </c>
      <c r="H1971" s="475" t="s">
        <v>1149</v>
      </c>
      <c r="I1971" s="268">
        <v>748.9</v>
      </c>
      <c r="J1971" s="274">
        <v>692.4</v>
      </c>
      <c r="K1971" s="274">
        <v>249.9</v>
      </c>
      <c r="L1971" s="274">
        <f t="shared" si="3"/>
        <v>442.5</v>
      </c>
    </row>
    <row r="1972" spans="1:12" ht="26.4" customHeight="1">
      <c r="A1972" s="224">
        <f t="shared" si="4"/>
        <v>21</v>
      </c>
      <c r="B1972" s="531"/>
      <c r="C1972" s="288" t="s">
        <v>25</v>
      </c>
      <c r="D1972" s="288" t="s">
        <v>2162</v>
      </c>
      <c r="E1972" s="288" t="s">
        <v>1320</v>
      </c>
      <c r="F1972" s="298" t="s">
        <v>1609</v>
      </c>
      <c r="G1972" s="236" t="s">
        <v>1557</v>
      </c>
      <c r="H1972" s="475" t="s">
        <v>1149</v>
      </c>
      <c r="I1972" s="241">
        <v>563.1</v>
      </c>
      <c r="J1972" s="274">
        <v>806.7</v>
      </c>
      <c r="K1972" s="274">
        <v>447.6</v>
      </c>
      <c r="L1972" s="274">
        <f t="shared" si="3"/>
        <v>359.1</v>
      </c>
    </row>
    <row r="1973" spans="1:12" ht="26.4" customHeight="1">
      <c r="A1973" s="224">
        <f t="shared" si="4"/>
        <v>22</v>
      </c>
      <c r="B1973" s="531"/>
      <c r="C1973" s="288" t="s">
        <v>25</v>
      </c>
      <c r="D1973" s="289" t="s">
        <v>2163</v>
      </c>
      <c r="E1973" s="288" t="s">
        <v>2394</v>
      </c>
      <c r="F1973" s="298" t="s">
        <v>1610</v>
      </c>
      <c r="G1973" s="236" t="s">
        <v>1560</v>
      </c>
      <c r="H1973" s="475" t="s">
        <v>1149</v>
      </c>
      <c r="I1973" s="268">
        <v>144.30000000000001</v>
      </c>
      <c r="J1973" s="274">
        <v>156.6</v>
      </c>
      <c r="K1973" s="274">
        <v>28.4</v>
      </c>
      <c r="L1973" s="274">
        <f t="shared" si="3"/>
        <v>128.19999999999999</v>
      </c>
    </row>
    <row r="1974" spans="1:12" ht="26.4" customHeight="1">
      <c r="A1974" s="224">
        <f t="shared" si="4"/>
        <v>23</v>
      </c>
      <c r="B1974" s="531"/>
      <c r="C1974" s="288" t="s">
        <v>25</v>
      </c>
      <c r="D1974" s="288" t="s">
        <v>2164</v>
      </c>
      <c r="E1974" s="288" t="s">
        <v>2393</v>
      </c>
      <c r="F1974" s="298" t="s">
        <v>1611</v>
      </c>
      <c r="G1974" s="236" t="s">
        <v>1560</v>
      </c>
      <c r="H1974" s="475" t="s">
        <v>1149</v>
      </c>
      <c r="I1974" s="268">
        <v>173.3</v>
      </c>
      <c r="J1974" s="274">
        <v>411.2</v>
      </c>
      <c r="K1974" s="274">
        <v>92.4</v>
      </c>
      <c r="L1974" s="274">
        <f t="shared" si="3"/>
        <v>318.79999999999995</v>
      </c>
    </row>
    <row r="1975" spans="1:12" ht="26.4" customHeight="1">
      <c r="A1975" s="224">
        <f t="shared" si="4"/>
        <v>24</v>
      </c>
      <c r="B1975" s="531"/>
      <c r="C1975" s="288" t="s">
        <v>25</v>
      </c>
      <c r="D1975" s="288" t="s">
        <v>2165</v>
      </c>
      <c r="E1975" s="288" t="s">
        <v>2392</v>
      </c>
      <c r="F1975" s="298" t="s">
        <v>1612</v>
      </c>
      <c r="G1975" s="236" t="s">
        <v>1560</v>
      </c>
      <c r="H1975" s="475" t="s">
        <v>1149</v>
      </c>
      <c r="I1975" s="241">
        <v>180</v>
      </c>
      <c r="J1975" s="274">
        <v>53.5</v>
      </c>
      <c r="K1975" s="274">
        <v>52.2</v>
      </c>
      <c r="L1975" s="274">
        <f t="shared" si="3"/>
        <v>1.2999999999999972</v>
      </c>
    </row>
    <row r="1976" spans="1:12" ht="26.4" customHeight="1">
      <c r="A1976" s="224">
        <f t="shared" si="4"/>
        <v>25</v>
      </c>
      <c r="B1976" s="531"/>
      <c r="C1976" s="288" t="s">
        <v>25</v>
      </c>
      <c r="D1976" s="288" t="s">
        <v>2166</v>
      </c>
      <c r="E1976" s="288" t="s">
        <v>469</v>
      </c>
      <c r="F1976" s="298" t="s">
        <v>1613</v>
      </c>
      <c r="G1976" s="236" t="s">
        <v>1560</v>
      </c>
      <c r="H1976" s="475" t="s">
        <v>1149</v>
      </c>
      <c r="I1976" s="241">
        <v>130</v>
      </c>
      <c r="J1976" s="274">
        <v>62.6</v>
      </c>
      <c r="K1976" s="274">
        <v>33.700000000000003</v>
      </c>
      <c r="L1976" s="274">
        <f t="shared" si="3"/>
        <v>28.9</v>
      </c>
    </row>
    <row r="1977" spans="1:12" ht="26.4" customHeight="1">
      <c r="A1977" s="224">
        <f t="shared" si="4"/>
        <v>26</v>
      </c>
      <c r="B1977" s="531"/>
      <c r="C1977" s="288" t="s">
        <v>25</v>
      </c>
      <c r="D1977" s="288" t="s">
        <v>2167</v>
      </c>
      <c r="E1977" s="288" t="s">
        <v>1321</v>
      </c>
      <c r="F1977" s="298" t="s">
        <v>1614</v>
      </c>
      <c r="G1977" s="236" t="s">
        <v>1560</v>
      </c>
      <c r="H1977" s="475" t="s">
        <v>1149</v>
      </c>
      <c r="I1977" s="268">
        <v>92</v>
      </c>
      <c r="J1977" s="274">
        <v>79.3</v>
      </c>
      <c r="K1977" s="274">
        <v>25.1</v>
      </c>
      <c r="L1977" s="274">
        <f t="shared" si="3"/>
        <v>54.199999999999996</v>
      </c>
    </row>
    <row r="1978" spans="1:12" ht="26.4" customHeight="1">
      <c r="A1978" s="224">
        <f t="shared" si="4"/>
        <v>27</v>
      </c>
      <c r="B1978" s="531"/>
      <c r="C1978" s="288" t="s">
        <v>25</v>
      </c>
      <c r="D1978" s="288" t="s">
        <v>2168</v>
      </c>
      <c r="E1978" s="288" t="s">
        <v>2388</v>
      </c>
      <c r="F1978" s="298" t="s">
        <v>1615</v>
      </c>
      <c r="G1978" s="236" t="s">
        <v>1565</v>
      </c>
      <c r="H1978" s="475" t="s">
        <v>1149</v>
      </c>
      <c r="I1978" s="268">
        <v>125</v>
      </c>
      <c r="J1978" s="274">
        <v>38</v>
      </c>
      <c r="K1978" s="274">
        <v>34.6</v>
      </c>
      <c r="L1978" s="274">
        <f t="shared" si="3"/>
        <v>3.3999999999999986</v>
      </c>
    </row>
    <row r="1979" spans="1:12" ht="26.4" customHeight="1">
      <c r="A1979" s="224">
        <f t="shared" si="4"/>
        <v>28</v>
      </c>
      <c r="B1979" s="531"/>
      <c r="C1979" s="288" t="s">
        <v>25</v>
      </c>
      <c r="D1979" s="288" t="s">
        <v>2168</v>
      </c>
      <c r="E1979" s="288" t="s">
        <v>2389</v>
      </c>
      <c r="F1979" s="298" t="s">
        <v>1616</v>
      </c>
      <c r="G1979" s="236" t="s">
        <v>1565</v>
      </c>
      <c r="H1979" s="475" t="s">
        <v>1138</v>
      </c>
      <c r="I1979" s="268">
        <v>1</v>
      </c>
      <c r="J1979" s="274">
        <v>34.1</v>
      </c>
      <c r="K1979" s="274">
        <v>32.6</v>
      </c>
      <c r="L1979" s="274">
        <f t="shared" si="3"/>
        <v>1.5</v>
      </c>
    </row>
    <row r="1980" spans="1:12" ht="26.4" customHeight="1">
      <c r="A1980" s="224">
        <f t="shared" si="4"/>
        <v>29</v>
      </c>
      <c r="B1980" s="531"/>
      <c r="C1980" s="288" t="s">
        <v>25</v>
      </c>
      <c r="D1980" s="288" t="s">
        <v>2169</v>
      </c>
      <c r="E1980" s="288" t="s">
        <v>468</v>
      </c>
      <c r="F1980" s="298" t="s">
        <v>1617</v>
      </c>
      <c r="G1980" s="236" t="s">
        <v>1547</v>
      </c>
      <c r="H1980" s="475" t="s">
        <v>1149</v>
      </c>
      <c r="I1980" s="268">
        <v>22</v>
      </c>
      <c r="J1980" s="274">
        <v>682.2</v>
      </c>
      <c r="K1980" s="274">
        <v>228</v>
      </c>
      <c r="L1980" s="274">
        <f t="shared" si="3"/>
        <v>454.20000000000005</v>
      </c>
    </row>
    <row r="1981" spans="1:12" ht="26.4" customHeight="1">
      <c r="A1981" s="224">
        <f t="shared" si="4"/>
        <v>30</v>
      </c>
      <c r="B1981" s="531"/>
      <c r="C1981" s="288" t="s">
        <v>25</v>
      </c>
      <c r="D1981" s="288" t="s">
        <v>2170</v>
      </c>
      <c r="E1981" s="288" t="s">
        <v>2390</v>
      </c>
      <c r="F1981" s="298" t="s">
        <v>1618</v>
      </c>
      <c r="G1981" s="236" t="s">
        <v>1536</v>
      </c>
      <c r="H1981" s="475" t="s">
        <v>1149</v>
      </c>
      <c r="I1981" s="268">
        <v>90</v>
      </c>
      <c r="J1981" s="274">
        <v>134.9</v>
      </c>
      <c r="K1981" s="274">
        <v>88.3</v>
      </c>
      <c r="L1981" s="274">
        <f t="shared" si="3"/>
        <v>46.600000000000009</v>
      </c>
    </row>
    <row r="1982" spans="1:12" ht="26.4" customHeight="1">
      <c r="A1982" s="224">
        <f t="shared" si="4"/>
        <v>31</v>
      </c>
      <c r="B1982" s="531"/>
      <c r="C1982" s="288" t="s">
        <v>25</v>
      </c>
      <c r="D1982" s="288" t="s">
        <v>2170</v>
      </c>
      <c r="E1982" s="288" t="s">
        <v>13012</v>
      </c>
      <c r="F1982" s="298" t="s">
        <v>1619</v>
      </c>
      <c r="G1982" s="236" t="s">
        <v>1536</v>
      </c>
      <c r="H1982" s="475" t="s">
        <v>1138</v>
      </c>
      <c r="I1982" s="268">
        <v>1</v>
      </c>
      <c r="J1982" s="274">
        <v>187.3</v>
      </c>
      <c r="K1982" s="274">
        <v>123.6</v>
      </c>
      <c r="L1982" s="274">
        <f t="shared" si="3"/>
        <v>63.700000000000017</v>
      </c>
    </row>
    <row r="1983" spans="1:12" ht="26.4" customHeight="1">
      <c r="A1983" s="224">
        <f t="shared" si="4"/>
        <v>32</v>
      </c>
      <c r="B1983" s="531"/>
      <c r="C1983" s="288" t="s">
        <v>25</v>
      </c>
      <c r="D1983" s="288" t="s">
        <v>2171</v>
      </c>
      <c r="E1983" s="288" t="s">
        <v>2395</v>
      </c>
      <c r="F1983" s="298" t="s">
        <v>1620</v>
      </c>
      <c r="G1983" s="236" t="s">
        <v>1535</v>
      </c>
      <c r="H1983" s="475" t="s">
        <v>1149</v>
      </c>
      <c r="I1983" s="241">
        <v>194.1</v>
      </c>
      <c r="J1983" s="274">
        <v>130.6</v>
      </c>
      <c r="K1983" s="274">
        <v>72.3</v>
      </c>
      <c r="L1983" s="274">
        <f t="shared" si="3"/>
        <v>58.3</v>
      </c>
    </row>
    <row r="1984" spans="1:12" ht="26.4" customHeight="1">
      <c r="A1984" s="224">
        <f t="shared" si="4"/>
        <v>33</v>
      </c>
      <c r="B1984" s="531"/>
      <c r="C1984" s="288" t="s">
        <v>25</v>
      </c>
      <c r="D1984" s="288" t="s">
        <v>2172</v>
      </c>
      <c r="E1984" s="288" t="s">
        <v>2396</v>
      </c>
      <c r="F1984" s="298" t="s">
        <v>1621</v>
      </c>
      <c r="G1984" s="236" t="s">
        <v>1542</v>
      </c>
      <c r="H1984" s="475" t="s">
        <v>1149</v>
      </c>
      <c r="I1984" s="241">
        <v>252.5</v>
      </c>
      <c r="J1984" s="274">
        <v>154.6</v>
      </c>
      <c r="K1984" s="274">
        <v>73.900000000000006</v>
      </c>
      <c r="L1984" s="274">
        <f t="shared" si="3"/>
        <v>80.699999999999989</v>
      </c>
    </row>
    <row r="1985" spans="1:12" ht="26.4" customHeight="1">
      <c r="A1985" s="224">
        <f t="shared" si="4"/>
        <v>34</v>
      </c>
      <c r="B1985" s="531"/>
      <c r="C1985" s="288" t="s">
        <v>25</v>
      </c>
      <c r="D1985" s="288" t="s">
        <v>2173</v>
      </c>
      <c r="E1985" s="288" t="s">
        <v>467</v>
      </c>
      <c r="F1985" s="298" t="s">
        <v>1622</v>
      </c>
      <c r="G1985" s="236" t="s">
        <v>1559</v>
      </c>
      <c r="H1985" s="475" t="s">
        <v>1149</v>
      </c>
      <c r="I1985" s="241">
        <v>451</v>
      </c>
      <c r="J1985" s="274">
        <v>51.8</v>
      </c>
      <c r="K1985" s="274">
        <v>23.4</v>
      </c>
      <c r="L1985" s="274">
        <f t="shared" si="3"/>
        <v>28.4</v>
      </c>
    </row>
    <row r="1986" spans="1:12" ht="26.4" customHeight="1">
      <c r="A1986" s="224">
        <f t="shared" si="4"/>
        <v>35</v>
      </c>
      <c r="B1986" s="531"/>
      <c r="C1986" s="288" t="s">
        <v>25</v>
      </c>
      <c r="D1986" s="288" t="s">
        <v>2174</v>
      </c>
      <c r="E1986" s="288" t="s">
        <v>2397</v>
      </c>
      <c r="F1986" s="298" t="s">
        <v>1623</v>
      </c>
      <c r="G1986" s="236" t="s">
        <v>1549</v>
      </c>
      <c r="H1986" s="475" t="s">
        <v>1149</v>
      </c>
      <c r="I1986" s="241">
        <v>200.5</v>
      </c>
      <c r="J1986" s="274">
        <v>84.5</v>
      </c>
      <c r="K1986" s="274">
        <v>62.9</v>
      </c>
      <c r="L1986" s="274">
        <f t="shared" si="3"/>
        <v>21.6</v>
      </c>
    </row>
    <row r="1987" spans="1:12" ht="26.4" customHeight="1">
      <c r="A1987" s="224">
        <f t="shared" si="4"/>
        <v>36</v>
      </c>
      <c r="B1987" s="531"/>
      <c r="C1987" s="288" t="s">
        <v>25</v>
      </c>
      <c r="D1987" s="288" t="s">
        <v>2175</v>
      </c>
      <c r="E1987" s="288" t="s">
        <v>1322</v>
      </c>
      <c r="F1987" s="298" t="s">
        <v>1624</v>
      </c>
      <c r="G1987" s="236" t="s">
        <v>1530</v>
      </c>
      <c r="H1987" s="475" t="s">
        <v>1149</v>
      </c>
      <c r="I1987" s="241">
        <v>54</v>
      </c>
      <c r="J1987" s="274">
        <v>12.4</v>
      </c>
      <c r="K1987" s="274">
        <v>8.1999999999999993</v>
      </c>
      <c r="L1987" s="274">
        <f t="shared" si="3"/>
        <v>4.2000000000000011</v>
      </c>
    </row>
    <row r="1988" spans="1:12" ht="26.4" customHeight="1">
      <c r="A1988" s="224">
        <f t="shared" si="4"/>
        <v>37</v>
      </c>
      <c r="B1988" s="531"/>
      <c r="C1988" s="288" t="s">
        <v>25</v>
      </c>
      <c r="D1988" s="288" t="s">
        <v>2176</v>
      </c>
      <c r="E1988" s="288" t="s">
        <v>1323</v>
      </c>
      <c r="F1988" s="298" t="s">
        <v>1625</v>
      </c>
      <c r="G1988" s="236" t="s">
        <v>1552</v>
      </c>
      <c r="H1988" s="475" t="s">
        <v>1149</v>
      </c>
      <c r="I1988" s="241">
        <v>200.5</v>
      </c>
      <c r="J1988" s="274">
        <v>92</v>
      </c>
      <c r="K1988" s="274">
        <v>65.400000000000006</v>
      </c>
      <c r="L1988" s="274">
        <f t="shared" si="3"/>
        <v>26.599999999999994</v>
      </c>
    </row>
    <row r="1989" spans="1:12" ht="26.4" customHeight="1">
      <c r="A1989" s="224">
        <f t="shared" si="4"/>
        <v>38</v>
      </c>
      <c r="B1989" s="531"/>
      <c r="C1989" s="288" t="s">
        <v>25</v>
      </c>
      <c r="D1989" s="288" t="s">
        <v>2177</v>
      </c>
      <c r="E1989" s="289" t="s">
        <v>1324</v>
      </c>
      <c r="F1989" s="298" t="s">
        <v>1626</v>
      </c>
      <c r="G1989" s="236" t="s">
        <v>1532</v>
      </c>
      <c r="H1989" s="475" t="s">
        <v>1149</v>
      </c>
      <c r="I1989" s="241">
        <v>252.5</v>
      </c>
      <c r="J1989" s="274">
        <v>144.9</v>
      </c>
      <c r="K1989" s="274">
        <v>49.2</v>
      </c>
      <c r="L1989" s="274">
        <f t="shared" si="3"/>
        <v>95.7</v>
      </c>
    </row>
    <row r="1990" spans="1:12" ht="26.4" customHeight="1">
      <c r="A1990" s="224">
        <f t="shared" si="4"/>
        <v>39</v>
      </c>
      <c r="B1990" s="531"/>
      <c r="C1990" s="288" t="s">
        <v>25</v>
      </c>
      <c r="D1990" s="289" t="s">
        <v>2178</v>
      </c>
      <c r="E1990" s="288" t="s">
        <v>1325</v>
      </c>
      <c r="F1990" s="298" t="s">
        <v>1627</v>
      </c>
      <c r="G1990" s="236" t="s">
        <v>1535</v>
      </c>
      <c r="H1990" s="475" t="s">
        <v>1149</v>
      </c>
      <c r="I1990" s="241">
        <v>252.5</v>
      </c>
      <c r="J1990" s="274">
        <v>499.7</v>
      </c>
      <c r="K1990" s="274">
        <v>142.9</v>
      </c>
      <c r="L1990" s="274">
        <f t="shared" si="3"/>
        <v>356.79999999999995</v>
      </c>
    </row>
    <row r="1991" spans="1:12" ht="26.4" customHeight="1">
      <c r="A1991" s="224">
        <f t="shared" si="4"/>
        <v>40</v>
      </c>
      <c r="B1991" s="531"/>
      <c r="C1991" s="288" t="s">
        <v>25</v>
      </c>
      <c r="D1991" s="288" t="s">
        <v>2179</v>
      </c>
      <c r="E1991" s="288" t="s">
        <v>13013</v>
      </c>
      <c r="F1991" s="298" t="s">
        <v>1628</v>
      </c>
      <c r="G1991" s="236" t="s">
        <v>1139</v>
      </c>
      <c r="H1991" s="475" t="s">
        <v>1149</v>
      </c>
      <c r="I1991" s="241">
        <v>194</v>
      </c>
      <c r="J1991" s="274">
        <v>98.2</v>
      </c>
      <c r="K1991" s="274">
        <v>61.8</v>
      </c>
      <c r="L1991" s="274">
        <f t="shared" si="3"/>
        <v>36.400000000000006</v>
      </c>
    </row>
    <row r="1992" spans="1:12" ht="26.4" customHeight="1">
      <c r="A1992" s="224">
        <f t="shared" si="4"/>
        <v>41</v>
      </c>
      <c r="B1992" s="531"/>
      <c r="C1992" s="288" t="s">
        <v>25</v>
      </c>
      <c r="D1992" s="289" t="s">
        <v>2180</v>
      </c>
      <c r="E1992" s="288" t="s">
        <v>13014</v>
      </c>
      <c r="F1992" s="298" t="s">
        <v>1629</v>
      </c>
      <c r="G1992" s="236" t="s">
        <v>1560</v>
      </c>
      <c r="H1992" s="475" t="s">
        <v>1149</v>
      </c>
      <c r="I1992" s="241">
        <v>252</v>
      </c>
      <c r="J1992" s="274">
        <v>112.7</v>
      </c>
      <c r="K1992" s="274">
        <v>57.4</v>
      </c>
      <c r="L1992" s="274">
        <f t="shared" si="3"/>
        <v>55.300000000000004</v>
      </c>
    </row>
    <row r="1993" spans="1:12" ht="26.4" customHeight="1">
      <c r="A1993" s="224">
        <f t="shared" si="4"/>
        <v>42</v>
      </c>
      <c r="B1993" s="531"/>
      <c r="C1993" s="288" t="s">
        <v>25</v>
      </c>
      <c r="D1993" s="288" t="s">
        <v>2181</v>
      </c>
      <c r="E1993" s="288" t="s">
        <v>1326</v>
      </c>
      <c r="F1993" s="298" t="s">
        <v>1630</v>
      </c>
      <c r="G1993" s="236" t="s">
        <v>1529</v>
      </c>
      <c r="H1993" s="475" t="s">
        <v>1149</v>
      </c>
      <c r="I1993" s="241">
        <v>200</v>
      </c>
      <c r="J1993" s="274">
        <v>65.2</v>
      </c>
      <c r="K1993" s="274">
        <v>44.4</v>
      </c>
      <c r="L1993" s="274">
        <f t="shared" si="3"/>
        <v>20.800000000000004</v>
      </c>
    </row>
    <row r="1994" spans="1:12" ht="26.4" customHeight="1">
      <c r="A1994" s="224">
        <f t="shared" si="4"/>
        <v>43</v>
      </c>
      <c r="B1994" s="531"/>
      <c r="C1994" s="288" t="s">
        <v>25</v>
      </c>
      <c r="D1994" s="288" t="s">
        <v>2182</v>
      </c>
      <c r="E1994" s="288" t="s">
        <v>1327</v>
      </c>
      <c r="F1994" s="298" t="s">
        <v>1631</v>
      </c>
      <c r="G1994" s="236" t="s">
        <v>1544</v>
      </c>
      <c r="H1994" s="475" t="s">
        <v>1149</v>
      </c>
      <c r="I1994" s="241">
        <v>200.5</v>
      </c>
      <c r="J1994" s="274">
        <v>196.7</v>
      </c>
      <c r="K1994" s="274">
        <v>97</v>
      </c>
      <c r="L1994" s="274">
        <f t="shared" si="3"/>
        <v>99.699999999999989</v>
      </c>
    </row>
    <row r="1995" spans="1:12" ht="26.4" customHeight="1">
      <c r="A1995" s="224">
        <f t="shared" si="4"/>
        <v>44</v>
      </c>
      <c r="B1995" s="531"/>
      <c r="C1995" s="288" t="s">
        <v>25</v>
      </c>
      <c r="D1995" s="288" t="s">
        <v>2183</v>
      </c>
      <c r="E1995" s="288" t="s">
        <v>1328</v>
      </c>
      <c r="F1995" s="298" t="s">
        <v>1632</v>
      </c>
      <c r="G1995" s="236" t="s">
        <v>1557</v>
      </c>
      <c r="H1995" s="475" t="s">
        <v>1149</v>
      </c>
      <c r="I1995" s="269">
        <v>253</v>
      </c>
      <c r="J1995" s="274">
        <v>292.60000000000002</v>
      </c>
      <c r="K1995" s="274">
        <v>117.2</v>
      </c>
      <c r="L1995" s="274">
        <f t="shared" si="3"/>
        <v>175.40000000000003</v>
      </c>
    </row>
    <row r="1996" spans="1:12" ht="26.4" customHeight="1">
      <c r="A1996" s="224">
        <f t="shared" si="4"/>
        <v>45</v>
      </c>
      <c r="B1996" s="531"/>
      <c r="C1996" s="288" t="s">
        <v>25</v>
      </c>
      <c r="D1996" s="288" t="s">
        <v>1522</v>
      </c>
      <c r="E1996" s="288" t="s">
        <v>466</v>
      </c>
      <c r="F1996" s="298" t="s">
        <v>1633</v>
      </c>
      <c r="G1996" s="236" t="s">
        <v>1565</v>
      </c>
      <c r="H1996" s="475" t="s">
        <v>1149</v>
      </c>
      <c r="I1996" s="269">
        <v>462</v>
      </c>
      <c r="J1996" s="274">
        <v>432.5</v>
      </c>
      <c r="K1996" s="274">
        <v>94.2</v>
      </c>
      <c r="L1996" s="274">
        <f t="shared" si="3"/>
        <v>338.3</v>
      </c>
    </row>
    <row r="1997" spans="1:12" ht="26.4" customHeight="1">
      <c r="A1997" s="224">
        <f t="shared" si="4"/>
        <v>46</v>
      </c>
      <c r="B1997" s="531"/>
      <c r="C1997" s="288" t="s">
        <v>25</v>
      </c>
      <c r="D1997" s="288" t="s">
        <v>1523</v>
      </c>
      <c r="E1997" s="288" t="s">
        <v>465</v>
      </c>
      <c r="F1997" s="298" t="s">
        <v>1634</v>
      </c>
      <c r="G1997" s="236" t="s">
        <v>1552</v>
      </c>
      <c r="H1997" s="475" t="s">
        <v>1149</v>
      </c>
      <c r="I1997" s="269">
        <v>484.9</v>
      </c>
      <c r="J1997" s="274">
        <v>422.2</v>
      </c>
      <c r="K1997" s="274">
        <v>128.69999999999999</v>
      </c>
      <c r="L1997" s="274">
        <f t="shared" si="3"/>
        <v>293.5</v>
      </c>
    </row>
    <row r="1998" spans="1:12" ht="26.4" customHeight="1">
      <c r="A1998" s="224">
        <f t="shared" si="4"/>
        <v>47</v>
      </c>
      <c r="B1998" s="531"/>
      <c r="C1998" s="288" t="s">
        <v>25</v>
      </c>
      <c r="D1998" s="288" t="s">
        <v>1523</v>
      </c>
      <c r="E1998" s="288" t="s">
        <v>464</v>
      </c>
      <c r="F1998" s="298" t="s">
        <v>1635</v>
      </c>
      <c r="G1998" s="236" t="s">
        <v>1565</v>
      </c>
      <c r="H1998" s="475" t="s">
        <v>1149</v>
      </c>
      <c r="I1998" s="269">
        <v>1032.8</v>
      </c>
      <c r="J1998" s="274">
        <v>1012.9</v>
      </c>
      <c r="K1998" s="274">
        <v>290.7</v>
      </c>
      <c r="L1998" s="274">
        <f t="shared" si="3"/>
        <v>722.2</v>
      </c>
    </row>
    <row r="1999" spans="1:12" ht="26.4" customHeight="1">
      <c r="A1999" s="224">
        <f t="shared" si="4"/>
        <v>48</v>
      </c>
      <c r="B1999" s="531"/>
      <c r="C1999" s="288" t="s">
        <v>25</v>
      </c>
      <c r="D1999" s="288" t="s">
        <v>2161</v>
      </c>
      <c r="E1999" s="288" t="s">
        <v>2399</v>
      </c>
      <c r="F1999" s="298" t="s">
        <v>1636</v>
      </c>
      <c r="G1999" s="236" t="s">
        <v>1528</v>
      </c>
      <c r="H1999" s="475" t="s">
        <v>1138</v>
      </c>
      <c r="I1999" s="281">
        <v>1</v>
      </c>
      <c r="J1999" s="274">
        <v>4</v>
      </c>
      <c r="K1999" s="274">
        <v>2.8</v>
      </c>
      <c r="L1999" s="274">
        <f t="shared" si="3"/>
        <v>1.2000000000000002</v>
      </c>
    </row>
    <row r="2000" spans="1:12" ht="26.4" customHeight="1">
      <c r="A2000" s="224">
        <f t="shared" si="4"/>
        <v>49</v>
      </c>
      <c r="B2000" s="531"/>
      <c r="C2000" s="288" t="s">
        <v>25</v>
      </c>
      <c r="D2000" s="288" t="s">
        <v>2161</v>
      </c>
      <c r="E2000" s="288" t="s">
        <v>2398</v>
      </c>
      <c r="F2000" s="298" t="s">
        <v>1637</v>
      </c>
      <c r="G2000" s="236" t="s">
        <v>1528</v>
      </c>
      <c r="H2000" s="475" t="s">
        <v>1138</v>
      </c>
      <c r="I2000" s="239">
        <v>1</v>
      </c>
      <c r="J2000" s="274">
        <v>21.4</v>
      </c>
      <c r="K2000" s="274">
        <v>14.3</v>
      </c>
      <c r="L2000" s="274">
        <f t="shared" si="3"/>
        <v>7.0999999999999979</v>
      </c>
    </row>
    <row r="2001" spans="1:12" ht="26.4" customHeight="1">
      <c r="A2001" s="224">
        <f t="shared" si="4"/>
        <v>50</v>
      </c>
      <c r="B2001" s="531"/>
      <c r="C2001" s="288" t="s">
        <v>25</v>
      </c>
      <c r="D2001" s="288" t="s">
        <v>2151</v>
      </c>
      <c r="E2001" s="288" t="s">
        <v>463</v>
      </c>
      <c r="F2001" s="298" t="s">
        <v>1638</v>
      </c>
      <c r="G2001" s="236" t="s">
        <v>1538</v>
      </c>
      <c r="H2001" s="475" t="s">
        <v>1149</v>
      </c>
      <c r="I2001" s="269">
        <v>43.6</v>
      </c>
      <c r="J2001" s="274">
        <v>2.6</v>
      </c>
      <c r="K2001" s="274">
        <v>1.8</v>
      </c>
      <c r="L2001" s="274">
        <f t="shared" si="3"/>
        <v>0.8</v>
      </c>
    </row>
    <row r="2002" spans="1:12" ht="26.4" customHeight="1">
      <c r="A2002" s="224">
        <f t="shared" si="4"/>
        <v>51</v>
      </c>
      <c r="B2002" s="531"/>
      <c r="C2002" s="288" t="s">
        <v>25</v>
      </c>
      <c r="D2002" s="288" t="s">
        <v>1523</v>
      </c>
      <c r="E2002" s="288" t="s">
        <v>1832</v>
      </c>
      <c r="F2002" s="298" t="s">
        <v>1639</v>
      </c>
      <c r="G2002" s="236" t="s">
        <v>1555</v>
      </c>
      <c r="H2002" s="475" t="s">
        <v>1149</v>
      </c>
      <c r="I2002" s="269">
        <v>28.6</v>
      </c>
      <c r="J2002" s="274">
        <v>11.8</v>
      </c>
      <c r="K2002" s="274">
        <v>3.1</v>
      </c>
      <c r="L2002" s="274">
        <f t="shared" si="3"/>
        <v>8.7000000000000011</v>
      </c>
    </row>
    <row r="2003" spans="1:12" ht="26.4" customHeight="1">
      <c r="A2003" s="224">
        <f t="shared" si="4"/>
        <v>52</v>
      </c>
      <c r="B2003" s="531"/>
      <c r="C2003" s="288" t="s">
        <v>25</v>
      </c>
      <c r="D2003" s="288" t="s">
        <v>2151</v>
      </c>
      <c r="E2003" s="288" t="s">
        <v>1329</v>
      </c>
      <c r="F2003" s="298" t="s">
        <v>1640</v>
      </c>
      <c r="G2003" s="236" t="s">
        <v>1549</v>
      </c>
      <c r="H2003" s="475" t="s">
        <v>1138</v>
      </c>
      <c r="I2003" s="269">
        <v>1</v>
      </c>
      <c r="J2003" s="274">
        <v>205</v>
      </c>
      <c r="K2003" s="274">
        <v>68.400000000000006</v>
      </c>
      <c r="L2003" s="274">
        <f t="shared" si="3"/>
        <v>136.6</v>
      </c>
    </row>
    <row r="2004" spans="1:12" ht="26.4" customHeight="1">
      <c r="A2004" s="224">
        <f t="shared" si="4"/>
        <v>53</v>
      </c>
      <c r="B2004" s="531"/>
      <c r="C2004" s="288" t="s">
        <v>25</v>
      </c>
      <c r="D2004" s="288" t="s">
        <v>2151</v>
      </c>
      <c r="E2004" s="288" t="s">
        <v>1330</v>
      </c>
      <c r="F2004" s="298" t="s">
        <v>1641</v>
      </c>
      <c r="G2004" s="236" t="s">
        <v>1539</v>
      </c>
      <c r="H2004" s="475" t="s">
        <v>1149</v>
      </c>
      <c r="I2004" s="269">
        <v>149.69999999999999</v>
      </c>
      <c r="J2004" s="274">
        <v>86.2</v>
      </c>
      <c r="K2004" s="274">
        <v>24.8</v>
      </c>
      <c r="L2004" s="274">
        <f t="shared" si="3"/>
        <v>61.400000000000006</v>
      </c>
    </row>
    <row r="2005" spans="1:12" ht="26.4" customHeight="1">
      <c r="A2005" s="224">
        <f t="shared" si="4"/>
        <v>54</v>
      </c>
      <c r="B2005" s="531"/>
      <c r="C2005" s="288" t="s">
        <v>25</v>
      </c>
      <c r="D2005" s="288" t="s">
        <v>1523</v>
      </c>
      <c r="E2005" s="288" t="s">
        <v>462</v>
      </c>
      <c r="F2005" s="298" t="s">
        <v>1642</v>
      </c>
      <c r="G2005" s="236" t="s">
        <v>1532</v>
      </c>
      <c r="H2005" s="475" t="s">
        <v>1149</v>
      </c>
      <c r="I2005" s="269">
        <v>396.4</v>
      </c>
      <c r="J2005" s="274">
        <v>114</v>
      </c>
      <c r="K2005" s="274">
        <v>38.1</v>
      </c>
      <c r="L2005" s="274">
        <f t="shared" si="3"/>
        <v>75.900000000000006</v>
      </c>
    </row>
    <row r="2006" spans="1:12" ht="26.4" customHeight="1">
      <c r="A2006" s="224">
        <f t="shared" si="4"/>
        <v>55</v>
      </c>
      <c r="B2006" s="531"/>
      <c r="C2006" s="288" t="s">
        <v>25</v>
      </c>
      <c r="D2006" s="288" t="s">
        <v>2347</v>
      </c>
      <c r="E2006" s="288" t="s">
        <v>461</v>
      </c>
      <c r="F2006" s="298" t="s">
        <v>1643</v>
      </c>
      <c r="G2006" s="236" t="s">
        <v>1538</v>
      </c>
      <c r="H2006" s="475" t="s">
        <v>1149</v>
      </c>
      <c r="I2006" s="269">
        <v>396</v>
      </c>
      <c r="J2006" s="274">
        <v>97.1</v>
      </c>
      <c r="K2006" s="274">
        <v>60.7</v>
      </c>
      <c r="L2006" s="274">
        <f t="shared" si="3"/>
        <v>36.399999999999991</v>
      </c>
    </row>
    <row r="2007" spans="1:12" ht="26.4" customHeight="1">
      <c r="A2007" s="224">
        <f t="shared" si="4"/>
        <v>56</v>
      </c>
      <c r="B2007" s="531"/>
      <c r="C2007" s="288" t="s">
        <v>25</v>
      </c>
      <c r="D2007" s="288" t="s">
        <v>2184</v>
      </c>
      <c r="E2007" s="288" t="s">
        <v>2401</v>
      </c>
      <c r="F2007" s="298" t="s">
        <v>1644</v>
      </c>
      <c r="G2007" s="236" t="s">
        <v>1565</v>
      </c>
      <c r="H2007" s="475" t="s">
        <v>1138</v>
      </c>
      <c r="I2007" s="241">
        <v>1</v>
      </c>
      <c r="J2007" s="274">
        <v>10</v>
      </c>
      <c r="K2007" s="274">
        <v>10</v>
      </c>
      <c r="L2007" s="274">
        <f t="shared" si="3"/>
        <v>0</v>
      </c>
    </row>
    <row r="2008" spans="1:12" ht="26.4" customHeight="1">
      <c r="A2008" s="224">
        <f t="shared" si="4"/>
        <v>57</v>
      </c>
      <c r="B2008" s="531"/>
      <c r="C2008" s="288" t="s">
        <v>25</v>
      </c>
      <c r="D2008" s="288" t="s">
        <v>2347</v>
      </c>
      <c r="E2008" s="288" t="s">
        <v>2400</v>
      </c>
      <c r="F2008" s="298" t="s">
        <v>1645</v>
      </c>
      <c r="G2008" s="236" t="s">
        <v>1559</v>
      </c>
      <c r="H2008" s="475" t="s">
        <v>1149</v>
      </c>
      <c r="I2008" s="269">
        <v>23.8</v>
      </c>
      <c r="J2008" s="274">
        <v>59.8</v>
      </c>
      <c r="K2008" s="274">
        <v>17</v>
      </c>
      <c r="L2008" s="274">
        <f t="shared" si="3"/>
        <v>42.8</v>
      </c>
    </row>
    <row r="2009" spans="1:12" ht="26.4" customHeight="1">
      <c r="A2009" s="224">
        <f t="shared" si="4"/>
        <v>58</v>
      </c>
      <c r="B2009" s="531"/>
      <c r="C2009" s="288" t="s">
        <v>25</v>
      </c>
      <c r="D2009" s="288" t="s">
        <v>2184</v>
      </c>
      <c r="E2009" s="288" t="s">
        <v>2402</v>
      </c>
      <c r="F2009" s="298" t="s">
        <v>1646</v>
      </c>
      <c r="G2009" s="236" t="s">
        <v>1584</v>
      </c>
      <c r="H2009" s="475" t="s">
        <v>1138</v>
      </c>
      <c r="I2009" s="241">
        <v>1</v>
      </c>
      <c r="J2009" s="274">
        <v>22</v>
      </c>
      <c r="K2009" s="274">
        <v>22</v>
      </c>
      <c r="L2009" s="274">
        <f t="shared" si="3"/>
        <v>0</v>
      </c>
    </row>
    <row r="2010" spans="1:12" ht="26.4" customHeight="1">
      <c r="A2010" s="224">
        <f t="shared" si="4"/>
        <v>59</v>
      </c>
      <c r="B2010" s="531"/>
      <c r="C2010" s="288" t="s">
        <v>25</v>
      </c>
      <c r="D2010" s="288" t="s">
        <v>2185</v>
      </c>
      <c r="E2010" s="288" t="s">
        <v>2403</v>
      </c>
      <c r="F2010" s="298" t="s">
        <v>1647</v>
      </c>
      <c r="G2010" s="236" t="s">
        <v>1581</v>
      </c>
      <c r="H2010" s="475" t="s">
        <v>1138</v>
      </c>
      <c r="I2010" s="241">
        <v>1</v>
      </c>
      <c r="J2010" s="274">
        <v>5.2</v>
      </c>
      <c r="K2010" s="274">
        <v>4.0999999999999996</v>
      </c>
      <c r="L2010" s="274">
        <f t="shared" si="3"/>
        <v>1.1000000000000005</v>
      </c>
    </row>
    <row r="2011" spans="1:12" ht="26.4" customHeight="1">
      <c r="A2011" s="224">
        <f t="shared" si="4"/>
        <v>60</v>
      </c>
      <c r="B2011" s="531"/>
      <c r="C2011" s="288" t="s">
        <v>25</v>
      </c>
      <c r="D2011" s="288" t="s">
        <v>2348</v>
      </c>
      <c r="E2011" s="288" t="s">
        <v>2017</v>
      </c>
      <c r="F2011" s="298" t="s">
        <v>1648</v>
      </c>
      <c r="G2011" s="236" t="s">
        <v>1548</v>
      </c>
      <c r="H2011" s="475" t="s">
        <v>1138</v>
      </c>
      <c r="I2011" s="241">
        <v>1</v>
      </c>
      <c r="J2011" s="274">
        <v>12.1</v>
      </c>
      <c r="K2011" s="274">
        <v>1.4</v>
      </c>
      <c r="L2011" s="274">
        <f t="shared" si="3"/>
        <v>10.7</v>
      </c>
    </row>
    <row r="2012" spans="1:12" ht="26.4" customHeight="1">
      <c r="A2012" s="224">
        <f t="shared" si="4"/>
        <v>61</v>
      </c>
      <c r="B2012" s="531"/>
      <c r="C2012" s="288" t="s">
        <v>25</v>
      </c>
      <c r="D2012" s="288" t="s">
        <v>2347</v>
      </c>
      <c r="E2012" s="288" t="s">
        <v>460</v>
      </c>
      <c r="F2012" s="298" t="s">
        <v>1649</v>
      </c>
      <c r="G2012" s="236" t="s">
        <v>1564</v>
      </c>
      <c r="H2012" s="475" t="s">
        <v>1149</v>
      </c>
      <c r="I2012" s="269">
        <v>70.8</v>
      </c>
      <c r="J2012" s="274">
        <v>0.9</v>
      </c>
      <c r="K2012" s="274">
        <v>0.9</v>
      </c>
      <c r="L2012" s="274">
        <f t="shared" si="3"/>
        <v>0</v>
      </c>
    </row>
    <row r="2013" spans="1:12" ht="26.4" customHeight="1">
      <c r="A2013" s="224">
        <f t="shared" si="4"/>
        <v>62</v>
      </c>
      <c r="B2013" s="531"/>
      <c r="C2013" s="288" t="s">
        <v>25</v>
      </c>
      <c r="D2013" s="288" t="s">
        <v>2347</v>
      </c>
      <c r="E2013" s="288" t="s">
        <v>459</v>
      </c>
      <c r="F2013" s="298" t="s">
        <v>1650</v>
      </c>
      <c r="G2013" s="236" t="s">
        <v>1582</v>
      </c>
      <c r="H2013" s="475" t="s">
        <v>1138</v>
      </c>
      <c r="I2013" s="269">
        <v>1</v>
      </c>
      <c r="J2013" s="274">
        <v>27.8</v>
      </c>
      <c r="K2013" s="274">
        <v>27.8</v>
      </c>
      <c r="L2013" s="274">
        <f t="shared" si="3"/>
        <v>0</v>
      </c>
    </row>
    <row r="2014" spans="1:12" ht="26.4" customHeight="1">
      <c r="A2014" s="224">
        <f t="shared" si="4"/>
        <v>63</v>
      </c>
      <c r="B2014" s="531"/>
      <c r="C2014" s="288" t="s">
        <v>25</v>
      </c>
      <c r="D2014" s="288" t="s">
        <v>2161</v>
      </c>
      <c r="E2014" s="288" t="s">
        <v>1331</v>
      </c>
      <c r="F2014" s="298" t="s">
        <v>1651</v>
      </c>
      <c r="G2014" s="236" t="s">
        <v>1528</v>
      </c>
      <c r="H2014" s="475" t="s">
        <v>1138</v>
      </c>
      <c r="I2014" s="241">
        <v>1</v>
      </c>
      <c r="J2014" s="274">
        <v>27</v>
      </c>
      <c r="K2014" s="274">
        <v>25.2</v>
      </c>
      <c r="L2014" s="274">
        <f t="shared" si="3"/>
        <v>1.8000000000000007</v>
      </c>
    </row>
    <row r="2015" spans="1:12" ht="26.4" customHeight="1">
      <c r="A2015" s="224">
        <f t="shared" si="4"/>
        <v>64</v>
      </c>
      <c r="B2015" s="531"/>
      <c r="C2015" s="288" t="s">
        <v>25</v>
      </c>
      <c r="D2015" s="288" t="s">
        <v>2148</v>
      </c>
      <c r="E2015" s="288" t="s">
        <v>1332</v>
      </c>
      <c r="F2015" s="298" t="s">
        <v>1652</v>
      </c>
      <c r="G2015" s="236" t="s">
        <v>1529</v>
      </c>
      <c r="H2015" s="475" t="s">
        <v>1138</v>
      </c>
      <c r="I2015" s="241">
        <v>1</v>
      </c>
      <c r="J2015" s="274">
        <v>36.299999999999997</v>
      </c>
      <c r="K2015" s="274">
        <v>28.7</v>
      </c>
      <c r="L2015" s="274">
        <f t="shared" si="3"/>
        <v>7.5999999999999979</v>
      </c>
    </row>
    <row r="2016" spans="1:12" ht="26.4" customHeight="1">
      <c r="A2016" s="224">
        <f t="shared" si="4"/>
        <v>65</v>
      </c>
      <c r="B2016" s="531"/>
      <c r="C2016" s="288" t="s">
        <v>25</v>
      </c>
      <c r="D2016" s="288" t="s">
        <v>2347</v>
      </c>
      <c r="E2016" s="288" t="s">
        <v>1828</v>
      </c>
      <c r="F2016" s="298" t="s">
        <v>1653</v>
      </c>
      <c r="G2016" s="236" t="s">
        <v>1565</v>
      </c>
      <c r="H2016" s="475" t="s">
        <v>1149</v>
      </c>
      <c r="I2016" s="269">
        <v>24.6</v>
      </c>
      <c r="J2016" s="274">
        <v>3.5</v>
      </c>
      <c r="K2016" s="274">
        <v>3.5</v>
      </c>
      <c r="L2016" s="274">
        <f t="shared" ref="L2016:L2079" si="5">SUM(J2016-K2016)</f>
        <v>0</v>
      </c>
    </row>
    <row r="2017" spans="1:12" ht="26.4" customHeight="1">
      <c r="A2017" s="224">
        <f t="shared" ref="A2017:A2057" si="6">SUM(A2016+1)</f>
        <v>66</v>
      </c>
      <c r="B2017" s="531"/>
      <c r="C2017" s="288" t="s">
        <v>25</v>
      </c>
      <c r="D2017" s="288" t="s">
        <v>2347</v>
      </c>
      <c r="E2017" s="288" t="s">
        <v>1333</v>
      </c>
      <c r="F2017" s="298" t="s">
        <v>1654</v>
      </c>
      <c r="G2017" s="236" t="s">
        <v>1553</v>
      </c>
      <c r="H2017" s="475" t="s">
        <v>1138</v>
      </c>
      <c r="I2017" s="269">
        <v>1</v>
      </c>
      <c r="J2017" s="274">
        <v>3.5</v>
      </c>
      <c r="K2017" s="274">
        <v>2.8</v>
      </c>
      <c r="L2017" s="274">
        <f t="shared" si="5"/>
        <v>0.70000000000000018</v>
      </c>
    </row>
    <row r="2018" spans="1:12" ht="26.4" customHeight="1">
      <c r="A2018" s="224">
        <f t="shared" si="6"/>
        <v>67</v>
      </c>
      <c r="B2018" s="531"/>
      <c r="C2018" s="289" t="s">
        <v>2493</v>
      </c>
      <c r="D2018" s="289" t="s">
        <v>2186</v>
      </c>
      <c r="E2018" s="289" t="s">
        <v>1334</v>
      </c>
      <c r="F2018" s="298" t="s">
        <v>1655</v>
      </c>
      <c r="G2018" s="237" t="s">
        <v>1567</v>
      </c>
      <c r="H2018" s="475" t="s">
        <v>1149</v>
      </c>
      <c r="I2018" s="241">
        <v>104</v>
      </c>
      <c r="J2018" s="274">
        <v>400.4</v>
      </c>
      <c r="K2018" s="274">
        <v>79.5</v>
      </c>
      <c r="L2018" s="274">
        <f t="shared" si="5"/>
        <v>320.89999999999998</v>
      </c>
    </row>
    <row r="2019" spans="1:12" ht="26.4" customHeight="1">
      <c r="A2019" s="224">
        <f t="shared" si="6"/>
        <v>68</v>
      </c>
      <c r="B2019" s="531"/>
      <c r="C2019" s="289" t="s">
        <v>1808</v>
      </c>
      <c r="D2019" s="289" t="s">
        <v>2186</v>
      </c>
      <c r="E2019" s="289" t="s">
        <v>1335</v>
      </c>
      <c r="F2019" s="298" t="s">
        <v>1656</v>
      </c>
      <c r="G2019" s="237" t="s">
        <v>1567</v>
      </c>
      <c r="H2019" s="475" t="s">
        <v>1138</v>
      </c>
      <c r="I2019" s="269">
        <v>1</v>
      </c>
      <c r="J2019" s="274">
        <v>14.6</v>
      </c>
      <c r="K2019" s="274">
        <v>7.4</v>
      </c>
      <c r="L2019" s="274">
        <f t="shared" si="5"/>
        <v>7.1999999999999993</v>
      </c>
    </row>
    <row r="2020" spans="1:12" ht="26.4" customHeight="1">
      <c r="A2020" s="224">
        <f t="shared" si="6"/>
        <v>69</v>
      </c>
      <c r="B2020" s="531"/>
      <c r="C2020" s="289" t="s">
        <v>1804</v>
      </c>
      <c r="D2020" s="289" t="s">
        <v>1524</v>
      </c>
      <c r="E2020" s="289" t="s">
        <v>13261</v>
      </c>
      <c r="F2020" s="298" t="s">
        <v>1657</v>
      </c>
      <c r="G2020" s="237" t="s">
        <v>1544</v>
      </c>
      <c r="H2020" s="475" t="s">
        <v>1149</v>
      </c>
      <c r="I2020" s="268">
        <v>513.1</v>
      </c>
      <c r="J2020" s="274">
        <v>148.4</v>
      </c>
      <c r="K2020" s="274">
        <v>57.5</v>
      </c>
      <c r="L2020" s="274">
        <f t="shared" si="5"/>
        <v>90.9</v>
      </c>
    </row>
    <row r="2021" spans="1:12" ht="26.4" customHeight="1">
      <c r="A2021" s="224">
        <f t="shared" si="6"/>
        <v>70</v>
      </c>
      <c r="B2021" s="531"/>
      <c r="C2021" s="289" t="s">
        <v>1804</v>
      </c>
      <c r="D2021" s="289" t="s">
        <v>1525</v>
      </c>
      <c r="E2021" s="289" t="s">
        <v>1888</v>
      </c>
      <c r="F2021" s="298" t="s">
        <v>1658</v>
      </c>
      <c r="G2021" s="237" t="s">
        <v>1536</v>
      </c>
      <c r="H2021" s="475" t="s">
        <v>1149</v>
      </c>
      <c r="I2021" s="268">
        <v>97</v>
      </c>
      <c r="J2021" s="274">
        <v>163.80000000000001</v>
      </c>
      <c r="K2021" s="274">
        <v>20.9</v>
      </c>
      <c r="L2021" s="274">
        <f t="shared" si="5"/>
        <v>142.9</v>
      </c>
    </row>
    <row r="2022" spans="1:12" ht="26.4" customHeight="1">
      <c r="A2022" s="224">
        <f t="shared" si="6"/>
        <v>71</v>
      </c>
      <c r="B2022" s="531"/>
      <c r="C2022" s="288" t="s">
        <v>450</v>
      </c>
      <c r="D2022" s="289" t="s">
        <v>2187</v>
      </c>
      <c r="E2022" s="289" t="s">
        <v>1336</v>
      </c>
      <c r="F2022" s="298" t="s">
        <v>1659</v>
      </c>
      <c r="G2022" s="236" t="s">
        <v>1584</v>
      </c>
      <c r="H2022" s="475" t="s">
        <v>1149</v>
      </c>
      <c r="I2022" s="241">
        <v>287.89999999999998</v>
      </c>
      <c r="J2022" s="274">
        <v>59.8</v>
      </c>
      <c r="K2022" s="274">
        <v>59.2</v>
      </c>
      <c r="L2022" s="274">
        <f t="shared" si="5"/>
        <v>0.59999999999999432</v>
      </c>
    </row>
    <row r="2023" spans="1:12" ht="26.4" customHeight="1">
      <c r="A2023" s="224">
        <f t="shared" si="6"/>
        <v>72</v>
      </c>
      <c r="B2023" s="531"/>
      <c r="C2023" s="288" t="s">
        <v>450</v>
      </c>
      <c r="D2023" s="288" t="s">
        <v>2188</v>
      </c>
      <c r="E2023" s="288" t="s">
        <v>888</v>
      </c>
      <c r="F2023" s="298" t="s">
        <v>1660</v>
      </c>
      <c r="G2023" s="236" t="s">
        <v>1546</v>
      </c>
      <c r="H2023" s="475" t="s">
        <v>1149</v>
      </c>
      <c r="I2023" s="241">
        <v>206.8</v>
      </c>
      <c r="J2023" s="274">
        <v>51.6</v>
      </c>
      <c r="K2023" s="274">
        <v>40.799999999999997</v>
      </c>
      <c r="L2023" s="274">
        <f t="shared" si="5"/>
        <v>10.800000000000004</v>
      </c>
    </row>
    <row r="2024" spans="1:12" ht="26.4" customHeight="1">
      <c r="A2024" s="224">
        <f t="shared" si="6"/>
        <v>73</v>
      </c>
      <c r="B2024" s="531"/>
      <c r="C2024" s="288" t="s">
        <v>450</v>
      </c>
      <c r="D2024" s="288" t="s">
        <v>2349</v>
      </c>
      <c r="E2024" s="288" t="s">
        <v>458</v>
      </c>
      <c r="F2024" s="298" t="s">
        <v>1661</v>
      </c>
      <c r="G2024" s="236" t="s">
        <v>1573</v>
      </c>
      <c r="H2024" s="475" t="s">
        <v>1149</v>
      </c>
      <c r="I2024" s="241">
        <v>132</v>
      </c>
      <c r="J2024" s="274">
        <v>38.700000000000003</v>
      </c>
      <c r="K2024" s="274">
        <v>21.4</v>
      </c>
      <c r="L2024" s="274">
        <f t="shared" si="5"/>
        <v>17.300000000000004</v>
      </c>
    </row>
    <row r="2025" spans="1:12" ht="26.4" customHeight="1">
      <c r="A2025" s="224">
        <f t="shared" si="6"/>
        <v>74</v>
      </c>
      <c r="B2025" s="531"/>
      <c r="C2025" s="288" t="s">
        <v>450</v>
      </c>
      <c r="D2025" s="288" t="s">
        <v>2350</v>
      </c>
      <c r="E2025" s="288" t="s">
        <v>1203</v>
      </c>
      <c r="F2025" s="298" t="s">
        <v>1662</v>
      </c>
      <c r="G2025" s="236" t="s">
        <v>1540</v>
      </c>
      <c r="H2025" s="475" t="s">
        <v>1149</v>
      </c>
      <c r="I2025" s="241">
        <v>422.3</v>
      </c>
      <c r="J2025" s="274">
        <v>33.200000000000003</v>
      </c>
      <c r="K2025" s="274">
        <v>32.799999999999997</v>
      </c>
      <c r="L2025" s="274">
        <f t="shared" si="5"/>
        <v>0.40000000000000568</v>
      </c>
    </row>
    <row r="2026" spans="1:12" ht="26.4" customHeight="1">
      <c r="A2026" s="224">
        <f t="shared" si="6"/>
        <v>75</v>
      </c>
      <c r="B2026" s="531"/>
      <c r="C2026" s="288" t="s">
        <v>450</v>
      </c>
      <c r="D2026" s="288" t="s">
        <v>2189</v>
      </c>
      <c r="E2026" s="288" t="s">
        <v>868</v>
      </c>
      <c r="F2026" s="298" t="s">
        <v>1663</v>
      </c>
      <c r="G2026" s="236" t="s">
        <v>1585</v>
      </c>
      <c r="H2026" s="475" t="s">
        <v>1149</v>
      </c>
      <c r="I2026" s="241">
        <v>176.9</v>
      </c>
      <c r="J2026" s="274">
        <v>102.3</v>
      </c>
      <c r="K2026" s="274">
        <v>101.5</v>
      </c>
      <c r="L2026" s="274">
        <f t="shared" si="5"/>
        <v>0.79999999999999716</v>
      </c>
    </row>
    <row r="2027" spans="1:12" ht="26.4" customHeight="1">
      <c r="A2027" s="224">
        <f t="shared" si="6"/>
        <v>76</v>
      </c>
      <c r="B2027" s="531"/>
      <c r="C2027" s="288" t="s">
        <v>450</v>
      </c>
      <c r="D2027" s="288" t="s">
        <v>2190</v>
      </c>
      <c r="E2027" s="288" t="s">
        <v>457</v>
      </c>
      <c r="F2027" s="298" t="s">
        <v>1664</v>
      </c>
      <c r="G2027" s="236" t="s">
        <v>1578</v>
      </c>
      <c r="H2027" s="475" t="s">
        <v>1149</v>
      </c>
      <c r="I2027" s="241">
        <v>181.8</v>
      </c>
      <c r="J2027" s="274">
        <v>106.2</v>
      </c>
      <c r="K2027" s="274">
        <v>81.2</v>
      </c>
      <c r="L2027" s="274">
        <f t="shared" si="5"/>
        <v>25</v>
      </c>
    </row>
    <row r="2028" spans="1:12" ht="26.4" customHeight="1">
      <c r="A2028" s="224">
        <f t="shared" si="6"/>
        <v>77</v>
      </c>
      <c r="B2028" s="531"/>
      <c r="C2028" s="288" t="s">
        <v>450</v>
      </c>
      <c r="D2028" s="288" t="s">
        <v>2191</v>
      </c>
      <c r="E2028" s="288" t="s">
        <v>456</v>
      </c>
      <c r="F2028" s="298" t="s">
        <v>1665</v>
      </c>
      <c r="G2028" s="236" t="s">
        <v>1579</v>
      </c>
      <c r="H2028" s="475" t="s">
        <v>1149</v>
      </c>
      <c r="I2028" s="241">
        <v>200.9</v>
      </c>
      <c r="J2028" s="274">
        <v>98.2</v>
      </c>
      <c r="K2028" s="274">
        <v>66.3</v>
      </c>
      <c r="L2028" s="274">
        <f t="shared" si="5"/>
        <v>31.900000000000006</v>
      </c>
    </row>
    <row r="2029" spans="1:12" ht="26.4" customHeight="1">
      <c r="A2029" s="224">
        <f t="shared" si="6"/>
        <v>78</v>
      </c>
      <c r="B2029" s="531"/>
      <c r="C2029" s="288" t="s">
        <v>450</v>
      </c>
      <c r="D2029" s="288" t="s">
        <v>2192</v>
      </c>
      <c r="E2029" s="288" t="s">
        <v>1337</v>
      </c>
      <c r="F2029" s="298" t="s">
        <v>1666</v>
      </c>
      <c r="G2029" s="236" t="s">
        <v>1566</v>
      </c>
      <c r="H2029" s="475" t="s">
        <v>1149</v>
      </c>
      <c r="I2029" s="241">
        <v>211.7</v>
      </c>
      <c r="J2029" s="274">
        <v>79.5</v>
      </c>
      <c r="K2029" s="274">
        <v>78.5</v>
      </c>
      <c r="L2029" s="274">
        <f t="shared" si="5"/>
        <v>1</v>
      </c>
    </row>
    <row r="2030" spans="1:12" ht="26.4" customHeight="1">
      <c r="A2030" s="224">
        <f t="shared" si="6"/>
        <v>79</v>
      </c>
      <c r="B2030" s="531"/>
      <c r="C2030" s="288" t="s">
        <v>450</v>
      </c>
      <c r="D2030" s="288" t="s">
        <v>2032</v>
      </c>
      <c r="E2030" s="288" t="s">
        <v>812</v>
      </c>
      <c r="F2030" s="298" t="s">
        <v>1667</v>
      </c>
      <c r="G2030" s="236" t="s">
        <v>1542</v>
      </c>
      <c r="H2030" s="475" t="s">
        <v>1149</v>
      </c>
      <c r="I2030" s="241">
        <v>186.22</v>
      </c>
      <c r="J2030" s="274">
        <v>804.1</v>
      </c>
      <c r="K2030" s="274">
        <v>176</v>
      </c>
      <c r="L2030" s="274">
        <f t="shared" si="5"/>
        <v>628.1</v>
      </c>
    </row>
    <row r="2031" spans="1:12" ht="26.4" customHeight="1">
      <c r="A2031" s="224">
        <f t="shared" si="6"/>
        <v>80</v>
      </c>
      <c r="B2031" s="531"/>
      <c r="C2031" s="288" t="s">
        <v>450</v>
      </c>
      <c r="D2031" s="288" t="s">
        <v>2032</v>
      </c>
      <c r="E2031" s="288" t="s">
        <v>1338</v>
      </c>
      <c r="F2031" s="298" t="s">
        <v>1668</v>
      </c>
      <c r="G2031" s="236" t="s">
        <v>1542</v>
      </c>
      <c r="H2031" s="475" t="s">
        <v>1149</v>
      </c>
      <c r="I2031" s="241">
        <v>892.4</v>
      </c>
      <c r="J2031" s="274">
        <v>944.8</v>
      </c>
      <c r="K2031" s="274">
        <v>569.29999999999995</v>
      </c>
      <c r="L2031" s="274">
        <f t="shared" si="5"/>
        <v>375.5</v>
      </c>
    </row>
    <row r="2032" spans="1:12" ht="26.4" customHeight="1">
      <c r="A2032" s="224">
        <f t="shared" si="6"/>
        <v>81</v>
      </c>
      <c r="B2032" s="531"/>
      <c r="C2032" s="288" t="s">
        <v>450</v>
      </c>
      <c r="D2032" s="288" t="s">
        <v>2032</v>
      </c>
      <c r="E2032" s="288" t="s">
        <v>2018</v>
      </c>
      <c r="F2032" s="298" t="s">
        <v>1669</v>
      </c>
      <c r="G2032" s="236" t="s">
        <v>1542</v>
      </c>
      <c r="H2032" s="475" t="s">
        <v>1138</v>
      </c>
      <c r="I2032" s="241">
        <v>1</v>
      </c>
      <c r="J2032" s="274">
        <v>42</v>
      </c>
      <c r="K2032" s="274">
        <v>27.2</v>
      </c>
      <c r="L2032" s="274">
        <f t="shared" si="5"/>
        <v>14.8</v>
      </c>
    </row>
    <row r="2033" spans="1:12" ht="26.4" customHeight="1">
      <c r="A2033" s="224">
        <f t="shared" si="6"/>
        <v>82</v>
      </c>
      <c r="B2033" s="531"/>
      <c r="C2033" s="288" t="s">
        <v>450</v>
      </c>
      <c r="D2033" s="288" t="s">
        <v>2032</v>
      </c>
      <c r="E2033" s="288" t="s">
        <v>455</v>
      </c>
      <c r="F2033" s="298" t="s">
        <v>1670</v>
      </c>
      <c r="G2033" s="236" t="s">
        <v>1542</v>
      </c>
      <c r="H2033" s="475" t="s">
        <v>1138</v>
      </c>
      <c r="I2033" s="241">
        <v>1</v>
      </c>
      <c r="J2033" s="274">
        <v>7.5</v>
      </c>
      <c r="K2033" s="274">
        <v>7.3</v>
      </c>
      <c r="L2033" s="274">
        <f t="shared" si="5"/>
        <v>0.20000000000000018</v>
      </c>
    </row>
    <row r="2034" spans="1:12" ht="26.4" customHeight="1">
      <c r="A2034" s="224">
        <f t="shared" si="6"/>
        <v>83</v>
      </c>
      <c r="B2034" s="531"/>
      <c r="C2034" s="288" t="s">
        <v>450</v>
      </c>
      <c r="D2034" s="288" t="s">
        <v>2032</v>
      </c>
      <c r="E2034" s="288" t="s">
        <v>1339</v>
      </c>
      <c r="F2034" s="298" t="s">
        <v>1671</v>
      </c>
      <c r="G2034" s="236" t="s">
        <v>1532</v>
      </c>
      <c r="H2034" s="475" t="s">
        <v>1138</v>
      </c>
      <c r="I2034" s="241">
        <v>1</v>
      </c>
      <c r="J2034" s="274">
        <v>308.2</v>
      </c>
      <c r="K2034" s="274">
        <v>308.2</v>
      </c>
      <c r="L2034" s="274">
        <f t="shared" si="5"/>
        <v>0</v>
      </c>
    </row>
    <row r="2035" spans="1:12" ht="26.4" customHeight="1">
      <c r="A2035" s="224">
        <f t="shared" si="6"/>
        <v>84</v>
      </c>
      <c r="B2035" s="531"/>
      <c r="C2035" s="288" t="s">
        <v>450</v>
      </c>
      <c r="D2035" s="289" t="s">
        <v>2193</v>
      </c>
      <c r="E2035" s="288" t="s">
        <v>804</v>
      </c>
      <c r="F2035" s="298" t="s">
        <v>1672</v>
      </c>
      <c r="G2035" s="236" t="s">
        <v>1579</v>
      </c>
      <c r="H2035" s="475" t="s">
        <v>1149</v>
      </c>
      <c r="I2035" s="241">
        <v>409.5</v>
      </c>
      <c r="J2035" s="274">
        <v>495.8</v>
      </c>
      <c r="K2035" s="274">
        <v>355.2</v>
      </c>
      <c r="L2035" s="274">
        <f t="shared" si="5"/>
        <v>140.60000000000002</v>
      </c>
    </row>
    <row r="2036" spans="1:12" ht="26.4" customHeight="1">
      <c r="A2036" s="224">
        <f t="shared" si="6"/>
        <v>85</v>
      </c>
      <c r="B2036" s="531"/>
      <c r="C2036" s="288" t="s">
        <v>450</v>
      </c>
      <c r="D2036" s="288" t="s">
        <v>2378</v>
      </c>
      <c r="E2036" s="288" t="s">
        <v>896</v>
      </c>
      <c r="F2036" s="298" t="s">
        <v>1673</v>
      </c>
      <c r="G2036" s="236" t="s">
        <v>1584</v>
      </c>
      <c r="H2036" s="475" t="s">
        <v>1138</v>
      </c>
      <c r="I2036" s="241">
        <v>1</v>
      </c>
      <c r="J2036" s="274">
        <v>44.7</v>
      </c>
      <c r="K2036" s="274">
        <v>40.299999999999997</v>
      </c>
      <c r="L2036" s="274">
        <f t="shared" si="5"/>
        <v>4.4000000000000057</v>
      </c>
    </row>
    <row r="2037" spans="1:12" ht="26.4" customHeight="1">
      <c r="A2037" s="224">
        <f t="shared" si="6"/>
        <v>86</v>
      </c>
      <c r="B2037" s="531"/>
      <c r="C2037" s="288" t="s">
        <v>450</v>
      </c>
      <c r="D2037" s="288" t="s">
        <v>2188</v>
      </c>
      <c r="E2037" s="288" t="s">
        <v>886</v>
      </c>
      <c r="F2037" s="298" t="s">
        <v>1674</v>
      </c>
      <c r="G2037" s="236" t="s">
        <v>1579</v>
      </c>
      <c r="H2037" s="475" t="s">
        <v>1138</v>
      </c>
      <c r="I2037" s="241">
        <v>1</v>
      </c>
      <c r="J2037" s="274">
        <v>4</v>
      </c>
      <c r="K2037" s="274">
        <v>3.6</v>
      </c>
      <c r="L2037" s="274">
        <f t="shared" si="5"/>
        <v>0.39999999999999991</v>
      </c>
    </row>
    <row r="2038" spans="1:12" ht="26.4" customHeight="1">
      <c r="A2038" s="224">
        <f t="shared" si="6"/>
        <v>87</v>
      </c>
      <c r="B2038" s="531"/>
      <c r="C2038" s="288" t="s">
        <v>450</v>
      </c>
      <c r="D2038" s="288" t="s">
        <v>2349</v>
      </c>
      <c r="E2038" s="288" t="s">
        <v>876</v>
      </c>
      <c r="F2038" s="298" t="s">
        <v>1675</v>
      </c>
      <c r="G2038" s="236" t="s">
        <v>1573</v>
      </c>
      <c r="H2038" s="475" t="s">
        <v>1138</v>
      </c>
      <c r="I2038" s="241">
        <v>1</v>
      </c>
      <c r="J2038" s="274">
        <v>16</v>
      </c>
      <c r="K2038" s="274">
        <v>14.9</v>
      </c>
      <c r="L2038" s="274">
        <f t="shared" si="5"/>
        <v>1.0999999999999996</v>
      </c>
    </row>
    <row r="2039" spans="1:12" ht="26.4" customHeight="1">
      <c r="A2039" s="224">
        <f t="shared" si="6"/>
        <v>88</v>
      </c>
      <c r="B2039" s="531"/>
      <c r="C2039" s="288" t="s">
        <v>450</v>
      </c>
      <c r="D2039" s="289" t="s">
        <v>2350</v>
      </c>
      <c r="E2039" s="288" t="s">
        <v>871</v>
      </c>
      <c r="F2039" s="298" t="s">
        <v>1676</v>
      </c>
      <c r="G2039" s="236" t="s">
        <v>1540</v>
      </c>
      <c r="H2039" s="475" t="s">
        <v>1138</v>
      </c>
      <c r="I2039" s="241">
        <v>1</v>
      </c>
      <c r="J2039" s="274">
        <v>4.4000000000000004</v>
      </c>
      <c r="K2039" s="274">
        <v>4.2</v>
      </c>
      <c r="L2039" s="274">
        <f t="shared" si="5"/>
        <v>0.20000000000000018</v>
      </c>
    </row>
    <row r="2040" spans="1:12" ht="26.4" customHeight="1">
      <c r="A2040" s="224">
        <f t="shared" si="6"/>
        <v>89</v>
      </c>
      <c r="B2040" s="531"/>
      <c r="C2040" s="288" t="s">
        <v>450</v>
      </c>
      <c r="D2040" s="288" t="s">
        <v>2194</v>
      </c>
      <c r="E2040" s="288" t="s">
        <v>866</v>
      </c>
      <c r="F2040" s="298" t="s">
        <v>1677</v>
      </c>
      <c r="G2040" s="236" t="s">
        <v>1585</v>
      </c>
      <c r="H2040" s="475" t="s">
        <v>1138</v>
      </c>
      <c r="I2040" s="241">
        <v>1</v>
      </c>
      <c r="J2040" s="274">
        <v>38</v>
      </c>
      <c r="K2040" s="274">
        <v>36.4</v>
      </c>
      <c r="L2040" s="274">
        <f t="shared" si="5"/>
        <v>1.6000000000000014</v>
      </c>
    </row>
    <row r="2041" spans="1:12" ht="26.4" customHeight="1">
      <c r="A2041" s="224">
        <f t="shared" si="6"/>
        <v>90</v>
      </c>
      <c r="B2041" s="531"/>
      <c r="C2041" s="288" t="s">
        <v>450</v>
      </c>
      <c r="D2041" s="288" t="s">
        <v>2195</v>
      </c>
      <c r="E2041" s="288" t="s">
        <v>861</v>
      </c>
      <c r="F2041" s="298" t="s">
        <v>1678</v>
      </c>
      <c r="G2041" s="236" t="s">
        <v>1578</v>
      </c>
      <c r="H2041" s="475" t="s">
        <v>1138</v>
      </c>
      <c r="I2041" s="241">
        <v>1</v>
      </c>
      <c r="J2041" s="274">
        <v>10.4</v>
      </c>
      <c r="K2041" s="274">
        <v>9.1999999999999993</v>
      </c>
      <c r="L2041" s="274">
        <f t="shared" si="5"/>
        <v>1.2000000000000011</v>
      </c>
    </row>
    <row r="2042" spans="1:12" s="197" customFormat="1" ht="26.4" customHeight="1">
      <c r="A2042" s="209">
        <f t="shared" si="6"/>
        <v>91</v>
      </c>
      <c r="B2042" s="531"/>
      <c r="C2042" s="208" t="s">
        <v>450</v>
      </c>
      <c r="D2042" s="208" t="s">
        <v>2191</v>
      </c>
      <c r="E2042" s="208" t="s">
        <v>855</v>
      </c>
      <c r="F2042" s="298" t="s">
        <v>1679</v>
      </c>
      <c r="G2042" s="256" t="s">
        <v>1544</v>
      </c>
      <c r="H2042" s="475" t="s">
        <v>1138</v>
      </c>
      <c r="I2042" s="257">
        <v>1</v>
      </c>
      <c r="J2042" s="274">
        <v>45.1</v>
      </c>
      <c r="K2042" s="274">
        <v>40.200000000000003</v>
      </c>
      <c r="L2042" s="274">
        <f t="shared" si="5"/>
        <v>4.8999999999999986</v>
      </c>
    </row>
    <row r="2043" spans="1:12" ht="26.4" customHeight="1">
      <c r="A2043" s="224">
        <f t="shared" si="6"/>
        <v>92</v>
      </c>
      <c r="B2043" s="531"/>
      <c r="C2043" s="288" t="s">
        <v>450</v>
      </c>
      <c r="D2043" s="288" t="s">
        <v>2192</v>
      </c>
      <c r="E2043" s="288" t="s">
        <v>825</v>
      </c>
      <c r="F2043" s="298" t="s">
        <v>1680</v>
      </c>
      <c r="G2043" s="236" t="s">
        <v>1550</v>
      </c>
      <c r="H2043" s="475" t="s">
        <v>1138</v>
      </c>
      <c r="I2043" s="241">
        <v>1</v>
      </c>
      <c r="J2043" s="274">
        <v>11.5</v>
      </c>
      <c r="K2043" s="274">
        <v>11.2</v>
      </c>
      <c r="L2043" s="274">
        <f t="shared" si="5"/>
        <v>0.30000000000000071</v>
      </c>
    </row>
    <row r="2044" spans="1:12" ht="26.4" customHeight="1">
      <c r="A2044" s="224">
        <f t="shared" si="6"/>
        <v>93</v>
      </c>
      <c r="B2044" s="531"/>
      <c r="C2044" s="288" t="s">
        <v>450</v>
      </c>
      <c r="D2044" s="288" t="s">
        <v>2033</v>
      </c>
      <c r="E2044" s="288" t="s">
        <v>809</v>
      </c>
      <c r="F2044" s="298" t="s">
        <v>1681</v>
      </c>
      <c r="G2044" s="236" t="s">
        <v>1542</v>
      </c>
      <c r="H2044" s="475" t="s">
        <v>1138</v>
      </c>
      <c r="I2044" s="241">
        <v>1</v>
      </c>
      <c r="J2044" s="274">
        <v>13.2</v>
      </c>
      <c r="K2044" s="274">
        <v>12.1</v>
      </c>
      <c r="L2044" s="274">
        <f t="shared" si="5"/>
        <v>1.0999999999999996</v>
      </c>
    </row>
    <row r="2045" spans="1:12" ht="26.4" customHeight="1">
      <c r="A2045" s="224">
        <f t="shared" si="6"/>
        <v>94</v>
      </c>
      <c r="B2045" s="531"/>
      <c r="C2045" s="288" t="s">
        <v>450</v>
      </c>
      <c r="D2045" s="288" t="s">
        <v>2033</v>
      </c>
      <c r="E2045" s="288" t="s">
        <v>1833</v>
      </c>
      <c r="F2045" s="298" t="s">
        <v>1682</v>
      </c>
      <c r="G2045" s="236" t="s">
        <v>1574</v>
      </c>
      <c r="H2045" s="475" t="s">
        <v>1138</v>
      </c>
      <c r="I2045" s="241">
        <v>1</v>
      </c>
      <c r="J2045" s="274">
        <v>238.1</v>
      </c>
      <c r="K2045" s="274">
        <v>24.8</v>
      </c>
      <c r="L2045" s="274">
        <f t="shared" si="5"/>
        <v>213.29999999999998</v>
      </c>
    </row>
    <row r="2046" spans="1:12" ht="26.4" customHeight="1">
      <c r="A2046" s="224">
        <f t="shared" si="6"/>
        <v>95</v>
      </c>
      <c r="B2046" s="531"/>
      <c r="C2046" s="288" t="s">
        <v>450</v>
      </c>
      <c r="D2046" s="288" t="s">
        <v>2196</v>
      </c>
      <c r="E2046" s="288" t="s">
        <v>1340</v>
      </c>
      <c r="F2046" s="298" t="s">
        <v>1683</v>
      </c>
      <c r="G2046" s="236" t="s">
        <v>1579</v>
      </c>
      <c r="H2046" s="475" t="s">
        <v>1138</v>
      </c>
      <c r="I2046" s="241">
        <v>1</v>
      </c>
      <c r="J2046" s="274">
        <v>13.1</v>
      </c>
      <c r="K2046" s="274">
        <v>11.2</v>
      </c>
      <c r="L2046" s="274">
        <f t="shared" si="5"/>
        <v>1.9000000000000004</v>
      </c>
    </row>
    <row r="2047" spans="1:12" ht="26.4" customHeight="1">
      <c r="A2047" s="224">
        <f t="shared" si="6"/>
        <v>96</v>
      </c>
      <c r="B2047" s="531"/>
      <c r="C2047" s="288" t="s">
        <v>450</v>
      </c>
      <c r="D2047" s="288" t="s">
        <v>2193</v>
      </c>
      <c r="E2047" s="288" t="s">
        <v>1834</v>
      </c>
      <c r="F2047" s="298" t="s">
        <v>1684</v>
      </c>
      <c r="G2047" s="236" t="s">
        <v>1579</v>
      </c>
      <c r="H2047" s="475" t="s">
        <v>1149</v>
      </c>
      <c r="I2047" s="241">
        <v>19</v>
      </c>
      <c r="J2047" s="274">
        <v>3.3</v>
      </c>
      <c r="K2047" s="274">
        <v>2.8</v>
      </c>
      <c r="L2047" s="274">
        <f t="shared" si="5"/>
        <v>0.5</v>
      </c>
    </row>
    <row r="2048" spans="1:12" ht="26.4" customHeight="1">
      <c r="A2048" s="224">
        <f t="shared" si="6"/>
        <v>97</v>
      </c>
      <c r="B2048" s="531"/>
      <c r="C2048" s="288" t="s">
        <v>450</v>
      </c>
      <c r="D2048" s="288" t="s">
        <v>2193</v>
      </c>
      <c r="E2048" s="288" t="s">
        <v>2404</v>
      </c>
      <c r="F2048" s="298" t="s">
        <v>1685</v>
      </c>
      <c r="G2048" s="236" t="s">
        <v>1579</v>
      </c>
      <c r="H2048" s="475" t="s">
        <v>1149</v>
      </c>
      <c r="I2048" s="241">
        <v>20.7</v>
      </c>
      <c r="J2048" s="274">
        <v>3.3</v>
      </c>
      <c r="K2048" s="274">
        <v>2.8</v>
      </c>
      <c r="L2048" s="274">
        <f t="shared" si="5"/>
        <v>0.5</v>
      </c>
    </row>
    <row r="2049" spans="1:12" ht="26.4" customHeight="1">
      <c r="A2049" s="224">
        <f t="shared" si="6"/>
        <v>98</v>
      </c>
      <c r="B2049" s="531"/>
      <c r="C2049" s="288" t="s">
        <v>450</v>
      </c>
      <c r="D2049" s="288" t="s">
        <v>2197</v>
      </c>
      <c r="E2049" s="224" t="s">
        <v>735</v>
      </c>
      <c r="F2049" s="298" t="s">
        <v>1686</v>
      </c>
      <c r="G2049" s="236" t="s">
        <v>1586</v>
      </c>
      <c r="H2049" s="475" t="s">
        <v>1149</v>
      </c>
      <c r="I2049" s="241">
        <v>184.9</v>
      </c>
      <c r="J2049" s="274">
        <v>25.4</v>
      </c>
      <c r="K2049" s="274">
        <v>23.7</v>
      </c>
      <c r="L2049" s="274">
        <f t="shared" si="5"/>
        <v>1.6999999999999993</v>
      </c>
    </row>
    <row r="2050" spans="1:12" ht="26.4" customHeight="1">
      <c r="A2050" s="224">
        <f t="shared" si="6"/>
        <v>99</v>
      </c>
      <c r="B2050" s="531"/>
      <c r="C2050" s="288" t="s">
        <v>450</v>
      </c>
      <c r="D2050" s="288" t="s">
        <v>2197</v>
      </c>
      <c r="E2050" s="288" t="s">
        <v>1835</v>
      </c>
      <c r="F2050" s="298" t="s">
        <v>1687</v>
      </c>
      <c r="G2050" s="236" t="s">
        <v>1587</v>
      </c>
      <c r="H2050" s="475" t="s">
        <v>1149</v>
      </c>
      <c r="I2050" s="241">
        <v>311.2</v>
      </c>
      <c r="J2050" s="274">
        <v>24.4</v>
      </c>
      <c r="K2050" s="274">
        <v>22.6</v>
      </c>
      <c r="L2050" s="274">
        <f t="shared" si="5"/>
        <v>1.7999999999999972</v>
      </c>
    </row>
    <row r="2051" spans="1:12" ht="26.4" customHeight="1">
      <c r="A2051" s="224">
        <f t="shared" si="6"/>
        <v>100</v>
      </c>
      <c r="B2051" s="531"/>
      <c r="C2051" s="288" t="s">
        <v>450</v>
      </c>
      <c r="D2051" s="288" t="s">
        <v>2197</v>
      </c>
      <c r="E2051" s="288" t="s">
        <v>1836</v>
      </c>
      <c r="F2051" s="298" t="s">
        <v>1688</v>
      </c>
      <c r="G2051" s="236" t="s">
        <v>1584</v>
      </c>
      <c r="H2051" s="475" t="s">
        <v>1149</v>
      </c>
      <c r="I2051" s="241">
        <v>29.9</v>
      </c>
      <c r="J2051" s="274">
        <v>8.1</v>
      </c>
      <c r="K2051" s="274">
        <v>7.9</v>
      </c>
      <c r="L2051" s="274">
        <f t="shared" si="5"/>
        <v>0.19999999999999929</v>
      </c>
    </row>
    <row r="2052" spans="1:12" ht="26.4" customHeight="1">
      <c r="A2052" s="224">
        <f t="shared" si="6"/>
        <v>101</v>
      </c>
      <c r="B2052" s="531"/>
      <c r="C2052" s="288" t="s">
        <v>450</v>
      </c>
      <c r="D2052" s="288" t="s">
        <v>2197</v>
      </c>
      <c r="E2052" s="288" t="s">
        <v>850</v>
      </c>
      <c r="F2052" s="298" t="s">
        <v>1689</v>
      </c>
      <c r="G2052" s="236" t="s">
        <v>1584</v>
      </c>
      <c r="H2052" s="475" t="s">
        <v>1149</v>
      </c>
      <c r="I2052" s="241">
        <v>40.700000000000003</v>
      </c>
      <c r="J2052" s="274">
        <v>5.9</v>
      </c>
      <c r="K2052" s="274">
        <v>5.3</v>
      </c>
      <c r="L2052" s="274">
        <f t="shared" si="5"/>
        <v>0.60000000000000053</v>
      </c>
    </row>
    <row r="2053" spans="1:12" ht="26.4" customHeight="1">
      <c r="A2053" s="224">
        <f t="shared" si="6"/>
        <v>102</v>
      </c>
      <c r="B2053" s="531"/>
      <c r="C2053" s="288" t="s">
        <v>450</v>
      </c>
      <c r="D2053" s="288" t="s">
        <v>2197</v>
      </c>
      <c r="E2053" s="288" t="s">
        <v>454</v>
      </c>
      <c r="F2053" s="298" t="s">
        <v>1690</v>
      </c>
      <c r="G2053" s="237" t="s">
        <v>1584</v>
      </c>
      <c r="H2053" s="475" t="s">
        <v>1138</v>
      </c>
      <c r="I2053" s="241">
        <v>1</v>
      </c>
      <c r="J2053" s="274">
        <v>4.0999999999999996</v>
      </c>
      <c r="K2053" s="274">
        <v>4.0999999999999996</v>
      </c>
      <c r="L2053" s="274">
        <f t="shared" si="5"/>
        <v>0</v>
      </c>
    </row>
    <row r="2054" spans="1:12" ht="26.4" customHeight="1">
      <c r="A2054" s="224">
        <f t="shared" si="6"/>
        <v>103</v>
      </c>
      <c r="B2054" s="531"/>
      <c r="C2054" s="288" t="s">
        <v>450</v>
      </c>
      <c r="D2054" s="288" t="s">
        <v>2197</v>
      </c>
      <c r="E2054" s="288" t="s">
        <v>1997</v>
      </c>
      <c r="F2054" s="298" t="s">
        <v>1691</v>
      </c>
      <c r="G2054" s="237" t="s">
        <v>1584</v>
      </c>
      <c r="H2054" s="475" t="s">
        <v>1138</v>
      </c>
      <c r="I2054" s="241">
        <v>1</v>
      </c>
      <c r="J2054" s="274">
        <v>1.3</v>
      </c>
      <c r="K2054" s="274">
        <v>1.2</v>
      </c>
      <c r="L2054" s="274">
        <f t="shared" si="5"/>
        <v>0.10000000000000009</v>
      </c>
    </row>
    <row r="2055" spans="1:12" ht="26.4" customHeight="1">
      <c r="A2055" s="224">
        <f t="shared" si="6"/>
        <v>104</v>
      </c>
      <c r="B2055" s="531"/>
      <c r="C2055" s="288" t="s">
        <v>450</v>
      </c>
      <c r="D2055" s="288" t="s">
        <v>1526</v>
      </c>
      <c r="E2055" s="288" t="s">
        <v>2405</v>
      </c>
      <c r="F2055" s="298" t="s">
        <v>1692</v>
      </c>
      <c r="G2055" s="236" t="s">
        <v>1540</v>
      </c>
      <c r="H2055" s="475" t="s">
        <v>1149</v>
      </c>
      <c r="I2055" s="241">
        <v>298</v>
      </c>
      <c r="J2055" s="274">
        <v>33.799999999999997</v>
      </c>
      <c r="K2055" s="274">
        <v>29.5</v>
      </c>
      <c r="L2055" s="274">
        <f t="shared" si="5"/>
        <v>4.2999999999999972</v>
      </c>
    </row>
    <row r="2056" spans="1:12" ht="26.4" customHeight="1">
      <c r="A2056" s="224">
        <f t="shared" si="6"/>
        <v>105</v>
      </c>
      <c r="B2056" s="531"/>
      <c r="C2056" s="289" t="s">
        <v>1802</v>
      </c>
      <c r="D2056" s="289" t="s">
        <v>2198</v>
      </c>
      <c r="E2056" s="289" t="s">
        <v>12659</v>
      </c>
      <c r="F2056" s="298" t="s">
        <v>1693</v>
      </c>
      <c r="G2056" s="258" t="s">
        <v>3</v>
      </c>
      <c r="H2056" s="475" t="s">
        <v>1149</v>
      </c>
      <c r="I2056" s="269">
        <v>216</v>
      </c>
      <c r="J2056" s="274">
        <v>187.7</v>
      </c>
      <c r="K2056" s="274">
        <v>71.8</v>
      </c>
      <c r="L2056" s="274">
        <f t="shared" si="5"/>
        <v>115.89999999999999</v>
      </c>
    </row>
    <row r="2057" spans="1:12" ht="26.4" customHeight="1">
      <c r="A2057" s="224">
        <f t="shared" si="6"/>
        <v>106</v>
      </c>
      <c r="B2057" s="531"/>
      <c r="C2057" s="289" t="s">
        <v>1803</v>
      </c>
      <c r="D2057" s="289" t="s">
        <v>1527</v>
      </c>
      <c r="E2057" s="289" t="s">
        <v>2019</v>
      </c>
      <c r="F2057" s="298" t="s">
        <v>1694</v>
      </c>
      <c r="G2057" s="258" t="s">
        <v>3</v>
      </c>
      <c r="H2057" s="475" t="s">
        <v>1149</v>
      </c>
      <c r="I2057" s="269">
        <v>756</v>
      </c>
      <c r="J2057" s="274">
        <v>1420</v>
      </c>
      <c r="K2057" s="274">
        <v>879.4</v>
      </c>
      <c r="L2057" s="274">
        <f t="shared" si="5"/>
        <v>540.6</v>
      </c>
    </row>
    <row r="2058" spans="1:12" ht="26.4" customHeight="1">
      <c r="A2058" s="224">
        <v>107</v>
      </c>
      <c r="B2058" s="531"/>
      <c r="C2058" s="288" t="s">
        <v>25</v>
      </c>
      <c r="D2058" s="288" t="s">
        <v>3</v>
      </c>
      <c r="E2058" s="289" t="s">
        <v>453</v>
      </c>
      <c r="F2058" s="298" t="s">
        <v>1695</v>
      </c>
      <c r="G2058" s="237" t="s">
        <v>1538</v>
      </c>
      <c r="H2058" s="475" t="s">
        <v>1138</v>
      </c>
      <c r="I2058" s="477">
        <v>1</v>
      </c>
      <c r="J2058" s="274">
        <v>36.4</v>
      </c>
      <c r="K2058" s="274">
        <v>21.5</v>
      </c>
      <c r="L2058" s="274">
        <f t="shared" si="5"/>
        <v>14.899999999999999</v>
      </c>
    </row>
    <row r="2059" spans="1:12" ht="26.4" customHeight="1">
      <c r="A2059" s="224">
        <f t="shared" ref="A2059:A2090" si="7">SUM(A2058+1)</f>
        <v>108</v>
      </c>
      <c r="B2059" s="531"/>
      <c r="C2059" s="288" t="s">
        <v>25</v>
      </c>
      <c r="D2059" s="288" t="s">
        <v>3</v>
      </c>
      <c r="E2059" s="289" t="s">
        <v>1341</v>
      </c>
      <c r="F2059" s="298" t="s">
        <v>1696</v>
      </c>
      <c r="G2059" s="237" t="s">
        <v>1538</v>
      </c>
      <c r="H2059" s="475" t="s">
        <v>1138</v>
      </c>
      <c r="I2059" s="477">
        <v>1</v>
      </c>
      <c r="J2059" s="274">
        <v>229.4</v>
      </c>
      <c r="K2059" s="274">
        <v>144.9</v>
      </c>
      <c r="L2059" s="274">
        <f t="shared" si="5"/>
        <v>84.5</v>
      </c>
    </row>
    <row r="2060" spans="1:12" ht="26.4" customHeight="1">
      <c r="A2060" s="224">
        <f t="shared" si="7"/>
        <v>109</v>
      </c>
      <c r="B2060" s="531"/>
      <c r="C2060" s="288" t="s">
        <v>25</v>
      </c>
      <c r="D2060" s="288" t="s">
        <v>3</v>
      </c>
      <c r="E2060" s="289" t="s">
        <v>1342</v>
      </c>
      <c r="F2060" s="298" t="s">
        <v>1697</v>
      </c>
      <c r="G2060" s="237" t="s">
        <v>1538</v>
      </c>
      <c r="H2060" s="475" t="s">
        <v>1138</v>
      </c>
      <c r="I2060" s="477">
        <v>1</v>
      </c>
      <c r="J2060" s="274">
        <v>461.5</v>
      </c>
      <c r="K2060" s="274">
        <v>273.7</v>
      </c>
      <c r="L2060" s="274">
        <f t="shared" si="5"/>
        <v>187.8</v>
      </c>
    </row>
    <row r="2061" spans="1:12" ht="26.4" customHeight="1">
      <c r="A2061" s="224">
        <f t="shared" si="7"/>
        <v>110</v>
      </c>
      <c r="B2061" s="531"/>
      <c r="C2061" s="288" t="s">
        <v>25</v>
      </c>
      <c r="D2061" s="288" t="s">
        <v>3</v>
      </c>
      <c r="E2061" s="289" t="s">
        <v>13015</v>
      </c>
      <c r="F2061" s="298" t="s">
        <v>1698</v>
      </c>
      <c r="G2061" s="237" t="s">
        <v>1565</v>
      </c>
      <c r="H2061" s="475" t="s">
        <v>1138</v>
      </c>
      <c r="I2061" s="477">
        <v>1</v>
      </c>
      <c r="J2061" s="274">
        <v>568.9</v>
      </c>
      <c r="K2061" s="274">
        <v>454.4</v>
      </c>
      <c r="L2061" s="274">
        <f t="shared" si="5"/>
        <v>114.5</v>
      </c>
    </row>
    <row r="2062" spans="1:12" ht="26.4" customHeight="1">
      <c r="A2062" s="224">
        <f t="shared" si="7"/>
        <v>111</v>
      </c>
      <c r="B2062" s="531"/>
      <c r="C2062" s="288" t="s">
        <v>25</v>
      </c>
      <c r="D2062" s="288" t="s">
        <v>3</v>
      </c>
      <c r="E2062" s="289" t="s">
        <v>13016</v>
      </c>
      <c r="F2062" s="298" t="s">
        <v>1699</v>
      </c>
      <c r="G2062" s="237" t="s">
        <v>1565</v>
      </c>
      <c r="H2062" s="475" t="s">
        <v>1138</v>
      </c>
      <c r="I2062" s="477">
        <v>1</v>
      </c>
      <c r="J2062" s="274">
        <v>671</v>
      </c>
      <c r="K2062" s="274">
        <v>536.20000000000005</v>
      </c>
      <c r="L2062" s="274">
        <f t="shared" si="5"/>
        <v>134.79999999999995</v>
      </c>
    </row>
    <row r="2063" spans="1:12" ht="26.4" customHeight="1">
      <c r="A2063" s="224">
        <f t="shared" si="7"/>
        <v>112</v>
      </c>
      <c r="B2063" s="531"/>
      <c r="C2063" s="288" t="s">
        <v>25</v>
      </c>
      <c r="D2063" s="288" t="s">
        <v>3</v>
      </c>
      <c r="E2063" s="289" t="s">
        <v>2258</v>
      </c>
      <c r="F2063" s="298" t="s">
        <v>1700</v>
      </c>
      <c r="G2063" s="237" t="s">
        <v>1581</v>
      </c>
      <c r="H2063" s="475" t="s">
        <v>1138</v>
      </c>
      <c r="I2063" s="477">
        <v>1</v>
      </c>
      <c r="J2063" s="274">
        <v>21.4</v>
      </c>
      <c r="K2063" s="274">
        <v>21.4</v>
      </c>
      <c r="L2063" s="274">
        <f t="shared" si="5"/>
        <v>0</v>
      </c>
    </row>
    <row r="2064" spans="1:12" ht="26.4" customHeight="1">
      <c r="A2064" s="224">
        <f t="shared" si="7"/>
        <v>113</v>
      </c>
      <c r="B2064" s="531"/>
      <c r="C2064" s="288" t="s">
        <v>25</v>
      </c>
      <c r="D2064" s="288" t="s">
        <v>3</v>
      </c>
      <c r="E2064" s="289" t="s">
        <v>2258</v>
      </c>
      <c r="F2064" s="298" t="s">
        <v>1701</v>
      </c>
      <c r="G2064" s="237" t="s">
        <v>1581</v>
      </c>
      <c r="H2064" s="475" t="s">
        <v>1138</v>
      </c>
      <c r="I2064" s="477">
        <v>1</v>
      </c>
      <c r="J2064" s="274">
        <v>153.80000000000001</v>
      </c>
      <c r="K2064" s="274">
        <v>78.900000000000006</v>
      </c>
      <c r="L2064" s="274">
        <f t="shared" si="5"/>
        <v>74.900000000000006</v>
      </c>
    </row>
    <row r="2065" spans="1:12" ht="26.4" customHeight="1">
      <c r="A2065" s="224">
        <f t="shared" si="7"/>
        <v>114</v>
      </c>
      <c r="B2065" s="531"/>
      <c r="C2065" s="288" t="s">
        <v>25</v>
      </c>
      <c r="D2065" s="288" t="s">
        <v>3</v>
      </c>
      <c r="E2065" s="289" t="s">
        <v>2258</v>
      </c>
      <c r="F2065" s="298" t="s">
        <v>1702</v>
      </c>
      <c r="G2065" s="237" t="s">
        <v>1563</v>
      </c>
      <c r="H2065" s="475" t="s">
        <v>1138</v>
      </c>
      <c r="I2065" s="477">
        <v>1</v>
      </c>
      <c r="J2065" s="274">
        <v>62.5</v>
      </c>
      <c r="K2065" s="274">
        <v>33.200000000000003</v>
      </c>
      <c r="L2065" s="274">
        <f t="shared" si="5"/>
        <v>29.299999999999997</v>
      </c>
    </row>
    <row r="2066" spans="1:12" ht="26.4" customHeight="1">
      <c r="A2066" s="224">
        <f t="shared" si="7"/>
        <v>115</v>
      </c>
      <c r="B2066" s="531"/>
      <c r="C2066" s="288" t="s">
        <v>25</v>
      </c>
      <c r="D2066" s="288" t="s">
        <v>3</v>
      </c>
      <c r="E2066" s="289" t="s">
        <v>2259</v>
      </c>
      <c r="F2066" s="298" t="s">
        <v>1703</v>
      </c>
      <c r="G2066" s="237" t="s">
        <v>1570</v>
      </c>
      <c r="H2066" s="475" t="s">
        <v>1138</v>
      </c>
      <c r="I2066" s="477">
        <v>1</v>
      </c>
      <c r="J2066" s="274">
        <v>38.700000000000003</v>
      </c>
      <c r="K2066" s="274">
        <v>16.399999999999999</v>
      </c>
      <c r="L2066" s="274">
        <f t="shared" si="5"/>
        <v>22.300000000000004</v>
      </c>
    </row>
    <row r="2067" spans="1:12" ht="26.4" customHeight="1">
      <c r="A2067" s="224">
        <f t="shared" si="7"/>
        <v>116</v>
      </c>
      <c r="B2067" s="531"/>
      <c r="C2067" s="289" t="s">
        <v>1804</v>
      </c>
      <c r="D2067" s="288" t="s">
        <v>3</v>
      </c>
      <c r="E2067" s="289" t="s">
        <v>2260</v>
      </c>
      <c r="F2067" s="298" t="s">
        <v>1704</v>
      </c>
      <c r="G2067" s="237" t="s">
        <v>1536</v>
      </c>
      <c r="H2067" s="475" t="s">
        <v>1138</v>
      </c>
      <c r="I2067" s="477">
        <v>1</v>
      </c>
      <c r="J2067" s="243">
        <v>305.5</v>
      </c>
      <c r="K2067" s="243">
        <v>83.4</v>
      </c>
      <c r="L2067" s="243">
        <f t="shared" si="5"/>
        <v>222.1</v>
      </c>
    </row>
    <row r="2068" spans="1:12" ht="26.4" customHeight="1">
      <c r="A2068" s="224">
        <f t="shared" si="7"/>
        <v>117</v>
      </c>
      <c r="B2068" s="531"/>
      <c r="C2068" s="288" t="s">
        <v>25</v>
      </c>
      <c r="D2068" s="288" t="s">
        <v>3</v>
      </c>
      <c r="E2068" s="289" t="s">
        <v>2261</v>
      </c>
      <c r="F2068" s="298" t="s">
        <v>1705</v>
      </c>
      <c r="G2068" s="237" t="s">
        <v>1536</v>
      </c>
      <c r="H2068" s="475" t="s">
        <v>1138</v>
      </c>
      <c r="I2068" s="477">
        <v>1</v>
      </c>
      <c r="J2068" s="274">
        <v>68.5</v>
      </c>
      <c r="K2068" s="274">
        <v>30.9</v>
      </c>
      <c r="L2068" s="274">
        <f t="shared" si="5"/>
        <v>37.6</v>
      </c>
    </row>
    <row r="2069" spans="1:12" ht="26.4" customHeight="1">
      <c r="A2069" s="224">
        <f t="shared" si="7"/>
        <v>118</v>
      </c>
      <c r="B2069" s="531"/>
      <c r="C2069" s="288" t="s">
        <v>25</v>
      </c>
      <c r="D2069" s="288" t="s">
        <v>3</v>
      </c>
      <c r="E2069" s="289" t="s">
        <v>2261</v>
      </c>
      <c r="F2069" s="298" t="s">
        <v>1706</v>
      </c>
      <c r="G2069" s="237" t="s">
        <v>1536</v>
      </c>
      <c r="H2069" s="475" t="s">
        <v>1138</v>
      </c>
      <c r="I2069" s="477">
        <v>1</v>
      </c>
      <c r="J2069" s="274">
        <v>56.8</v>
      </c>
      <c r="K2069" s="274">
        <v>37</v>
      </c>
      <c r="L2069" s="274">
        <f t="shared" si="5"/>
        <v>19.799999999999997</v>
      </c>
    </row>
    <row r="2070" spans="1:12" ht="26.4" customHeight="1">
      <c r="A2070" s="224">
        <f t="shared" si="7"/>
        <v>119</v>
      </c>
      <c r="B2070" s="531"/>
      <c r="C2070" s="288" t="s">
        <v>25</v>
      </c>
      <c r="D2070" s="288" t="s">
        <v>3</v>
      </c>
      <c r="E2070" s="289" t="s">
        <v>1343</v>
      </c>
      <c r="F2070" s="298" t="s">
        <v>1707</v>
      </c>
      <c r="G2070" s="237" t="s">
        <v>1536</v>
      </c>
      <c r="H2070" s="475" t="s">
        <v>1138</v>
      </c>
      <c r="I2070" s="477">
        <v>1</v>
      </c>
      <c r="J2070" s="274">
        <v>132.80000000000001</v>
      </c>
      <c r="K2070" s="274">
        <v>132.80000000000001</v>
      </c>
      <c r="L2070" s="274">
        <f t="shared" si="5"/>
        <v>0</v>
      </c>
    </row>
    <row r="2071" spans="1:12" ht="26.4" customHeight="1">
      <c r="A2071" s="224">
        <f t="shared" si="7"/>
        <v>120</v>
      </c>
      <c r="B2071" s="531"/>
      <c r="C2071" s="288" t="s">
        <v>25</v>
      </c>
      <c r="D2071" s="289" t="s">
        <v>2199</v>
      </c>
      <c r="E2071" s="288" t="s">
        <v>1889</v>
      </c>
      <c r="F2071" s="298" t="s">
        <v>1708</v>
      </c>
      <c r="G2071" s="237" t="s">
        <v>1560</v>
      </c>
      <c r="H2071" s="475" t="s">
        <v>1138</v>
      </c>
      <c r="I2071" s="477">
        <v>1</v>
      </c>
      <c r="J2071" s="274">
        <v>39.799999999999997</v>
      </c>
      <c r="K2071" s="274">
        <v>23.7</v>
      </c>
      <c r="L2071" s="274">
        <f t="shared" si="5"/>
        <v>16.099999999999998</v>
      </c>
    </row>
    <row r="2072" spans="1:12" ht="26.4" customHeight="1">
      <c r="A2072" s="224">
        <f t="shared" si="7"/>
        <v>121</v>
      </c>
      <c r="B2072" s="531"/>
      <c r="C2072" s="288" t="s">
        <v>25</v>
      </c>
      <c r="D2072" s="288" t="s">
        <v>3</v>
      </c>
      <c r="E2072" s="288" t="s">
        <v>452</v>
      </c>
      <c r="F2072" s="298" t="s">
        <v>1709</v>
      </c>
      <c r="G2072" s="237" t="s">
        <v>1542</v>
      </c>
      <c r="H2072" s="475" t="s">
        <v>1138</v>
      </c>
      <c r="I2072" s="477">
        <v>1</v>
      </c>
      <c r="J2072" s="274">
        <v>85.3</v>
      </c>
      <c r="K2072" s="274">
        <v>85.3</v>
      </c>
      <c r="L2072" s="274">
        <f t="shared" si="5"/>
        <v>0</v>
      </c>
    </row>
    <row r="2073" spans="1:12" ht="26.4" customHeight="1">
      <c r="A2073" s="224">
        <f t="shared" si="7"/>
        <v>122</v>
      </c>
      <c r="B2073" s="531"/>
      <c r="C2073" s="288" t="s">
        <v>25</v>
      </c>
      <c r="D2073" s="288" t="s">
        <v>3</v>
      </c>
      <c r="E2073" s="288" t="s">
        <v>2214</v>
      </c>
      <c r="F2073" s="298" t="s">
        <v>1710</v>
      </c>
      <c r="G2073" s="237" t="s">
        <v>1542</v>
      </c>
      <c r="H2073" s="475" t="s">
        <v>1138</v>
      </c>
      <c r="I2073" s="477">
        <v>1</v>
      </c>
      <c r="J2073" s="274">
        <v>0.6</v>
      </c>
      <c r="K2073" s="274">
        <v>0.6</v>
      </c>
      <c r="L2073" s="274">
        <f t="shared" si="5"/>
        <v>0</v>
      </c>
    </row>
    <row r="2074" spans="1:12" ht="26.4" customHeight="1">
      <c r="A2074" s="224">
        <f t="shared" si="7"/>
        <v>123</v>
      </c>
      <c r="B2074" s="531"/>
      <c r="C2074" s="288" t="s">
        <v>25</v>
      </c>
      <c r="D2074" s="288" t="s">
        <v>3</v>
      </c>
      <c r="E2074" s="288" t="s">
        <v>2214</v>
      </c>
      <c r="F2074" s="298" t="s">
        <v>1711</v>
      </c>
      <c r="G2074" s="237" t="s">
        <v>1542</v>
      </c>
      <c r="H2074" s="475" t="s">
        <v>1138</v>
      </c>
      <c r="I2074" s="477">
        <v>1</v>
      </c>
      <c r="J2074" s="274">
        <v>313.10000000000002</v>
      </c>
      <c r="K2074" s="274">
        <v>313.10000000000002</v>
      </c>
      <c r="L2074" s="274">
        <f t="shared" si="5"/>
        <v>0</v>
      </c>
    </row>
    <row r="2075" spans="1:12" ht="26.4" customHeight="1">
      <c r="A2075" s="224">
        <f t="shared" si="7"/>
        <v>124</v>
      </c>
      <c r="B2075" s="531"/>
      <c r="C2075" s="288" t="s">
        <v>25</v>
      </c>
      <c r="D2075" s="288" t="s">
        <v>3</v>
      </c>
      <c r="E2075" s="288" t="s">
        <v>2214</v>
      </c>
      <c r="F2075" s="298" t="s">
        <v>1712</v>
      </c>
      <c r="G2075" s="237" t="s">
        <v>1542</v>
      </c>
      <c r="H2075" s="475" t="s">
        <v>1138</v>
      </c>
      <c r="I2075" s="477">
        <v>1</v>
      </c>
      <c r="J2075" s="274">
        <v>78.3</v>
      </c>
      <c r="K2075" s="274">
        <v>78.3</v>
      </c>
      <c r="L2075" s="274">
        <f t="shared" si="5"/>
        <v>0</v>
      </c>
    </row>
    <row r="2076" spans="1:12" ht="26.4" customHeight="1">
      <c r="A2076" s="224">
        <f t="shared" si="7"/>
        <v>125</v>
      </c>
      <c r="B2076" s="531"/>
      <c r="C2076" s="288" t="s">
        <v>25</v>
      </c>
      <c r="D2076" s="288" t="s">
        <v>3</v>
      </c>
      <c r="E2076" s="288" t="s">
        <v>1344</v>
      </c>
      <c r="F2076" s="298" t="s">
        <v>1713</v>
      </c>
      <c r="G2076" s="237" t="s">
        <v>1555</v>
      </c>
      <c r="H2076" s="475" t="s">
        <v>1138</v>
      </c>
      <c r="I2076" s="477">
        <v>1</v>
      </c>
      <c r="J2076" s="274">
        <v>206.3</v>
      </c>
      <c r="K2076" s="274">
        <v>167</v>
      </c>
      <c r="L2076" s="274">
        <f t="shared" si="5"/>
        <v>39.300000000000011</v>
      </c>
    </row>
    <row r="2077" spans="1:12" ht="26.4" customHeight="1">
      <c r="A2077" s="224">
        <f t="shared" si="7"/>
        <v>126</v>
      </c>
      <c r="B2077" s="531"/>
      <c r="C2077" s="288" t="s">
        <v>25</v>
      </c>
      <c r="D2077" s="288" t="s">
        <v>3</v>
      </c>
      <c r="E2077" s="289" t="s">
        <v>2262</v>
      </c>
      <c r="F2077" s="298" t="s">
        <v>1714</v>
      </c>
      <c r="G2077" s="237" t="s">
        <v>1538</v>
      </c>
      <c r="H2077" s="475" t="s">
        <v>1138</v>
      </c>
      <c r="I2077" s="477">
        <v>1</v>
      </c>
      <c r="J2077" s="274">
        <v>183.6</v>
      </c>
      <c r="K2077" s="274">
        <v>98</v>
      </c>
      <c r="L2077" s="274">
        <f t="shared" si="5"/>
        <v>85.6</v>
      </c>
    </row>
    <row r="2078" spans="1:12" ht="26.4" customHeight="1">
      <c r="A2078" s="224">
        <f t="shared" si="7"/>
        <v>127</v>
      </c>
      <c r="B2078" s="531"/>
      <c r="C2078" s="288" t="s">
        <v>25</v>
      </c>
      <c r="D2078" s="288" t="s">
        <v>3</v>
      </c>
      <c r="E2078" s="289" t="s">
        <v>2263</v>
      </c>
      <c r="F2078" s="298" t="s">
        <v>1715</v>
      </c>
      <c r="G2078" s="237" t="s">
        <v>1567</v>
      </c>
      <c r="H2078" s="475" t="s">
        <v>1138</v>
      </c>
      <c r="I2078" s="477">
        <v>1</v>
      </c>
      <c r="J2078" s="274">
        <v>7.9</v>
      </c>
      <c r="K2078" s="274">
        <v>3.2</v>
      </c>
      <c r="L2078" s="274">
        <f t="shared" si="5"/>
        <v>4.7</v>
      </c>
    </row>
    <row r="2079" spans="1:12" ht="26.4" customHeight="1">
      <c r="A2079" s="224">
        <f t="shared" si="7"/>
        <v>128</v>
      </c>
      <c r="B2079" s="531"/>
      <c r="C2079" s="288" t="s">
        <v>25</v>
      </c>
      <c r="D2079" s="288" t="s">
        <v>3</v>
      </c>
      <c r="E2079" s="288" t="s">
        <v>2264</v>
      </c>
      <c r="F2079" s="298" t="s">
        <v>1716</v>
      </c>
      <c r="G2079" s="237" t="s">
        <v>1576</v>
      </c>
      <c r="H2079" s="475" t="s">
        <v>1138</v>
      </c>
      <c r="I2079" s="477">
        <v>1</v>
      </c>
      <c r="J2079" s="274">
        <v>706</v>
      </c>
      <c r="K2079" s="274">
        <v>298.10000000000002</v>
      </c>
      <c r="L2079" s="274">
        <f t="shared" si="5"/>
        <v>407.9</v>
      </c>
    </row>
    <row r="2080" spans="1:12" ht="26.4" customHeight="1">
      <c r="A2080" s="224">
        <f t="shared" si="7"/>
        <v>129</v>
      </c>
      <c r="B2080" s="531"/>
      <c r="C2080" s="288" t="s">
        <v>25</v>
      </c>
      <c r="D2080" s="288" t="s">
        <v>3</v>
      </c>
      <c r="E2080" s="288" t="s">
        <v>2265</v>
      </c>
      <c r="F2080" s="298" t="s">
        <v>1717</v>
      </c>
      <c r="G2080" s="237" t="s">
        <v>1571</v>
      </c>
      <c r="H2080" s="475" t="s">
        <v>1138</v>
      </c>
      <c r="I2080" s="477">
        <v>1</v>
      </c>
      <c r="J2080" s="274">
        <v>41.5</v>
      </c>
      <c r="K2080" s="274">
        <v>32.5</v>
      </c>
      <c r="L2080" s="274">
        <f t="shared" ref="L2080:L2143" si="8">SUM(J2080-K2080)</f>
        <v>9</v>
      </c>
    </row>
    <row r="2081" spans="1:12" ht="26.4" customHeight="1">
      <c r="A2081" s="224">
        <f t="shared" si="7"/>
        <v>130</v>
      </c>
      <c r="B2081" s="531"/>
      <c r="C2081" s="289" t="s">
        <v>1805</v>
      </c>
      <c r="D2081" s="288" t="s">
        <v>3</v>
      </c>
      <c r="E2081" s="289" t="s">
        <v>2266</v>
      </c>
      <c r="F2081" s="298" t="s">
        <v>1718</v>
      </c>
      <c r="G2081" s="237" t="s">
        <v>1574</v>
      </c>
      <c r="H2081" s="475" t="s">
        <v>1138</v>
      </c>
      <c r="I2081" s="477">
        <v>1</v>
      </c>
      <c r="J2081" s="274">
        <v>545.9</v>
      </c>
      <c r="K2081" s="274">
        <v>543.79999999999995</v>
      </c>
      <c r="L2081" s="274">
        <f t="shared" si="8"/>
        <v>2.1000000000000227</v>
      </c>
    </row>
    <row r="2082" spans="1:12" ht="26.4" customHeight="1">
      <c r="A2082" s="224">
        <f t="shared" si="7"/>
        <v>131</v>
      </c>
      <c r="B2082" s="531"/>
      <c r="C2082" s="289" t="s">
        <v>1806</v>
      </c>
      <c r="D2082" s="288" t="s">
        <v>3</v>
      </c>
      <c r="E2082" s="289" t="s">
        <v>2267</v>
      </c>
      <c r="F2082" s="298" t="s">
        <v>1719</v>
      </c>
      <c r="G2082" s="237" t="s">
        <v>1574</v>
      </c>
      <c r="H2082" s="475" t="s">
        <v>1138</v>
      </c>
      <c r="I2082" s="477">
        <v>1</v>
      </c>
      <c r="J2082" s="274">
        <v>6.6</v>
      </c>
      <c r="K2082" s="274">
        <v>6</v>
      </c>
      <c r="L2082" s="274">
        <f t="shared" si="8"/>
        <v>0.59999999999999964</v>
      </c>
    </row>
    <row r="2083" spans="1:12" ht="26.4" customHeight="1">
      <c r="A2083" s="224">
        <f t="shared" si="7"/>
        <v>132</v>
      </c>
      <c r="B2083" s="531"/>
      <c r="C2083" s="289" t="s">
        <v>1807</v>
      </c>
      <c r="D2083" s="288" t="s">
        <v>3</v>
      </c>
      <c r="E2083" s="289" t="s">
        <v>2267</v>
      </c>
      <c r="F2083" s="298" t="s">
        <v>1720</v>
      </c>
      <c r="G2083" s="237" t="s">
        <v>1574</v>
      </c>
      <c r="H2083" s="475" t="s">
        <v>1138</v>
      </c>
      <c r="I2083" s="477">
        <v>1</v>
      </c>
      <c r="J2083" s="274">
        <v>100.5</v>
      </c>
      <c r="K2083" s="274">
        <v>98.2</v>
      </c>
      <c r="L2083" s="274">
        <f t="shared" si="8"/>
        <v>2.2999999999999972</v>
      </c>
    </row>
    <row r="2084" spans="1:12" ht="26.4" customHeight="1">
      <c r="A2084" s="224">
        <f t="shared" si="7"/>
        <v>133</v>
      </c>
      <c r="B2084" s="531"/>
      <c r="C2084" s="289" t="s">
        <v>1806</v>
      </c>
      <c r="D2084" s="288" t="s">
        <v>3</v>
      </c>
      <c r="E2084" s="289" t="s">
        <v>2267</v>
      </c>
      <c r="F2084" s="298" t="s">
        <v>1721</v>
      </c>
      <c r="G2084" s="237" t="s">
        <v>1574</v>
      </c>
      <c r="H2084" s="475" t="s">
        <v>1138</v>
      </c>
      <c r="I2084" s="477">
        <v>1</v>
      </c>
      <c r="J2084" s="274">
        <v>389.7</v>
      </c>
      <c r="K2084" s="274">
        <v>314.39999999999998</v>
      </c>
      <c r="L2084" s="274">
        <f t="shared" si="8"/>
        <v>75.300000000000011</v>
      </c>
    </row>
    <row r="2085" spans="1:12" ht="26.4" customHeight="1">
      <c r="A2085" s="224">
        <f t="shared" si="7"/>
        <v>134</v>
      </c>
      <c r="B2085" s="531"/>
      <c r="C2085" s="289" t="s">
        <v>1807</v>
      </c>
      <c r="D2085" s="288" t="s">
        <v>3</v>
      </c>
      <c r="E2085" s="289" t="s">
        <v>2268</v>
      </c>
      <c r="F2085" s="298" t="s">
        <v>1722</v>
      </c>
      <c r="G2085" s="237" t="s">
        <v>1574</v>
      </c>
      <c r="H2085" s="475" t="s">
        <v>1138</v>
      </c>
      <c r="I2085" s="477">
        <v>1</v>
      </c>
      <c r="J2085" s="274">
        <v>29.2</v>
      </c>
      <c r="K2085" s="274">
        <v>24.7</v>
      </c>
      <c r="L2085" s="274">
        <f t="shared" si="8"/>
        <v>4.5</v>
      </c>
    </row>
    <row r="2086" spans="1:12" ht="26.4" customHeight="1">
      <c r="A2086" s="224">
        <f t="shared" si="7"/>
        <v>135</v>
      </c>
      <c r="B2086" s="531"/>
      <c r="C2086" s="288" t="s">
        <v>25</v>
      </c>
      <c r="D2086" s="288" t="s">
        <v>3</v>
      </c>
      <c r="E2086" s="288" t="s">
        <v>2269</v>
      </c>
      <c r="F2086" s="298" t="s">
        <v>1723</v>
      </c>
      <c r="G2086" s="237" t="s">
        <v>1571</v>
      </c>
      <c r="H2086" s="475" t="s">
        <v>1138</v>
      </c>
      <c r="I2086" s="477">
        <v>1</v>
      </c>
      <c r="J2086" s="274">
        <v>47.2</v>
      </c>
      <c r="K2086" s="274">
        <v>16.5</v>
      </c>
      <c r="L2086" s="274">
        <f t="shared" si="8"/>
        <v>30.700000000000003</v>
      </c>
    </row>
    <row r="2087" spans="1:12" ht="26.4" customHeight="1">
      <c r="A2087" s="224">
        <f t="shared" si="7"/>
        <v>136</v>
      </c>
      <c r="B2087" s="531"/>
      <c r="C2087" s="288" t="s">
        <v>25</v>
      </c>
      <c r="D2087" s="288" t="s">
        <v>3</v>
      </c>
      <c r="E2087" s="288" t="s">
        <v>2269</v>
      </c>
      <c r="F2087" s="298" t="s">
        <v>1724</v>
      </c>
      <c r="G2087" s="237" t="s">
        <v>1571</v>
      </c>
      <c r="H2087" s="475" t="s">
        <v>1138</v>
      </c>
      <c r="I2087" s="477">
        <v>1</v>
      </c>
      <c r="J2087" s="274">
        <v>99.4</v>
      </c>
      <c r="K2087" s="274">
        <v>32.700000000000003</v>
      </c>
      <c r="L2087" s="274">
        <f t="shared" si="8"/>
        <v>66.7</v>
      </c>
    </row>
    <row r="2088" spans="1:12" ht="26.4" customHeight="1">
      <c r="A2088" s="224">
        <f t="shared" si="7"/>
        <v>137</v>
      </c>
      <c r="B2088" s="531"/>
      <c r="C2088" s="288" t="s">
        <v>25</v>
      </c>
      <c r="D2088" s="288" t="s">
        <v>3</v>
      </c>
      <c r="E2088" s="288" t="s">
        <v>2270</v>
      </c>
      <c r="F2088" s="298" t="s">
        <v>1725</v>
      </c>
      <c r="G2088" s="237" t="s">
        <v>1547</v>
      </c>
      <c r="H2088" s="475" t="s">
        <v>1138</v>
      </c>
      <c r="I2088" s="477">
        <v>1</v>
      </c>
      <c r="J2088" s="274">
        <v>66.400000000000006</v>
      </c>
      <c r="K2088" s="274">
        <v>22.4</v>
      </c>
      <c r="L2088" s="274">
        <f t="shared" si="8"/>
        <v>44.000000000000007</v>
      </c>
    </row>
    <row r="2089" spans="1:12" ht="26.4" customHeight="1">
      <c r="A2089" s="224">
        <f t="shared" si="7"/>
        <v>138</v>
      </c>
      <c r="B2089" s="531"/>
      <c r="C2089" s="288" t="s">
        <v>25</v>
      </c>
      <c r="D2089" s="288" t="s">
        <v>3</v>
      </c>
      <c r="E2089" s="289" t="s">
        <v>1343</v>
      </c>
      <c r="F2089" s="298" t="s">
        <v>1726</v>
      </c>
      <c r="G2089" s="237" t="s">
        <v>1537</v>
      </c>
      <c r="H2089" s="475" t="s">
        <v>1138</v>
      </c>
      <c r="I2089" s="477">
        <v>1</v>
      </c>
      <c r="J2089" s="274">
        <v>550.4</v>
      </c>
      <c r="K2089" s="274">
        <v>100.9</v>
      </c>
      <c r="L2089" s="274">
        <f t="shared" si="8"/>
        <v>449.5</v>
      </c>
    </row>
    <row r="2090" spans="1:12" ht="26.4" customHeight="1">
      <c r="A2090" s="224">
        <f t="shared" si="7"/>
        <v>139</v>
      </c>
      <c r="B2090" s="531"/>
      <c r="C2090" s="288" t="s">
        <v>25</v>
      </c>
      <c r="D2090" s="288" t="s">
        <v>3</v>
      </c>
      <c r="E2090" s="288" t="s">
        <v>1345</v>
      </c>
      <c r="F2090" s="298" t="s">
        <v>1727</v>
      </c>
      <c r="G2090" s="237" t="s">
        <v>1536</v>
      </c>
      <c r="H2090" s="475" t="s">
        <v>1138</v>
      </c>
      <c r="I2090" s="477">
        <v>1</v>
      </c>
      <c r="J2090" s="274">
        <v>73.599999999999994</v>
      </c>
      <c r="K2090" s="274">
        <v>73.599999999999994</v>
      </c>
      <c r="L2090" s="274">
        <f t="shared" si="8"/>
        <v>0</v>
      </c>
    </row>
    <row r="2091" spans="1:12" ht="26.4" customHeight="1">
      <c r="A2091" s="224">
        <f t="shared" ref="A2091:A2148" si="9">SUM(A2090+1)</f>
        <v>140</v>
      </c>
      <c r="B2091" s="531"/>
      <c r="C2091" s="288" t="s">
        <v>25</v>
      </c>
      <c r="D2091" s="288" t="s">
        <v>3</v>
      </c>
      <c r="E2091" s="289" t="s">
        <v>1346</v>
      </c>
      <c r="F2091" s="298" t="s">
        <v>1728</v>
      </c>
      <c r="G2091" s="237" t="s">
        <v>1548</v>
      </c>
      <c r="H2091" s="475" t="s">
        <v>1138</v>
      </c>
      <c r="I2091" s="477">
        <v>1</v>
      </c>
      <c r="J2091" s="274">
        <v>2.8</v>
      </c>
      <c r="K2091" s="274">
        <v>2.8</v>
      </c>
      <c r="L2091" s="274">
        <f t="shared" si="8"/>
        <v>0</v>
      </c>
    </row>
    <row r="2092" spans="1:12" ht="26.4" customHeight="1">
      <c r="A2092" s="224">
        <f t="shared" si="9"/>
        <v>141</v>
      </c>
      <c r="B2092" s="531"/>
      <c r="C2092" s="288" t="s">
        <v>25</v>
      </c>
      <c r="D2092" s="288" t="s">
        <v>3</v>
      </c>
      <c r="E2092" s="289" t="s">
        <v>2271</v>
      </c>
      <c r="F2092" s="298" t="s">
        <v>1729</v>
      </c>
      <c r="G2092" s="237" t="s">
        <v>1548</v>
      </c>
      <c r="H2092" s="475" t="s">
        <v>1138</v>
      </c>
      <c r="I2092" s="477">
        <v>1</v>
      </c>
      <c r="J2092" s="274">
        <v>8.3000000000000007</v>
      </c>
      <c r="K2092" s="274">
        <v>4</v>
      </c>
      <c r="L2092" s="274">
        <f t="shared" si="8"/>
        <v>4.3000000000000007</v>
      </c>
    </row>
    <row r="2093" spans="1:12" ht="26.4" customHeight="1">
      <c r="A2093" s="224">
        <f t="shared" si="9"/>
        <v>142</v>
      </c>
      <c r="B2093" s="531"/>
      <c r="C2093" s="288" t="s">
        <v>25</v>
      </c>
      <c r="D2093" s="288" t="s">
        <v>3</v>
      </c>
      <c r="E2093" s="208" t="s">
        <v>12660</v>
      </c>
      <c r="F2093" s="298" t="s">
        <v>1730</v>
      </c>
      <c r="G2093" s="237" t="s">
        <v>1548</v>
      </c>
      <c r="H2093" s="475" t="s">
        <v>1138</v>
      </c>
      <c r="I2093" s="477">
        <v>1</v>
      </c>
      <c r="J2093" s="274">
        <v>431.7</v>
      </c>
      <c r="K2093" s="274">
        <v>293.89999999999998</v>
      </c>
      <c r="L2093" s="274">
        <f t="shared" si="8"/>
        <v>137.80000000000001</v>
      </c>
    </row>
    <row r="2094" spans="1:12" ht="26.4" customHeight="1">
      <c r="A2094" s="224">
        <f t="shared" si="9"/>
        <v>143</v>
      </c>
      <c r="B2094" s="531"/>
      <c r="C2094" s="288" t="s">
        <v>25</v>
      </c>
      <c r="D2094" s="288" t="s">
        <v>3</v>
      </c>
      <c r="E2094" s="288" t="s">
        <v>2272</v>
      </c>
      <c r="F2094" s="298" t="s">
        <v>1731</v>
      </c>
      <c r="G2094" s="237" t="s">
        <v>1558</v>
      </c>
      <c r="H2094" s="475" t="s">
        <v>1138</v>
      </c>
      <c r="I2094" s="477">
        <v>1</v>
      </c>
      <c r="J2094" s="274">
        <v>64.3</v>
      </c>
      <c r="K2094" s="274">
        <v>28.5</v>
      </c>
      <c r="L2094" s="274">
        <f t="shared" si="8"/>
        <v>35.799999999999997</v>
      </c>
    </row>
    <row r="2095" spans="1:12" ht="26.4" customHeight="1">
      <c r="A2095" s="224">
        <f t="shared" si="9"/>
        <v>144</v>
      </c>
      <c r="B2095" s="531"/>
      <c r="C2095" s="288" t="s">
        <v>25</v>
      </c>
      <c r="D2095" s="288" t="s">
        <v>3</v>
      </c>
      <c r="E2095" s="289" t="s">
        <v>2273</v>
      </c>
      <c r="F2095" s="298" t="s">
        <v>1732</v>
      </c>
      <c r="G2095" s="237" t="s">
        <v>1558</v>
      </c>
      <c r="H2095" s="475" t="s">
        <v>1138</v>
      </c>
      <c r="I2095" s="477">
        <v>1</v>
      </c>
      <c r="J2095" s="274">
        <v>3.1</v>
      </c>
      <c r="K2095" s="274">
        <v>3.1</v>
      </c>
      <c r="L2095" s="274">
        <f t="shared" si="8"/>
        <v>0</v>
      </c>
    </row>
    <row r="2096" spans="1:12" ht="26.4" customHeight="1">
      <c r="A2096" s="224">
        <f t="shared" si="9"/>
        <v>145</v>
      </c>
      <c r="B2096" s="531"/>
      <c r="C2096" s="289" t="s">
        <v>1808</v>
      </c>
      <c r="D2096" s="288" t="s">
        <v>3</v>
      </c>
      <c r="E2096" s="289" t="s">
        <v>2406</v>
      </c>
      <c r="F2096" s="298" t="s">
        <v>1733</v>
      </c>
      <c r="G2096" s="237" t="s">
        <v>1567</v>
      </c>
      <c r="H2096" s="475" t="s">
        <v>1138</v>
      </c>
      <c r="I2096" s="477">
        <v>1</v>
      </c>
      <c r="J2096" s="274">
        <v>344.5</v>
      </c>
      <c r="K2096" s="274">
        <v>344.5</v>
      </c>
      <c r="L2096" s="274">
        <f t="shared" si="8"/>
        <v>0</v>
      </c>
    </row>
    <row r="2097" spans="1:12" ht="26.4" customHeight="1">
      <c r="A2097" s="224">
        <f t="shared" si="9"/>
        <v>146</v>
      </c>
      <c r="B2097" s="531"/>
      <c r="C2097" s="288" t="s">
        <v>25</v>
      </c>
      <c r="D2097" s="288" t="s">
        <v>3</v>
      </c>
      <c r="E2097" s="289" t="s">
        <v>2262</v>
      </c>
      <c r="F2097" s="298" t="s">
        <v>1734</v>
      </c>
      <c r="G2097" s="237" t="s">
        <v>1546</v>
      </c>
      <c r="H2097" s="475" t="s">
        <v>1138</v>
      </c>
      <c r="I2097" s="477">
        <v>1</v>
      </c>
      <c r="J2097" s="274">
        <v>377.7</v>
      </c>
      <c r="K2097" s="274">
        <v>377.7</v>
      </c>
      <c r="L2097" s="274">
        <f t="shared" si="8"/>
        <v>0</v>
      </c>
    </row>
    <row r="2098" spans="1:12" ht="26.4" customHeight="1">
      <c r="A2098" s="224">
        <f t="shared" si="9"/>
        <v>147</v>
      </c>
      <c r="B2098" s="531"/>
      <c r="C2098" s="288" t="s">
        <v>25</v>
      </c>
      <c r="D2098" s="288" t="s">
        <v>3</v>
      </c>
      <c r="E2098" s="288" t="s">
        <v>2265</v>
      </c>
      <c r="F2098" s="298" t="s">
        <v>1735</v>
      </c>
      <c r="G2098" s="237" t="s">
        <v>1549</v>
      </c>
      <c r="H2098" s="475" t="s">
        <v>1138</v>
      </c>
      <c r="I2098" s="477">
        <v>1</v>
      </c>
      <c r="J2098" s="274">
        <v>88.2</v>
      </c>
      <c r="K2098" s="274">
        <v>88.2</v>
      </c>
      <c r="L2098" s="274">
        <f t="shared" si="8"/>
        <v>0</v>
      </c>
    </row>
    <row r="2099" spans="1:12" ht="26.4" customHeight="1">
      <c r="A2099" s="224">
        <f t="shared" si="9"/>
        <v>148</v>
      </c>
      <c r="B2099" s="531"/>
      <c r="C2099" s="288" t="s">
        <v>25</v>
      </c>
      <c r="D2099" s="288" t="s">
        <v>3</v>
      </c>
      <c r="E2099" s="288" t="s">
        <v>2274</v>
      </c>
      <c r="F2099" s="298" t="s">
        <v>1736</v>
      </c>
      <c r="G2099" s="237" t="s">
        <v>1539</v>
      </c>
      <c r="H2099" s="475" t="s">
        <v>1138</v>
      </c>
      <c r="I2099" s="477">
        <v>1</v>
      </c>
      <c r="J2099" s="274">
        <v>259.7</v>
      </c>
      <c r="K2099" s="274">
        <v>255.8</v>
      </c>
      <c r="L2099" s="274">
        <f t="shared" si="8"/>
        <v>3.8999999999999773</v>
      </c>
    </row>
    <row r="2100" spans="1:12" ht="26.4" customHeight="1">
      <c r="A2100" s="224">
        <f t="shared" si="9"/>
        <v>149</v>
      </c>
      <c r="B2100" s="531"/>
      <c r="C2100" s="288" t="s">
        <v>25</v>
      </c>
      <c r="D2100" s="288" t="s">
        <v>3</v>
      </c>
      <c r="E2100" s="288" t="s">
        <v>2274</v>
      </c>
      <c r="F2100" s="298" t="s">
        <v>1737</v>
      </c>
      <c r="G2100" s="237" t="s">
        <v>1539</v>
      </c>
      <c r="H2100" s="475" t="s">
        <v>1138</v>
      </c>
      <c r="I2100" s="477">
        <v>1</v>
      </c>
      <c r="J2100" s="274">
        <v>268.2</v>
      </c>
      <c r="K2100" s="274">
        <v>250.7</v>
      </c>
      <c r="L2100" s="274">
        <f t="shared" si="8"/>
        <v>17.5</v>
      </c>
    </row>
    <row r="2101" spans="1:12" ht="26.4" customHeight="1">
      <c r="A2101" s="224">
        <f t="shared" si="9"/>
        <v>150</v>
      </c>
      <c r="B2101" s="531"/>
      <c r="C2101" s="288" t="s">
        <v>25</v>
      </c>
      <c r="D2101" s="288" t="s">
        <v>3</v>
      </c>
      <c r="E2101" s="289" t="s">
        <v>1347</v>
      </c>
      <c r="F2101" s="298" t="s">
        <v>1738</v>
      </c>
      <c r="G2101" s="237" t="s">
        <v>1529</v>
      </c>
      <c r="H2101" s="475" t="s">
        <v>1138</v>
      </c>
      <c r="I2101" s="477">
        <v>1</v>
      </c>
      <c r="J2101" s="274">
        <v>442</v>
      </c>
      <c r="K2101" s="274">
        <v>442</v>
      </c>
      <c r="L2101" s="274">
        <f t="shared" si="8"/>
        <v>0</v>
      </c>
    </row>
    <row r="2102" spans="1:12" ht="26.4" customHeight="1">
      <c r="A2102" s="224">
        <f t="shared" si="9"/>
        <v>151</v>
      </c>
      <c r="B2102" s="531"/>
      <c r="C2102" s="288" t="s">
        <v>25</v>
      </c>
      <c r="D2102" s="288" t="s">
        <v>3</v>
      </c>
      <c r="E2102" s="289" t="s">
        <v>1341</v>
      </c>
      <c r="F2102" s="298" t="s">
        <v>1739</v>
      </c>
      <c r="G2102" s="237" t="s">
        <v>1582</v>
      </c>
      <c r="H2102" s="475" t="s">
        <v>1138</v>
      </c>
      <c r="I2102" s="477">
        <v>1</v>
      </c>
      <c r="J2102" s="274">
        <v>1176.8</v>
      </c>
      <c r="K2102" s="274">
        <v>1172.9000000000001</v>
      </c>
      <c r="L2102" s="274">
        <f t="shared" si="8"/>
        <v>3.8999999999998636</v>
      </c>
    </row>
    <row r="2103" spans="1:12" ht="26.4" customHeight="1">
      <c r="A2103" s="224">
        <f t="shared" si="9"/>
        <v>152</v>
      </c>
      <c r="B2103" s="531"/>
      <c r="C2103" s="288" t="s">
        <v>25</v>
      </c>
      <c r="D2103" s="288" t="s">
        <v>3</v>
      </c>
      <c r="E2103" s="289" t="s">
        <v>13017</v>
      </c>
      <c r="F2103" s="298" t="s">
        <v>1740</v>
      </c>
      <c r="G2103" s="237" t="s">
        <v>1553</v>
      </c>
      <c r="H2103" s="475" t="s">
        <v>1138</v>
      </c>
      <c r="I2103" s="477">
        <v>1</v>
      </c>
      <c r="J2103" s="274">
        <v>6</v>
      </c>
      <c r="K2103" s="274">
        <v>3.3</v>
      </c>
      <c r="L2103" s="274">
        <f t="shared" si="8"/>
        <v>2.7</v>
      </c>
    </row>
    <row r="2104" spans="1:12" ht="26.4" customHeight="1">
      <c r="A2104" s="224">
        <f t="shared" si="9"/>
        <v>153</v>
      </c>
      <c r="B2104" s="531"/>
      <c r="C2104" s="288" t="s">
        <v>25</v>
      </c>
      <c r="D2104" s="288" t="s">
        <v>3</v>
      </c>
      <c r="E2104" s="289" t="s">
        <v>1348</v>
      </c>
      <c r="F2104" s="298" t="s">
        <v>1741</v>
      </c>
      <c r="G2104" s="237" t="s">
        <v>1535</v>
      </c>
      <c r="H2104" s="475" t="s">
        <v>1138</v>
      </c>
      <c r="I2104" s="477">
        <v>1</v>
      </c>
      <c r="J2104" s="274">
        <v>123.6</v>
      </c>
      <c r="K2104" s="274">
        <v>100.1</v>
      </c>
      <c r="L2104" s="274">
        <f t="shared" si="8"/>
        <v>23.5</v>
      </c>
    </row>
    <row r="2105" spans="1:12" ht="26.4" customHeight="1">
      <c r="A2105" s="224">
        <f t="shared" si="9"/>
        <v>154</v>
      </c>
      <c r="B2105" s="531"/>
      <c r="C2105" s="288" t="s">
        <v>25</v>
      </c>
      <c r="D2105" s="288" t="s">
        <v>3</v>
      </c>
      <c r="E2105" s="289" t="s">
        <v>1349</v>
      </c>
      <c r="F2105" s="298" t="s">
        <v>1742</v>
      </c>
      <c r="G2105" s="237" t="s">
        <v>1554</v>
      </c>
      <c r="H2105" s="475" t="s">
        <v>1138</v>
      </c>
      <c r="I2105" s="477">
        <v>1</v>
      </c>
      <c r="J2105" s="274">
        <v>276.2</v>
      </c>
      <c r="K2105" s="274">
        <v>248.5</v>
      </c>
      <c r="L2105" s="274">
        <f t="shared" si="8"/>
        <v>27.699999999999989</v>
      </c>
    </row>
    <row r="2106" spans="1:12" ht="26.4" customHeight="1">
      <c r="A2106" s="224">
        <f t="shared" si="9"/>
        <v>155</v>
      </c>
      <c r="B2106" s="531"/>
      <c r="C2106" s="288" t="s">
        <v>25</v>
      </c>
      <c r="D2106" s="288" t="s">
        <v>3</v>
      </c>
      <c r="E2106" s="289" t="s">
        <v>1342</v>
      </c>
      <c r="F2106" s="298" t="s">
        <v>1743</v>
      </c>
      <c r="G2106" s="237" t="s">
        <v>1546</v>
      </c>
      <c r="H2106" s="475" t="s">
        <v>1138</v>
      </c>
      <c r="I2106" s="477">
        <v>1</v>
      </c>
      <c r="J2106" s="274">
        <v>1465.6</v>
      </c>
      <c r="K2106" s="274">
        <v>1463.5</v>
      </c>
      <c r="L2106" s="274">
        <f t="shared" si="8"/>
        <v>2.0999999999999091</v>
      </c>
    </row>
    <row r="2107" spans="1:12" ht="26.4" customHeight="1">
      <c r="A2107" s="224">
        <f t="shared" si="9"/>
        <v>156</v>
      </c>
      <c r="B2107" s="531"/>
      <c r="C2107" s="288" t="s">
        <v>25</v>
      </c>
      <c r="D2107" s="288" t="s">
        <v>3</v>
      </c>
      <c r="E2107" s="289" t="s">
        <v>1347</v>
      </c>
      <c r="F2107" s="298" t="s">
        <v>1744</v>
      </c>
      <c r="G2107" s="237" t="s">
        <v>1565</v>
      </c>
      <c r="H2107" s="475" t="s">
        <v>1138</v>
      </c>
      <c r="I2107" s="477">
        <v>1</v>
      </c>
      <c r="J2107" s="274">
        <v>627</v>
      </c>
      <c r="K2107" s="274">
        <v>280.8</v>
      </c>
      <c r="L2107" s="274">
        <f t="shared" si="8"/>
        <v>346.2</v>
      </c>
    </row>
    <row r="2108" spans="1:12" ht="26.4" customHeight="1">
      <c r="A2108" s="224">
        <f t="shared" si="9"/>
        <v>157</v>
      </c>
      <c r="B2108" s="531"/>
      <c r="C2108" s="288" t="s">
        <v>25</v>
      </c>
      <c r="D2108" s="288" t="s">
        <v>3</v>
      </c>
      <c r="E2108" s="288" t="s">
        <v>2407</v>
      </c>
      <c r="F2108" s="298" t="s">
        <v>1745</v>
      </c>
      <c r="G2108" s="237" t="s">
        <v>1568</v>
      </c>
      <c r="H2108" s="475" t="s">
        <v>1138</v>
      </c>
      <c r="I2108" s="477">
        <v>1</v>
      </c>
      <c r="J2108" s="274">
        <v>62.8</v>
      </c>
      <c r="K2108" s="274">
        <v>62.8</v>
      </c>
      <c r="L2108" s="274">
        <f t="shared" si="8"/>
        <v>0</v>
      </c>
    </row>
    <row r="2109" spans="1:12" ht="26.4" customHeight="1">
      <c r="A2109" s="224">
        <f t="shared" si="9"/>
        <v>158</v>
      </c>
      <c r="B2109" s="531"/>
      <c r="C2109" s="288" t="s">
        <v>25</v>
      </c>
      <c r="D2109" s="288" t="s">
        <v>3</v>
      </c>
      <c r="E2109" s="288" t="s">
        <v>2408</v>
      </c>
      <c r="F2109" s="298" t="s">
        <v>1746</v>
      </c>
      <c r="G2109" s="237" t="s">
        <v>1529</v>
      </c>
      <c r="H2109" s="475" t="s">
        <v>1138</v>
      </c>
      <c r="I2109" s="477">
        <v>1</v>
      </c>
      <c r="J2109" s="274">
        <v>274.60000000000002</v>
      </c>
      <c r="K2109" s="274">
        <v>274.60000000000002</v>
      </c>
      <c r="L2109" s="274">
        <f t="shared" si="8"/>
        <v>0</v>
      </c>
    </row>
    <row r="2110" spans="1:12" ht="26.4" customHeight="1">
      <c r="A2110" s="224">
        <f t="shared" si="9"/>
        <v>159</v>
      </c>
      <c r="B2110" s="531"/>
      <c r="C2110" s="288" t="s">
        <v>25</v>
      </c>
      <c r="D2110" s="288" t="s">
        <v>3</v>
      </c>
      <c r="E2110" s="288" t="s">
        <v>2275</v>
      </c>
      <c r="F2110" s="298" t="s">
        <v>1747</v>
      </c>
      <c r="G2110" s="237" t="s">
        <v>1535</v>
      </c>
      <c r="H2110" s="475" t="s">
        <v>1138</v>
      </c>
      <c r="I2110" s="477">
        <v>1</v>
      </c>
      <c r="J2110" s="274">
        <v>413</v>
      </c>
      <c r="K2110" s="274">
        <v>413</v>
      </c>
      <c r="L2110" s="274">
        <f t="shared" si="8"/>
        <v>0</v>
      </c>
    </row>
    <row r="2111" spans="1:12" ht="26.4" customHeight="1">
      <c r="A2111" s="224">
        <f t="shared" si="9"/>
        <v>160</v>
      </c>
      <c r="B2111" s="531"/>
      <c r="C2111" s="288" t="s">
        <v>25</v>
      </c>
      <c r="D2111" s="288" t="s">
        <v>3</v>
      </c>
      <c r="E2111" s="288" t="s">
        <v>2275</v>
      </c>
      <c r="F2111" s="298" t="s">
        <v>1748</v>
      </c>
      <c r="G2111" s="237" t="s">
        <v>1566</v>
      </c>
      <c r="H2111" s="475" t="s">
        <v>1138</v>
      </c>
      <c r="I2111" s="477">
        <v>1</v>
      </c>
      <c r="J2111" s="274">
        <v>297.8</v>
      </c>
      <c r="K2111" s="274">
        <v>297.8</v>
      </c>
      <c r="L2111" s="274">
        <f t="shared" si="8"/>
        <v>0</v>
      </c>
    </row>
    <row r="2112" spans="1:12" ht="26.4" customHeight="1">
      <c r="A2112" s="224">
        <f t="shared" si="9"/>
        <v>161</v>
      </c>
      <c r="B2112" s="531"/>
      <c r="C2112" s="288" t="s">
        <v>25</v>
      </c>
      <c r="D2112" s="288" t="s">
        <v>3</v>
      </c>
      <c r="E2112" s="288" t="s">
        <v>2275</v>
      </c>
      <c r="F2112" s="298" t="s">
        <v>1749</v>
      </c>
      <c r="G2112" s="237" t="s">
        <v>1557</v>
      </c>
      <c r="H2112" s="475" t="s">
        <v>1138</v>
      </c>
      <c r="I2112" s="477">
        <v>1</v>
      </c>
      <c r="J2112" s="274">
        <v>408.6</v>
      </c>
      <c r="K2112" s="274">
        <v>408.6</v>
      </c>
      <c r="L2112" s="274">
        <f t="shared" si="8"/>
        <v>0</v>
      </c>
    </row>
    <row r="2113" spans="1:12" ht="26.4" customHeight="1">
      <c r="A2113" s="224">
        <f t="shared" si="9"/>
        <v>162</v>
      </c>
      <c r="B2113" s="531"/>
      <c r="C2113" s="288" t="s">
        <v>25</v>
      </c>
      <c r="D2113" s="288" t="s">
        <v>3</v>
      </c>
      <c r="E2113" s="288" t="s">
        <v>2276</v>
      </c>
      <c r="F2113" s="298" t="s">
        <v>1750</v>
      </c>
      <c r="G2113" s="237" t="s">
        <v>1560</v>
      </c>
      <c r="H2113" s="475" t="s">
        <v>1138</v>
      </c>
      <c r="I2113" s="477">
        <v>1</v>
      </c>
      <c r="J2113" s="274">
        <v>23.8</v>
      </c>
      <c r="K2113" s="274">
        <v>23.8</v>
      </c>
      <c r="L2113" s="274">
        <f t="shared" si="8"/>
        <v>0</v>
      </c>
    </row>
    <row r="2114" spans="1:12" ht="26.4" customHeight="1">
      <c r="A2114" s="224">
        <f t="shared" si="9"/>
        <v>163</v>
      </c>
      <c r="B2114" s="531"/>
      <c r="C2114" s="288" t="s">
        <v>25</v>
      </c>
      <c r="D2114" s="288" t="s">
        <v>3</v>
      </c>
      <c r="E2114" s="289" t="s">
        <v>1347</v>
      </c>
      <c r="F2114" s="298" t="s">
        <v>1751</v>
      </c>
      <c r="G2114" s="237" t="s">
        <v>1565</v>
      </c>
      <c r="H2114" s="475" t="s">
        <v>1138</v>
      </c>
      <c r="I2114" s="477">
        <v>1</v>
      </c>
      <c r="J2114" s="274">
        <v>335.8</v>
      </c>
      <c r="K2114" s="274">
        <v>271</v>
      </c>
      <c r="L2114" s="274">
        <f t="shared" si="8"/>
        <v>64.800000000000011</v>
      </c>
    </row>
    <row r="2115" spans="1:12" ht="26.4" customHeight="1">
      <c r="A2115" s="224">
        <f t="shared" si="9"/>
        <v>164</v>
      </c>
      <c r="B2115" s="531"/>
      <c r="C2115" s="288" t="s">
        <v>25</v>
      </c>
      <c r="D2115" s="288" t="s">
        <v>3</v>
      </c>
      <c r="E2115" s="289" t="s">
        <v>1342</v>
      </c>
      <c r="F2115" s="298" t="s">
        <v>1752</v>
      </c>
      <c r="G2115" s="237" t="s">
        <v>1560</v>
      </c>
      <c r="H2115" s="475" t="s">
        <v>1138</v>
      </c>
      <c r="I2115" s="477">
        <v>1</v>
      </c>
      <c r="J2115" s="274">
        <v>179.2</v>
      </c>
      <c r="K2115" s="274">
        <v>171.2</v>
      </c>
      <c r="L2115" s="274">
        <f t="shared" si="8"/>
        <v>8</v>
      </c>
    </row>
    <row r="2116" spans="1:12" ht="26.4" customHeight="1">
      <c r="A2116" s="224">
        <f t="shared" si="9"/>
        <v>165</v>
      </c>
      <c r="B2116" s="531"/>
      <c r="C2116" s="288" t="s">
        <v>25</v>
      </c>
      <c r="D2116" s="288" t="s">
        <v>3</v>
      </c>
      <c r="E2116" s="288" t="s">
        <v>2277</v>
      </c>
      <c r="F2116" s="298" t="s">
        <v>1753</v>
      </c>
      <c r="G2116" s="237" t="s">
        <v>1560</v>
      </c>
      <c r="H2116" s="475" t="s">
        <v>1138</v>
      </c>
      <c r="I2116" s="477">
        <v>1</v>
      </c>
      <c r="J2116" s="274">
        <v>401.5</v>
      </c>
      <c r="K2116" s="274">
        <v>364.8</v>
      </c>
      <c r="L2116" s="274">
        <f t="shared" si="8"/>
        <v>36.699999999999989</v>
      </c>
    </row>
    <row r="2117" spans="1:12" ht="26.4" customHeight="1">
      <c r="A2117" s="224">
        <f t="shared" si="9"/>
        <v>166</v>
      </c>
      <c r="B2117" s="531"/>
      <c r="C2117" s="288" t="s">
        <v>25</v>
      </c>
      <c r="D2117" s="288" t="s">
        <v>3</v>
      </c>
      <c r="E2117" s="288" t="s">
        <v>2278</v>
      </c>
      <c r="F2117" s="298" t="s">
        <v>1754</v>
      </c>
      <c r="G2117" s="237" t="s">
        <v>1560</v>
      </c>
      <c r="H2117" s="475" t="s">
        <v>1138</v>
      </c>
      <c r="I2117" s="477">
        <v>1</v>
      </c>
      <c r="J2117" s="274">
        <v>15.1</v>
      </c>
      <c r="K2117" s="274">
        <v>12.3</v>
      </c>
      <c r="L2117" s="274">
        <f t="shared" si="8"/>
        <v>2.7999999999999989</v>
      </c>
    </row>
    <row r="2118" spans="1:12" ht="26.4" customHeight="1">
      <c r="A2118" s="224">
        <f t="shared" si="9"/>
        <v>167</v>
      </c>
      <c r="B2118" s="531"/>
      <c r="C2118" s="288" t="s">
        <v>25</v>
      </c>
      <c r="D2118" s="288" t="s">
        <v>3</v>
      </c>
      <c r="E2118" s="288" t="s">
        <v>2279</v>
      </c>
      <c r="F2118" s="298" t="s">
        <v>1755</v>
      </c>
      <c r="G2118" s="237" t="s">
        <v>1560</v>
      </c>
      <c r="H2118" s="475" t="s">
        <v>1138</v>
      </c>
      <c r="I2118" s="477">
        <v>1</v>
      </c>
      <c r="J2118" s="274">
        <v>0.7</v>
      </c>
      <c r="K2118" s="274">
        <v>0.7</v>
      </c>
      <c r="L2118" s="274">
        <f t="shared" si="8"/>
        <v>0</v>
      </c>
    </row>
    <row r="2119" spans="1:12" ht="26.4" customHeight="1">
      <c r="A2119" s="224">
        <f t="shared" si="9"/>
        <v>168</v>
      </c>
      <c r="B2119" s="531"/>
      <c r="C2119" s="288" t="s">
        <v>25</v>
      </c>
      <c r="D2119" s="288" t="s">
        <v>3</v>
      </c>
      <c r="E2119" s="288" t="s">
        <v>2280</v>
      </c>
      <c r="F2119" s="298" t="s">
        <v>1756</v>
      </c>
      <c r="G2119" s="237" t="s">
        <v>1560</v>
      </c>
      <c r="H2119" s="475" t="s">
        <v>1138</v>
      </c>
      <c r="I2119" s="477">
        <v>1</v>
      </c>
      <c r="J2119" s="274">
        <v>8.8000000000000007</v>
      </c>
      <c r="K2119" s="274">
        <v>8.8000000000000007</v>
      </c>
      <c r="L2119" s="274">
        <f t="shared" si="8"/>
        <v>0</v>
      </c>
    </row>
    <row r="2120" spans="1:12" ht="26.4" customHeight="1">
      <c r="A2120" s="224">
        <f t="shared" si="9"/>
        <v>169</v>
      </c>
      <c r="B2120" s="531"/>
      <c r="C2120" s="288" t="s">
        <v>25</v>
      </c>
      <c r="D2120" s="288" t="s">
        <v>3</v>
      </c>
      <c r="E2120" s="288" t="s">
        <v>2269</v>
      </c>
      <c r="F2120" s="298" t="s">
        <v>1757</v>
      </c>
      <c r="G2120" s="237" t="s">
        <v>1528</v>
      </c>
      <c r="H2120" s="475" t="s">
        <v>1138</v>
      </c>
      <c r="I2120" s="477">
        <v>1</v>
      </c>
      <c r="J2120" s="274">
        <v>265.60000000000002</v>
      </c>
      <c r="K2120" s="274">
        <v>254.3</v>
      </c>
      <c r="L2120" s="274">
        <f t="shared" si="8"/>
        <v>11.300000000000011</v>
      </c>
    </row>
    <row r="2121" spans="1:12" ht="26.4" customHeight="1">
      <c r="A2121" s="224">
        <f t="shared" si="9"/>
        <v>170</v>
      </c>
      <c r="B2121" s="531"/>
      <c r="C2121" s="288" t="s">
        <v>25</v>
      </c>
      <c r="D2121" s="288" t="s">
        <v>3</v>
      </c>
      <c r="E2121" s="288" t="s">
        <v>2269</v>
      </c>
      <c r="F2121" s="298" t="s">
        <v>1758</v>
      </c>
      <c r="G2121" s="237" t="s">
        <v>1528</v>
      </c>
      <c r="H2121" s="475" t="s">
        <v>1138</v>
      </c>
      <c r="I2121" s="477">
        <v>1</v>
      </c>
      <c r="J2121" s="274">
        <v>1006.2</v>
      </c>
      <c r="K2121" s="274">
        <v>1005.5</v>
      </c>
      <c r="L2121" s="274">
        <f t="shared" si="8"/>
        <v>0.70000000000004547</v>
      </c>
    </row>
    <row r="2122" spans="1:12" ht="26.4" customHeight="1">
      <c r="A2122" s="224">
        <f t="shared" si="9"/>
        <v>171</v>
      </c>
      <c r="B2122" s="531"/>
      <c r="C2122" s="288" t="s">
        <v>25</v>
      </c>
      <c r="D2122" s="288" t="s">
        <v>3</v>
      </c>
      <c r="E2122" s="288" t="s">
        <v>2269</v>
      </c>
      <c r="F2122" s="298" t="s">
        <v>1759</v>
      </c>
      <c r="G2122" s="237" t="s">
        <v>1534</v>
      </c>
      <c r="H2122" s="475" t="s">
        <v>1138</v>
      </c>
      <c r="I2122" s="477">
        <v>1</v>
      </c>
      <c r="J2122" s="274">
        <v>116.2</v>
      </c>
      <c r="K2122" s="274">
        <v>116.2</v>
      </c>
      <c r="L2122" s="274">
        <f t="shared" si="8"/>
        <v>0</v>
      </c>
    </row>
    <row r="2123" spans="1:12" ht="26.4" customHeight="1">
      <c r="A2123" s="224">
        <f t="shared" si="9"/>
        <v>172</v>
      </c>
      <c r="B2123" s="531"/>
      <c r="C2123" s="288" t="s">
        <v>25</v>
      </c>
      <c r="D2123" s="288" t="s">
        <v>3</v>
      </c>
      <c r="E2123" s="288" t="s">
        <v>2281</v>
      </c>
      <c r="F2123" s="298" t="s">
        <v>1760</v>
      </c>
      <c r="G2123" s="237" t="s">
        <v>1529</v>
      </c>
      <c r="H2123" s="475" t="s">
        <v>1138</v>
      </c>
      <c r="I2123" s="477">
        <v>1</v>
      </c>
      <c r="J2123" s="274">
        <v>395.1</v>
      </c>
      <c r="K2123" s="274">
        <v>245.6</v>
      </c>
      <c r="L2123" s="274">
        <f t="shared" si="8"/>
        <v>149.50000000000003</v>
      </c>
    </row>
    <row r="2124" spans="1:12" ht="26.4" customHeight="1">
      <c r="A2124" s="224">
        <f t="shared" si="9"/>
        <v>173</v>
      </c>
      <c r="B2124" s="531"/>
      <c r="C2124" s="288" t="s">
        <v>25</v>
      </c>
      <c r="D2124" s="288" t="s">
        <v>3</v>
      </c>
      <c r="E2124" s="288" t="s">
        <v>2281</v>
      </c>
      <c r="F2124" s="298" t="s">
        <v>1761</v>
      </c>
      <c r="G2124" s="237" t="s">
        <v>1529</v>
      </c>
      <c r="H2124" s="475" t="s">
        <v>1138</v>
      </c>
      <c r="I2124" s="477">
        <v>1</v>
      </c>
      <c r="J2124" s="274">
        <v>140.6</v>
      </c>
      <c r="K2124" s="274">
        <v>137</v>
      </c>
      <c r="L2124" s="274">
        <f t="shared" si="8"/>
        <v>3.5999999999999943</v>
      </c>
    </row>
    <row r="2125" spans="1:12" ht="26.4" customHeight="1">
      <c r="A2125" s="224">
        <f t="shared" si="9"/>
        <v>174</v>
      </c>
      <c r="B2125" s="531"/>
      <c r="C2125" s="288" t="s">
        <v>25</v>
      </c>
      <c r="D2125" s="288" t="s">
        <v>3</v>
      </c>
      <c r="E2125" s="288" t="s">
        <v>13018</v>
      </c>
      <c r="F2125" s="298" t="s">
        <v>1762</v>
      </c>
      <c r="G2125" s="237" t="s">
        <v>1544</v>
      </c>
      <c r="H2125" s="475" t="s">
        <v>1138</v>
      </c>
      <c r="I2125" s="477">
        <v>1</v>
      </c>
      <c r="J2125" s="274">
        <v>1294</v>
      </c>
      <c r="K2125" s="274">
        <v>1294</v>
      </c>
      <c r="L2125" s="274">
        <f t="shared" si="8"/>
        <v>0</v>
      </c>
    </row>
    <row r="2126" spans="1:12" ht="26.4" customHeight="1">
      <c r="A2126" s="224">
        <f t="shared" si="9"/>
        <v>175</v>
      </c>
      <c r="B2126" s="531"/>
      <c r="C2126" s="288" t="s">
        <v>25</v>
      </c>
      <c r="D2126" s="288" t="s">
        <v>3</v>
      </c>
      <c r="E2126" s="481" t="s">
        <v>13018</v>
      </c>
      <c r="F2126" s="298" t="s">
        <v>1763</v>
      </c>
      <c r="G2126" s="237" t="s">
        <v>1560</v>
      </c>
      <c r="H2126" s="475" t="s">
        <v>1138</v>
      </c>
      <c r="I2126" s="477">
        <v>1</v>
      </c>
      <c r="J2126" s="274">
        <v>39.9</v>
      </c>
      <c r="K2126" s="274">
        <v>33.799999999999997</v>
      </c>
      <c r="L2126" s="274">
        <f t="shared" si="8"/>
        <v>6.1000000000000014</v>
      </c>
    </row>
    <row r="2127" spans="1:12" ht="26.4" customHeight="1">
      <c r="A2127" s="224">
        <f t="shared" si="9"/>
        <v>176</v>
      </c>
      <c r="B2127" s="531"/>
      <c r="C2127" s="288" t="s">
        <v>25</v>
      </c>
      <c r="D2127" s="288" t="s">
        <v>3</v>
      </c>
      <c r="E2127" s="481" t="s">
        <v>13018</v>
      </c>
      <c r="F2127" s="298" t="s">
        <v>1764</v>
      </c>
      <c r="G2127" s="237" t="s">
        <v>1544</v>
      </c>
      <c r="H2127" s="475" t="s">
        <v>1138</v>
      </c>
      <c r="I2127" s="477">
        <v>1</v>
      </c>
      <c r="J2127" s="274">
        <v>457.9</v>
      </c>
      <c r="K2127" s="274">
        <v>452.4</v>
      </c>
      <c r="L2127" s="274">
        <f t="shared" si="8"/>
        <v>5.5</v>
      </c>
    </row>
    <row r="2128" spans="1:12" ht="26.4" customHeight="1">
      <c r="A2128" s="224">
        <f t="shared" si="9"/>
        <v>177</v>
      </c>
      <c r="B2128" s="531"/>
      <c r="C2128" s="288" t="s">
        <v>25</v>
      </c>
      <c r="D2128" s="288" t="s">
        <v>3</v>
      </c>
      <c r="E2128" s="481" t="s">
        <v>13018</v>
      </c>
      <c r="F2128" s="298" t="s">
        <v>1765</v>
      </c>
      <c r="G2128" s="237" t="s">
        <v>1579</v>
      </c>
      <c r="H2128" s="475" t="s">
        <v>1138</v>
      </c>
      <c r="I2128" s="477">
        <v>1</v>
      </c>
      <c r="J2128" s="274">
        <v>218.4</v>
      </c>
      <c r="K2128" s="274">
        <v>166.8</v>
      </c>
      <c r="L2128" s="274">
        <f t="shared" si="8"/>
        <v>51.599999999999994</v>
      </c>
    </row>
    <row r="2129" spans="1:12" ht="26.4" customHeight="1">
      <c r="A2129" s="224">
        <f t="shared" si="9"/>
        <v>178</v>
      </c>
      <c r="B2129" s="531"/>
      <c r="C2129" s="289" t="s">
        <v>1804</v>
      </c>
      <c r="D2129" s="288" t="s">
        <v>3</v>
      </c>
      <c r="E2129" s="289" t="s">
        <v>13262</v>
      </c>
      <c r="F2129" s="298" t="s">
        <v>1766</v>
      </c>
      <c r="G2129" s="237" t="s">
        <v>1544</v>
      </c>
      <c r="H2129" s="475" t="s">
        <v>1138</v>
      </c>
      <c r="I2129" s="477">
        <v>1</v>
      </c>
      <c r="J2129" s="274">
        <v>143.4</v>
      </c>
      <c r="K2129" s="274">
        <v>143.4</v>
      </c>
      <c r="L2129" s="274">
        <f t="shared" si="8"/>
        <v>0</v>
      </c>
    </row>
    <row r="2130" spans="1:12" ht="26.4" customHeight="1">
      <c r="A2130" s="224">
        <f t="shared" si="9"/>
        <v>179</v>
      </c>
      <c r="B2130" s="531"/>
      <c r="C2130" s="288" t="s">
        <v>450</v>
      </c>
      <c r="D2130" s="288" t="s">
        <v>3</v>
      </c>
      <c r="E2130" s="288" t="s">
        <v>2282</v>
      </c>
      <c r="F2130" s="298" t="s">
        <v>1767</v>
      </c>
      <c r="G2130" s="237" t="s">
        <v>1546</v>
      </c>
      <c r="H2130" s="475" t="s">
        <v>1138</v>
      </c>
      <c r="I2130" s="477">
        <v>1</v>
      </c>
      <c r="J2130" s="274">
        <v>1</v>
      </c>
      <c r="K2130" s="274">
        <v>1</v>
      </c>
      <c r="L2130" s="274">
        <f t="shared" si="8"/>
        <v>0</v>
      </c>
    </row>
    <row r="2131" spans="1:12" ht="26.4" customHeight="1">
      <c r="A2131" s="224">
        <f t="shared" si="9"/>
        <v>180</v>
      </c>
      <c r="B2131" s="531"/>
      <c r="C2131" s="288" t="s">
        <v>450</v>
      </c>
      <c r="D2131" s="288" t="s">
        <v>3</v>
      </c>
      <c r="E2131" s="288" t="s">
        <v>2283</v>
      </c>
      <c r="F2131" s="298" t="s">
        <v>1768</v>
      </c>
      <c r="G2131" s="237" t="s">
        <v>1573</v>
      </c>
      <c r="H2131" s="475" t="s">
        <v>1138</v>
      </c>
      <c r="I2131" s="477">
        <v>1</v>
      </c>
      <c r="J2131" s="274">
        <v>1.2</v>
      </c>
      <c r="K2131" s="274">
        <v>1.2</v>
      </c>
      <c r="L2131" s="274">
        <f t="shared" si="8"/>
        <v>0</v>
      </c>
    </row>
    <row r="2132" spans="1:12" ht="26.4" customHeight="1">
      <c r="A2132" s="224">
        <f t="shared" si="9"/>
        <v>181</v>
      </c>
      <c r="B2132" s="531"/>
      <c r="C2132" s="288" t="s">
        <v>450</v>
      </c>
      <c r="D2132" s="288" t="s">
        <v>3</v>
      </c>
      <c r="E2132" s="288" t="s">
        <v>2284</v>
      </c>
      <c r="F2132" s="298" t="s">
        <v>1769</v>
      </c>
      <c r="G2132" s="237" t="s">
        <v>1544</v>
      </c>
      <c r="H2132" s="475" t="s">
        <v>1138</v>
      </c>
      <c r="I2132" s="477">
        <v>1</v>
      </c>
      <c r="J2132" s="274">
        <v>2.8</v>
      </c>
      <c r="K2132" s="274">
        <v>2.7</v>
      </c>
      <c r="L2132" s="274">
        <f t="shared" si="8"/>
        <v>9.9999999999999645E-2</v>
      </c>
    </row>
    <row r="2133" spans="1:12" ht="26.4" customHeight="1">
      <c r="A2133" s="224">
        <f t="shared" si="9"/>
        <v>182</v>
      </c>
      <c r="B2133" s="531"/>
      <c r="C2133" s="288" t="s">
        <v>450</v>
      </c>
      <c r="D2133" s="288" t="s">
        <v>2033</v>
      </c>
      <c r="E2133" s="289" t="s">
        <v>2285</v>
      </c>
      <c r="F2133" s="298" t="s">
        <v>1770</v>
      </c>
      <c r="G2133" s="237" t="s">
        <v>1542</v>
      </c>
      <c r="H2133" s="475" t="s">
        <v>1138</v>
      </c>
      <c r="I2133" s="477">
        <v>1</v>
      </c>
      <c r="J2133" s="274">
        <v>2.1</v>
      </c>
      <c r="K2133" s="274">
        <v>2.1</v>
      </c>
      <c r="L2133" s="274">
        <f t="shared" si="8"/>
        <v>0</v>
      </c>
    </row>
    <row r="2134" spans="1:12" ht="26.4" customHeight="1">
      <c r="A2134" s="224">
        <f t="shared" si="9"/>
        <v>183</v>
      </c>
      <c r="B2134" s="531"/>
      <c r="C2134" s="288" t="s">
        <v>450</v>
      </c>
      <c r="D2134" s="288" t="s">
        <v>2197</v>
      </c>
      <c r="E2134" s="289" t="s">
        <v>451</v>
      </c>
      <c r="F2134" s="298" t="s">
        <v>1771</v>
      </c>
      <c r="G2134" s="237" t="s">
        <v>1565</v>
      </c>
      <c r="H2134" s="475" t="s">
        <v>1138</v>
      </c>
      <c r="I2134" s="477">
        <v>1</v>
      </c>
      <c r="J2134" s="274">
        <v>3.4</v>
      </c>
      <c r="K2134" s="274">
        <v>2.2999999999999998</v>
      </c>
      <c r="L2134" s="274">
        <f t="shared" si="8"/>
        <v>1.1000000000000001</v>
      </c>
    </row>
    <row r="2135" spans="1:12" ht="26.4" customHeight="1">
      <c r="A2135" s="224">
        <f t="shared" si="9"/>
        <v>184</v>
      </c>
      <c r="B2135" s="531"/>
      <c r="C2135" s="288" t="s">
        <v>450</v>
      </c>
      <c r="D2135" s="288" t="s">
        <v>3</v>
      </c>
      <c r="E2135" s="289" t="s">
        <v>2286</v>
      </c>
      <c r="F2135" s="298" t="s">
        <v>1772</v>
      </c>
      <c r="G2135" s="237" t="s">
        <v>1561</v>
      </c>
      <c r="H2135" s="475" t="s">
        <v>1138</v>
      </c>
      <c r="I2135" s="477">
        <v>1</v>
      </c>
      <c r="J2135" s="274">
        <v>252.2</v>
      </c>
      <c r="K2135" s="274">
        <v>158.9</v>
      </c>
      <c r="L2135" s="274">
        <f t="shared" si="8"/>
        <v>93.299999999999983</v>
      </c>
    </row>
    <row r="2136" spans="1:12" ht="26.4" customHeight="1">
      <c r="A2136" s="224">
        <f t="shared" si="9"/>
        <v>185</v>
      </c>
      <c r="B2136" s="531"/>
      <c r="C2136" s="288" t="s">
        <v>450</v>
      </c>
      <c r="D2136" s="288" t="s">
        <v>3</v>
      </c>
      <c r="E2136" s="288" t="s">
        <v>2287</v>
      </c>
      <c r="F2136" s="298" t="s">
        <v>1773</v>
      </c>
      <c r="G2136" s="237" t="s">
        <v>1579</v>
      </c>
      <c r="H2136" s="475" t="s">
        <v>1138</v>
      </c>
      <c r="I2136" s="477">
        <v>1</v>
      </c>
      <c r="J2136" s="274">
        <v>1331.4</v>
      </c>
      <c r="K2136" s="274">
        <v>1331.4</v>
      </c>
      <c r="L2136" s="274">
        <f t="shared" si="8"/>
        <v>0</v>
      </c>
    </row>
    <row r="2137" spans="1:12" ht="26.4" customHeight="1">
      <c r="A2137" s="224">
        <f t="shared" si="9"/>
        <v>186</v>
      </c>
      <c r="B2137" s="531"/>
      <c r="C2137" s="288" t="s">
        <v>450</v>
      </c>
      <c r="D2137" s="288" t="s">
        <v>3</v>
      </c>
      <c r="E2137" s="288" t="s">
        <v>2288</v>
      </c>
      <c r="F2137" s="298" t="s">
        <v>1774</v>
      </c>
      <c r="G2137" s="237" t="s">
        <v>1546</v>
      </c>
      <c r="H2137" s="475" t="s">
        <v>1138</v>
      </c>
      <c r="I2137" s="477">
        <v>1</v>
      </c>
      <c r="J2137" s="274">
        <v>99.3</v>
      </c>
      <c r="K2137" s="274">
        <v>99.3</v>
      </c>
      <c r="L2137" s="274">
        <f t="shared" si="8"/>
        <v>0</v>
      </c>
    </row>
    <row r="2138" spans="1:12" ht="26.4" customHeight="1">
      <c r="A2138" s="224">
        <f t="shared" si="9"/>
        <v>187</v>
      </c>
      <c r="B2138" s="531"/>
      <c r="C2138" s="288" t="s">
        <v>450</v>
      </c>
      <c r="D2138" s="288" t="s">
        <v>3</v>
      </c>
      <c r="E2138" s="288" t="s">
        <v>2289</v>
      </c>
      <c r="F2138" s="298" t="s">
        <v>1775</v>
      </c>
      <c r="G2138" s="237" t="s">
        <v>1573</v>
      </c>
      <c r="H2138" s="475" t="s">
        <v>1138</v>
      </c>
      <c r="I2138" s="477">
        <v>1</v>
      </c>
      <c r="J2138" s="274">
        <v>396.4</v>
      </c>
      <c r="K2138" s="274">
        <v>372.9</v>
      </c>
      <c r="L2138" s="274">
        <f t="shared" si="8"/>
        <v>23.5</v>
      </c>
    </row>
    <row r="2139" spans="1:12" ht="26.4" customHeight="1">
      <c r="A2139" s="224">
        <f t="shared" si="9"/>
        <v>188</v>
      </c>
      <c r="B2139" s="531"/>
      <c r="C2139" s="288" t="s">
        <v>450</v>
      </c>
      <c r="D2139" s="288" t="s">
        <v>3</v>
      </c>
      <c r="E2139" s="288" t="s">
        <v>2290</v>
      </c>
      <c r="F2139" s="298" t="s">
        <v>1776</v>
      </c>
      <c r="G2139" s="237" t="s">
        <v>1540</v>
      </c>
      <c r="H2139" s="475" t="s">
        <v>1138</v>
      </c>
      <c r="I2139" s="477">
        <v>1</v>
      </c>
      <c r="J2139" s="274">
        <v>512.5</v>
      </c>
      <c r="K2139" s="274">
        <v>487.2</v>
      </c>
      <c r="L2139" s="274">
        <f t="shared" si="8"/>
        <v>25.300000000000011</v>
      </c>
    </row>
    <row r="2140" spans="1:12" ht="26.4" customHeight="1">
      <c r="A2140" s="224">
        <f t="shared" si="9"/>
        <v>189</v>
      </c>
      <c r="B2140" s="531"/>
      <c r="C2140" s="288" t="s">
        <v>450</v>
      </c>
      <c r="D2140" s="288" t="s">
        <v>3</v>
      </c>
      <c r="E2140" s="288" t="s">
        <v>2291</v>
      </c>
      <c r="F2140" s="298" t="s">
        <v>1777</v>
      </c>
      <c r="G2140" s="237" t="s">
        <v>1585</v>
      </c>
      <c r="H2140" s="475" t="s">
        <v>1138</v>
      </c>
      <c r="I2140" s="477">
        <v>1</v>
      </c>
      <c r="J2140" s="274">
        <v>92</v>
      </c>
      <c r="K2140" s="274">
        <v>62</v>
      </c>
      <c r="L2140" s="274">
        <f t="shared" si="8"/>
        <v>30</v>
      </c>
    </row>
    <row r="2141" spans="1:12" ht="26.4" customHeight="1">
      <c r="A2141" s="224">
        <f t="shared" si="9"/>
        <v>190</v>
      </c>
      <c r="B2141" s="531"/>
      <c r="C2141" s="288" t="s">
        <v>450</v>
      </c>
      <c r="D2141" s="288" t="s">
        <v>3</v>
      </c>
      <c r="E2141" s="288" t="s">
        <v>2292</v>
      </c>
      <c r="F2141" s="298" t="s">
        <v>1778</v>
      </c>
      <c r="G2141" s="237" t="s">
        <v>1578</v>
      </c>
      <c r="H2141" s="475" t="s">
        <v>1138</v>
      </c>
      <c r="I2141" s="477">
        <v>1</v>
      </c>
      <c r="J2141" s="274">
        <v>86</v>
      </c>
      <c r="K2141" s="274">
        <v>85.2</v>
      </c>
      <c r="L2141" s="274">
        <f t="shared" si="8"/>
        <v>0.79999999999999716</v>
      </c>
    </row>
    <row r="2142" spans="1:12" ht="26.4" customHeight="1">
      <c r="A2142" s="224">
        <f t="shared" si="9"/>
        <v>191</v>
      </c>
      <c r="B2142" s="531"/>
      <c r="C2142" s="288" t="s">
        <v>450</v>
      </c>
      <c r="D2142" s="288" t="s">
        <v>3</v>
      </c>
      <c r="E2142" s="288" t="s">
        <v>2293</v>
      </c>
      <c r="F2142" s="298" t="s">
        <v>1779</v>
      </c>
      <c r="G2142" s="237" t="s">
        <v>1579</v>
      </c>
      <c r="H2142" s="475" t="s">
        <v>1138</v>
      </c>
      <c r="I2142" s="477">
        <v>1</v>
      </c>
      <c r="J2142" s="274">
        <v>137.30000000000001</v>
      </c>
      <c r="K2142" s="274">
        <v>134</v>
      </c>
      <c r="L2142" s="274">
        <f t="shared" si="8"/>
        <v>3.3000000000000114</v>
      </c>
    </row>
    <row r="2143" spans="1:12" ht="26.4" customHeight="1">
      <c r="A2143" s="224">
        <f t="shared" si="9"/>
        <v>192</v>
      </c>
      <c r="B2143" s="531"/>
      <c r="C2143" s="288" t="s">
        <v>450</v>
      </c>
      <c r="D2143" s="288" t="s">
        <v>3</v>
      </c>
      <c r="E2143" s="288" t="s">
        <v>2294</v>
      </c>
      <c r="F2143" s="298" t="s">
        <v>1780</v>
      </c>
      <c r="G2143" s="237" t="s">
        <v>1550</v>
      </c>
      <c r="H2143" s="475" t="s">
        <v>1138</v>
      </c>
      <c r="I2143" s="477">
        <v>1</v>
      </c>
      <c r="J2143" s="274">
        <v>288.2</v>
      </c>
      <c r="K2143" s="274">
        <v>213.6</v>
      </c>
      <c r="L2143" s="274">
        <f t="shared" si="8"/>
        <v>74.599999999999994</v>
      </c>
    </row>
    <row r="2144" spans="1:12" ht="26.4" customHeight="1">
      <c r="A2144" s="224">
        <f t="shared" si="9"/>
        <v>193</v>
      </c>
      <c r="B2144" s="531"/>
      <c r="C2144" s="288" t="s">
        <v>450</v>
      </c>
      <c r="D2144" s="288" t="s">
        <v>3</v>
      </c>
      <c r="E2144" s="288" t="s">
        <v>2295</v>
      </c>
      <c r="F2144" s="298" t="s">
        <v>1781</v>
      </c>
      <c r="G2144" s="237" t="s">
        <v>1542</v>
      </c>
      <c r="H2144" s="475" t="s">
        <v>1138</v>
      </c>
      <c r="I2144" s="477">
        <v>1</v>
      </c>
      <c r="J2144" s="274">
        <v>746.8</v>
      </c>
      <c r="K2144" s="274">
        <v>368.6</v>
      </c>
      <c r="L2144" s="274">
        <f t="shared" ref="L2144:L2149" si="10">SUM(J2144-K2144)</f>
        <v>378.19999999999993</v>
      </c>
    </row>
    <row r="2145" spans="1:13" ht="26.4" customHeight="1">
      <c r="A2145" s="224">
        <f t="shared" si="9"/>
        <v>194</v>
      </c>
      <c r="B2145" s="531"/>
      <c r="C2145" s="288" t="s">
        <v>450</v>
      </c>
      <c r="D2145" s="288" t="s">
        <v>3</v>
      </c>
      <c r="E2145" s="288" t="s">
        <v>2296</v>
      </c>
      <c r="F2145" s="298" t="s">
        <v>1782</v>
      </c>
      <c r="G2145" s="237" t="s">
        <v>1578</v>
      </c>
      <c r="H2145" s="475" t="s">
        <v>1138</v>
      </c>
      <c r="I2145" s="477">
        <v>1</v>
      </c>
      <c r="J2145" s="274">
        <v>33.299999999999997</v>
      </c>
      <c r="K2145" s="274">
        <v>32.6</v>
      </c>
      <c r="L2145" s="274">
        <f t="shared" si="10"/>
        <v>0.69999999999999574</v>
      </c>
    </row>
    <row r="2146" spans="1:13" ht="26.4" customHeight="1">
      <c r="A2146" s="224">
        <f t="shared" si="9"/>
        <v>195</v>
      </c>
      <c r="B2146" s="531"/>
      <c r="C2146" s="288" t="s">
        <v>450</v>
      </c>
      <c r="D2146" s="288" t="s">
        <v>3</v>
      </c>
      <c r="E2146" s="288" t="s">
        <v>2295</v>
      </c>
      <c r="F2146" s="298" t="s">
        <v>1783</v>
      </c>
      <c r="G2146" s="237" t="s">
        <v>1563</v>
      </c>
      <c r="H2146" s="475" t="s">
        <v>1138</v>
      </c>
      <c r="I2146" s="477">
        <v>1</v>
      </c>
      <c r="J2146" s="274">
        <v>7.1</v>
      </c>
      <c r="K2146" s="274">
        <v>6.6</v>
      </c>
      <c r="L2146" s="274">
        <f t="shared" si="10"/>
        <v>0.5</v>
      </c>
    </row>
    <row r="2147" spans="1:13" ht="26.4" customHeight="1">
      <c r="A2147" s="224">
        <f t="shared" si="9"/>
        <v>196</v>
      </c>
      <c r="B2147" s="531"/>
      <c r="C2147" s="288" t="s">
        <v>450</v>
      </c>
      <c r="D2147" s="288" t="s">
        <v>3</v>
      </c>
      <c r="E2147" s="288" t="s">
        <v>2287</v>
      </c>
      <c r="F2147" s="298" t="s">
        <v>1784</v>
      </c>
      <c r="G2147" s="237" t="s">
        <v>1582</v>
      </c>
      <c r="H2147" s="475" t="s">
        <v>1138</v>
      </c>
      <c r="I2147" s="477">
        <v>1</v>
      </c>
      <c r="J2147" s="274">
        <v>93.9</v>
      </c>
      <c r="K2147" s="274">
        <v>88.2</v>
      </c>
      <c r="L2147" s="274">
        <f t="shared" si="10"/>
        <v>5.7000000000000028</v>
      </c>
    </row>
    <row r="2148" spans="1:13" ht="26.4" customHeight="1">
      <c r="A2148" s="224">
        <f t="shared" si="9"/>
        <v>197</v>
      </c>
      <c r="B2148" s="531"/>
      <c r="C2148" s="288" t="s">
        <v>450</v>
      </c>
      <c r="D2148" s="288" t="s">
        <v>3</v>
      </c>
      <c r="E2148" s="288" t="s">
        <v>2295</v>
      </c>
      <c r="F2148" s="298" t="s">
        <v>1785</v>
      </c>
      <c r="G2148" s="237" t="s">
        <v>1588</v>
      </c>
      <c r="H2148" s="475" t="s">
        <v>1138</v>
      </c>
      <c r="I2148" s="477">
        <v>1</v>
      </c>
      <c r="J2148" s="274">
        <v>114.2</v>
      </c>
      <c r="K2148" s="274">
        <v>111.8</v>
      </c>
      <c r="L2148" s="274">
        <f t="shared" si="10"/>
        <v>2.4000000000000057</v>
      </c>
    </row>
    <row r="2149" spans="1:13" ht="26.4" customHeight="1">
      <c r="A2149" s="224">
        <v>198</v>
      </c>
      <c r="B2149" s="532"/>
      <c r="C2149" s="288" t="s">
        <v>25</v>
      </c>
      <c r="D2149" s="288" t="s">
        <v>3</v>
      </c>
      <c r="E2149" s="288" t="s">
        <v>2297</v>
      </c>
      <c r="F2149" s="298" t="s">
        <v>1786</v>
      </c>
      <c r="G2149" s="237" t="s">
        <v>1558</v>
      </c>
      <c r="H2149" s="475" t="s">
        <v>1138</v>
      </c>
      <c r="I2149" s="477">
        <v>1</v>
      </c>
      <c r="J2149" s="274">
        <v>163.80000000000001</v>
      </c>
      <c r="K2149" s="274">
        <v>153.30000000000001</v>
      </c>
      <c r="L2149" s="274">
        <f t="shared" si="10"/>
        <v>10.5</v>
      </c>
    </row>
    <row r="2150" spans="1:13" ht="26.4" customHeight="1">
      <c r="A2150" s="292"/>
      <c r="B2150" s="303" t="s">
        <v>2215</v>
      </c>
      <c r="C2150" s="303" t="s">
        <v>3</v>
      </c>
      <c r="D2150" s="303" t="s">
        <v>3</v>
      </c>
      <c r="E2150" s="303" t="s">
        <v>3</v>
      </c>
      <c r="F2150" s="303" t="s">
        <v>3</v>
      </c>
      <c r="G2150" s="303" t="s">
        <v>3</v>
      </c>
      <c r="H2150" s="303" t="s">
        <v>3</v>
      </c>
      <c r="I2150" s="303" t="s">
        <v>3</v>
      </c>
      <c r="J2150" s="293">
        <f>SUM(J1952:J2149)</f>
        <v>43670.900000000009</v>
      </c>
      <c r="K2150" s="293">
        <f>SUM(K1952:K2149)</f>
        <v>28340.299999999988</v>
      </c>
      <c r="L2150" s="293">
        <f>SUM(L1952:L2149)</f>
        <v>15330.599999999997</v>
      </c>
    </row>
    <row r="2151" spans="1:13" ht="26.4" customHeight="1">
      <c r="A2151" s="210"/>
      <c r="B2151" s="528" t="s">
        <v>2494</v>
      </c>
      <c r="C2151" s="529"/>
      <c r="D2151" s="299" t="s">
        <v>3</v>
      </c>
      <c r="E2151" s="299" t="s">
        <v>3</v>
      </c>
      <c r="F2151" s="299" t="s">
        <v>3</v>
      </c>
      <c r="G2151" s="299" t="s">
        <v>3</v>
      </c>
      <c r="H2151" s="299" t="s">
        <v>3</v>
      </c>
      <c r="I2151" s="299" t="s">
        <v>3</v>
      </c>
      <c r="J2151" s="279">
        <f>J72+J218+J351+J446+J668+J795+J926+J1951+J2150+J1816</f>
        <v>347856.41128000012</v>
      </c>
      <c r="K2151" s="279">
        <f>K72+K218+K351+K446+K668+K795+K926+K1951+K2150+K1816</f>
        <v>163041.91593999998</v>
      </c>
      <c r="L2151" s="279">
        <f>L72+L218+L351+L446+L668+L795+L926+L1951+L2150+L1816</f>
        <v>184814.49163</v>
      </c>
    </row>
    <row r="2152" spans="1:13" s="317" customFormat="1" ht="26.4" customHeight="1">
      <c r="A2152" s="282">
        <v>1</v>
      </c>
      <c r="B2152" s="533" t="s">
        <v>2496</v>
      </c>
      <c r="C2152" s="307" t="s">
        <v>2497</v>
      </c>
      <c r="D2152" s="308" t="s">
        <v>2498</v>
      </c>
      <c r="E2152" s="309" t="s">
        <v>2499</v>
      </c>
      <c r="F2152" s="310">
        <v>4363</v>
      </c>
      <c r="G2152" s="311">
        <v>1905</v>
      </c>
      <c r="H2152" s="408" t="s">
        <v>1149</v>
      </c>
      <c r="I2152" s="312">
        <v>220</v>
      </c>
      <c r="J2152" s="314">
        <v>37.299999999999997</v>
      </c>
      <c r="K2152" s="314">
        <v>30.1</v>
      </c>
      <c r="L2152" s="314">
        <f t="shared" ref="L2152:L2215" si="11">J2152-K2152</f>
        <v>7.1999999999999957</v>
      </c>
      <c r="M2152" s="316"/>
    </row>
    <row r="2153" spans="1:13" s="317" customFormat="1" ht="26.4" customHeight="1">
      <c r="A2153" s="282">
        <v>2</v>
      </c>
      <c r="B2153" s="533"/>
      <c r="C2153" s="307" t="s">
        <v>2497</v>
      </c>
      <c r="D2153" s="308" t="s">
        <v>2498</v>
      </c>
      <c r="E2153" s="309" t="s">
        <v>2500</v>
      </c>
      <c r="F2153" s="310">
        <v>4698</v>
      </c>
      <c r="G2153" s="311">
        <v>1905</v>
      </c>
      <c r="H2153" s="408" t="s">
        <v>1149</v>
      </c>
      <c r="I2153" s="312">
        <v>8</v>
      </c>
      <c r="J2153" s="314">
        <v>1.5</v>
      </c>
      <c r="K2153" s="314">
        <v>1.2</v>
      </c>
      <c r="L2153" s="314">
        <f t="shared" si="11"/>
        <v>0.30000000000000004</v>
      </c>
      <c r="M2153" s="316"/>
    </row>
    <row r="2154" spans="1:13" s="317" customFormat="1" ht="26.4" customHeight="1">
      <c r="A2154" s="282">
        <v>3</v>
      </c>
      <c r="B2154" s="533"/>
      <c r="C2154" s="307" t="s">
        <v>2497</v>
      </c>
      <c r="D2154" s="308" t="s">
        <v>2498</v>
      </c>
      <c r="E2154" s="309" t="s">
        <v>2501</v>
      </c>
      <c r="F2154" s="310">
        <v>4699</v>
      </c>
      <c r="G2154" s="311">
        <v>1905</v>
      </c>
      <c r="H2154" s="408" t="s">
        <v>1149</v>
      </c>
      <c r="I2154" s="313">
        <v>17.5</v>
      </c>
      <c r="J2154" s="314">
        <v>1.5</v>
      </c>
      <c r="K2154" s="314">
        <v>1.3</v>
      </c>
      <c r="L2154" s="314">
        <f t="shared" si="11"/>
        <v>0.19999999999999996</v>
      </c>
      <c r="M2154" s="316"/>
    </row>
    <row r="2155" spans="1:13" s="317" customFormat="1" ht="26.4" customHeight="1">
      <c r="A2155" s="282">
        <v>4</v>
      </c>
      <c r="B2155" s="533"/>
      <c r="C2155" s="307" t="s">
        <v>2497</v>
      </c>
      <c r="D2155" s="308" t="s">
        <v>12945</v>
      </c>
      <c r="E2155" s="309" t="s">
        <v>2502</v>
      </c>
      <c r="F2155" s="310">
        <v>4365</v>
      </c>
      <c r="G2155" s="311">
        <v>1905</v>
      </c>
      <c r="H2155" s="408" t="s">
        <v>1149</v>
      </c>
      <c r="I2155" s="313">
        <v>86.5</v>
      </c>
      <c r="J2155" s="314">
        <v>182.9</v>
      </c>
      <c r="K2155" s="314">
        <v>116.5</v>
      </c>
      <c r="L2155" s="314">
        <f t="shared" si="11"/>
        <v>66.400000000000006</v>
      </c>
      <c r="M2155" s="316"/>
    </row>
    <row r="2156" spans="1:13" s="317" customFormat="1" ht="26.4" customHeight="1">
      <c r="A2156" s="282">
        <v>5</v>
      </c>
      <c r="B2156" s="533"/>
      <c r="C2156" s="307" t="s">
        <v>2497</v>
      </c>
      <c r="D2156" s="308" t="s">
        <v>12946</v>
      </c>
      <c r="E2156" s="309" t="s">
        <v>2503</v>
      </c>
      <c r="F2156" s="310">
        <v>7401</v>
      </c>
      <c r="G2156" s="311">
        <v>1905</v>
      </c>
      <c r="H2156" s="408" t="s">
        <v>1149</v>
      </c>
      <c r="I2156" s="312">
        <v>40</v>
      </c>
      <c r="J2156" s="314">
        <v>3.2</v>
      </c>
      <c r="K2156" s="314">
        <v>2.5</v>
      </c>
      <c r="L2156" s="314">
        <f t="shared" si="11"/>
        <v>0.70000000000000018</v>
      </c>
      <c r="M2156" s="316"/>
    </row>
    <row r="2157" spans="1:13" s="317" customFormat="1" ht="26.4" customHeight="1">
      <c r="A2157" s="282">
        <v>6</v>
      </c>
      <c r="B2157" s="533"/>
      <c r="C2157" s="307" t="s">
        <v>2497</v>
      </c>
      <c r="D2157" s="308" t="s">
        <v>2504</v>
      </c>
      <c r="E2157" s="309" t="s">
        <v>2505</v>
      </c>
      <c r="F2157" s="310">
        <v>4379</v>
      </c>
      <c r="G2157" s="311">
        <v>1905</v>
      </c>
      <c r="H2157" s="408" t="s">
        <v>1149</v>
      </c>
      <c r="I2157" s="313">
        <v>17.3</v>
      </c>
      <c r="J2157" s="314">
        <v>54.4</v>
      </c>
      <c r="K2157" s="314">
        <v>33</v>
      </c>
      <c r="L2157" s="314">
        <f t="shared" si="11"/>
        <v>21.4</v>
      </c>
      <c r="M2157" s="316"/>
    </row>
    <row r="2158" spans="1:13" s="317" customFormat="1" ht="26.4" customHeight="1">
      <c r="A2158" s="282">
        <v>7</v>
      </c>
      <c r="B2158" s="533"/>
      <c r="C2158" s="307" t="s">
        <v>2497</v>
      </c>
      <c r="D2158" s="308" t="s">
        <v>2506</v>
      </c>
      <c r="E2158" s="309" t="s">
        <v>2500</v>
      </c>
      <c r="F2158" s="310">
        <v>4698</v>
      </c>
      <c r="G2158" s="311">
        <v>1905</v>
      </c>
      <c r="H2158" s="408" t="s">
        <v>1149</v>
      </c>
      <c r="I2158" s="313">
        <v>120.3</v>
      </c>
      <c r="J2158" s="314">
        <v>15.5</v>
      </c>
      <c r="K2158" s="314">
        <v>14.4</v>
      </c>
      <c r="L2158" s="314">
        <f t="shared" si="11"/>
        <v>1.0999999999999996</v>
      </c>
      <c r="M2158" s="316"/>
    </row>
    <row r="2159" spans="1:13" s="317" customFormat="1" ht="26.4" customHeight="1">
      <c r="A2159" s="282">
        <v>8</v>
      </c>
      <c r="B2159" s="533"/>
      <c r="C2159" s="307" t="s">
        <v>2497</v>
      </c>
      <c r="D2159" s="308" t="s">
        <v>2506</v>
      </c>
      <c r="E2159" s="318" t="s">
        <v>2507</v>
      </c>
      <c r="F2159" s="310">
        <v>4391</v>
      </c>
      <c r="G2159" s="311">
        <v>1905</v>
      </c>
      <c r="H2159" s="408" t="s">
        <v>1149</v>
      </c>
      <c r="I2159" s="313">
        <v>10.5</v>
      </c>
      <c r="J2159" s="314">
        <v>10.199999999999999</v>
      </c>
      <c r="K2159" s="314">
        <v>9.1</v>
      </c>
      <c r="L2159" s="314">
        <f t="shared" si="11"/>
        <v>1.0999999999999996</v>
      </c>
      <c r="M2159" s="316"/>
    </row>
    <row r="2160" spans="1:13" s="317" customFormat="1" ht="26.4" customHeight="1">
      <c r="A2160" s="282">
        <v>9</v>
      </c>
      <c r="B2160" s="533"/>
      <c r="C2160" s="307" t="s">
        <v>2497</v>
      </c>
      <c r="D2160" s="308" t="s">
        <v>2508</v>
      </c>
      <c r="E2160" s="318" t="s">
        <v>2509</v>
      </c>
      <c r="F2160" s="310">
        <v>4712</v>
      </c>
      <c r="G2160" s="311">
        <v>1905</v>
      </c>
      <c r="H2160" s="408" t="s">
        <v>1149</v>
      </c>
      <c r="I2160" s="312">
        <v>15</v>
      </c>
      <c r="J2160" s="314">
        <v>15</v>
      </c>
      <c r="K2160" s="314">
        <v>6.4</v>
      </c>
      <c r="L2160" s="314">
        <f t="shared" si="11"/>
        <v>8.6</v>
      </c>
      <c r="M2160" s="316"/>
    </row>
    <row r="2161" spans="1:13" s="317" customFormat="1" ht="26.4" customHeight="1">
      <c r="A2161" s="282">
        <v>10</v>
      </c>
      <c r="B2161" s="533"/>
      <c r="C2161" s="307" t="s">
        <v>2497</v>
      </c>
      <c r="D2161" s="308" t="s">
        <v>2508</v>
      </c>
      <c r="E2161" s="309" t="s">
        <v>2510</v>
      </c>
      <c r="F2161" s="310">
        <v>4392</v>
      </c>
      <c r="G2161" s="311">
        <v>1905</v>
      </c>
      <c r="H2161" s="408" t="s">
        <v>1149</v>
      </c>
      <c r="I2161" s="313">
        <v>137.19999999999999</v>
      </c>
      <c r="J2161" s="314">
        <v>39.9</v>
      </c>
      <c r="K2161" s="314">
        <v>33.799999999999997</v>
      </c>
      <c r="L2161" s="314">
        <f t="shared" si="11"/>
        <v>6.1000000000000014</v>
      </c>
      <c r="M2161" s="316"/>
    </row>
    <row r="2162" spans="1:13" s="317" customFormat="1" ht="26.4" customHeight="1">
      <c r="A2162" s="282">
        <v>11</v>
      </c>
      <c r="B2162" s="533"/>
      <c r="C2162" s="307" t="s">
        <v>2497</v>
      </c>
      <c r="D2162" s="308" t="s">
        <v>2508</v>
      </c>
      <c r="E2162" s="309" t="s">
        <v>2511</v>
      </c>
      <c r="F2162" s="310">
        <v>4393</v>
      </c>
      <c r="G2162" s="311">
        <v>1904</v>
      </c>
      <c r="H2162" s="408" t="s">
        <v>1149</v>
      </c>
      <c r="I2162" s="313">
        <v>308.8</v>
      </c>
      <c r="J2162" s="314">
        <v>26.1</v>
      </c>
      <c r="K2162" s="314">
        <v>24.2</v>
      </c>
      <c r="L2162" s="314">
        <f t="shared" si="11"/>
        <v>1.9000000000000021</v>
      </c>
      <c r="M2162" s="316"/>
    </row>
    <row r="2163" spans="1:13" s="317" customFormat="1" ht="26.4" customHeight="1">
      <c r="A2163" s="282">
        <v>12</v>
      </c>
      <c r="B2163" s="533"/>
      <c r="C2163" s="307" t="s">
        <v>2497</v>
      </c>
      <c r="D2163" s="308" t="s">
        <v>2508</v>
      </c>
      <c r="E2163" s="309" t="s">
        <v>2512</v>
      </c>
      <c r="F2163" s="310">
        <v>4394</v>
      </c>
      <c r="G2163" s="311">
        <v>1905</v>
      </c>
      <c r="H2163" s="408" t="s">
        <v>1149</v>
      </c>
      <c r="I2163" s="313">
        <v>137.19999999999999</v>
      </c>
      <c r="J2163" s="314">
        <v>17.8</v>
      </c>
      <c r="K2163" s="314">
        <v>16.399999999999999</v>
      </c>
      <c r="L2163" s="314">
        <f t="shared" si="11"/>
        <v>1.4000000000000021</v>
      </c>
      <c r="M2163" s="316"/>
    </row>
    <row r="2164" spans="1:13" s="317" customFormat="1" ht="26.4" customHeight="1">
      <c r="A2164" s="282">
        <v>13</v>
      </c>
      <c r="B2164" s="533"/>
      <c r="C2164" s="307" t="s">
        <v>2497</v>
      </c>
      <c r="D2164" s="308" t="s">
        <v>2508</v>
      </c>
      <c r="E2164" s="309" t="s">
        <v>2513</v>
      </c>
      <c r="F2164" s="310">
        <v>4395</v>
      </c>
      <c r="G2164" s="311">
        <v>1905</v>
      </c>
      <c r="H2164" s="408" t="s">
        <v>1149</v>
      </c>
      <c r="I2164" s="312">
        <v>332</v>
      </c>
      <c r="J2164" s="314">
        <v>15.5</v>
      </c>
      <c r="K2164" s="314">
        <v>14.3</v>
      </c>
      <c r="L2164" s="314">
        <f t="shared" si="11"/>
        <v>1.1999999999999993</v>
      </c>
      <c r="M2164" s="316"/>
    </row>
    <row r="2165" spans="1:13" s="317" customFormat="1" ht="26.4" customHeight="1">
      <c r="A2165" s="282">
        <v>14</v>
      </c>
      <c r="B2165" s="533"/>
      <c r="C2165" s="307" t="s">
        <v>2497</v>
      </c>
      <c r="D2165" s="308" t="s">
        <v>2508</v>
      </c>
      <c r="E2165" s="309" t="s">
        <v>2514</v>
      </c>
      <c r="F2165" s="310">
        <v>4396</v>
      </c>
      <c r="G2165" s="311">
        <v>1905</v>
      </c>
      <c r="H2165" s="408" t="s">
        <v>1149</v>
      </c>
      <c r="I2165" s="312">
        <v>350</v>
      </c>
      <c r="J2165" s="314">
        <v>187.9</v>
      </c>
      <c r="K2165" s="314">
        <v>161.19999999999999</v>
      </c>
      <c r="L2165" s="314">
        <f t="shared" si="11"/>
        <v>26.700000000000017</v>
      </c>
      <c r="M2165" s="316"/>
    </row>
    <row r="2166" spans="1:13" s="317" customFormat="1" ht="26.4" customHeight="1">
      <c r="A2166" s="282">
        <v>15</v>
      </c>
      <c r="B2166" s="533"/>
      <c r="C2166" s="307" t="s">
        <v>2497</v>
      </c>
      <c r="D2166" s="308" t="s">
        <v>2508</v>
      </c>
      <c r="E2166" s="309" t="s">
        <v>2515</v>
      </c>
      <c r="F2166" s="310">
        <v>4397</v>
      </c>
      <c r="G2166" s="311">
        <v>1905</v>
      </c>
      <c r="H2166" s="408" t="s">
        <v>1149</v>
      </c>
      <c r="I2166" s="313">
        <v>149.1</v>
      </c>
      <c r="J2166" s="314">
        <v>20.3</v>
      </c>
      <c r="K2166" s="314">
        <v>19.100000000000001</v>
      </c>
      <c r="L2166" s="314">
        <f t="shared" si="11"/>
        <v>1.1999999999999993</v>
      </c>
      <c r="M2166" s="316"/>
    </row>
    <row r="2167" spans="1:13" s="317" customFormat="1" ht="26.4" customHeight="1">
      <c r="A2167" s="282">
        <v>16</v>
      </c>
      <c r="B2167" s="533"/>
      <c r="C2167" s="307" t="s">
        <v>2497</v>
      </c>
      <c r="D2167" s="308" t="s">
        <v>2508</v>
      </c>
      <c r="E2167" s="309" t="s">
        <v>2516</v>
      </c>
      <c r="F2167" s="310">
        <v>4399</v>
      </c>
      <c r="G2167" s="311">
        <v>1905</v>
      </c>
      <c r="H2167" s="408" t="s">
        <v>1149</v>
      </c>
      <c r="I2167" s="312">
        <v>66</v>
      </c>
      <c r="J2167" s="314">
        <v>34.1</v>
      </c>
      <c r="K2167" s="314">
        <v>25</v>
      </c>
      <c r="L2167" s="314">
        <f t="shared" si="11"/>
        <v>9.1000000000000014</v>
      </c>
      <c r="M2167" s="316"/>
    </row>
    <row r="2168" spans="1:13" s="317" customFormat="1" ht="26.4" customHeight="1">
      <c r="A2168" s="282">
        <v>17</v>
      </c>
      <c r="B2168" s="533"/>
      <c r="C2168" s="307" t="s">
        <v>2497</v>
      </c>
      <c r="D2168" s="308" t="s">
        <v>2508</v>
      </c>
      <c r="E2168" s="309" t="s">
        <v>2517</v>
      </c>
      <c r="F2168" s="310">
        <v>4647</v>
      </c>
      <c r="G2168" s="311">
        <v>1905</v>
      </c>
      <c r="H2168" s="408" t="s">
        <v>1149</v>
      </c>
      <c r="I2168" s="312">
        <v>36</v>
      </c>
      <c r="J2168" s="314">
        <v>4</v>
      </c>
      <c r="K2168" s="314">
        <v>3.4</v>
      </c>
      <c r="L2168" s="314">
        <f t="shared" si="11"/>
        <v>0.60000000000000009</v>
      </c>
      <c r="M2168" s="316"/>
    </row>
    <row r="2169" spans="1:13" s="317" customFormat="1" ht="26.4" customHeight="1">
      <c r="A2169" s="282">
        <v>18</v>
      </c>
      <c r="B2169" s="533"/>
      <c r="C2169" s="307" t="s">
        <v>2497</v>
      </c>
      <c r="D2169" s="308" t="s">
        <v>2508</v>
      </c>
      <c r="E2169" s="309" t="s">
        <v>2518</v>
      </c>
      <c r="F2169" s="310">
        <v>4648</v>
      </c>
      <c r="G2169" s="311">
        <v>1905</v>
      </c>
      <c r="H2169" s="408" t="s">
        <v>1149</v>
      </c>
      <c r="I2169" s="313">
        <v>125.4</v>
      </c>
      <c r="J2169" s="314">
        <v>6.2</v>
      </c>
      <c r="K2169" s="314">
        <v>5.2</v>
      </c>
      <c r="L2169" s="314">
        <f t="shared" si="11"/>
        <v>1</v>
      </c>
      <c r="M2169" s="316"/>
    </row>
    <row r="2170" spans="1:13" s="317" customFormat="1" ht="26.4" customHeight="1">
      <c r="A2170" s="282">
        <v>19</v>
      </c>
      <c r="B2170" s="533"/>
      <c r="C2170" s="307" t="s">
        <v>2497</v>
      </c>
      <c r="D2170" s="308" t="s">
        <v>2508</v>
      </c>
      <c r="E2170" s="309" t="s">
        <v>2519</v>
      </c>
      <c r="F2170" s="310">
        <v>4713</v>
      </c>
      <c r="G2170" s="311">
        <v>1905</v>
      </c>
      <c r="H2170" s="408" t="s">
        <v>1149</v>
      </c>
      <c r="I2170" s="313">
        <v>10</v>
      </c>
      <c r="J2170" s="314">
        <v>2.9</v>
      </c>
      <c r="K2170" s="314">
        <v>1.8</v>
      </c>
      <c r="L2170" s="314">
        <f t="shared" si="11"/>
        <v>1.0999999999999999</v>
      </c>
      <c r="M2170" s="316"/>
    </row>
    <row r="2171" spans="1:13" s="317" customFormat="1" ht="26.4" customHeight="1">
      <c r="A2171" s="282">
        <v>20</v>
      </c>
      <c r="B2171" s="533"/>
      <c r="C2171" s="307" t="s">
        <v>2497</v>
      </c>
      <c r="D2171" s="308" t="s">
        <v>2508</v>
      </c>
      <c r="E2171" s="309" t="s">
        <v>2520</v>
      </c>
      <c r="F2171" s="310">
        <v>4398</v>
      </c>
      <c r="G2171" s="311">
        <v>1905</v>
      </c>
      <c r="H2171" s="408" t="s">
        <v>1149</v>
      </c>
      <c r="I2171" s="312">
        <v>419</v>
      </c>
      <c r="J2171" s="314">
        <v>250.4</v>
      </c>
      <c r="K2171" s="314">
        <v>227</v>
      </c>
      <c r="L2171" s="314">
        <f t="shared" si="11"/>
        <v>23.400000000000006</v>
      </c>
      <c r="M2171" s="316"/>
    </row>
    <row r="2172" spans="1:13" s="317" customFormat="1" ht="26.4" customHeight="1">
      <c r="A2172" s="282">
        <v>21</v>
      </c>
      <c r="B2172" s="533"/>
      <c r="C2172" s="307" t="s">
        <v>2497</v>
      </c>
      <c r="D2172" s="319" t="s">
        <v>2521</v>
      </c>
      <c r="E2172" s="309" t="s">
        <v>2522</v>
      </c>
      <c r="F2172" s="310">
        <v>4362</v>
      </c>
      <c r="G2172" s="311">
        <v>1905</v>
      </c>
      <c r="H2172" s="408" t="s">
        <v>1149</v>
      </c>
      <c r="I2172" s="312">
        <v>25</v>
      </c>
      <c r="J2172" s="314">
        <v>8.6999999999999993</v>
      </c>
      <c r="K2172" s="314">
        <v>5.8</v>
      </c>
      <c r="L2172" s="314">
        <f t="shared" si="11"/>
        <v>2.8999999999999995</v>
      </c>
      <c r="M2172" s="316"/>
    </row>
    <row r="2173" spans="1:13" s="317" customFormat="1" ht="26.4" customHeight="1">
      <c r="A2173" s="282">
        <v>22</v>
      </c>
      <c r="B2173" s="533"/>
      <c r="C2173" s="307" t="s">
        <v>2497</v>
      </c>
      <c r="D2173" s="308" t="s">
        <v>2523</v>
      </c>
      <c r="E2173" s="309" t="s">
        <v>2524</v>
      </c>
      <c r="F2173" s="310">
        <v>4364</v>
      </c>
      <c r="G2173" s="311">
        <v>1905</v>
      </c>
      <c r="H2173" s="408" t="s">
        <v>1149</v>
      </c>
      <c r="I2173" s="313">
        <v>10.3</v>
      </c>
      <c r="J2173" s="314">
        <v>33.200000000000003</v>
      </c>
      <c r="K2173" s="314">
        <v>26</v>
      </c>
      <c r="L2173" s="314">
        <f t="shared" si="11"/>
        <v>7.2000000000000028</v>
      </c>
      <c r="M2173" s="316"/>
    </row>
    <row r="2174" spans="1:13" s="317" customFormat="1" ht="26.4" customHeight="1">
      <c r="A2174" s="282">
        <v>23</v>
      </c>
      <c r="B2174" s="533"/>
      <c r="C2174" s="308" t="s">
        <v>2525</v>
      </c>
      <c r="D2174" s="307" t="s">
        <v>3</v>
      </c>
      <c r="E2174" s="309" t="s">
        <v>2526</v>
      </c>
      <c r="F2174" s="310">
        <v>4655</v>
      </c>
      <c r="G2174" s="311">
        <v>1905</v>
      </c>
      <c r="H2174" s="408" t="s">
        <v>722</v>
      </c>
      <c r="I2174" s="313">
        <v>6.7</v>
      </c>
      <c r="J2174" s="314">
        <v>10.9</v>
      </c>
      <c r="K2174" s="314">
        <v>9.6999999999999993</v>
      </c>
      <c r="L2174" s="314">
        <f t="shared" si="11"/>
        <v>1.2000000000000011</v>
      </c>
      <c r="M2174" s="316"/>
    </row>
    <row r="2175" spans="1:13" s="317" customFormat="1" ht="26.4" customHeight="1">
      <c r="A2175" s="282">
        <v>24</v>
      </c>
      <c r="B2175" s="533"/>
      <c r="C2175" s="307" t="s">
        <v>2497</v>
      </c>
      <c r="D2175" s="307" t="s">
        <v>2527</v>
      </c>
      <c r="E2175" s="309" t="s">
        <v>2528</v>
      </c>
      <c r="F2175" s="310">
        <v>4404</v>
      </c>
      <c r="G2175" s="311">
        <v>1905</v>
      </c>
      <c r="H2175" s="408" t="s">
        <v>3</v>
      </c>
      <c r="I2175" s="313" t="s">
        <v>3</v>
      </c>
      <c r="J2175" s="314">
        <v>12.4</v>
      </c>
      <c r="K2175" s="314">
        <v>4.7</v>
      </c>
      <c r="L2175" s="314">
        <f t="shared" si="11"/>
        <v>7.7</v>
      </c>
      <c r="M2175" s="316"/>
    </row>
    <row r="2176" spans="1:13" s="317" customFormat="1" ht="26.4" customHeight="1">
      <c r="A2176" s="282">
        <v>25</v>
      </c>
      <c r="B2176" s="533"/>
      <c r="C2176" s="307" t="s">
        <v>2497</v>
      </c>
      <c r="D2176" s="308" t="s">
        <v>2529</v>
      </c>
      <c r="E2176" s="309" t="s">
        <v>2530</v>
      </c>
      <c r="F2176" s="310">
        <v>4336</v>
      </c>
      <c r="G2176" s="311">
        <v>1905</v>
      </c>
      <c r="H2176" s="408" t="s">
        <v>722</v>
      </c>
      <c r="I2176" s="315">
        <v>0.8</v>
      </c>
      <c r="J2176" s="314">
        <v>12.4</v>
      </c>
      <c r="K2176" s="314">
        <v>12.1</v>
      </c>
      <c r="L2176" s="314">
        <f t="shared" si="11"/>
        <v>0.30000000000000071</v>
      </c>
      <c r="M2176" s="316"/>
    </row>
    <row r="2177" spans="1:13" s="317" customFormat="1" ht="26.4" customHeight="1">
      <c r="A2177" s="282">
        <v>26</v>
      </c>
      <c r="B2177" s="533"/>
      <c r="C2177" s="307" t="s">
        <v>2497</v>
      </c>
      <c r="D2177" s="308" t="s">
        <v>2531</v>
      </c>
      <c r="E2177" s="309" t="s">
        <v>2530</v>
      </c>
      <c r="F2177" s="310">
        <v>4337</v>
      </c>
      <c r="G2177" s="311">
        <v>1905</v>
      </c>
      <c r="H2177" s="408" t="s">
        <v>722</v>
      </c>
      <c r="I2177" s="315">
        <v>0.15</v>
      </c>
      <c r="J2177" s="314">
        <v>14.5</v>
      </c>
      <c r="K2177" s="314">
        <v>14.1</v>
      </c>
      <c r="L2177" s="314">
        <f t="shared" si="11"/>
        <v>0.40000000000000036</v>
      </c>
      <c r="M2177" s="316"/>
    </row>
    <row r="2178" spans="1:13" s="317" customFormat="1" ht="26.4" customHeight="1">
      <c r="A2178" s="282">
        <v>27</v>
      </c>
      <c r="B2178" s="533"/>
      <c r="C2178" s="307" t="s">
        <v>2497</v>
      </c>
      <c r="D2178" s="308" t="s">
        <v>2532</v>
      </c>
      <c r="E2178" s="309" t="s">
        <v>2530</v>
      </c>
      <c r="F2178" s="310">
        <v>4309</v>
      </c>
      <c r="G2178" s="311">
        <v>1905</v>
      </c>
      <c r="H2178" s="408" t="s">
        <v>722</v>
      </c>
      <c r="I2178" s="315">
        <v>0.13</v>
      </c>
      <c r="J2178" s="314">
        <v>1.8</v>
      </c>
      <c r="K2178" s="314">
        <v>1.7</v>
      </c>
      <c r="L2178" s="314">
        <f t="shared" si="11"/>
        <v>0.10000000000000009</v>
      </c>
      <c r="M2178" s="316"/>
    </row>
    <row r="2179" spans="1:13" s="317" customFormat="1" ht="26.4" customHeight="1">
      <c r="A2179" s="282">
        <v>28</v>
      </c>
      <c r="B2179" s="533"/>
      <c r="C2179" s="307" t="s">
        <v>2497</v>
      </c>
      <c r="D2179" s="308" t="s">
        <v>2532</v>
      </c>
      <c r="E2179" s="309" t="s">
        <v>2530</v>
      </c>
      <c r="F2179" s="310">
        <v>4408</v>
      </c>
      <c r="G2179" s="311">
        <v>1905</v>
      </c>
      <c r="H2179" s="408" t="s">
        <v>722</v>
      </c>
      <c r="I2179" s="315">
        <v>0.08</v>
      </c>
      <c r="J2179" s="314">
        <v>0.6</v>
      </c>
      <c r="K2179" s="314">
        <v>0.6</v>
      </c>
      <c r="L2179" s="314">
        <f t="shared" si="11"/>
        <v>0</v>
      </c>
      <c r="M2179" s="316"/>
    </row>
    <row r="2180" spans="1:13" s="317" customFormat="1" ht="26.4" customHeight="1">
      <c r="A2180" s="282">
        <v>29</v>
      </c>
      <c r="B2180" s="533"/>
      <c r="C2180" s="307" t="s">
        <v>2497</v>
      </c>
      <c r="D2180" s="308" t="s">
        <v>2533</v>
      </c>
      <c r="E2180" s="309" t="s">
        <v>2530</v>
      </c>
      <c r="F2180" s="310">
        <v>4330</v>
      </c>
      <c r="G2180" s="311">
        <v>1905</v>
      </c>
      <c r="H2180" s="408" t="s">
        <v>722</v>
      </c>
      <c r="I2180" s="315">
        <v>0.39</v>
      </c>
      <c r="J2180" s="314">
        <v>10.199999999999999</v>
      </c>
      <c r="K2180" s="314">
        <v>10.199999999999999</v>
      </c>
      <c r="L2180" s="314">
        <f t="shared" si="11"/>
        <v>0</v>
      </c>
      <c r="M2180" s="316"/>
    </row>
    <row r="2181" spans="1:13" s="317" customFormat="1" ht="26.4" customHeight="1">
      <c r="A2181" s="282">
        <v>30</v>
      </c>
      <c r="B2181" s="533"/>
      <c r="C2181" s="307" t="s">
        <v>2497</v>
      </c>
      <c r="D2181" s="308" t="s">
        <v>2534</v>
      </c>
      <c r="E2181" s="309" t="s">
        <v>2530</v>
      </c>
      <c r="F2181" s="310">
        <v>4335</v>
      </c>
      <c r="G2181" s="311">
        <v>1905</v>
      </c>
      <c r="H2181" s="408" t="s">
        <v>722</v>
      </c>
      <c r="I2181" s="315">
        <v>0.5</v>
      </c>
      <c r="J2181" s="314">
        <v>16.600000000000001</v>
      </c>
      <c r="K2181" s="314">
        <v>16.100000000000001</v>
      </c>
      <c r="L2181" s="314">
        <f t="shared" si="11"/>
        <v>0.5</v>
      </c>
      <c r="M2181" s="316"/>
    </row>
    <row r="2182" spans="1:13" s="317" customFormat="1" ht="26.4" customHeight="1">
      <c r="A2182" s="282">
        <v>31</v>
      </c>
      <c r="B2182" s="533"/>
      <c r="C2182" s="307" t="s">
        <v>2497</v>
      </c>
      <c r="D2182" s="308" t="s">
        <v>2535</v>
      </c>
      <c r="E2182" s="309" t="s">
        <v>2530</v>
      </c>
      <c r="F2182" s="310">
        <v>4432</v>
      </c>
      <c r="G2182" s="311">
        <v>1905</v>
      </c>
      <c r="H2182" s="408" t="s">
        <v>722</v>
      </c>
      <c r="I2182" s="315">
        <v>1.5</v>
      </c>
      <c r="J2182" s="314">
        <v>0.4</v>
      </c>
      <c r="K2182" s="314">
        <v>0.3</v>
      </c>
      <c r="L2182" s="314">
        <f t="shared" si="11"/>
        <v>0.10000000000000003</v>
      </c>
      <c r="M2182" s="316"/>
    </row>
    <row r="2183" spans="1:13" s="317" customFormat="1" ht="26.4" customHeight="1">
      <c r="A2183" s="282">
        <v>32</v>
      </c>
      <c r="B2183" s="533"/>
      <c r="C2183" s="307" t="s">
        <v>2497</v>
      </c>
      <c r="D2183" s="308" t="s">
        <v>2536</v>
      </c>
      <c r="E2183" s="309" t="s">
        <v>2530</v>
      </c>
      <c r="F2183" s="310">
        <v>4332</v>
      </c>
      <c r="G2183" s="311">
        <v>1905</v>
      </c>
      <c r="H2183" s="408" t="s">
        <v>722</v>
      </c>
      <c r="I2183" s="315">
        <v>0.3</v>
      </c>
      <c r="J2183" s="314">
        <v>13.4</v>
      </c>
      <c r="K2183" s="314">
        <v>13.4</v>
      </c>
      <c r="L2183" s="314">
        <f t="shared" si="11"/>
        <v>0</v>
      </c>
      <c r="M2183" s="316"/>
    </row>
    <row r="2184" spans="1:13" s="317" customFormat="1" ht="26.4" customHeight="1">
      <c r="A2184" s="282">
        <v>33</v>
      </c>
      <c r="B2184" s="533"/>
      <c r="C2184" s="307" t="s">
        <v>2497</v>
      </c>
      <c r="D2184" s="308" t="s">
        <v>2537</v>
      </c>
      <c r="E2184" s="309" t="s">
        <v>2530</v>
      </c>
      <c r="F2184" s="310">
        <v>4333</v>
      </c>
      <c r="G2184" s="311">
        <v>1905</v>
      </c>
      <c r="H2184" s="408" t="s">
        <v>722</v>
      </c>
      <c r="I2184" s="315">
        <v>0.25</v>
      </c>
      <c r="J2184" s="314">
        <v>7.4</v>
      </c>
      <c r="K2184" s="314">
        <v>7.4</v>
      </c>
      <c r="L2184" s="314">
        <f t="shared" si="11"/>
        <v>0</v>
      </c>
      <c r="M2184" s="316"/>
    </row>
    <row r="2185" spans="1:13" s="317" customFormat="1" ht="26.4" customHeight="1">
      <c r="A2185" s="282">
        <v>34</v>
      </c>
      <c r="B2185" s="533"/>
      <c r="C2185" s="307" t="s">
        <v>2497</v>
      </c>
      <c r="D2185" s="308" t="s">
        <v>2538</v>
      </c>
      <c r="E2185" s="309" t="s">
        <v>2530</v>
      </c>
      <c r="F2185" s="310">
        <v>4334</v>
      </c>
      <c r="G2185" s="311">
        <v>1905</v>
      </c>
      <c r="H2185" s="408" t="s">
        <v>722</v>
      </c>
      <c r="I2185" s="315">
        <v>0.4</v>
      </c>
      <c r="J2185" s="314">
        <v>10</v>
      </c>
      <c r="K2185" s="314">
        <v>9.6999999999999993</v>
      </c>
      <c r="L2185" s="314">
        <f t="shared" si="11"/>
        <v>0.30000000000000071</v>
      </c>
      <c r="M2185" s="316"/>
    </row>
    <row r="2186" spans="1:13" s="317" customFormat="1" ht="26.4" customHeight="1">
      <c r="A2186" s="282">
        <v>35</v>
      </c>
      <c r="B2186" s="533"/>
      <c r="C2186" s="307" t="s">
        <v>2497</v>
      </c>
      <c r="D2186" s="308" t="s">
        <v>2539</v>
      </c>
      <c r="E2186" s="309" t="s">
        <v>2530</v>
      </c>
      <c r="F2186" s="310">
        <v>4331</v>
      </c>
      <c r="G2186" s="311">
        <v>1905</v>
      </c>
      <c r="H2186" s="408" t="s">
        <v>722</v>
      </c>
      <c r="I2186" s="313">
        <v>0.85</v>
      </c>
      <c r="J2186" s="314">
        <v>27</v>
      </c>
      <c r="K2186" s="314">
        <v>25.8</v>
      </c>
      <c r="L2186" s="314">
        <f t="shared" si="11"/>
        <v>1.1999999999999993</v>
      </c>
      <c r="M2186" s="316"/>
    </row>
    <row r="2187" spans="1:13" s="317" customFormat="1" ht="26.4" customHeight="1">
      <c r="A2187" s="282">
        <v>36</v>
      </c>
      <c r="B2187" s="533"/>
      <c r="C2187" s="307" t="s">
        <v>2497</v>
      </c>
      <c r="D2187" s="308" t="s">
        <v>2540</v>
      </c>
      <c r="E2187" s="309" t="s">
        <v>2530</v>
      </c>
      <c r="F2187" s="310">
        <v>4329</v>
      </c>
      <c r="G2187" s="311">
        <v>1905</v>
      </c>
      <c r="H2187" s="408" t="s">
        <v>722</v>
      </c>
      <c r="I2187" s="315">
        <v>0.35</v>
      </c>
      <c r="J2187" s="314">
        <v>7.8</v>
      </c>
      <c r="K2187" s="314">
        <v>7.8</v>
      </c>
      <c r="L2187" s="314">
        <f t="shared" si="11"/>
        <v>0</v>
      </c>
      <c r="M2187" s="316"/>
    </row>
    <row r="2188" spans="1:13" s="317" customFormat="1" ht="26.4" customHeight="1">
      <c r="A2188" s="282">
        <v>37</v>
      </c>
      <c r="B2188" s="533"/>
      <c r="C2188" s="307" t="s">
        <v>2497</v>
      </c>
      <c r="D2188" s="308" t="s">
        <v>2541</v>
      </c>
      <c r="E2188" s="309" t="s">
        <v>2530</v>
      </c>
      <c r="F2188" s="310">
        <v>4305</v>
      </c>
      <c r="G2188" s="311">
        <v>1905</v>
      </c>
      <c r="H2188" s="408" t="s">
        <v>722</v>
      </c>
      <c r="I2188" s="315">
        <v>0.9</v>
      </c>
      <c r="J2188" s="314">
        <v>16.600000000000001</v>
      </c>
      <c r="K2188" s="314">
        <v>16.600000000000001</v>
      </c>
      <c r="L2188" s="314">
        <f t="shared" si="11"/>
        <v>0</v>
      </c>
      <c r="M2188" s="316"/>
    </row>
    <row r="2189" spans="1:13" s="317" customFormat="1" ht="26.4" customHeight="1">
      <c r="A2189" s="282">
        <v>38</v>
      </c>
      <c r="B2189" s="533"/>
      <c r="C2189" s="307" t="s">
        <v>2497</v>
      </c>
      <c r="D2189" s="308" t="s">
        <v>2542</v>
      </c>
      <c r="E2189" s="309" t="s">
        <v>2530</v>
      </c>
      <c r="F2189" s="310">
        <v>4328</v>
      </c>
      <c r="G2189" s="311">
        <v>1905</v>
      </c>
      <c r="H2189" s="408" t="s">
        <v>722</v>
      </c>
      <c r="I2189" s="315">
        <v>0.4</v>
      </c>
      <c r="J2189" s="314">
        <v>7.1</v>
      </c>
      <c r="K2189" s="314">
        <v>7.1</v>
      </c>
      <c r="L2189" s="314">
        <f t="shared" si="11"/>
        <v>0</v>
      </c>
      <c r="M2189" s="316"/>
    </row>
    <row r="2190" spans="1:13" s="317" customFormat="1" ht="26.4" customHeight="1">
      <c r="A2190" s="282">
        <v>39</v>
      </c>
      <c r="B2190" s="533"/>
      <c r="C2190" s="307" t="s">
        <v>2497</v>
      </c>
      <c r="D2190" s="308" t="s">
        <v>2543</v>
      </c>
      <c r="E2190" s="309" t="s">
        <v>2530</v>
      </c>
      <c r="F2190" s="310">
        <v>4327</v>
      </c>
      <c r="G2190" s="320" t="s">
        <v>2544</v>
      </c>
      <c r="H2190" s="408" t="s">
        <v>722</v>
      </c>
      <c r="I2190" s="313">
        <v>0.5</v>
      </c>
      <c r="J2190" s="314">
        <v>9.8000000000000007</v>
      </c>
      <c r="K2190" s="314">
        <v>9.8000000000000007</v>
      </c>
      <c r="L2190" s="314">
        <f t="shared" si="11"/>
        <v>0</v>
      </c>
      <c r="M2190" s="316"/>
    </row>
    <row r="2191" spans="1:13" s="317" customFormat="1" ht="26.4" customHeight="1">
      <c r="A2191" s="282">
        <v>40</v>
      </c>
      <c r="B2191" s="533"/>
      <c r="C2191" s="307" t="s">
        <v>2497</v>
      </c>
      <c r="D2191" s="308" t="s">
        <v>2545</v>
      </c>
      <c r="E2191" s="309" t="s">
        <v>2530</v>
      </c>
      <c r="F2191" s="310">
        <v>4324</v>
      </c>
      <c r="G2191" s="311">
        <v>1905</v>
      </c>
      <c r="H2191" s="408" t="s">
        <v>722</v>
      </c>
      <c r="I2191" s="315">
        <v>0.6</v>
      </c>
      <c r="J2191" s="314">
        <v>17.100000000000001</v>
      </c>
      <c r="K2191" s="314">
        <v>14</v>
      </c>
      <c r="L2191" s="314">
        <f t="shared" si="11"/>
        <v>3.1000000000000014</v>
      </c>
      <c r="M2191" s="316"/>
    </row>
    <row r="2192" spans="1:13" s="317" customFormat="1" ht="26.4" customHeight="1">
      <c r="A2192" s="282">
        <v>41</v>
      </c>
      <c r="B2192" s="533"/>
      <c r="C2192" s="307" t="s">
        <v>2497</v>
      </c>
      <c r="D2192" s="308" t="s">
        <v>2546</v>
      </c>
      <c r="E2192" s="309" t="s">
        <v>2530</v>
      </c>
      <c r="F2192" s="310">
        <v>4325</v>
      </c>
      <c r="G2192" s="311">
        <v>1905</v>
      </c>
      <c r="H2192" s="408" t="s">
        <v>722</v>
      </c>
      <c r="I2192" s="315">
        <v>0.25</v>
      </c>
      <c r="J2192" s="314">
        <v>47.9</v>
      </c>
      <c r="K2192" s="314">
        <v>46.6</v>
      </c>
      <c r="L2192" s="314">
        <f t="shared" si="11"/>
        <v>1.2999999999999972</v>
      </c>
      <c r="M2192" s="316"/>
    </row>
    <row r="2193" spans="1:13" s="317" customFormat="1" ht="26.4" customHeight="1">
      <c r="A2193" s="282">
        <v>42</v>
      </c>
      <c r="B2193" s="533"/>
      <c r="C2193" s="307" t="s">
        <v>2497</v>
      </c>
      <c r="D2193" s="308" t="s">
        <v>2547</v>
      </c>
      <c r="E2193" s="309" t="s">
        <v>2530</v>
      </c>
      <c r="F2193" s="310">
        <v>4326</v>
      </c>
      <c r="G2193" s="311">
        <v>1905</v>
      </c>
      <c r="H2193" s="408" t="s">
        <v>722</v>
      </c>
      <c r="I2193" s="315">
        <v>0.6</v>
      </c>
      <c r="J2193" s="314">
        <v>12.4</v>
      </c>
      <c r="K2193" s="314">
        <v>12.1</v>
      </c>
      <c r="L2193" s="314">
        <f t="shared" si="11"/>
        <v>0.30000000000000071</v>
      </c>
      <c r="M2193" s="316"/>
    </row>
    <row r="2194" spans="1:13" s="317" customFormat="1" ht="26.4" customHeight="1">
      <c r="A2194" s="282">
        <v>43</v>
      </c>
      <c r="B2194" s="533"/>
      <c r="C2194" s="307" t="s">
        <v>2497</v>
      </c>
      <c r="D2194" s="308" t="s">
        <v>2548</v>
      </c>
      <c r="E2194" s="309" t="s">
        <v>2530</v>
      </c>
      <c r="F2194" s="310">
        <v>4344</v>
      </c>
      <c r="G2194" s="311">
        <v>1905</v>
      </c>
      <c r="H2194" s="408" t="s">
        <v>722</v>
      </c>
      <c r="I2194" s="315">
        <v>2.37</v>
      </c>
      <c r="J2194" s="314">
        <v>34.700000000000003</v>
      </c>
      <c r="K2194" s="314">
        <v>33.6</v>
      </c>
      <c r="L2194" s="314">
        <f t="shared" si="11"/>
        <v>1.1000000000000014</v>
      </c>
      <c r="M2194" s="316"/>
    </row>
    <row r="2195" spans="1:13" s="317" customFormat="1" ht="26.4" customHeight="1">
      <c r="A2195" s="282">
        <v>44</v>
      </c>
      <c r="B2195" s="533"/>
      <c r="C2195" s="307" t="s">
        <v>2497</v>
      </c>
      <c r="D2195" s="308" t="s">
        <v>2549</v>
      </c>
      <c r="E2195" s="309" t="s">
        <v>2530</v>
      </c>
      <c r="F2195" s="310">
        <v>4306</v>
      </c>
      <c r="G2195" s="311">
        <v>1905</v>
      </c>
      <c r="H2195" s="408" t="s">
        <v>722</v>
      </c>
      <c r="I2195" s="315">
        <v>0.84</v>
      </c>
      <c r="J2195" s="314">
        <v>17.2</v>
      </c>
      <c r="K2195" s="314">
        <v>16.7</v>
      </c>
      <c r="L2195" s="314">
        <f t="shared" si="11"/>
        <v>0.5</v>
      </c>
      <c r="M2195" s="316"/>
    </row>
    <row r="2196" spans="1:13" s="317" customFormat="1" ht="26.4" customHeight="1">
      <c r="A2196" s="282">
        <v>45</v>
      </c>
      <c r="B2196" s="533"/>
      <c r="C2196" s="307" t="s">
        <v>2497</v>
      </c>
      <c r="D2196" s="307" t="s">
        <v>2550</v>
      </c>
      <c r="E2196" s="309" t="s">
        <v>2530</v>
      </c>
      <c r="F2196" s="310">
        <v>4317</v>
      </c>
      <c r="G2196" s="311">
        <v>1905</v>
      </c>
      <c r="H2196" s="408" t="s">
        <v>722</v>
      </c>
      <c r="I2196" s="315">
        <v>0.05</v>
      </c>
      <c r="J2196" s="314">
        <v>12.2</v>
      </c>
      <c r="K2196" s="314">
        <v>11</v>
      </c>
      <c r="L2196" s="314">
        <f t="shared" si="11"/>
        <v>1.1999999999999993</v>
      </c>
      <c r="M2196" s="316"/>
    </row>
    <row r="2197" spans="1:13" s="317" customFormat="1" ht="26.4" customHeight="1">
      <c r="A2197" s="282">
        <v>46</v>
      </c>
      <c r="B2197" s="533"/>
      <c r="C2197" s="307" t="s">
        <v>2497</v>
      </c>
      <c r="D2197" s="307" t="s">
        <v>2551</v>
      </c>
      <c r="E2197" s="309" t="s">
        <v>2530</v>
      </c>
      <c r="F2197" s="310">
        <v>4323</v>
      </c>
      <c r="G2197" s="311">
        <v>1905</v>
      </c>
      <c r="H2197" s="408" t="s">
        <v>722</v>
      </c>
      <c r="I2197" s="313">
        <v>0.1</v>
      </c>
      <c r="J2197" s="314">
        <v>13.2</v>
      </c>
      <c r="K2197" s="314">
        <v>12.8</v>
      </c>
      <c r="L2197" s="314">
        <f t="shared" si="11"/>
        <v>0.39999999999999858</v>
      </c>
      <c r="M2197" s="316"/>
    </row>
    <row r="2198" spans="1:13" s="317" customFormat="1" ht="26.4" customHeight="1">
      <c r="A2198" s="282">
        <v>47</v>
      </c>
      <c r="B2198" s="533"/>
      <c r="C2198" s="307" t="s">
        <v>2497</v>
      </c>
      <c r="D2198" s="307" t="s">
        <v>2552</v>
      </c>
      <c r="E2198" s="309" t="s">
        <v>2530</v>
      </c>
      <c r="F2198" s="310">
        <v>4321</v>
      </c>
      <c r="G2198" s="311">
        <v>1905</v>
      </c>
      <c r="H2198" s="408" t="s">
        <v>722</v>
      </c>
      <c r="I2198" s="313">
        <v>0.3</v>
      </c>
      <c r="J2198" s="314">
        <v>11.8</v>
      </c>
      <c r="K2198" s="314">
        <v>9.5</v>
      </c>
      <c r="L2198" s="314">
        <f t="shared" si="11"/>
        <v>2.3000000000000007</v>
      </c>
      <c r="M2198" s="316"/>
    </row>
    <row r="2199" spans="1:13" s="317" customFormat="1" ht="26.4" customHeight="1">
      <c r="A2199" s="282">
        <v>48</v>
      </c>
      <c r="B2199" s="533"/>
      <c r="C2199" s="307" t="s">
        <v>2497</v>
      </c>
      <c r="D2199" s="307" t="s">
        <v>2553</v>
      </c>
      <c r="E2199" s="309" t="s">
        <v>2530</v>
      </c>
      <c r="F2199" s="310">
        <v>4348</v>
      </c>
      <c r="G2199" s="320" t="s">
        <v>2554</v>
      </c>
      <c r="H2199" s="408" t="s">
        <v>722</v>
      </c>
      <c r="I2199" s="313">
        <v>1.3</v>
      </c>
      <c r="J2199" s="314">
        <v>229.2</v>
      </c>
      <c r="K2199" s="314">
        <v>0.7</v>
      </c>
      <c r="L2199" s="314">
        <f t="shared" si="11"/>
        <v>228.5</v>
      </c>
      <c r="M2199" s="316"/>
    </row>
    <row r="2200" spans="1:13" s="317" customFormat="1" ht="26.4" customHeight="1">
      <c r="A2200" s="282">
        <v>49</v>
      </c>
      <c r="B2200" s="533"/>
      <c r="C2200" s="307" t="s">
        <v>2497</v>
      </c>
      <c r="D2200" s="307" t="s">
        <v>2555</v>
      </c>
      <c r="E2200" s="309" t="s">
        <v>2530</v>
      </c>
      <c r="F2200" s="310">
        <v>4307</v>
      </c>
      <c r="G2200" s="311">
        <v>1905</v>
      </c>
      <c r="H2200" s="408" t="s">
        <v>722</v>
      </c>
      <c r="I2200" s="313">
        <v>0.2</v>
      </c>
      <c r="J2200" s="314">
        <v>11.5</v>
      </c>
      <c r="K2200" s="314">
        <v>11.2</v>
      </c>
      <c r="L2200" s="314">
        <f t="shared" si="11"/>
        <v>0.30000000000000071</v>
      </c>
      <c r="M2200" s="316"/>
    </row>
    <row r="2201" spans="1:13" s="317" customFormat="1" ht="26.4" customHeight="1">
      <c r="A2201" s="282">
        <v>50</v>
      </c>
      <c r="B2201" s="533"/>
      <c r="C2201" s="307" t="s">
        <v>2497</v>
      </c>
      <c r="D2201" s="307" t="s">
        <v>2556</v>
      </c>
      <c r="E2201" s="309" t="s">
        <v>2530</v>
      </c>
      <c r="F2201" s="310">
        <v>4315</v>
      </c>
      <c r="G2201" s="311">
        <v>1905</v>
      </c>
      <c r="H2201" s="408" t="s">
        <v>722</v>
      </c>
      <c r="I2201" s="313">
        <v>1.1499999999999999</v>
      </c>
      <c r="J2201" s="314">
        <v>38.700000000000003</v>
      </c>
      <c r="K2201" s="314">
        <v>30</v>
      </c>
      <c r="L2201" s="314">
        <f t="shared" si="11"/>
        <v>8.7000000000000028</v>
      </c>
      <c r="M2201" s="316"/>
    </row>
    <row r="2202" spans="1:13" s="317" customFormat="1" ht="26.4" customHeight="1">
      <c r="A2202" s="282">
        <v>51</v>
      </c>
      <c r="B2202" s="533"/>
      <c r="C2202" s="307" t="s">
        <v>2497</v>
      </c>
      <c r="D2202" s="307" t="s">
        <v>2557</v>
      </c>
      <c r="E2202" s="309" t="s">
        <v>2530</v>
      </c>
      <c r="F2202" s="310">
        <v>4320</v>
      </c>
      <c r="G2202" s="311">
        <v>1905</v>
      </c>
      <c r="H2202" s="408" t="s">
        <v>722</v>
      </c>
      <c r="I2202" s="313">
        <v>0.74</v>
      </c>
      <c r="J2202" s="314">
        <v>18.3</v>
      </c>
      <c r="K2202" s="314">
        <v>16</v>
      </c>
      <c r="L2202" s="314">
        <f t="shared" si="11"/>
        <v>2.3000000000000007</v>
      </c>
      <c r="M2202" s="316"/>
    </row>
    <row r="2203" spans="1:13" s="317" customFormat="1" ht="26.4" customHeight="1">
      <c r="A2203" s="282">
        <v>52</v>
      </c>
      <c r="B2203" s="533"/>
      <c r="C2203" s="307" t="s">
        <v>2497</v>
      </c>
      <c r="D2203" s="307" t="s">
        <v>2558</v>
      </c>
      <c r="E2203" s="309" t="s">
        <v>2530</v>
      </c>
      <c r="F2203" s="310">
        <v>4319</v>
      </c>
      <c r="G2203" s="320" t="s">
        <v>2559</v>
      </c>
      <c r="H2203" s="408" t="s">
        <v>722</v>
      </c>
      <c r="I2203" s="313">
        <v>1</v>
      </c>
      <c r="J2203" s="314">
        <v>13.2</v>
      </c>
      <c r="K2203" s="314">
        <v>12.8</v>
      </c>
      <c r="L2203" s="314">
        <f t="shared" si="11"/>
        <v>0.39999999999999858</v>
      </c>
      <c r="M2203" s="316"/>
    </row>
    <row r="2204" spans="1:13" s="317" customFormat="1" ht="26.4" customHeight="1">
      <c r="A2204" s="282">
        <v>53</v>
      </c>
      <c r="B2204" s="533"/>
      <c r="C2204" s="307" t="s">
        <v>2497</v>
      </c>
      <c r="D2204" s="307" t="s">
        <v>2560</v>
      </c>
      <c r="E2204" s="309" t="s">
        <v>2530</v>
      </c>
      <c r="F2204" s="310">
        <v>4314</v>
      </c>
      <c r="G2204" s="311">
        <v>1905</v>
      </c>
      <c r="H2204" s="408" t="s">
        <v>722</v>
      </c>
      <c r="I2204" s="315">
        <v>0.4</v>
      </c>
      <c r="J2204" s="314">
        <v>9</v>
      </c>
      <c r="K2204" s="314">
        <v>8.6999999999999993</v>
      </c>
      <c r="L2204" s="314">
        <f t="shared" si="11"/>
        <v>0.30000000000000071</v>
      </c>
      <c r="M2204" s="316"/>
    </row>
    <row r="2205" spans="1:13" s="317" customFormat="1" ht="26.4" customHeight="1">
      <c r="A2205" s="282">
        <v>54</v>
      </c>
      <c r="B2205" s="533"/>
      <c r="C2205" s="307" t="s">
        <v>2497</v>
      </c>
      <c r="D2205" s="307" t="s">
        <v>2561</v>
      </c>
      <c r="E2205" s="309" t="s">
        <v>2530</v>
      </c>
      <c r="F2205" s="310">
        <v>4343</v>
      </c>
      <c r="G2205" s="311">
        <v>1905</v>
      </c>
      <c r="H2205" s="408" t="s">
        <v>722</v>
      </c>
      <c r="I2205" s="315">
        <v>2.2999999999999998</v>
      </c>
      <c r="J2205" s="314">
        <v>35.200000000000003</v>
      </c>
      <c r="K2205" s="314">
        <v>34.1</v>
      </c>
      <c r="L2205" s="314">
        <f t="shared" si="11"/>
        <v>1.1000000000000014</v>
      </c>
      <c r="M2205" s="316"/>
    </row>
    <row r="2206" spans="1:13" s="317" customFormat="1" ht="26.4" customHeight="1">
      <c r="A2206" s="282">
        <v>55</v>
      </c>
      <c r="B2206" s="533"/>
      <c r="C2206" s="307" t="s">
        <v>2497</v>
      </c>
      <c r="D2206" s="307" t="s">
        <v>2562</v>
      </c>
      <c r="E2206" s="309" t="s">
        <v>2530</v>
      </c>
      <c r="F2206" s="310">
        <v>4349</v>
      </c>
      <c r="G2206" s="311">
        <v>1905</v>
      </c>
      <c r="H2206" s="408" t="s">
        <v>722</v>
      </c>
      <c r="I2206" s="315">
        <v>0.35</v>
      </c>
      <c r="J2206" s="314">
        <v>55.8</v>
      </c>
      <c r="K2206" s="314">
        <v>49.5</v>
      </c>
      <c r="L2206" s="314">
        <f t="shared" si="11"/>
        <v>6.2999999999999972</v>
      </c>
      <c r="M2206" s="316"/>
    </row>
    <row r="2207" spans="1:13" s="317" customFormat="1" ht="26.4" customHeight="1">
      <c r="A2207" s="282">
        <v>56</v>
      </c>
      <c r="B2207" s="533"/>
      <c r="C2207" s="307" t="s">
        <v>2497</v>
      </c>
      <c r="D2207" s="307" t="s">
        <v>2562</v>
      </c>
      <c r="E2207" s="309" t="s">
        <v>2530</v>
      </c>
      <c r="F2207" s="310">
        <v>4340</v>
      </c>
      <c r="G2207" s="311">
        <v>1905</v>
      </c>
      <c r="H2207" s="408" t="s">
        <v>722</v>
      </c>
      <c r="I2207" s="315">
        <v>7.1</v>
      </c>
      <c r="J2207" s="314">
        <v>105.5</v>
      </c>
      <c r="K2207" s="314">
        <v>105.5</v>
      </c>
      <c r="L2207" s="314">
        <f t="shared" si="11"/>
        <v>0</v>
      </c>
      <c r="M2207" s="316"/>
    </row>
    <row r="2208" spans="1:13" s="317" customFormat="1" ht="26.4" customHeight="1">
      <c r="A2208" s="282">
        <v>57</v>
      </c>
      <c r="B2208" s="533"/>
      <c r="C2208" s="307" t="s">
        <v>2497</v>
      </c>
      <c r="D2208" s="307" t="s">
        <v>2563</v>
      </c>
      <c r="E2208" s="309" t="s">
        <v>2530</v>
      </c>
      <c r="F2208" s="310">
        <v>4342</v>
      </c>
      <c r="G2208" s="320" t="s">
        <v>2564</v>
      </c>
      <c r="H2208" s="408" t="s">
        <v>722</v>
      </c>
      <c r="I2208" s="313">
        <v>2.1</v>
      </c>
      <c r="J2208" s="314">
        <v>57.3</v>
      </c>
      <c r="K2208" s="314">
        <v>46.1</v>
      </c>
      <c r="L2208" s="314">
        <f t="shared" si="11"/>
        <v>11.199999999999996</v>
      </c>
      <c r="M2208" s="316"/>
    </row>
    <row r="2209" spans="1:13" s="317" customFormat="1" ht="26.4" customHeight="1">
      <c r="A2209" s="282">
        <v>58</v>
      </c>
      <c r="B2209" s="533"/>
      <c r="C2209" s="307" t="s">
        <v>2497</v>
      </c>
      <c r="D2209" s="307" t="s">
        <v>2565</v>
      </c>
      <c r="E2209" s="309" t="s">
        <v>2530</v>
      </c>
      <c r="F2209" s="310">
        <v>4310</v>
      </c>
      <c r="G2209" s="311">
        <v>1905</v>
      </c>
      <c r="H2209" s="408" t="s">
        <v>722</v>
      </c>
      <c r="I2209" s="315">
        <v>0.56000000000000005</v>
      </c>
      <c r="J2209" s="314">
        <v>3.6</v>
      </c>
      <c r="K2209" s="314">
        <v>3.2</v>
      </c>
      <c r="L2209" s="314">
        <f t="shared" si="11"/>
        <v>0.39999999999999991</v>
      </c>
      <c r="M2209" s="316"/>
    </row>
    <row r="2210" spans="1:13" s="317" customFormat="1" ht="26.4" customHeight="1">
      <c r="A2210" s="282">
        <v>59</v>
      </c>
      <c r="B2210" s="533"/>
      <c r="C2210" s="307" t="s">
        <v>2497</v>
      </c>
      <c r="D2210" s="307" t="s">
        <v>2566</v>
      </c>
      <c r="E2210" s="309" t="s">
        <v>2530</v>
      </c>
      <c r="F2210" s="310">
        <v>4304</v>
      </c>
      <c r="G2210" s="311">
        <v>1905</v>
      </c>
      <c r="H2210" s="408" t="s">
        <v>722</v>
      </c>
      <c r="I2210" s="313">
        <v>0.25</v>
      </c>
      <c r="J2210" s="314">
        <v>10.7</v>
      </c>
      <c r="K2210" s="314">
        <v>9.5</v>
      </c>
      <c r="L2210" s="314">
        <f t="shared" si="11"/>
        <v>1.1999999999999993</v>
      </c>
      <c r="M2210" s="316"/>
    </row>
    <row r="2211" spans="1:13" s="317" customFormat="1" ht="26.4" customHeight="1">
      <c r="A2211" s="282">
        <v>60</v>
      </c>
      <c r="B2211" s="533"/>
      <c r="C2211" s="307" t="s">
        <v>2497</v>
      </c>
      <c r="D2211" s="307" t="s">
        <v>2567</v>
      </c>
      <c r="E2211" s="309" t="s">
        <v>2530</v>
      </c>
      <c r="F2211" s="310">
        <v>4341</v>
      </c>
      <c r="G2211" s="311">
        <v>1905</v>
      </c>
      <c r="H2211" s="408" t="s">
        <v>722</v>
      </c>
      <c r="I2211" s="315">
        <v>2</v>
      </c>
      <c r="J2211" s="314">
        <v>36.299999999999997</v>
      </c>
      <c r="K2211" s="314">
        <v>36.299999999999997</v>
      </c>
      <c r="L2211" s="314">
        <f t="shared" si="11"/>
        <v>0</v>
      </c>
      <c r="M2211" s="316"/>
    </row>
    <row r="2212" spans="1:13" s="317" customFormat="1" ht="26.4" customHeight="1">
      <c r="A2212" s="282">
        <v>61</v>
      </c>
      <c r="B2212" s="533"/>
      <c r="C2212" s="307" t="s">
        <v>2497</v>
      </c>
      <c r="D2212" s="307" t="s">
        <v>2568</v>
      </c>
      <c r="E2212" s="309" t="s">
        <v>2530</v>
      </c>
      <c r="F2212" s="310">
        <v>4339</v>
      </c>
      <c r="G2212" s="320" t="s">
        <v>2569</v>
      </c>
      <c r="H2212" s="408" t="s">
        <v>722</v>
      </c>
      <c r="I2212" s="313">
        <v>1.8</v>
      </c>
      <c r="J2212" s="314">
        <v>34</v>
      </c>
      <c r="K2212" s="314">
        <v>34</v>
      </c>
      <c r="L2212" s="314">
        <f t="shared" si="11"/>
        <v>0</v>
      </c>
      <c r="M2212" s="316"/>
    </row>
    <row r="2213" spans="1:13" s="317" customFormat="1" ht="26.4" customHeight="1">
      <c r="A2213" s="282">
        <v>62</v>
      </c>
      <c r="B2213" s="533"/>
      <c r="C2213" s="307" t="s">
        <v>2497</v>
      </c>
      <c r="D2213" s="307" t="s">
        <v>2570</v>
      </c>
      <c r="E2213" s="309" t="s">
        <v>2530</v>
      </c>
      <c r="F2213" s="310">
        <v>4346</v>
      </c>
      <c r="G2213" s="311">
        <v>1905</v>
      </c>
      <c r="H2213" s="408" t="s">
        <v>722</v>
      </c>
      <c r="I2213" s="315">
        <v>0.5</v>
      </c>
      <c r="J2213" s="314">
        <v>247.5</v>
      </c>
      <c r="K2213" s="314">
        <v>240.8</v>
      </c>
      <c r="L2213" s="314">
        <f t="shared" si="11"/>
        <v>6.6999999999999886</v>
      </c>
      <c r="M2213" s="316"/>
    </row>
    <row r="2214" spans="1:13" s="317" customFormat="1" ht="26.4" customHeight="1">
      <c r="A2214" s="282">
        <v>63</v>
      </c>
      <c r="B2214" s="533"/>
      <c r="C2214" s="307" t="s">
        <v>2497</v>
      </c>
      <c r="D2214" s="307" t="s">
        <v>2571</v>
      </c>
      <c r="E2214" s="309" t="s">
        <v>2530</v>
      </c>
      <c r="F2214" s="310">
        <v>4313</v>
      </c>
      <c r="G2214" s="311">
        <v>1905</v>
      </c>
      <c r="H2214" s="408" t="s">
        <v>722</v>
      </c>
      <c r="I2214" s="315">
        <v>1.5</v>
      </c>
      <c r="J2214" s="314">
        <v>7.2</v>
      </c>
      <c r="K2214" s="314">
        <v>7.2</v>
      </c>
      <c r="L2214" s="314">
        <f t="shared" si="11"/>
        <v>0</v>
      </c>
      <c r="M2214" s="316"/>
    </row>
    <row r="2215" spans="1:13" s="317" customFormat="1" ht="26.4" customHeight="1">
      <c r="A2215" s="282">
        <v>64</v>
      </c>
      <c r="B2215" s="533"/>
      <c r="C2215" s="307" t="s">
        <v>2497</v>
      </c>
      <c r="D2215" s="307" t="s">
        <v>2572</v>
      </c>
      <c r="E2215" s="309" t="s">
        <v>2530</v>
      </c>
      <c r="F2215" s="310">
        <v>4318</v>
      </c>
      <c r="G2215" s="311">
        <v>1905</v>
      </c>
      <c r="H2215" s="408" t="s">
        <v>722</v>
      </c>
      <c r="I2215" s="315">
        <v>0.4</v>
      </c>
      <c r="J2215" s="314">
        <v>9.6</v>
      </c>
      <c r="K2215" s="314">
        <v>8.4</v>
      </c>
      <c r="L2215" s="314">
        <f t="shared" si="11"/>
        <v>1.1999999999999993</v>
      </c>
      <c r="M2215" s="316"/>
    </row>
    <row r="2216" spans="1:13" s="317" customFormat="1" ht="26.4" customHeight="1">
      <c r="A2216" s="282">
        <v>65</v>
      </c>
      <c r="B2216" s="533"/>
      <c r="C2216" s="307" t="s">
        <v>2497</v>
      </c>
      <c r="D2216" s="307" t="s">
        <v>2573</v>
      </c>
      <c r="E2216" s="309" t="s">
        <v>2530</v>
      </c>
      <c r="F2216" s="310">
        <v>4308</v>
      </c>
      <c r="G2216" s="311">
        <v>1905</v>
      </c>
      <c r="H2216" s="408" t="s">
        <v>722</v>
      </c>
      <c r="I2216" s="315">
        <v>0.3</v>
      </c>
      <c r="J2216" s="314">
        <v>9.1</v>
      </c>
      <c r="K2216" s="314">
        <v>8</v>
      </c>
      <c r="L2216" s="314">
        <f t="shared" ref="L2216:L2279" si="12">J2216-K2216</f>
        <v>1.0999999999999996</v>
      </c>
      <c r="M2216" s="316"/>
    </row>
    <row r="2217" spans="1:13" s="317" customFormat="1" ht="26.4" customHeight="1">
      <c r="A2217" s="282">
        <v>66</v>
      </c>
      <c r="B2217" s="533"/>
      <c r="C2217" s="307" t="s">
        <v>2497</v>
      </c>
      <c r="D2217" s="307" t="s">
        <v>2574</v>
      </c>
      <c r="E2217" s="309" t="s">
        <v>2530</v>
      </c>
      <c r="F2217" s="310">
        <v>4345</v>
      </c>
      <c r="G2217" s="320" t="s">
        <v>2575</v>
      </c>
      <c r="H2217" s="408" t="s">
        <v>722</v>
      </c>
      <c r="I2217" s="313">
        <v>1.81</v>
      </c>
      <c r="J2217" s="314">
        <v>17.7</v>
      </c>
      <c r="K2217" s="314">
        <v>17.7</v>
      </c>
      <c r="L2217" s="314">
        <f t="shared" si="12"/>
        <v>0</v>
      </c>
      <c r="M2217" s="316"/>
    </row>
    <row r="2218" spans="1:13" s="317" customFormat="1" ht="26.4" customHeight="1">
      <c r="A2218" s="282">
        <v>67</v>
      </c>
      <c r="B2218" s="533"/>
      <c r="C2218" s="307" t="s">
        <v>2497</v>
      </c>
      <c r="D2218" s="307" t="s">
        <v>2576</v>
      </c>
      <c r="E2218" s="309" t="s">
        <v>2530</v>
      </c>
      <c r="F2218" s="310">
        <v>4316</v>
      </c>
      <c r="G2218" s="320" t="s">
        <v>2577</v>
      </c>
      <c r="H2218" s="408" t="s">
        <v>722</v>
      </c>
      <c r="I2218" s="313">
        <v>1.39</v>
      </c>
      <c r="J2218" s="314">
        <v>24.3</v>
      </c>
      <c r="K2218" s="314">
        <v>21.3</v>
      </c>
      <c r="L2218" s="314">
        <f t="shared" si="12"/>
        <v>3</v>
      </c>
      <c r="M2218" s="316"/>
    </row>
    <row r="2219" spans="1:13" s="317" customFormat="1" ht="26.4" customHeight="1">
      <c r="A2219" s="282">
        <v>68</v>
      </c>
      <c r="B2219" s="533"/>
      <c r="C2219" s="307" t="s">
        <v>2497</v>
      </c>
      <c r="D2219" s="307" t="s">
        <v>2578</v>
      </c>
      <c r="E2219" s="309" t="s">
        <v>2530</v>
      </c>
      <c r="F2219" s="310">
        <v>4338</v>
      </c>
      <c r="G2219" s="311">
        <v>1905</v>
      </c>
      <c r="H2219" s="408" t="s">
        <v>722</v>
      </c>
      <c r="I2219" s="315">
        <v>1</v>
      </c>
      <c r="J2219" s="314">
        <v>34.299999999999997</v>
      </c>
      <c r="K2219" s="314">
        <v>33.4</v>
      </c>
      <c r="L2219" s="314">
        <f t="shared" si="12"/>
        <v>0.89999999999999858</v>
      </c>
      <c r="M2219" s="316"/>
    </row>
    <row r="2220" spans="1:13" s="317" customFormat="1" ht="26.4" customHeight="1">
      <c r="A2220" s="282">
        <v>69</v>
      </c>
      <c r="B2220" s="533"/>
      <c r="C2220" s="307" t="s">
        <v>2497</v>
      </c>
      <c r="D2220" s="307" t="s">
        <v>2579</v>
      </c>
      <c r="E2220" s="309" t="s">
        <v>2530</v>
      </c>
      <c r="F2220" s="310">
        <v>4322</v>
      </c>
      <c r="G2220" s="320" t="s">
        <v>2580</v>
      </c>
      <c r="H2220" s="408" t="s">
        <v>722</v>
      </c>
      <c r="I2220" s="313">
        <v>0.9</v>
      </c>
      <c r="J2220" s="314">
        <v>21</v>
      </c>
      <c r="K2220" s="314">
        <v>18.100000000000001</v>
      </c>
      <c r="L2220" s="314">
        <f t="shared" si="12"/>
        <v>2.8999999999999986</v>
      </c>
      <c r="M2220" s="316"/>
    </row>
    <row r="2221" spans="1:13" s="317" customFormat="1" ht="26.4" customHeight="1">
      <c r="A2221" s="282">
        <v>70</v>
      </c>
      <c r="B2221" s="533"/>
      <c r="C2221" s="307" t="s">
        <v>2497</v>
      </c>
      <c r="D2221" s="307" t="s">
        <v>2581</v>
      </c>
      <c r="E2221" s="309" t="s">
        <v>2530</v>
      </c>
      <c r="F2221" s="310">
        <v>4409</v>
      </c>
      <c r="G2221" s="311">
        <v>1905</v>
      </c>
      <c r="H2221" s="408" t="s">
        <v>722</v>
      </c>
      <c r="I2221" s="315">
        <v>0.65</v>
      </c>
      <c r="J2221" s="314">
        <v>1.3</v>
      </c>
      <c r="K2221" s="314">
        <v>1.2</v>
      </c>
      <c r="L2221" s="314">
        <f t="shared" si="12"/>
        <v>0.10000000000000009</v>
      </c>
      <c r="M2221" s="316"/>
    </row>
    <row r="2222" spans="1:13" s="317" customFormat="1" ht="26.4" customHeight="1">
      <c r="A2222" s="282">
        <v>71</v>
      </c>
      <c r="B2222" s="533"/>
      <c r="C2222" s="307" t="s">
        <v>2497</v>
      </c>
      <c r="D2222" s="307" t="s">
        <v>2582</v>
      </c>
      <c r="E2222" s="309" t="s">
        <v>2530</v>
      </c>
      <c r="F2222" s="310">
        <v>4353</v>
      </c>
      <c r="G2222" s="311">
        <v>1905</v>
      </c>
      <c r="H2222" s="408" t="s">
        <v>722</v>
      </c>
      <c r="I2222" s="313">
        <v>0.04</v>
      </c>
      <c r="J2222" s="314">
        <v>0.9</v>
      </c>
      <c r="K2222" s="314">
        <v>0.9</v>
      </c>
      <c r="L2222" s="314">
        <f t="shared" si="12"/>
        <v>0</v>
      </c>
      <c r="M2222" s="316"/>
    </row>
    <row r="2223" spans="1:13" s="317" customFormat="1" ht="26.4" customHeight="1">
      <c r="A2223" s="282">
        <v>72</v>
      </c>
      <c r="B2223" s="533"/>
      <c r="C2223" s="307" t="s">
        <v>2497</v>
      </c>
      <c r="D2223" s="307" t="s">
        <v>2583</v>
      </c>
      <c r="E2223" s="309" t="s">
        <v>2530</v>
      </c>
      <c r="F2223" s="310">
        <v>4354</v>
      </c>
      <c r="G2223" s="311">
        <v>1905</v>
      </c>
      <c r="H2223" s="408" t="s">
        <v>722</v>
      </c>
      <c r="I2223" s="315">
        <v>0.05</v>
      </c>
      <c r="J2223" s="314">
        <v>4.4000000000000004</v>
      </c>
      <c r="K2223" s="314">
        <v>3.4</v>
      </c>
      <c r="L2223" s="314">
        <f t="shared" si="12"/>
        <v>1.0000000000000004</v>
      </c>
      <c r="M2223" s="316"/>
    </row>
    <row r="2224" spans="1:13" s="317" customFormat="1" ht="26.4" customHeight="1">
      <c r="A2224" s="282">
        <v>73</v>
      </c>
      <c r="B2224" s="533"/>
      <c r="C2224" s="307" t="s">
        <v>2497</v>
      </c>
      <c r="D2224" s="307" t="s">
        <v>2584</v>
      </c>
      <c r="E2224" s="309" t="s">
        <v>2530</v>
      </c>
      <c r="F2224" s="310">
        <v>4351</v>
      </c>
      <c r="G2224" s="311">
        <v>1905</v>
      </c>
      <c r="H2224" s="408" t="s">
        <v>722</v>
      </c>
      <c r="I2224" s="313">
        <v>2.5999999999999999E-2</v>
      </c>
      <c r="J2224" s="314">
        <v>4.5999999999999996</v>
      </c>
      <c r="K2224" s="314">
        <v>3.5</v>
      </c>
      <c r="L2224" s="314">
        <f t="shared" si="12"/>
        <v>1.0999999999999996</v>
      </c>
      <c r="M2224" s="316"/>
    </row>
    <row r="2225" spans="1:13" s="317" customFormat="1" ht="26.4" customHeight="1">
      <c r="A2225" s="282">
        <v>74</v>
      </c>
      <c r="B2225" s="533"/>
      <c r="C2225" s="307" t="s">
        <v>2497</v>
      </c>
      <c r="D2225" s="307" t="s">
        <v>2585</v>
      </c>
      <c r="E2225" s="309" t="s">
        <v>2530</v>
      </c>
      <c r="F2225" s="310">
        <v>4350</v>
      </c>
      <c r="G2225" s="311">
        <v>1905</v>
      </c>
      <c r="H2225" s="408" t="s">
        <v>722</v>
      </c>
      <c r="I2225" s="315">
        <v>0.05</v>
      </c>
      <c r="J2225" s="314">
        <v>6</v>
      </c>
      <c r="K2225" s="314">
        <v>4.5999999999999996</v>
      </c>
      <c r="L2225" s="314">
        <f t="shared" si="12"/>
        <v>1.4000000000000004</v>
      </c>
      <c r="M2225" s="316"/>
    </row>
    <row r="2226" spans="1:13" s="317" customFormat="1" ht="26.4" customHeight="1">
      <c r="A2226" s="282">
        <v>75</v>
      </c>
      <c r="B2226" s="533"/>
      <c r="C2226" s="307" t="s">
        <v>2497</v>
      </c>
      <c r="D2226" s="307" t="s">
        <v>2586</v>
      </c>
      <c r="E2226" s="309" t="s">
        <v>2530</v>
      </c>
      <c r="F2226" s="310">
        <v>4352</v>
      </c>
      <c r="G2226" s="311">
        <v>1905</v>
      </c>
      <c r="H2226" s="408" t="s">
        <v>722</v>
      </c>
      <c r="I2226" s="315">
        <v>0.05</v>
      </c>
      <c r="J2226" s="314">
        <v>3.5</v>
      </c>
      <c r="K2226" s="314">
        <v>2.7</v>
      </c>
      <c r="L2226" s="314">
        <f t="shared" si="12"/>
        <v>0.79999999999999982</v>
      </c>
      <c r="M2226" s="316"/>
    </row>
    <row r="2227" spans="1:13" s="317" customFormat="1" ht="26.4" customHeight="1">
      <c r="A2227" s="282">
        <v>76</v>
      </c>
      <c r="B2227" s="533"/>
      <c r="C2227" s="307" t="s">
        <v>2497</v>
      </c>
      <c r="D2227" s="307" t="s">
        <v>2587</v>
      </c>
      <c r="E2227" s="309" t="s">
        <v>2530</v>
      </c>
      <c r="F2227" s="310">
        <v>4347</v>
      </c>
      <c r="G2227" s="311">
        <v>1905</v>
      </c>
      <c r="H2227" s="408" t="s">
        <v>722</v>
      </c>
      <c r="I2227" s="313">
        <v>4.2</v>
      </c>
      <c r="J2227" s="314">
        <v>222</v>
      </c>
      <c r="K2227" s="314">
        <v>216.8</v>
      </c>
      <c r="L2227" s="314">
        <f t="shared" si="12"/>
        <v>5.1999999999999886</v>
      </c>
      <c r="M2227" s="316"/>
    </row>
    <row r="2228" spans="1:13" s="317" customFormat="1" ht="26.4" customHeight="1">
      <c r="A2228" s="282">
        <v>77</v>
      </c>
      <c r="B2228" s="533"/>
      <c r="C2228" s="307" t="s">
        <v>2497</v>
      </c>
      <c r="D2228" s="307" t="s">
        <v>2581</v>
      </c>
      <c r="E2228" s="309" t="s">
        <v>2530</v>
      </c>
      <c r="F2228" s="310">
        <v>4311</v>
      </c>
      <c r="G2228" s="311">
        <v>1905</v>
      </c>
      <c r="H2228" s="408" t="s">
        <v>722</v>
      </c>
      <c r="I2228" s="315">
        <v>0.85</v>
      </c>
      <c r="J2228" s="314">
        <v>31.6</v>
      </c>
      <c r="K2228" s="314">
        <v>24</v>
      </c>
      <c r="L2228" s="314">
        <f t="shared" si="12"/>
        <v>7.6000000000000014</v>
      </c>
      <c r="M2228" s="316"/>
    </row>
    <row r="2229" spans="1:13" s="317" customFormat="1" ht="26.4" customHeight="1">
      <c r="A2229" s="282">
        <v>78</v>
      </c>
      <c r="B2229" s="533"/>
      <c r="C2229" s="307" t="s">
        <v>2497</v>
      </c>
      <c r="D2229" s="307" t="s">
        <v>2588</v>
      </c>
      <c r="E2229" s="309" t="s">
        <v>2530</v>
      </c>
      <c r="F2229" s="310">
        <v>4427</v>
      </c>
      <c r="G2229" s="311">
        <v>1905</v>
      </c>
      <c r="H2229" s="408" t="s">
        <v>722</v>
      </c>
      <c r="I2229" s="315">
        <v>0.65</v>
      </c>
      <c r="J2229" s="314">
        <v>0.9</v>
      </c>
      <c r="K2229" s="314">
        <v>0.9</v>
      </c>
      <c r="L2229" s="314">
        <f t="shared" si="12"/>
        <v>0</v>
      </c>
      <c r="M2229" s="316"/>
    </row>
    <row r="2230" spans="1:13" s="317" customFormat="1" ht="26.4" customHeight="1">
      <c r="A2230" s="282">
        <v>79</v>
      </c>
      <c r="B2230" s="533"/>
      <c r="C2230" s="307" t="s">
        <v>2497</v>
      </c>
      <c r="D2230" s="307" t="s">
        <v>2589</v>
      </c>
      <c r="E2230" s="309" t="s">
        <v>2530</v>
      </c>
      <c r="F2230" s="310">
        <v>4355</v>
      </c>
      <c r="G2230" s="311">
        <v>1905</v>
      </c>
      <c r="H2230" s="408" t="s">
        <v>722</v>
      </c>
      <c r="I2230" s="315">
        <v>0.5</v>
      </c>
      <c r="J2230" s="314">
        <v>19.2</v>
      </c>
      <c r="K2230" s="314">
        <v>13.4</v>
      </c>
      <c r="L2230" s="314">
        <f t="shared" si="12"/>
        <v>5.7999999999999989</v>
      </c>
      <c r="M2230" s="316"/>
    </row>
    <row r="2231" spans="1:13" s="317" customFormat="1" ht="26.4" customHeight="1">
      <c r="A2231" s="282">
        <v>80</v>
      </c>
      <c r="B2231" s="533"/>
      <c r="C2231" s="307" t="s">
        <v>2497</v>
      </c>
      <c r="D2231" s="307" t="s">
        <v>2590</v>
      </c>
      <c r="E2231" s="309" t="s">
        <v>2530</v>
      </c>
      <c r="F2231" s="310">
        <v>4429</v>
      </c>
      <c r="G2231" s="311">
        <v>1905</v>
      </c>
      <c r="H2231" s="408" t="s">
        <v>722</v>
      </c>
      <c r="I2231" s="315">
        <v>0.8</v>
      </c>
      <c r="J2231" s="314">
        <v>1.5</v>
      </c>
      <c r="K2231" s="314">
        <v>1.5</v>
      </c>
      <c r="L2231" s="314">
        <f t="shared" si="12"/>
        <v>0</v>
      </c>
      <c r="M2231" s="316"/>
    </row>
    <row r="2232" spans="1:13" s="317" customFormat="1" ht="26.4" customHeight="1">
      <c r="A2232" s="282">
        <v>81</v>
      </c>
      <c r="B2232" s="533"/>
      <c r="C2232" s="307" t="s">
        <v>2591</v>
      </c>
      <c r="D2232" s="307" t="s">
        <v>3</v>
      </c>
      <c r="E2232" s="309" t="s">
        <v>2530</v>
      </c>
      <c r="F2232" s="310">
        <v>4356</v>
      </c>
      <c r="G2232" s="311">
        <v>1905</v>
      </c>
      <c r="H2232" s="408" t="s">
        <v>722</v>
      </c>
      <c r="I2232" s="313">
        <v>0.88</v>
      </c>
      <c r="J2232" s="314">
        <v>118.9</v>
      </c>
      <c r="K2232" s="314">
        <v>117.5</v>
      </c>
      <c r="L2232" s="314">
        <f t="shared" si="12"/>
        <v>1.4000000000000057</v>
      </c>
      <c r="M2232" s="316"/>
    </row>
    <row r="2233" spans="1:13" s="317" customFormat="1" ht="26.4" customHeight="1">
      <c r="A2233" s="282">
        <v>82</v>
      </c>
      <c r="B2233" s="533"/>
      <c r="C2233" s="307" t="s">
        <v>2591</v>
      </c>
      <c r="D2233" s="307" t="s">
        <v>3</v>
      </c>
      <c r="E2233" s="309" t="s">
        <v>2530</v>
      </c>
      <c r="F2233" s="310">
        <v>4357</v>
      </c>
      <c r="G2233" s="311">
        <v>1905</v>
      </c>
      <c r="H2233" s="408" t="s">
        <v>722</v>
      </c>
      <c r="I2233" s="313">
        <v>0.82</v>
      </c>
      <c r="J2233" s="314">
        <v>196.8</v>
      </c>
      <c r="K2233" s="314">
        <v>194.7</v>
      </c>
      <c r="L2233" s="314">
        <f t="shared" si="12"/>
        <v>2.1000000000000227</v>
      </c>
      <c r="M2233" s="316"/>
    </row>
    <row r="2234" spans="1:13" s="317" customFormat="1" ht="26.4" customHeight="1">
      <c r="A2234" s="282">
        <v>83</v>
      </c>
      <c r="B2234" s="533"/>
      <c r="C2234" s="307" t="s">
        <v>2591</v>
      </c>
      <c r="D2234" s="307" t="s">
        <v>3</v>
      </c>
      <c r="E2234" s="309" t="s">
        <v>2530</v>
      </c>
      <c r="F2234" s="310">
        <v>4358</v>
      </c>
      <c r="G2234" s="311">
        <v>1905</v>
      </c>
      <c r="H2234" s="408" t="s">
        <v>722</v>
      </c>
      <c r="I2234" s="315">
        <v>5.4</v>
      </c>
      <c r="J2234" s="314">
        <v>1221.0999999999999</v>
      </c>
      <c r="K2234" s="314">
        <v>1221.0999999999999</v>
      </c>
      <c r="L2234" s="314">
        <f t="shared" si="12"/>
        <v>0</v>
      </c>
      <c r="M2234" s="316"/>
    </row>
    <row r="2235" spans="1:13" s="317" customFormat="1" ht="26.4" customHeight="1">
      <c r="A2235" s="282">
        <v>84</v>
      </c>
      <c r="B2235" s="533"/>
      <c r="C2235" s="307" t="s">
        <v>2591</v>
      </c>
      <c r="D2235" s="307" t="s">
        <v>3</v>
      </c>
      <c r="E2235" s="309" t="s">
        <v>2530</v>
      </c>
      <c r="F2235" s="310">
        <v>4361</v>
      </c>
      <c r="G2235" s="311">
        <v>1905</v>
      </c>
      <c r="H2235" s="408" t="s">
        <v>722</v>
      </c>
      <c r="I2235" s="315">
        <v>4.83</v>
      </c>
      <c r="J2235" s="314">
        <v>277.10000000000002</v>
      </c>
      <c r="K2235" s="314">
        <v>271.7</v>
      </c>
      <c r="L2235" s="314">
        <f t="shared" si="12"/>
        <v>5.4000000000000341</v>
      </c>
      <c r="M2235" s="316"/>
    </row>
    <row r="2236" spans="1:13" s="317" customFormat="1" ht="26.4" customHeight="1">
      <c r="A2236" s="282">
        <v>85</v>
      </c>
      <c r="B2236" s="533"/>
      <c r="C2236" s="307" t="s">
        <v>2591</v>
      </c>
      <c r="D2236" s="307" t="s">
        <v>3</v>
      </c>
      <c r="E2236" s="309" t="s">
        <v>2530</v>
      </c>
      <c r="F2236" s="310">
        <v>4359</v>
      </c>
      <c r="G2236" s="311">
        <v>1905</v>
      </c>
      <c r="H2236" s="408" t="s">
        <v>722</v>
      </c>
      <c r="I2236" s="313">
        <v>0.81</v>
      </c>
      <c r="J2236" s="314">
        <v>13.1</v>
      </c>
      <c r="K2236" s="314">
        <v>13.1</v>
      </c>
      <c r="L2236" s="314">
        <f t="shared" si="12"/>
        <v>0</v>
      </c>
      <c r="M2236" s="316"/>
    </row>
    <row r="2237" spans="1:13" s="317" customFormat="1" ht="26.4" customHeight="1">
      <c r="A2237" s="282">
        <v>86</v>
      </c>
      <c r="B2237" s="533"/>
      <c r="C2237" s="307" t="s">
        <v>2497</v>
      </c>
      <c r="D2237" s="307" t="s">
        <v>2592</v>
      </c>
      <c r="E2237" s="309" t="s">
        <v>2530</v>
      </c>
      <c r="F2237" s="310">
        <v>4437</v>
      </c>
      <c r="G2237" s="311">
        <v>1905</v>
      </c>
      <c r="H2237" s="408" t="s">
        <v>722</v>
      </c>
      <c r="I2237" s="313">
        <v>0.5</v>
      </c>
      <c r="J2237" s="314">
        <v>1.6</v>
      </c>
      <c r="K2237" s="314">
        <v>1.6</v>
      </c>
      <c r="L2237" s="314">
        <f t="shared" si="12"/>
        <v>0</v>
      </c>
      <c r="M2237" s="316"/>
    </row>
    <row r="2238" spans="1:13" s="317" customFormat="1" ht="26.4" customHeight="1">
      <c r="A2238" s="282">
        <v>87</v>
      </c>
      <c r="B2238" s="533"/>
      <c r="C2238" s="307" t="s">
        <v>2497</v>
      </c>
      <c r="D2238" s="307" t="s">
        <v>2593</v>
      </c>
      <c r="E2238" s="309" t="s">
        <v>2530</v>
      </c>
      <c r="F2238" s="310">
        <v>4436</v>
      </c>
      <c r="G2238" s="320" t="s">
        <v>2594</v>
      </c>
      <c r="H2238" s="408" t="s">
        <v>722</v>
      </c>
      <c r="I2238" s="313">
        <v>0.65</v>
      </c>
      <c r="J2238" s="314">
        <v>0.6</v>
      </c>
      <c r="K2238" s="314">
        <v>0.6</v>
      </c>
      <c r="L2238" s="314">
        <f t="shared" si="12"/>
        <v>0</v>
      </c>
      <c r="M2238" s="316"/>
    </row>
    <row r="2239" spans="1:13" s="317" customFormat="1" ht="26.4" customHeight="1">
      <c r="A2239" s="282">
        <v>88</v>
      </c>
      <c r="B2239" s="533"/>
      <c r="C2239" s="307" t="s">
        <v>2497</v>
      </c>
      <c r="D2239" s="307" t="s">
        <v>2595</v>
      </c>
      <c r="E2239" s="309" t="s">
        <v>2530</v>
      </c>
      <c r="F2239" s="310">
        <v>4430</v>
      </c>
      <c r="G2239" s="311">
        <v>1905</v>
      </c>
      <c r="H2239" s="408" t="s">
        <v>722</v>
      </c>
      <c r="I2239" s="313">
        <v>1.3</v>
      </c>
      <c r="J2239" s="314">
        <v>1.4</v>
      </c>
      <c r="K2239" s="314">
        <v>1.4</v>
      </c>
      <c r="L2239" s="314">
        <f t="shared" si="12"/>
        <v>0</v>
      </c>
      <c r="M2239" s="316"/>
    </row>
    <row r="2240" spans="1:13" s="317" customFormat="1" ht="26.4" customHeight="1">
      <c r="A2240" s="282">
        <v>89</v>
      </c>
      <c r="B2240" s="533"/>
      <c r="C2240" s="307" t="s">
        <v>2497</v>
      </c>
      <c r="D2240" s="307" t="s">
        <v>2596</v>
      </c>
      <c r="E2240" s="309" t="s">
        <v>2530</v>
      </c>
      <c r="F2240" s="310">
        <v>4425</v>
      </c>
      <c r="G2240" s="311">
        <v>1905</v>
      </c>
      <c r="H2240" s="408" t="s">
        <v>722</v>
      </c>
      <c r="I2240" s="313">
        <v>0.4</v>
      </c>
      <c r="J2240" s="314">
        <v>0.7</v>
      </c>
      <c r="K2240" s="314">
        <v>0.6</v>
      </c>
      <c r="L2240" s="314">
        <f t="shared" si="12"/>
        <v>9.9999999999999978E-2</v>
      </c>
      <c r="M2240" s="316"/>
    </row>
    <row r="2241" spans="1:13" s="317" customFormat="1" ht="26.4" customHeight="1">
      <c r="A2241" s="282">
        <v>90</v>
      </c>
      <c r="B2241" s="533"/>
      <c r="C2241" s="307" t="s">
        <v>2497</v>
      </c>
      <c r="D2241" s="307" t="s">
        <v>2597</v>
      </c>
      <c r="E2241" s="309" t="s">
        <v>2530</v>
      </c>
      <c r="F2241" s="310">
        <v>4423</v>
      </c>
      <c r="G2241" s="311">
        <v>1905</v>
      </c>
      <c r="H2241" s="408" t="s">
        <v>722</v>
      </c>
      <c r="I2241" s="313">
        <v>0.23</v>
      </c>
      <c r="J2241" s="314">
        <v>0.4</v>
      </c>
      <c r="K2241" s="314">
        <v>0.3</v>
      </c>
      <c r="L2241" s="314">
        <f t="shared" si="12"/>
        <v>0.10000000000000003</v>
      </c>
      <c r="M2241" s="316"/>
    </row>
    <row r="2242" spans="1:13" s="317" customFormat="1" ht="26.4" customHeight="1">
      <c r="A2242" s="282">
        <v>91</v>
      </c>
      <c r="B2242" s="533"/>
      <c r="C2242" s="307" t="s">
        <v>2497</v>
      </c>
      <c r="D2242" s="307" t="s">
        <v>2598</v>
      </c>
      <c r="E2242" s="309" t="s">
        <v>2530</v>
      </c>
      <c r="F2242" s="310">
        <v>4421</v>
      </c>
      <c r="G2242" s="311">
        <v>1905</v>
      </c>
      <c r="H2242" s="408" t="s">
        <v>722</v>
      </c>
      <c r="I2242" s="315">
        <v>1.9</v>
      </c>
      <c r="J2242" s="314">
        <v>1.3</v>
      </c>
      <c r="K2242" s="314">
        <v>1.2</v>
      </c>
      <c r="L2242" s="314">
        <f t="shared" si="12"/>
        <v>0.10000000000000009</v>
      </c>
      <c r="M2242" s="316"/>
    </row>
    <row r="2243" spans="1:13" s="317" customFormat="1" ht="26.4" customHeight="1">
      <c r="A2243" s="282">
        <v>92</v>
      </c>
      <c r="B2243" s="533"/>
      <c r="C2243" s="307" t="s">
        <v>2497</v>
      </c>
      <c r="D2243" s="307" t="s">
        <v>2599</v>
      </c>
      <c r="E2243" s="309" t="s">
        <v>2530</v>
      </c>
      <c r="F2243" s="310">
        <v>4415</v>
      </c>
      <c r="G2243" s="311">
        <v>1905</v>
      </c>
      <c r="H2243" s="408" t="s">
        <v>722</v>
      </c>
      <c r="I2243" s="315">
        <v>1.7</v>
      </c>
      <c r="J2243" s="314">
        <v>2.6</v>
      </c>
      <c r="K2243" s="314">
        <v>2.5</v>
      </c>
      <c r="L2243" s="314">
        <f t="shared" si="12"/>
        <v>0.10000000000000009</v>
      </c>
      <c r="M2243" s="316"/>
    </row>
    <row r="2244" spans="1:13" s="317" customFormat="1" ht="26.4" customHeight="1">
      <c r="A2244" s="282">
        <v>93</v>
      </c>
      <c r="B2244" s="533"/>
      <c r="C2244" s="307" t="s">
        <v>2497</v>
      </c>
      <c r="D2244" s="307" t="s">
        <v>2600</v>
      </c>
      <c r="E2244" s="309" t="s">
        <v>2530</v>
      </c>
      <c r="F2244" s="310">
        <v>4416</v>
      </c>
      <c r="G2244" s="311">
        <v>1905</v>
      </c>
      <c r="H2244" s="408" t="s">
        <v>722</v>
      </c>
      <c r="I2244" s="313">
        <v>0.41</v>
      </c>
      <c r="J2244" s="314">
        <v>1.6</v>
      </c>
      <c r="K2244" s="314">
        <v>1.5</v>
      </c>
      <c r="L2244" s="314">
        <f t="shared" si="12"/>
        <v>0.10000000000000009</v>
      </c>
      <c r="M2244" s="316"/>
    </row>
    <row r="2245" spans="1:13" s="317" customFormat="1" ht="26.4" customHeight="1">
      <c r="A2245" s="282">
        <v>94</v>
      </c>
      <c r="B2245" s="533"/>
      <c r="C2245" s="307" t="s">
        <v>2497</v>
      </c>
      <c r="D2245" s="307" t="s">
        <v>2601</v>
      </c>
      <c r="E2245" s="309" t="s">
        <v>2530</v>
      </c>
      <c r="F2245" s="310">
        <v>4413</v>
      </c>
      <c r="G2245" s="311">
        <v>1905</v>
      </c>
      <c r="H2245" s="408" t="s">
        <v>722</v>
      </c>
      <c r="I2245" s="313">
        <v>0.5</v>
      </c>
      <c r="J2245" s="314">
        <v>2</v>
      </c>
      <c r="K2245" s="314">
        <v>1.6</v>
      </c>
      <c r="L2245" s="314">
        <f t="shared" si="12"/>
        <v>0.39999999999999991</v>
      </c>
      <c r="M2245" s="316"/>
    </row>
    <row r="2246" spans="1:13" s="317" customFormat="1" ht="26.4" customHeight="1">
      <c r="A2246" s="282">
        <v>95</v>
      </c>
      <c r="B2246" s="533"/>
      <c r="C2246" s="307" t="s">
        <v>2497</v>
      </c>
      <c r="D2246" s="307" t="s">
        <v>2602</v>
      </c>
      <c r="E2246" s="309" t="s">
        <v>2530</v>
      </c>
      <c r="F2246" s="310">
        <v>4420</v>
      </c>
      <c r="G2246" s="311">
        <v>1905</v>
      </c>
      <c r="H2246" s="408" t="s">
        <v>722</v>
      </c>
      <c r="I2246" s="315">
        <v>2</v>
      </c>
      <c r="J2246" s="314">
        <v>1.7</v>
      </c>
      <c r="K2246" s="314">
        <v>1.7</v>
      </c>
      <c r="L2246" s="314">
        <f t="shared" si="12"/>
        <v>0</v>
      </c>
      <c r="M2246" s="316"/>
    </row>
    <row r="2247" spans="1:13" s="317" customFormat="1" ht="26.4" customHeight="1">
      <c r="A2247" s="282">
        <v>96</v>
      </c>
      <c r="B2247" s="533"/>
      <c r="C2247" s="307" t="s">
        <v>2497</v>
      </c>
      <c r="D2247" s="307" t="s">
        <v>2603</v>
      </c>
      <c r="E2247" s="309" t="s">
        <v>2530</v>
      </c>
      <c r="F2247" s="310">
        <v>4418</v>
      </c>
      <c r="G2247" s="311">
        <v>1905</v>
      </c>
      <c r="H2247" s="408" t="s">
        <v>722</v>
      </c>
      <c r="I2247" s="315">
        <v>0.6</v>
      </c>
      <c r="J2247" s="314">
        <v>1.9</v>
      </c>
      <c r="K2247" s="314">
        <v>1.8</v>
      </c>
      <c r="L2247" s="314">
        <f t="shared" si="12"/>
        <v>9.9999999999999867E-2</v>
      </c>
      <c r="M2247" s="316"/>
    </row>
    <row r="2248" spans="1:13" s="317" customFormat="1" ht="26.4" customHeight="1">
      <c r="A2248" s="282">
        <v>97</v>
      </c>
      <c r="B2248" s="533"/>
      <c r="C2248" s="307" t="s">
        <v>2497</v>
      </c>
      <c r="D2248" s="307" t="s">
        <v>2604</v>
      </c>
      <c r="E2248" s="309" t="s">
        <v>2530</v>
      </c>
      <c r="F2248" s="310">
        <v>4424</v>
      </c>
      <c r="G2248" s="320" t="s">
        <v>2605</v>
      </c>
      <c r="H2248" s="408" t="s">
        <v>722</v>
      </c>
      <c r="I2248" s="313">
        <v>0.25</v>
      </c>
      <c r="J2248" s="314">
        <v>1.2</v>
      </c>
      <c r="K2248" s="314">
        <v>1.1000000000000001</v>
      </c>
      <c r="L2248" s="314">
        <f t="shared" si="12"/>
        <v>9.9999999999999867E-2</v>
      </c>
      <c r="M2248" s="316"/>
    </row>
    <row r="2249" spans="1:13" s="317" customFormat="1" ht="39.6">
      <c r="A2249" s="282">
        <v>98</v>
      </c>
      <c r="B2249" s="533"/>
      <c r="C2249" s="307" t="s">
        <v>2497</v>
      </c>
      <c r="D2249" s="307" t="s">
        <v>2606</v>
      </c>
      <c r="E2249" s="309" t="s">
        <v>2530</v>
      </c>
      <c r="F2249" s="310">
        <v>4412</v>
      </c>
      <c r="G2249" s="311">
        <v>1905</v>
      </c>
      <c r="H2249" s="408" t="s">
        <v>722</v>
      </c>
      <c r="I2249" s="315">
        <v>0.2</v>
      </c>
      <c r="J2249" s="314">
        <v>1.1000000000000001</v>
      </c>
      <c r="K2249" s="314">
        <v>0.9</v>
      </c>
      <c r="L2249" s="314">
        <f t="shared" si="12"/>
        <v>0.20000000000000007</v>
      </c>
      <c r="M2249" s="316"/>
    </row>
    <row r="2250" spans="1:13" s="317" customFormat="1" ht="26.4" customHeight="1">
      <c r="A2250" s="282">
        <v>99</v>
      </c>
      <c r="B2250" s="533"/>
      <c r="C2250" s="307" t="s">
        <v>2497</v>
      </c>
      <c r="D2250" s="307" t="s">
        <v>2607</v>
      </c>
      <c r="E2250" s="309" t="s">
        <v>2530</v>
      </c>
      <c r="F2250" s="310">
        <v>4411</v>
      </c>
      <c r="G2250" s="311">
        <v>1905</v>
      </c>
      <c r="H2250" s="408" t="s">
        <v>722</v>
      </c>
      <c r="I2250" s="315">
        <v>0.25</v>
      </c>
      <c r="J2250" s="314">
        <v>1.2</v>
      </c>
      <c r="K2250" s="314">
        <v>0.9</v>
      </c>
      <c r="L2250" s="314">
        <f t="shared" si="12"/>
        <v>0.29999999999999993</v>
      </c>
      <c r="M2250" s="316"/>
    </row>
    <row r="2251" spans="1:13" s="317" customFormat="1" ht="26.4" customHeight="1">
      <c r="A2251" s="282">
        <v>100</v>
      </c>
      <c r="B2251" s="533"/>
      <c r="C2251" s="307" t="s">
        <v>2497</v>
      </c>
      <c r="D2251" s="307" t="s">
        <v>2608</v>
      </c>
      <c r="E2251" s="309" t="s">
        <v>2530</v>
      </c>
      <c r="F2251" s="310">
        <v>4431</v>
      </c>
      <c r="G2251" s="320" t="s">
        <v>2609</v>
      </c>
      <c r="H2251" s="408" t="s">
        <v>722</v>
      </c>
      <c r="I2251" s="313">
        <v>0.5</v>
      </c>
      <c r="J2251" s="314">
        <v>0.6</v>
      </c>
      <c r="K2251" s="314">
        <v>0.5</v>
      </c>
      <c r="L2251" s="314">
        <f t="shared" si="12"/>
        <v>9.9999999999999978E-2</v>
      </c>
      <c r="M2251" s="316"/>
    </row>
    <row r="2252" spans="1:13" s="317" customFormat="1" ht="26.4" customHeight="1">
      <c r="A2252" s="282">
        <v>101</v>
      </c>
      <c r="B2252" s="533"/>
      <c r="C2252" s="307" t="s">
        <v>2497</v>
      </c>
      <c r="D2252" s="307" t="s">
        <v>2551</v>
      </c>
      <c r="E2252" s="309" t="s">
        <v>2530</v>
      </c>
      <c r="F2252" s="310">
        <v>4417</v>
      </c>
      <c r="G2252" s="311">
        <v>1905</v>
      </c>
      <c r="H2252" s="408" t="s">
        <v>722</v>
      </c>
      <c r="I2252" s="313">
        <v>0.6</v>
      </c>
      <c r="J2252" s="314">
        <v>0.3</v>
      </c>
      <c r="K2252" s="314">
        <v>0.3</v>
      </c>
      <c r="L2252" s="314">
        <f t="shared" si="12"/>
        <v>0</v>
      </c>
      <c r="M2252" s="316"/>
    </row>
    <row r="2253" spans="1:13" s="317" customFormat="1" ht="26.4" customHeight="1">
      <c r="A2253" s="282">
        <v>102</v>
      </c>
      <c r="B2253" s="533"/>
      <c r="C2253" s="307" t="s">
        <v>2497</v>
      </c>
      <c r="D2253" s="307" t="s">
        <v>2610</v>
      </c>
      <c r="E2253" s="309" t="s">
        <v>2530</v>
      </c>
      <c r="F2253" s="310">
        <v>4426</v>
      </c>
      <c r="G2253" s="311">
        <v>1905</v>
      </c>
      <c r="H2253" s="408" t="s">
        <v>722</v>
      </c>
      <c r="I2253" s="315">
        <v>0.78</v>
      </c>
      <c r="J2253" s="314">
        <v>1.2</v>
      </c>
      <c r="K2253" s="314">
        <v>1.1000000000000001</v>
      </c>
      <c r="L2253" s="314">
        <f t="shared" si="12"/>
        <v>9.9999999999999867E-2</v>
      </c>
      <c r="M2253" s="316"/>
    </row>
    <row r="2254" spans="1:13" s="317" customFormat="1" ht="26.4" customHeight="1">
      <c r="A2254" s="282">
        <v>103</v>
      </c>
      <c r="B2254" s="533"/>
      <c r="C2254" s="307" t="s">
        <v>2497</v>
      </c>
      <c r="D2254" s="307" t="s">
        <v>2611</v>
      </c>
      <c r="E2254" s="309" t="s">
        <v>2530</v>
      </c>
      <c r="F2254" s="310">
        <v>4414</v>
      </c>
      <c r="G2254" s="311">
        <v>1905</v>
      </c>
      <c r="H2254" s="408" t="s">
        <v>722</v>
      </c>
      <c r="I2254" s="313">
        <v>0.8</v>
      </c>
      <c r="J2254" s="314">
        <v>0.2</v>
      </c>
      <c r="K2254" s="314">
        <v>0.2</v>
      </c>
      <c r="L2254" s="314">
        <f t="shared" si="12"/>
        <v>0</v>
      </c>
      <c r="M2254" s="316"/>
    </row>
    <row r="2255" spans="1:13" s="317" customFormat="1" ht="26.4" customHeight="1">
      <c r="A2255" s="282">
        <v>104</v>
      </c>
      <c r="B2255" s="533"/>
      <c r="C2255" s="307" t="s">
        <v>2497</v>
      </c>
      <c r="D2255" s="307" t="s">
        <v>2612</v>
      </c>
      <c r="E2255" s="309" t="s">
        <v>2530</v>
      </c>
      <c r="F2255" s="310">
        <v>4422</v>
      </c>
      <c r="G2255" s="311">
        <v>1905</v>
      </c>
      <c r="H2255" s="408" t="s">
        <v>722</v>
      </c>
      <c r="I2255" s="313">
        <v>0.4</v>
      </c>
      <c r="J2255" s="314">
        <v>0.9</v>
      </c>
      <c r="K2255" s="314">
        <v>0.9</v>
      </c>
      <c r="L2255" s="314">
        <f t="shared" si="12"/>
        <v>0</v>
      </c>
      <c r="M2255" s="316"/>
    </row>
    <row r="2256" spans="1:13" s="317" customFormat="1" ht="26.4" customHeight="1">
      <c r="A2256" s="282">
        <v>105</v>
      </c>
      <c r="B2256" s="533"/>
      <c r="C2256" s="307" t="s">
        <v>2497</v>
      </c>
      <c r="D2256" s="307" t="s">
        <v>2613</v>
      </c>
      <c r="E2256" s="309" t="s">
        <v>2530</v>
      </c>
      <c r="F2256" s="310">
        <v>4320</v>
      </c>
      <c r="G2256" s="311">
        <v>1905</v>
      </c>
      <c r="H2256" s="408" t="s">
        <v>722</v>
      </c>
      <c r="I2256" s="313">
        <v>0.4</v>
      </c>
      <c r="J2256" s="314">
        <v>9.3000000000000007</v>
      </c>
      <c r="K2256" s="314">
        <v>8.4</v>
      </c>
      <c r="L2256" s="314">
        <f t="shared" si="12"/>
        <v>0.90000000000000036</v>
      </c>
      <c r="M2256" s="316"/>
    </row>
    <row r="2257" spans="1:13" s="317" customFormat="1" ht="26.4" customHeight="1">
      <c r="A2257" s="282">
        <v>106</v>
      </c>
      <c r="B2257" s="533"/>
      <c r="C2257" s="307" t="s">
        <v>2497</v>
      </c>
      <c r="D2257" s="307" t="s">
        <v>2614</v>
      </c>
      <c r="E2257" s="309" t="s">
        <v>2530</v>
      </c>
      <c r="F2257" s="310">
        <v>4438</v>
      </c>
      <c r="G2257" s="320" t="s">
        <v>2615</v>
      </c>
      <c r="H2257" s="408" t="s">
        <v>722</v>
      </c>
      <c r="I2257" s="313">
        <v>1.7</v>
      </c>
      <c r="J2257" s="314">
        <v>0.5</v>
      </c>
      <c r="K2257" s="314">
        <v>0.4</v>
      </c>
      <c r="L2257" s="314">
        <f t="shared" si="12"/>
        <v>9.9999999999999978E-2</v>
      </c>
      <c r="M2257" s="316"/>
    </row>
    <row r="2258" spans="1:13" s="317" customFormat="1" ht="26.4" customHeight="1">
      <c r="A2258" s="282">
        <v>107</v>
      </c>
      <c r="B2258" s="533"/>
      <c r="C2258" s="307" t="s">
        <v>2497</v>
      </c>
      <c r="D2258" s="307" t="s">
        <v>2555</v>
      </c>
      <c r="E2258" s="309" t="s">
        <v>2530</v>
      </c>
      <c r="F2258" s="310">
        <v>4407</v>
      </c>
      <c r="G2258" s="311">
        <v>1905</v>
      </c>
      <c r="H2258" s="408" t="s">
        <v>722</v>
      </c>
      <c r="I2258" s="315">
        <v>0.55000000000000004</v>
      </c>
      <c r="J2258" s="314">
        <v>1.1000000000000001</v>
      </c>
      <c r="K2258" s="314">
        <v>1.1000000000000001</v>
      </c>
      <c r="L2258" s="314">
        <f t="shared" si="12"/>
        <v>0</v>
      </c>
      <c r="M2258" s="316"/>
    </row>
    <row r="2259" spans="1:13" s="317" customFormat="1" ht="26.4" customHeight="1">
      <c r="A2259" s="282">
        <v>108</v>
      </c>
      <c r="B2259" s="533"/>
      <c r="C2259" s="307" t="s">
        <v>2497</v>
      </c>
      <c r="D2259" s="307" t="s">
        <v>2616</v>
      </c>
      <c r="E2259" s="309" t="s">
        <v>2530</v>
      </c>
      <c r="F2259" s="310">
        <v>4434</v>
      </c>
      <c r="G2259" s="311">
        <v>1905</v>
      </c>
      <c r="H2259" s="408" t="s">
        <v>722</v>
      </c>
      <c r="I2259" s="313">
        <v>0.5</v>
      </c>
      <c r="J2259" s="314">
        <v>1.1000000000000001</v>
      </c>
      <c r="K2259" s="314">
        <v>0.7</v>
      </c>
      <c r="L2259" s="314">
        <f t="shared" si="12"/>
        <v>0.40000000000000013</v>
      </c>
      <c r="M2259" s="316"/>
    </row>
    <row r="2260" spans="1:13" s="317" customFormat="1" ht="26.4" customHeight="1">
      <c r="A2260" s="282">
        <v>109</v>
      </c>
      <c r="B2260" s="533"/>
      <c r="C2260" s="307" t="s">
        <v>2497</v>
      </c>
      <c r="D2260" s="307" t="s">
        <v>2556</v>
      </c>
      <c r="E2260" s="309" t="s">
        <v>2530</v>
      </c>
      <c r="F2260" s="310">
        <v>4410</v>
      </c>
      <c r="G2260" s="311">
        <v>1905</v>
      </c>
      <c r="H2260" s="408" t="s">
        <v>722</v>
      </c>
      <c r="I2260" s="313">
        <v>0.1</v>
      </c>
      <c r="J2260" s="314">
        <v>2</v>
      </c>
      <c r="K2260" s="314">
        <v>2</v>
      </c>
      <c r="L2260" s="314">
        <f t="shared" si="12"/>
        <v>0</v>
      </c>
      <c r="M2260" s="316"/>
    </row>
    <row r="2261" spans="1:13" s="317" customFormat="1" ht="26.4" customHeight="1">
      <c r="A2261" s="282">
        <v>110</v>
      </c>
      <c r="B2261" s="533"/>
      <c r="C2261" s="307" t="s">
        <v>2497</v>
      </c>
      <c r="D2261" s="307" t="s">
        <v>2617</v>
      </c>
      <c r="E2261" s="309" t="s">
        <v>2530</v>
      </c>
      <c r="F2261" s="310">
        <v>4433</v>
      </c>
      <c r="G2261" s="320" t="s">
        <v>2575</v>
      </c>
      <c r="H2261" s="408" t="s">
        <v>722</v>
      </c>
      <c r="I2261" s="313">
        <v>0.21</v>
      </c>
      <c r="J2261" s="314">
        <v>0.8</v>
      </c>
      <c r="K2261" s="314">
        <v>0.7</v>
      </c>
      <c r="L2261" s="314">
        <f t="shared" si="12"/>
        <v>0.10000000000000009</v>
      </c>
      <c r="M2261" s="316"/>
    </row>
    <row r="2262" spans="1:13" s="317" customFormat="1" ht="26.4" customHeight="1">
      <c r="A2262" s="282">
        <v>111</v>
      </c>
      <c r="B2262" s="533"/>
      <c r="C2262" s="307" t="s">
        <v>2497</v>
      </c>
      <c r="D2262" s="307" t="s">
        <v>2566</v>
      </c>
      <c r="E2262" s="309" t="s">
        <v>2530</v>
      </c>
      <c r="F2262" s="310">
        <v>4406</v>
      </c>
      <c r="G2262" s="311">
        <v>1905</v>
      </c>
      <c r="H2262" s="408" t="s">
        <v>722</v>
      </c>
      <c r="I2262" s="313">
        <v>0.25</v>
      </c>
      <c r="J2262" s="314">
        <v>0.8</v>
      </c>
      <c r="K2262" s="314">
        <v>0.7</v>
      </c>
      <c r="L2262" s="314">
        <f t="shared" si="12"/>
        <v>0.10000000000000009</v>
      </c>
      <c r="M2262" s="316"/>
    </row>
    <row r="2263" spans="1:13" s="317" customFormat="1" ht="26.4" customHeight="1">
      <c r="A2263" s="282">
        <v>112</v>
      </c>
      <c r="B2263" s="533"/>
      <c r="C2263" s="307" t="s">
        <v>2497</v>
      </c>
      <c r="D2263" s="307" t="s">
        <v>2618</v>
      </c>
      <c r="E2263" s="309" t="s">
        <v>2530</v>
      </c>
      <c r="F2263" s="310">
        <v>4428</v>
      </c>
      <c r="G2263" s="311">
        <v>1905</v>
      </c>
      <c r="H2263" s="408" t="s">
        <v>722</v>
      </c>
      <c r="I2263" s="315">
        <v>0.43</v>
      </c>
      <c r="J2263" s="314">
        <v>0.8</v>
      </c>
      <c r="K2263" s="314">
        <v>0.7</v>
      </c>
      <c r="L2263" s="314">
        <f t="shared" si="12"/>
        <v>0.10000000000000009</v>
      </c>
      <c r="M2263" s="316"/>
    </row>
    <row r="2264" spans="1:13" s="317" customFormat="1" ht="26.4" customHeight="1">
      <c r="A2264" s="282">
        <v>113</v>
      </c>
      <c r="B2264" s="533"/>
      <c r="C2264" s="307" t="s">
        <v>2497</v>
      </c>
      <c r="D2264" s="307" t="s">
        <v>2619</v>
      </c>
      <c r="E2264" s="309" t="s">
        <v>2530</v>
      </c>
      <c r="F2264" s="310">
        <v>4435</v>
      </c>
      <c r="G2264" s="311">
        <v>1905</v>
      </c>
      <c r="H2264" s="408" t="s">
        <v>722</v>
      </c>
      <c r="I2264" s="313">
        <v>0.17</v>
      </c>
      <c r="J2264" s="314">
        <v>0.9</v>
      </c>
      <c r="K2264" s="314">
        <v>0.8</v>
      </c>
      <c r="L2264" s="314">
        <f t="shared" si="12"/>
        <v>9.9999999999999978E-2</v>
      </c>
      <c r="M2264" s="316"/>
    </row>
    <row r="2265" spans="1:13" s="317" customFormat="1" ht="26.4" customHeight="1">
      <c r="A2265" s="282">
        <v>114</v>
      </c>
      <c r="B2265" s="533"/>
      <c r="C2265" s="307" t="s">
        <v>2497</v>
      </c>
      <c r="D2265" s="307" t="s">
        <v>2613</v>
      </c>
      <c r="E2265" s="309" t="s">
        <v>2530</v>
      </c>
      <c r="F2265" s="310">
        <v>4405</v>
      </c>
      <c r="G2265" s="311">
        <v>1905</v>
      </c>
      <c r="H2265" s="408" t="s">
        <v>722</v>
      </c>
      <c r="I2265" s="313">
        <v>0.45</v>
      </c>
      <c r="J2265" s="314">
        <v>0.9</v>
      </c>
      <c r="K2265" s="314">
        <v>0.9</v>
      </c>
      <c r="L2265" s="314">
        <f t="shared" si="12"/>
        <v>0</v>
      </c>
      <c r="M2265" s="316"/>
    </row>
    <row r="2266" spans="1:13" s="317" customFormat="1" ht="26.4" customHeight="1">
      <c r="A2266" s="282">
        <v>115</v>
      </c>
      <c r="B2266" s="533"/>
      <c r="C2266" s="307" t="s">
        <v>2497</v>
      </c>
      <c r="D2266" s="307" t="s">
        <v>2620</v>
      </c>
      <c r="E2266" s="309" t="s">
        <v>2530</v>
      </c>
      <c r="F2266" s="310">
        <v>4312</v>
      </c>
      <c r="G2266" s="311">
        <v>1905</v>
      </c>
      <c r="H2266" s="408" t="s">
        <v>722</v>
      </c>
      <c r="I2266" s="315">
        <v>0.3</v>
      </c>
      <c r="J2266" s="314">
        <v>6.7</v>
      </c>
      <c r="K2266" s="314">
        <v>6.5</v>
      </c>
      <c r="L2266" s="314">
        <f t="shared" si="12"/>
        <v>0.20000000000000018</v>
      </c>
      <c r="M2266" s="316"/>
    </row>
    <row r="2267" spans="1:13" s="317" customFormat="1" ht="26.4" customHeight="1">
      <c r="A2267" s="282">
        <v>116</v>
      </c>
      <c r="B2267" s="533"/>
      <c r="C2267" s="307" t="s">
        <v>2621</v>
      </c>
      <c r="D2267" s="307" t="s">
        <v>2622</v>
      </c>
      <c r="E2267" s="309" t="s">
        <v>2623</v>
      </c>
      <c r="F2267" s="310">
        <v>4654</v>
      </c>
      <c r="G2267" s="320" t="s">
        <v>2624</v>
      </c>
      <c r="H2267" s="408" t="s">
        <v>722</v>
      </c>
      <c r="I2267" s="313">
        <v>5.5</v>
      </c>
      <c r="J2267" s="314">
        <v>101.6</v>
      </c>
      <c r="K2267" s="314">
        <v>80</v>
      </c>
      <c r="L2267" s="314">
        <f t="shared" si="12"/>
        <v>21.599999999999994</v>
      </c>
      <c r="M2267" s="316"/>
    </row>
    <row r="2268" spans="1:13" s="317" customFormat="1" ht="39.6">
      <c r="A2268" s="282">
        <v>117</v>
      </c>
      <c r="B2268" s="533"/>
      <c r="C2268" s="307" t="s">
        <v>2497</v>
      </c>
      <c r="D2268" s="307" t="s">
        <v>2625</v>
      </c>
      <c r="E2268" s="321" t="s">
        <v>2626</v>
      </c>
      <c r="F2268" s="310">
        <v>4377</v>
      </c>
      <c r="G2268" s="311">
        <v>1905</v>
      </c>
      <c r="H2268" s="408" t="s">
        <v>722</v>
      </c>
      <c r="I2268" s="313">
        <v>0.17</v>
      </c>
      <c r="J2268" s="314">
        <v>20</v>
      </c>
      <c r="K2268" s="314">
        <v>14.7</v>
      </c>
      <c r="L2268" s="314">
        <f t="shared" si="12"/>
        <v>5.3000000000000007</v>
      </c>
      <c r="M2268" s="316"/>
    </row>
    <row r="2269" spans="1:13" s="317" customFormat="1" ht="26.4" customHeight="1">
      <c r="A2269" s="282">
        <v>118</v>
      </c>
      <c r="B2269" s="533"/>
      <c r="C2269" s="307" t="s">
        <v>2497</v>
      </c>
      <c r="D2269" s="307" t="s">
        <v>2627</v>
      </c>
      <c r="E2269" s="441" t="s">
        <v>2628</v>
      </c>
      <c r="F2269" s="310">
        <v>4378</v>
      </c>
      <c r="G2269" s="311">
        <v>1905</v>
      </c>
      <c r="H2269" s="408" t="s">
        <v>722</v>
      </c>
      <c r="I2269" s="315">
        <v>0.2</v>
      </c>
      <c r="J2269" s="314">
        <v>161</v>
      </c>
      <c r="K2269" s="314">
        <v>103.2</v>
      </c>
      <c r="L2269" s="314">
        <f t="shared" si="12"/>
        <v>57.8</v>
      </c>
      <c r="M2269" s="316"/>
    </row>
    <row r="2270" spans="1:13" s="317" customFormat="1" ht="26.4" customHeight="1">
      <c r="A2270" s="282">
        <v>119</v>
      </c>
      <c r="B2270" s="533"/>
      <c r="C2270" s="307" t="s">
        <v>2497</v>
      </c>
      <c r="D2270" s="307" t="s">
        <v>2629</v>
      </c>
      <c r="E2270" s="441" t="s">
        <v>2628</v>
      </c>
      <c r="F2270" s="310">
        <v>4402</v>
      </c>
      <c r="G2270" s="311">
        <v>1905</v>
      </c>
      <c r="H2270" s="408" t="s">
        <v>722</v>
      </c>
      <c r="I2270" s="315">
        <v>2.2000000000000002</v>
      </c>
      <c r="J2270" s="314">
        <v>22.5</v>
      </c>
      <c r="K2270" s="314">
        <v>14.2</v>
      </c>
      <c r="L2270" s="314">
        <f t="shared" si="12"/>
        <v>8.3000000000000007</v>
      </c>
      <c r="M2270" s="316"/>
    </row>
    <row r="2271" spans="1:13" s="317" customFormat="1" ht="26.4" customHeight="1">
      <c r="A2271" s="282">
        <v>120</v>
      </c>
      <c r="B2271" s="533"/>
      <c r="C2271" s="307" t="s">
        <v>2497</v>
      </c>
      <c r="D2271" s="307" t="s">
        <v>2630</v>
      </c>
      <c r="E2271" s="441" t="s">
        <v>2628</v>
      </c>
      <c r="F2271" s="310">
        <v>4387</v>
      </c>
      <c r="G2271" s="311">
        <v>1905</v>
      </c>
      <c r="H2271" s="408" t="s">
        <v>722</v>
      </c>
      <c r="I2271" s="315">
        <v>0.48</v>
      </c>
      <c r="J2271" s="314">
        <v>35.9</v>
      </c>
      <c r="K2271" s="314">
        <v>33.4</v>
      </c>
      <c r="L2271" s="314">
        <f t="shared" si="12"/>
        <v>2.5</v>
      </c>
      <c r="M2271" s="316"/>
    </row>
    <row r="2272" spans="1:13" s="317" customFormat="1" ht="26.4" customHeight="1">
      <c r="A2272" s="282">
        <v>121</v>
      </c>
      <c r="B2272" s="533"/>
      <c r="C2272" s="307" t="s">
        <v>2497</v>
      </c>
      <c r="D2272" s="307" t="s">
        <v>2631</v>
      </c>
      <c r="E2272" s="441" t="s">
        <v>2628</v>
      </c>
      <c r="F2272" s="310">
        <v>4381</v>
      </c>
      <c r="G2272" s="311">
        <v>1905</v>
      </c>
      <c r="H2272" s="408" t="s">
        <v>722</v>
      </c>
      <c r="I2272" s="315">
        <v>0.1</v>
      </c>
      <c r="J2272" s="314">
        <v>7.2</v>
      </c>
      <c r="K2272" s="314">
        <v>5.3</v>
      </c>
      <c r="L2272" s="314">
        <f t="shared" si="12"/>
        <v>1.9000000000000004</v>
      </c>
      <c r="M2272" s="316"/>
    </row>
    <row r="2273" spans="1:13" s="317" customFormat="1" ht="26.4" customHeight="1">
      <c r="A2273" s="282">
        <v>122</v>
      </c>
      <c r="B2273" s="533"/>
      <c r="C2273" s="307" t="s">
        <v>2497</v>
      </c>
      <c r="D2273" s="307" t="s">
        <v>2632</v>
      </c>
      <c r="E2273" s="441" t="s">
        <v>2628</v>
      </c>
      <c r="F2273" s="310">
        <v>4380</v>
      </c>
      <c r="G2273" s="311">
        <v>1905</v>
      </c>
      <c r="H2273" s="408" t="s">
        <v>722</v>
      </c>
      <c r="I2273" s="315">
        <v>0.1</v>
      </c>
      <c r="J2273" s="314">
        <v>132.1</v>
      </c>
      <c r="K2273" s="314">
        <v>123</v>
      </c>
      <c r="L2273" s="314">
        <f t="shared" si="12"/>
        <v>9.0999999999999943</v>
      </c>
      <c r="M2273" s="316"/>
    </row>
    <row r="2274" spans="1:13" s="317" customFormat="1" ht="26.4" customHeight="1">
      <c r="A2274" s="282">
        <v>123</v>
      </c>
      <c r="B2274" s="533"/>
      <c r="C2274" s="307" t="s">
        <v>2497</v>
      </c>
      <c r="D2274" s="307" t="s">
        <v>2633</v>
      </c>
      <c r="E2274" s="441" t="s">
        <v>2628</v>
      </c>
      <c r="F2274" s="310">
        <v>4384</v>
      </c>
      <c r="G2274" s="311">
        <v>1905</v>
      </c>
      <c r="H2274" s="408" t="s">
        <v>722</v>
      </c>
      <c r="I2274" s="315">
        <v>0.1</v>
      </c>
      <c r="J2274" s="314">
        <v>9.6</v>
      </c>
      <c r="K2274" s="314">
        <v>9.3000000000000007</v>
      </c>
      <c r="L2274" s="314">
        <f t="shared" si="12"/>
        <v>0.29999999999999893</v>
      </c>
      <c r="M2274" s="316"/>
    </row>
    <row r="2275" spans="1:13" s="317" customFormat="1" ht="26.4" customHeight="1">
      <c r="A2275" s="282">
        <v>124</v>
      </c>
      <c r="B2275" s="533"/>
      <c r="C2275" s="307" t="s">
        <v>2497</v>
      </c>
      <c r="D2275" s="307" t="s">
        <v>2634</v>
      </c>
      <c r="E2275" s="441" t="s">
        <v>2628</v>
      </c>
      <c r="F2275" s="310">
        <v>4382</v>
      </c>
      <c r="G2275" s="311">
        <v>1905</v>
      </c>
      <c r="H2275" s="408" t="s">
        <v>722</v>
      </c>
      <c r="I2275" s="315">
        <v>0.1</v>
      </c>
      <c r="J2275" s="314">
        <v>18.5</v>
      </c>
      <c r="K2275" s="314">
        <v>17.2</v>
      </c>
      <c r="L2275" s="314">
        <f t="shared" si="12"/>
        <v>1.3000000000000007</v>
      </c>
      <c r="M2275" s="316"/>
    </row>
    <row r="2276" spans="1:13" s="317" customFormat="1" ht="26.4" customHeight="1">
      <c r="A2276" s="282">
        <v>125</v>
      </c>
      <c r="B2276" s="533"/>
      <c r="C2276" s="307" t="s">
        <v>2497</v>
      </c>
      <c r="D2276" s="307" t="s">
        <v>2635</v>
      </c>
      <c r="E2276" s="441" t="s">
        <v>2628</v>
      </c>
      <c r="F2276" s="310">
        <v>4388</v>
      </c>
      <c r="G2276" s="311">
        <v>1905</v>
      </c>
      <c r="H2276" s="408" t="s">
        <v>722</v>
      </c>
      <c r="I2276" s="315">
        <v>1.5</v>
      </c>
      <c r="J2276" s="314">
        <v>1</v>
      </c>
      <c r="K2276" s="314">
        <v>1</v>
      </c>
      <c r="L2276" s="314">
        <f t="shared" si="12"/>
        <v>0</v>
      </c>
      <c r="M2276" s="316"/>
    </row>
    <row r="2277" spans="1:13" s="317" customFormat="1" ht="26.4" customHeight="1">
      <c r="A2277" s="282">
        <v>126</v>
      </c>
      <c r="B2277" s="533"/>
      <c r="C2277" s="307" t="s">
        <v>2497</v>
      </c>
      <c r="D2277" s="307" t="s">
        <v>2636</v>
      </c>
      <c r="E2277" s="441" t="s">
        <v>2628</v>
      </c>
      <c r="F2277" s="310">
        <v>4386</v>
      </c>
      <c r="G2277" s="311">
        <v>1905</v>
      </c>
      <c r="H2277" s="408" t="s">
        <v>722</v>
      </c>
      <c r="I2277" s="315">
        <v>0.14000000000000001</v>
      </c>
      <c r="J2277" s="314">
        <v>4.5999999999999996</v>
      </c>
      <c r="K2277" s="314">
        <v>4.5999999999999996</v>
      </c>
      <c r="L2277" s="314">
        <f t="shared" si="12"/>
        <v>0</v>
      </c>
      <c r="M2277" s="316"/>
    </row>
    <row r="2278" spans="1:13" s="317" customFormat="1" ht="26.4" customHeight="1">
      <c r="A2278" s="282">
        <v>127</v>
      </c>
      <c r="B2278" s="533"/>
      <c r="C2278" s="307" t="s">
        <v>2497</v>
      </c>
      <c r="D2278" s="307" t="s">
        <v>2637</v>
      </c>
      <c r="E2278" s="441" t="s">
        <v>2628</v>
      </c>
      <c r="F2278" s="310">
        <v>4385</v>
      </c>
      <c r="G2278" s="311">
        <v>1905</v>
      </c>
      <c r="H2278" s="408" t="s">
        <v>722</v>
      </c>
      <c r="I2278" s="315">
        <v>0.06</v>
      </c>
      <c r="J2278" s="314">
        <v>64.5</v>
      </c>
      <c r="K2278" s="314">
        <v>53.3</v>
      </c>
      <c r="L2278" s="314">
        <f t="shared" si="12"/>
        <v>11.200000000000003</v>
      </c>
      <c r="M2278" s="316"/>
    </row>
    <row r="2279" spans="1:13" s="317" customFormat="1" ht="26.4" customHeight="1">
      <c r="A2279" s="282">
        <v>128</v>
      </c>
      <c r="B2279" s="533"/>
      <c r="C2279" s="307" t="s">
        <v>2497</v>
      </c>
      <c r="D2279" s="307" t="s">
        <v>2638</v>
      </c>
      <c r="E2279" s="441" t="s">
        <v>2628</v>
      </c>
      <c r="F2279" s="310">
        <v>4385</v>
      </c>
      <c r="G2279" s="311">
        <v>1905</v>
      </c>
      <c r="H2279" s="408" t="s">
        <v>722</v>
      </c>
      <c r="I2279" s="315">
        <v>0.12</v>
      </c>
      <c r="J2279" s="314">
        <v>10.8</v>
      </c>
      <c r="K2279" s="314">
        <v>10.4</v>
      </c>
      <c r="L2279" s="314">
        <f t="shared" si="12"/>
        <v>0.40000000000000036</v>
      </c>
      <c r="M2279" s="316"/>
    </row>
    <row r="2280" spans="1:13" s="317" customFormat="1" ht="26.4" customHeight="1">
      <c r="A2280" s="282">
        <v>129</v>
      </c>
      <c r="B2280" s="533"/>
      <c r="C2280" s="307" t="s">
        <v>2497</v>
      </c>
      <c r="D2280" s="307" t="s">
        <v>2639</v>
      </c>
      <c r="E2280" s="441" t="s">
        <v>2628</v>
      </c>
      <c r="F2280" s="310">
        <v>4367</v>
      </c>
      <c r="G2280" s="320" t="s">
        <v>2640</v>
      </c>
      <c r="H2280" s="408" t="s">
        <v>722</v>
      </c>
      <c r="I2280" s="313">
        <v>21.77</v>
      </c>
      <c r="J2280" s="314">
        <v>267.89999999999998</v>
      </c>
      <c r="K2280" s="314">
        <v>230.3</v>
      </c>
      <c r="L2280" s="314">
        <f t="shared" ref="L2280:L2300" si="13">J2280-K2280</f>
        <v>37.599999999999966</v>
      </c>
      <c r="M2280" s="316"/>
    </row>
    <row r="2281" spans="1:13" s="317" customFormat="1" ht="26.4">
      <c r="A2281" s="282">
        <v>130</v>
      </c>
      <c r="B2281" s="533"/>
      <c r="C2281" s="307" t="s">
        <v>2641</v>
      </c>
      <c r="D2281" s="307" t="s">
        <v>12947</v>
      </c>
      <c r="E2281" s="309" t="s">
        <v>2642</v>
      </c>
      <c r="F2281" s="310">
        <v>4390</v>
      </c>
      <c r="G2281" s="311">
        <v>1905</v>
      </c>
      <c r="H2281" s="408" t="s">
        <v>722</v>
      </c>
      <c r="I2281" s="315">
        <v>2.1</v>
      </c>
      <c r="J2281" s="314">
        <v>5.2</v>
      </c>
      <c r="K2281" s="314">
        <v>4.5999999999999996</v>
      </c>
      <c r="L2281" s="314">
        <f t="shared" si="13"/>
        <v>0.60000000000000053</v>
      </c>
      <c r="M2281" s="316"/>
    </row>
    <row r="2282" spans="1:13" s="317" customFormat="1" ht="26.4" customHeight="1">
      <c r="A2282" s="282">
        <v>131</v>
      </c>
      <c r="B2282" s="533"/>
      <c r="C2282" s="307" t="s">
        <v>2641</v>
      </c>
      <c r="D2282" s="307" t="s">
        <v>2643</v>
      </c>
      <c r="E2282" s="309" t="s">
        <v>2642</v>
      </c>
      <c r="F2282" s="310">
        <v>4389</v>
      </c>
      <c r="G2282" s="311">
        <v>1905</v>
      </c>
      <c r="H2282" s="408" t="s">
        <v>722</v>
      </c>
      <c r="I2282" s="315">
        <v>2.1</v>
      </c>
      <c r="J2282" s="314">
        <v>3.5</v>
      </c>
      <c r="K2282" s="314">
        <v>3.5</v>
      </c>
      <c r="L2282" s="314">
        <f t="shared" si="13"/>
        <v>0</v>
      </c>
      <c r="M2282" s="316"/>
    </row>
    <row r="2283" spans="1:13" s="317" customFormat="1" ht="26.4" customHeight="1">
      <c r="A2283" s="282">
        <v>132</v>
      </c>
      <c r="B2283" s="533"/>
      <c r="C2283" s="307" t="s">
        <v>2641</v>
      </c>
      <c r="D2283" s="446" t="s">
        <v>12632</v>
      </c>
      <c r="E2283" s="309" t="s">
        <v>2642</v>
      </c>
      <c r="F2283" s="310">
        <v>4368</v>
      </c>
      <c r="G2283" s="311">
        <v>1905</v>
      </c>
      <c r="H2283" s="408" t="s">
        <v>722</v>
      </c>
      <c r="I2283" s="315">
        <v>1.9</v>
      </c>
      <c r="J2283" s="314">
        <v>247.8</v>
      </c>
      <c r="K2283" s="314">
        <v>171.3</v>
      </c>
      <c r="L2283" s="314">
        <f t="shared" si="13"/>
        <v>76.5</v>
      </c>
      <c r="M2283" s="316"/>
    </row>
    <row r="2284" spans="1:13" s="317" customFormat="1" ht="39.6">
      <c r="A2284" s="282">
        <v>133</v>
      </c>
      <c r="B2284" s="533"/>
      <c r="C2284" s="307" t="s">
        <v>2641</v>
      </c>
      <c r="D2284" s="307" t="s">
        <v>2644</v>
      </c>
      <c r="E2284" s="322" t="s">
        <v>2645</v>
      </c>
      <c r="F2284" s="310">
        <v>4375</v>
      </c>
      <c r="G2284" s="311">
        <v>1905</v>
      </c>
      <c r="H2284" s="408" t="s">
        <v>722</v>
      </c>
      <c r="I2284" s="315">
        <v>0.2</v>
      </c>
      <c r="J2284" s="314">
        <v>7.2</v>
      </c>
      <c r="K2284" s="314">
        <v>6.7</v>
      </c>
      <c r="L2284" s="314">
        <f t="shared" si="13"/>
        <v>0.5</v>
      </c>
      <c r="M2284" s="316"/>
    </row>
    <row r="2285" spans="1:13" s="317" customFormat="1" ht="26.4" customHeight="1">
      <c r="A2285" s="282">
        <v>134</v>
      </c>
      <c r="B2285" s="533"/>
      <c r="C2285" s="307" t="s">
        <v>2641</v>
      </c>
      <c r="D2285" s="307" t="s">
        <v>2646</v>
      </c>
      <c r="E2285" s="322" t="s">
        <v>2647</v>
      </c>
      <c r="F2285" s="310">
        <v>4374</v>
      </c>
      <c r="G2285" s="311">
        <v>1905</v>
      </c>
      <c r="H2285" s="408" t="s">
        <v>722</v>
      </c>
      <c r="I2285" s="315">
        <v>0.3</v>
      </c>
      <c r="J2285" s="314">
        <v>12.7</v>
      </c>
      <c r="K2285" s="314">
        <v>10.7</v>
      </c>
      <c r="L2285" s="314">
        <f t="shared" si="13"/>
        <v>2</v>
      </c>
      <c r="M2285" s="316"/>
    </row>
    <row r="2286" spans="1:13" s="317" customFormat="1" ht="39.6">
      <c r="A2286" s="282">
        <v>135</v>
      </c>
      <c r="B2286" s="533"/>
      <c r="C2286" s="307" t="s">
        <v>2641</v>
      </c>
      <c r="D2286" s="307" t="s">
        <v>2644</v>
      </c>
      <c r="E2286" s="322" t="s">
        <v>2648</v>
      </c>
      <c r="F2286" s="310">
        <v>4376</v>
      </c>
      <c r="G2286" s="311">
        <v>1905</v>
      </c>
      <c r="H2286" s="408" t="s">
        <v>722</v>
      </c>
      <c r="I2286" s="315">
        <v>0.3</v>
      </c>
      <c r="J2286" s="314">
        <v>18.3</v>
      </c>
      <c r="K2286" s="314">
        <v>17</v>
      </c>
      <c r="L2286" s="314">
        <f t="shared" si="13"/>
        <v>1.3000000000000007</v>
      </c>
      <c r="M2286" s="316"/>
    </row>
    <row r="2287" spans="1:13" s="317" customFormat="1" ht="36.75" customHeight="1">
      <c r="A2287" s="282">
        <v>136</v>
      </c>
      <c r="B2287" s="533"/>
      <c r="C2287" s="307" t="s">
        <v>2641</v>
      </c>
      <c r="D2287" s="307" t="s">
        <v>2649</v>
      </c>
      <c r="E2287" s="322" t="s">
        <v>2650</v>
      </c>
      <c r="F2287" s="310">
        <v>4370</v>
      </c>
      <c r="G2287" s="311">
        <v>1905</v>
      </c>
      <c r="H2287" s="408" t="s">
        <v>722</v>
      </c>
      <c r="I2287" s="315">
        <v>1.5</v>
      </c>
      <c r="J2287" s="314">
        <v>12.6</v>
      </c>
      <c r="K2287" s="314">
        <v>11.1</v>
      </c>
      <c r="L2287" s="314">
        <f t="shared" si="13"/>
        <v>1.5</v>
      </c>
      <c r="M2287" s="316"/>
    </row>
    <row r="2288" spans="1:13" s="317" customFormat="1" ht="26.4" customHeight="1">
      <c r="A2288" s="282">
        <v>137</v>
      </c>
      <c r="B2288" s="533"/>
      <c r="C2288" s="307" t="s">
        <v>2641</v>
      </c>
      <c r="D2288" s="307" t="s">
        <v>2651</v>
      </c>
      <c r="E2288" s="322" t="s">
        <v>2652</v>
      </c>
      <c r="F2288" s="310">
        <v>4623</v>
      </c>
      <c r="G2288" s="311">
        <v>1905</v>
      </c>
      <c r="H2288" s="408" t="s">
        <v>722</v>
      </c>
      <c r="I2288" s="315">
        <v>1.4E-2</v>
      </c>
      <c r="J2288" s="314">
        <v>5.2</v>
      </c>
      <c r="K2288" s="314">
        <v>4.8</v>
      </c>
      <c r="L2288" s="314">
        <f t="shared" si="13"/>
        <v>0.40000000000000036</v>
      </c>
      <c r="M2288" s="316"/>
    </row>
    <row r="2289" spans="1:13" s="317" customFormat="1" ht="26.4" customHeight="1">
      <c r="A2289" s="282">
        <v>138</v>
      </c>
      <c r="B2289" s="533"/>
      <c r="C2289" s="307" t="s">
        <v>2641</v>
      </c>
      <c r="D2289" s="307" t="s">
        <v>2653</v>
      </c>
      <c r="E2289" s="441" t="s">
        <v>2654</v>
      </c>
      <c r="F2289" s="310">
        <v>4369</v>
      </c>
      <c r="G2289" s="320" t="s">
        <v>2655</v>
      </c>
      <c r="H2289" s="408" t="s">
        <v>722</v>
      </c>
      <c r="I2289" s="313">
        <v>20.079999999999998</v>
      </c>
      <c r="J2289" s="314">
        <v>33.799999999999997</v>
      </c>
      <c r="K2289" s="314">
        <v>31.8</v>
      </c>
      <c r="L2289" s="314">
        <f t="shared" si="13"/>
        <v>1.9999999999999964</v>
      </c>
      <c r="M2289" s="316"/>
    </row>
    <row r="2290" spans="1:13" s="317" customFormat="1" ht="26.4" customHeight="1">
      <c r="A2290" s="282">
        <v>139</v>
      </c>
      <c r="B2290" s="533"/>
      <c r="C2290" s="307" t="s">
        <v>2497</v>
      </c>
      <c r="D2290" s="307" t="s">
        <v>2656</v>
      </c>
      <c r="E2290" s="441" t="s">
        <v>2657</v>
      </c>
      <c r="F2290" s="310">
        <v>4692</v>
      </c>
      <c r="G2290" s="311">
        <v>1905</v>
      </c>
      <c r="H2290" s="408" t="s">
        <v>2658</v>
      </c>
      <c r="I2290" s="313">
        <v>30</v>
      </c>
      <c r="J2290" s="314">
        <v>64</v>
      </c>
      <c r="K2290" s="314">
        <v>48.7</v>
      </c>
      <c r="L2290" s="314">
        <f t="shared" si="13"/>
        <v>15.299999999999997</v>
      </c>
      <c r="M2290" s="316"/>
    </row>
    <row r="2291" spans="1:13" s="317" customFormat="1" ht="26.4" customHeight="1">
      <c r="A2291" s="282">
        <v>140</v>
      </c>
      <c r="B2291" s="533"/>
      <c r="C2291" s="307" t="s">
        <v>2641</v>
      </c>
      <c r="D2291" s="307" t="s">
        <v>2659</v>
      </c>
      <c r="E2291" s="441" t="s">
        <v>2660</v>
      </c>
      <c r="F2291" s="310">
        <v>4511</v>
      </c>
      <c r="G2291" s="311">
        <v>1905</v>
      </c>
      <c r="H2291" s="408" t="s">
        <v>3</v>
      </c>
      <c r="I2291" s="313" t="s">
        <v>3</v>
      </c>
      <c r="J2291" s="314">
        <v>105.7</v>
      </c>
      <c r="K2291" s="314">
        <v>105.7</v>
      </c>
      <c r="L2291" s="314">
        <f t="shared" si="13"/>
        <v>0</v>
      </c>
      <c r="M2291" s="316"/>
    </row>
    <row r="2292" spans="1:13" s="317" customFormat="1" ht="26.4" customHeight="1">
      <c r="A2292" s="282">
        <v>141</v>
      </c>
      <c r="B2292" s="533"/>
      <c r="C2292" s="307" t="s">
        <v>2641</v>
      </c>
      <c r="D2292" s="307" t="s">
        <v>2661</v>
      </c>
      <c r="E2292" s="441" t="s">
        <v>2660</v>
      </c>
      <c r="F2292" s="310">
        <v>912000549</v>
      </c>
      <c r="G2292" s="311">
        <v>1905</v>
      </c>
      <c r="H2292" s="408" t="s">
        <v>3</v>
      </c>
      <c r="I2292" s="313" t="s">
        <v>3</v>
      </c>
      <c r="J2292" s="314">
        <v>12</v>
      </c>
      <c r="K2292" s="314">
        <v>4.7</v>
      </c>
      <c r="L2292" s="314">
        <f t="shared" si="13"/>
        <v>7.3</v>
      </c>
      <c r="M2292" s="316"/>
    </row>
    <row r="2293" spans="1:13" s="317" customFormat="1" ht="26.4" customHeight="1">
      <c r="A2293" s="282">
        <v>142</v>
      </c>
      <c r="B2293" s="533"/>
      <c r="C2293" s="307" t="s">
        <v>2641</v>
      </c>
      <c r="D2293" s="307" t="s">
        <v>2662</v>
      </c>
      <c r="E2293" s="441" t="s">
        <v>2660</v>
      </c>
      <c r="F2293" s="310">
        <v>91200550</v>
      </c>
      <c r="G2293" s="311">
        <v>1905</v>
      </c>
      <c r="H2293" s="408" t="s">
        <v>3</v>
      </c>
      <c r="I2293" s="313" t="s">
        <v>3</v>
      </c>
      <c r="J2293" s="314">
        <v>12</v>
      </c>
      <c r="K2293" s="314">
        <v>4.7</v>
      </c>
      <c r="L2293" s="314">
        <f t="shared" si="13"/>
        <v>7.3</v>
      </c>
      <c r="M2293" s="316"/>
    </row>
    <row r="2294" spans="1:13" s="317" customFormat="1" ht="26.4" customHeight="1">
      <c r="A2294" s="282">
        <v>143</v>
      </c>
      <c r="B2294" s="533"/>
      <c r="C2294" s="307" t="s">
        <v>2641</v>
      </c>
      <c r="D2294" s="307" t="s">
        <v>2653</v>
      </c>
      <c r="E2294" s="441" t="s">
        <v>2660</v>
      </c>
      <c r="F2294" s="310">
        <v>912000551</v>
      </c>
      <c r="G2294" s="311">
        <v>1905</v>
      </c>
      <c r="H2294" s="408" t="s">
        <v>3</v>
      </c>
      <c r="I2294" s="313" t="s">
        <v>3</v>
      </c>
      <c r="J2294" s="314">
        <v>12</v>
      </c>
      <c r="K2294" s="314">
        <v>4.7</v>
      </c>
      <c r="L2294" s="314">
        <f t="shared" si="13"/>
        <v>7.3</v>
      </c>
      <c r="M2294" s="316"/>
    </row>
    <row r="2295" spans="1:13" s="317" customFormat="1" ht="26.4" customHeight="1">
      <c r="A2295" s="282">
        <v>144</v>
      </c>
      <c r="B2295" s="533"/>
      <c r="C2295" s="307" t="s">
        <v>2641</v>
      </c>
      <c r="D2295" s="307" t="s">
        <v>2651</v>
      </c>
      <c r="E2295" s="323" t="s">
        <v>2663</v>
      </c>
      <c r="F2295" s="310">
        <v>4373</v>
      </c>
      <c r="G2295" s="311">
        <v>1905</v>
      </c>
      <c r="H2295" s="408" t="s">
        <v>722</v>
      </c>
      <c r="I2295" s="315">
        <v>1.88</v>
      </c>
      <c r="J2295" s="314">
        <v>9.6</v>
      </c>
      <c r="K2295" s="314">
        <v>9.6</v>
      </c>
      <c r="L2295" s="314">
        <f t="shared" si="13"/>
        <v>0</v>
      </c>
      <c r="M2295" s="316"/>
    </row>
    <row r="2296" spans="1:13" s="317" customFormat="1" ht="26.4" customHeight="1">
      <c r="A2296" s="282">
        <v>145</v>
      </c>
      <c r="B2296" s="533"/>
      <c r="C2296" s="307" t="s">
        <v>2641</v>
      </c>
      <c r="D2296" s="307" t="s">
        <v>2644</v>
      </c>
      <c r="E2296" s="323" t="s">
        <v>2664</v>
      </c>
      <c r="F2296" s="310">
        <v>4372</v>
      </c>
      <c r="G2296" s="311">
        <v>1905</v>
      </c>
      <c r="H2296" s="408" t="s">
        <v>722</v>
      </c>
      <c r="I2296" s="315">
        <v>0.26</v>
      </c>
      <c r="J2296" s="314">
        <v>105.5</v>
      </c>
      <c r="K2296" s="314">
        <v>105.5</v>
      </c>
      <c r="L2296" s="314">
        <f t="shared" si="13"/>
        <v>0</v>
      </c>
      <c r="M2296" s="316"/>
    </row>
    <row r="2297" spans="1:13" s="317" customFormat="1" ht="26.4" customHeight="1">
      <c r="A2297" s="282">
        <v>146</v>
      </c>
      <c r="B2297" s="533"/>
      <c r="C2297" s="307" t="s">
        <v>2641</v>
      </c>
      <c r="D2297" s="307" t="s">
        <v>2653</v>
      </c>
      <c r="E2297" s="323" t="s">
        <v>2665</v>
      </c>
      <c r="F2297" s="310">
        <v>4624</v>
      </c>
      <c r="G2297" s="311">
        <v>1905</v>
      </c>
      <c r="H2297" s="408" t="s">
        <v>722</v>
      </c>
      <c r="I2297" s="315">
        <v>0.23</v>
      </c>
      <c r="J2297" s="314">
        <v>50.6</v>
      </c>
      <c r="K2297" s="314">
        <v>50.6</v>
      </c>
      <c r="L2297" s="314">
        <f t="shared" si="13"/>
        <v>0</v>
      </c>
      <c r="M2297" s="316"/>
    </row>
    <row r="2298" spans="1:13" s="317" customFormat="1" ht="53.25" customHeight="1">
      <c r="A2298" s="282">
        <v>147</v>
      </c>
      <c r="B2298" s="533"/>
      <c r="C2298" s="307" t="s">
        <v>2641</v>
      </c>
      <c r="D2298" s="307" t="s">
        <v>13229</v>
      </c>
      <c r="E2298" s="323" t="s">
        <v>12661</v>
      </c>
      <c r="F2298" s="310">
        <v>4401</v>
      </c>
      <c r="G2298" s="311">
        <v>1905</v>
      </c>
      <c r="H2298" s="408" t="s">
        <v>722</v>
      </c>
      <c r="I2298" s="315">
        <v>1.2</v>
      </c>
      <c r="J2298" s="314">
        <v>2.5</v>
      </c>
      <c r="K2298" s="314">
        <v>2.1</v>
      </c>
      <c r="L2298" s="314">
        <f t="shared" si="13"/>
        <v>0.39999999999999991</v>
      </c>
      <c r="M2298" s="316"/>
    </row>
    <row r="2299" spans="1:13" s="317" customFormat="1" ht="26.4" customHeight="1">
      <c r="A2299" s="282">
        <v>148</v>
      </c>
      <c r="B2299" s="533"/>
      <c r="C2299" s="307" t="s">
        <v>2641</v>
      </c>
      <c r="D2299" s="307" t="s">
        <v>2662</v>
      </c>
      <c r="E2299" s="323" t="s">
        <v>2666</v>
      </c>
      <c r="F2299" s="310">
        <v>4403</v>
      </c>
      <c r="G2299" s="311">
        <v>1905</v>
      </c>
      <c r="H2299" s="408" t="s">
        <v>722</v>
      </c>
      <c r="I2299" s="315">
        <v>3.79</v>
      </c>
      <c r="J2299" s="314">
        <v>28.8</v>
      </c>
      <c r="K2299" s="314">
        <v>16.5</v>
      </c>
      <c r="L2299" s="314">
        <f t="shared" si="13"/>
        <v>12.3</v>
      </c>
      <c r="M2299" s="316"/>
    </row>
    <row r="2300" spans="1:13" s="317" customFormat="1" ht="26.4" customHeight="1">
      <c r="A2300" s="282">
        <v>149</v>
      </c>
      <c r="B2300" s="533"/>
      <c r="C2300" s="307" t="s">
        <v>2641</v>
      </c>
      <c r="D2300" s="307" t="s">
        <v>2653</v>
      </c>
      <c r="E2300" s="309" t="s">
        <v>2667</v>
      </c>
      <c r="F2300" s="310">
        <v>4400</v>
      </c>
      <c r="G2300" s="311">
        <v>1905</v>
      </c>
      <c r="H2300" s="408" t="s">
        <v>2658</v>
      </c>
      <c r="I2300" s="313">
        <v>149</v>
      </c>
      <c r="J2300" s="314">
        <v>4.9000000000000004</v>
      </c>
      <c r="K2300" s="314">
        <v>4.5999999999999996</v>
      </c>
      <c r="L2300" s="314">
        <f t="shared" si="13"/>
        <v>0.30000000000000071</v>
      </c>
      <c r="M2300" s="316"/>
    </row>
    <row r="2301" spans="1:13" s="317" customFormat="1" ht="26.4" customHeight="1">
      <c r="A2301" s="324" t="s">
        <v>3</v>
      </c>
      <c r="B2301" s="325" t="s">
        <v>4</v>
      </c>
      <c r="C2301" s="325" t="s">
        <v>3</v>
      </c>
      <c r="D2301" s="325" t="s">
        <v>3</v>
      </c>
      <c r="E2301" s="325" t="s">
        <v>3</v>
      </c>
      <c r="F2301" s="326" t="s">
        <v>3</v>
      </c>
      <c r="G2301" s="325" t="s">
        <v>3</v>
      </c>
      <c r="H2301" s="327" t="s">
        <v>3</v>
      </c>
      <c r="I2301" s="325" t="s">
        <v>3</v>
      </c>
      <c r="J2301" s="328">
        <f>SUM(J2152:J2300)</f>
        <v>6124.3000000000029</v>
      </c>
      <c r="K2301" s="328">
        <f>SUM(K2152:K2300)</f>
        <v>5307.0000000000009</v>
      </c>
      <c r="L2301" s="328">
        <f>SUM(L2152:L2300)</f>
        <v>817.29999999999984</v>
      </c>
      <c r="M2301" s="316"/>
    </row>
    <row r="2302" spans="1:13" s="332" customFormat="1" ht="26.4" customHeight="1">
      <c r="A2302" s="445">
        <v>1</v>
      </c>
      <c r="B2302" s="533" t="s">
        <v>2668</v>
      </c>
      <c r="C2302" s="313" t="s">
        <v>2669</v>
      </c>
      <c r="D2302" s="313" t="s">
        <v>2670</v>
      </c>
      <c r="E2302" s="441" t="s">
        <v>2671</v>
      </c>
      <c r="F2302" s="310">
        <v>18</v>
      </c>
      <c r="G2302" s="311">
        <v>1905</v>
      </c>
      <c r="H2302" s="329" t="s">
        <v>1149</v>
      </c>
      <c r="I2302" s="313">
        <v>722.3</v>
      </c>
      <c r="J2302" s="314">
        <v>225.2</v>
      </c>
      <c r="K2302" s="314">
        <v>173.9</v>
      </c>
      <c r="L2302" s="314">
        <f t="shared" ref="L2302:L2365" si="14">J2302-K2302</f>
        <v>51.299999999999983</v>
      </c>
      <c r="M2302" s="331"/>
    </row>
    <row r="2303" spans="1:13" s="71" customFormat="1" ht="26.4" customHeight="1">
      <c r="A2303" s="282">
        <v>2</v>
      </c>
      <c r="B2303" s="533"/>
      <c r="C2303" s="333" t="s">
        <v>2669</v>
      </c>
      <c r="D2303" s="333" t="s">
        <v>2670</v>
      </c>
      <c r="E2303" s="441" t="s">
        <v>2672</v>
      </c>
      <c r="F2303" s="334">
        <v>19</v>
      </c>
      <c r="G2303" s="311">
        <v>1905</v>
      </c>
      <c r="H2303" s="329" t="s">
        <v>1149</v>
      </c>
      <c r="I2303" s="313">
        <v>433.8</v>
      </c>
      <c r="J2303" s="336">
        <v>158.80000000000001</v>
      </c>
      <c r="K2303" s="336">
        <v>128</v>
      </c>
      <c r="L2303" s="336">
        <f t="shared" si="14"/>
        <v>30.800000000000011</v>
      </c>
      <c r="M2303" s="337"/>
    </row>
    <row r="2304" spans="1:13" s="71" customFormat="1" ht="26.4" customHeight="1">
      <c r="A2304" s="282">
        <v>3</v>
      </c>
      <c r="B2304" s="533"/>
      <c r="C2304" s="333" t="s">
        <v>2669</v>
      </c>
      <c r="D2304" s="333" t="s">
        <v>2670</v>
      </c>
      <c r="E2304" s="441" t="s">
        <v>738</v>
      </c>
      <c r="F2304" s="334">
        <v>12</v>
      </c>
      <c r="G2304" s="311">
        <v>1905</v>
      </c>
      <c r="H2304" s="329" t="s">
        <v>1149</v>
      </c>
      <c r="I2304" s="313">
        <v>874</v>
      </c>
      <c r="J2304" s="336">
        <v>130.5</v>
      </c>
      <c r="K2304" s="336">
        <v>103.5</v>
      </c>
      <c r="L2304" s="336">
        <f t="shared" si="14"/>
        <v>27</v>
      </c>
      <c r="M2304" s="337"/>
    </row>
    <row r="2305" spans="1:13" s="71" customFormat="1" ht="26.4" customHeight="1">
      <c r="A2305" s="282">
        <v>4</v>
      </c>
      <c r="B2305" s="533"/>
      <c r="C2305" s="333" t="s">
        <v>2669</v>
      </c>
      <c r="D2305" s="333" t="s">
        <v>2670</v>
      </c>
      <c r="E2305" s="441" t="s">
        <v>2673</v>
      </c>
      <c r="F2305" s="334">
        <v>25</v>
      </c>
      <c r="G2305" s="311">
        <v>1905</v>
      </c>
      <c r="H2305" s="329" t="s">
        <v>1149</v>
      </c>
      <c r="I2305" s="313">
        <v>42.1</v>
      </c>
      <c r="J2305" s="336">
        <v>3.2</v>
      </c>
      <c r="K2305" s="336">
        <v>2.6</v>
      </c>
      <c r="L2305" s="336">
        <f t="shared" si="14"/>
        <v>0.60000000000000009</v>
      </c>
      <c r="M2305" s="337"/>
    </row>
    <row r="2306" spans="1:13" s="71" customFormat="1" ht="26.4" customHeight="1">
      <c r="A2306" s="282">
        <v>5</v>
      </c>
      <c r="B2306" s="533"/>
      <c r="C2306" s="333" t="s">
        <v>2669</v>
      </c>
      <c r="D2306" s="333" t="s">
        <v>2670</v>
      </c>
      <c r="E2306" s="441" t="s">
        <v>2674</v>
      </c>
      <c r="F2306" s="334">
        <v>8</v>
      </c>
      <c r="G2306" s="311">
        <v>1905</v>
      </c>
      <c r="H2306" s="329" t="s">
        <v>1149</v>
      </c>
      <c r="I2306" s="313">
        <v>316.10000000000002</v>
      </c>
      <c r="J2306" s="336">
        <v>11.3</v>
      </c>
      <c r="K2306" s="336">
        <v>9.3000000000000007</v>
      </c>
      <c r="L2306" s="336">
        <f t="shared" si="14"/>
        <v>2</v>
      </c>
      <c r="M2306" s="337"/>
    </row>
    <row r="2307" spans="1:13" s="71" customFormat="1" ht="26.4" customHeight="1">
      <c r="A2307" s="282">
        <v>6</v>
      </c>
      <c r="B2307" s="533"/>
      <c r="C2307" s="333" t="s">
        <v>2669</v>
      </c>
      <c r="D2307" s="333" t="s">
        <v>2670</v>
      </c>
      <c r="E2307" s="441" t="s">
        <v>2675</v>
      </c>
      <c r="F2307" s="334">
        <v>14</v>
      </c>
      <c r="G2307" s="311">
        <v>1905</v>
      </c>
      <c r="H2307" s="329" t="s">
        <v>1149</v>
      </c>
      <c r="I2307" s="313">
        <v>98.6</v>
      </c>
      <c r="J2307" s="336">
        <v>2.2000000000000002</v>
      </c>
      <c r="K2307" s="336">
        <v>1.8</v>
      </c>
      <c r="L2307" s="336">
        <f t="shared" si="14"/>
        <v>0.40000000000000013</v>
      </c>
      <c r="M2307" s="337"/>
    </row>
    <row r="2308" spans="1:13" s="71" customFormat="1" ht="26.4" customHeight="1">
      <c r="A2308" s="282">
        <v>7</v>
      </c>
      <c r="B2308" s="533"/>
      <c r="C2308" s="333" t="s">
        <v>2669</v>
      </c>
      <c r="D2308" s="333" t="s">
        <v>2670</v>
      </c>
      <c r="E2308" s="441" t="s">
        <v>2676</v>
      </c>
      <c r="F2308" s="334">
        <v>22</v>
      </c>
      <c r="G2308" s="311">
        <v>1905</v>
      </c>
      <c r="H2308" s="329" t="s">
        <v>1149</v>
      </c>
      <c r="I2308" s="315">
        <v>63.1</v>
      </c>
      <c r="J2308" s="336">
        <v>4.4000000000000004</v>
      </c>
      <c r="K2308" s="336">
        <v>3.6</v>
      </c>
      <c r="L2308" s="336">
        <f t="shared" si="14"/>
        <v>0.80000000000000027</v>
      </c>
      <c r="M2308" s="337"/>
    </row>
    <row r="2309" spans="1:13" s="71" customFormat="1" ht="26.4" customHeight="1">
      <c r="A2309" s="282">
        <v>8</v>
      </c>
      <c r="B2309" s="533"/>
      <c r="C2309" s="333" t="s">
        <v>2669</v>
      </c>
      <c r="D2309" s="333" t="s">
        <v>2670</v>
      </c>
      <c r="E2309" s="441" t="s">
        <v>2677</v>
      </c>
      <c r="F2309" s="334">
        <v>23</v>
      </c>
      <c r="G2309" s="311">
        <v>1905</v>
      </c>
      <c r="H2309" s="329" t="s">
        <v>1149</v>
      </c>
      <c r="I2309" s="313">
        <v>244.5</v>
      </c>
      <c r="J2309" s="336">
        <v>13.1</v>
      </c>
      <c r="K2309" s="336">
        <v>10.9</v>
      </c>
      <c r="L2309" s="336">
        <f t="shared" si="14"/>
        <v>2.1999999999999993</v>
      </c>
      <c r="M2309" s="337"/>
    </row>
    <row r="2310" spans="1:13" s="71" customFormat="1" ht="26.4" customHeight="1">
      <c r="A2310" s="282">
        <v>9</v>
      </c>
      <c r="B2310" s="533"/>
      <c r="C2310" s="333" t="s">
        <v>2669</v>
      </c>
      <c r="D2310" s="333" t="s">
        <v>2670</v>
      </c>
      <c r="E2310" s="441" t="s">
        <v>953</v>
      </c>
      <c r="F2310" s="334">
        <v>69</v>
      </c>
      <c r="G2310" s="311">
        <v>1905</v>
      </c>
      <c r="H2310" s="329" t="s">
        <v>1149</v>
      </c>
      <c r="I2310" s="313">
        <v>7.5</v>
      </c>
      <c r="J2310" s="336">
        <v>1.5</v>
      </c>
      <c r="K2310" s="336">
        <v>0.5</v>
      </c>
      <c r="L2310" s="336">
        <f t="shared" si="14"/>
        <v>1</v>
      </c>
      <c r="M2310" s="337"/>
    </row>
    <row r="2311" spans="1:13" s="71" customFormat="1" ht="26.4" customHeight="1">
      <c r="A2311" s="282">
        <v>10</v>
      </c>
      <c r="B2311" s="533"/>
      <c r="C2311" s="333" t="s">
        <v>2669</v>
      </c>
      <c r="D2311" s="307" t="s">
        <v>2678</v>
      </c>
      <c r="E2311" s="260" t="s">
        <v>2679</v>
      </c>
      <c r="F2311" s="334">
        <v>680</v>
      </c>
      <c r="G2311" s="311">
        <v>1905</v>
      </c>
      <c r="H2311" s="329" t="s">
        <v>1149</v>
      </c>
      <c r="I2311" s="313">
        <v>59.9</v>
      </c>
      <c r="J2311" s="336">
        <v>106.9</v>
      </c>
      <c r="K2311" s="336">
        <v>81.599999999999994</v>
      </c>
      <c r="L2311" s="336">
        <f t="shared" si="14"/>
        <v>25.300000000000011</v>
      </c>
      <c r="M2311" s="337"/>
    </row>
    <row r="2312" spans="1:13" s="71" customFormat="1" ht="26.4" customHeight="1">
      <c r="A2312" s="282">
        <v>11</v>
      </c>
      <c r="B2312" s="533"/>
      <c r="C2312" s="333" t="s">
        <v>2669</v>
      </c>
      <c r="D2312" s="307" t="s">
        <v>2678</v>
      </c>
      <c r="E2312" s="260" t="s">
        <v>2680</v>
      </c>
      <c r="F2312" s="334">
        <v>685</v>
      </c>
      <c r="G2312" s="311">
        <v>1905</v>
      </c>
      <c r="H2312" s="329" t="s">
        <v>1149</v>
      </c>
      <c r="I2312" s="313">
        <v>63.1</v>
      </c>
      <c r="J2312" s="336">
        <v>15.5</v>
      </c>
      <c r="K2312" s="336">
        <v>11.5</v>
      </c>
      <c r="L2312" s="336">
        <f t="shared" si="14"/>
        <v>4</v>
      </c>
      <c r="M2312" s="337"/>
    </row>
    <row r="2313" spans="1:13" s="71" customFormat="1" ht="26.4" customHeight="1">
      <c r="A2313" s="282">
        <v>12</v>
      </c>
      <c r="B2313" s="533"/>
      <c r="C2313" s="333" t="s">
        <v>2669</v>
      </c>
      <c r="D2313" s="307" t="s">
        <v>2678</v>
      </c>
      <c r="E2313" s="260" t="s">
        <v>1079</v>
      </c>
      <c r="F2313" s="334">
        <v>681</v>
      </c>
      <c r="G2313" s="311">
        <v>1905</v>
      </c>
      <c r="H2313" s="329" t="s">
        <v>1149</v>
      </c>
      <c r="I2313" s="313">
        <v>28</v>
      </c>
      <c r="J2313" s="336">
        <v>5.5</v>
      </c>
      <c r="K2313" s="336">
        <v>4.0999999999999996</v>
      </c>
      <c r="L2313" s="336">
        <f t="shared" si="14"/>
        <v>1.4000000000000004</v>
      </c>
      <c r="M2313" s="337"/>
    </row>
    <row r="2314" spans="1:13" s="71" customFormat="1" ht="26.4" customHeight="1">
      <c r="A2314" s="282">
        <v>13</v>
      </c>
      <c r="B2314" s="533"/>
      <c r="C2314" s="333" t="s">
        <v>2669</v>
      </c>
      <c r="D2314" s="307" t="s">
        <v>2678</v>
      </c>
      <c r="E2314" s="260" t="s">
        <v>2681</v>
      </c>
      <c r="F2314" s="334">
        <v>682</v>
      </c>
      <c r="G2314" s="311">
        <v>1905</v>
      </c>
      <c r="H2314" s="329" t="s">
        <v>1149</v>
      </c>
      <c r="I2314" s="313">
        <v>69.099999999999994</v>
      </c>
      <c r="J2314" s="336">
        <v>24.6</v>
      </c>
      <c r="K2314" s="336">
        <v>19.8</v>
      </c>
      <c r="L2314" s="336">
        <f t="shared" si="14"/>
        <v>4.8000000000000007</v>
      </c>
      <c r="M2314" s="337"/>
    </row>
    <row r="2315" spans="1:13" s="71" customFormat="1" ht="26.4" customHeight="1">
      <c r="A2315" s="282">
        <v>14</v>
      </c>
      <c r="B2315" s="533"/>
      <c r="C2315" s="333" t="s">
        <v>2669</v>
      </c>
      <c r="D2315" s="307" t="s">
        <v>2678</v>
      </c>
      <c r="E2315" s="260" t="s">
        <v>12633</v>
      </c>
      <c r="F2315" s="334">
        <v>684</v>
      </c>
      <c r="G2315" s="311">
        <v>1905</v>
      </c>
      <c r="H2315" s="329" t="s">
        <v>1149</v>
      </c>
      <c r="I2315" s="313">
        <v>1359</v>
      </c>
      <c r="J2315" s="336">
        <v>195.8</v>
      </c>
      <c r="K2315" s="336">
        <v>153.1</v>
      </c>
      <c r="L2315" s="336">
        <f t="shared" si="14"/>
        <v>42.700000000000017</v>
      </c>
      <c r="M2315" s="337"/>
    </row>
    <row r="2316" spans="1:13" s="71" customFormat="1" ht="26.4" customHeight="1">
      <c r="A2316" s="282">
        <v>15</v>
      </c>
      <c r="B2316" s="533"/>
      <c r="C2316" s="333" t="s">
        <v>2669</v>
      </c>
      <c r="D2316" s="307" t="s">
        <v>2678</v>
      </c>
      <c r="E2316" s="260" t="s">
        <v>962</v>
      </c>
      <c r="F2316" s="334">
        <v>6830</v>
      </c>
      <c r="G2316" s="311">
        <v>1905</v>
      </c>
      <c r="H2316" s="329" t="s">
        <v>1149</v>
      </c>
      <c r="I2316" s="313">
        <v>153.30000000000001</v>
      </c>
      <c r="J2316" s="336">
        <v>213.9</v>
      </c>
      <c r="K2316" s="336">
        <v>162.5</v>
      </c>
      <c r="L2316" s="336">
        <f t="shared" si="14"/>
        <v>51.400000000000006</v>
      </c>
      <c r="M2316" s="337"/>
    </row>
    <row r="2317" spans="1:13" s="71" customFormat="1" ht="26.4" customHeight="1">
      <c r="A2317" s="282">
        <v>16</v>
      </c>
      <c r="B2317" s="533"/>
      <c r="C2317" s="333" t="s">
        <v>2669</v>
      </c>
      <c r="D2317" s="333" t="s">
        <v>2682</v>
      </c>
      <c r="E2317" s="441" t="s">
        <v>2683</v>
      </c>
      <c r="F2317" s="334">
        <v>1</v>
      </c>
      <c r="G2317" s="311">
        <v>1905</v>
      </c>
      <c r="H2317" s="329" t="s">
        <v>1149</v>
      </c>
      <c r="I2317" s="313">
        <v>509.2</v>
      </c>
      <c r="J2317" s="336">
        <v>193.6</v>
      </c>
      <c r="K2317" s="336">
        <v>144.80000000000001</v>
      </c>
      <c r="L2317" s="336">
        <f t="shared" si="14"/>
        <v>48.799999999999983</v>
      </c>
      <c r="M2317" s="337"/>
    </row>
    <row r="2318" spans="1:13" s="71" customFormat="1" ht="26.4" customHeight="1">
      <c r="A2318" s="282">
        <v>17</v>
      </c>
      <c r="B2318" s="533"/>
      <c r="C2318" s="333" t="s">
        <v>2669</v>
      </c>
      <c r="D2318" s="333" t="s">
        <v>2682</v>
      </c>
      <c r="E2318" s="441" t="s">
        <v>2674</v>
      </c>
      <c r="F2318" s="334">
        <v>2</v>
      </c>
      <c r="G2318" s="311">
        <v>1905</v>
      </c>
      <c r="H2318" s="329" t="s">
        <v>1149</v>
      </c>
      <c r="I2318" s="313">
        <v>99.6</v>
      </c>
      <c r="J2318" s="336">
        <v>84</v>
      </c>
      <c r="K2318" s="336">
        <v>53.6</v>
      </c>
      <c r="L2318" s="336">
        <f t="shared" si="14"/>
        <v>30.4</v>
      </c>
      <c r="M2318" s="337"/>
    </row>
    <row r="2319" spans="1:13" s="71" customFormat="1" ht="26.4" customHeight="1">
      <c r="A2319" s="282">
        <v>18</v>
      </c>
      <c r="B2319" s="533"/>
      <c r="C2319" s="333" t="s">
        <v>2669</v>
      </c>
      <c r="D2319" s="333" t="s">
        <v>2682</v>
      </c>
      <c r="E2319" s="441" t="s">
        <v>2684</v>
      </c>
      <c r="F2319" s="334">
        <v>3</v>
      </c>
      <c r="G2319" s="311">
        <v>1905</v>
      </c>
      <c r="H2319" s="329" t="s">
        <v>1149</v>
      </c>
      <c r="I2319" s="313">
        <v>140.4</v>
      </c>
      <c r="J2319" s="336">
        <v>59</v>
      </c>
      <c r="K2319" s="336">
        <v>46.4</v>
      </c>
      <c r="L2319" s="336">
        <f t="shared" si="14"/>
        <v>12.600000000000001</v>
      </c>
      <c r="M2319" s="337"/>
    </row>
    <row r="2320" spans="1:13" s="71" customFormat="1" ht="26.4" customHeight="1">
      <c r="A2320" s="282">
        <v>19</v>
      </c>
      <c r="B2320" s="533"/>
      <c r="C2320" s="333" t="s">
        <v>2669</v>
      </c>
      <c r="D2320" s="333" t="s">
        <v>2682</v>
      </c>
      <c r="E2320" s="441" t="s">
        <v>2685</v>
      </c>
      <c r="F2320" s="334">
        <v>4</v>
      </c>
      <c r="G2320" s="311">
        <v>1905</v>
      </c>
      <c r="H2320" s="329" t="s">
        <v>1149</v>
      </c>
      <c r="I2320" s="313">
        <v>69</v>
      </c>
      <c r="J2320" s="336">
        <v>52.5</v>
      </c>
      <c r="K2320" s="336">
        <v>41.1</v>
      </c>
      <c r="L2320" s="336">
        <f t="shared" si="14"/>
        <v>11.399999999999999</v>
      </c>
      <c r="M2320" s="337"/>
    </row>
    <row r="2321" spans="1:13" s="71" customFormat="1" ht="26.4" customHeight="1">
      <c r="A2321" s="282">
        <v>20</v>
      </c>
      <c r="B2321" s="533"/>
      <c r="C2321" s="333" t="s">
        <v>2669</v>
      </c>
      <c r="D2321" s="333" t="s">
        <v>2682</v>
      </c>
      <c r="E2321" s="441" t="s">
        <v>2686</v>
      </c>
      <c r="F2321" s="334">
        <v>5</v>
      </c>
      <c r="G2321" s="311">
        <v>1905</v>
      </c>
      <c r="H2321" s="329" t="s">
        <v>1149</v>
      </c>
      <c r="I2321" s="313">
        <v>196</v>
      </c>
      <c r="J2321" s="336">
        <v>159.4</v>
      </c>
      <c r="K2321" s="336">
        <v>123.2</v>
      </c>
      <c r="L2321" s="336">
        <f t="shared" si="14"/>
        <v>36.200000000000003</v>
      </c>
      <c r="M2321" s="337"/>
    </row>
    <row r="2322" spans="1:13" s="71" customFormat="1" ht="26.4" customHeight="1">
      <c r="A2322" s="282">
        <v>21</v>
      </c>
      <c r="B2322" s="533"/>
      <c r="C2322" s="333" t="s">
        <v>2669</v>
      </c>
      <c r="D2322" s="333" t="s">
        <v>2682</v>
      </c>
      <c r="E2322" s="441" t="s">
        <v>2687</v>
      </c>
      <c r="F2322" s="334">
        <v>6</v>
      </c>
      <c r="G2322" s="311">
        <v>1905</v>
      </c>
      <c r="H2322" s="329" t="s">
        <v>1149</v>
      </c>
      <c r="I2322" s="313">
        <v>132.5</v>
      </c>
      <c r="J2322" s="336">
        <v>230.7</v>
      </c>
      <c r="K2322" s="336">
        <v>122.2</v>
      </c>
      <c r="L2322" s="336">
        <f t="shared" si="14"/>
        <v>108.49999999999999</v>
      </c>
      <c r="M2322" s="337"/>
    </row>
    <row r="2323" spans="1:13" s="71" customFormat="1" ht="26.4" customHeight="1">
      <c r="A2323" s="282">
        <v>22</v>
      </c>
      <c r="B2323" s="533"/>
      <c r="C2323" s="333" t="s">
        <v>2669</v>
      </c>
      <c r="D2323" s="333" t="s">
        <v>2682</v>
      </c>
      <c r="E2323" s="441" t="s">
        <v>2681</v>
      </c>
      <c r="F2323" s="334">
        <v>7</v>
      </c>
      <c r="G2323" s="311">
        <v>1905</v>
      </c>
      <c r="H2323" s="329" t="s">
        <v>1149</v>
      </c>
      <c r="I2323" s="313">
        <v>130.5</v>
      </c>
      <c r="J2323" s="336">
        <v>146.6</v>
      </c>
      <c r="K2323" s="336">
        <v>64.400000000000006</v>
      </c>
      <c r="L2323" s="336">
        <f t="shared" si="14"/>
        <v>82.199999999999989</v>
      </c>
      <c r="M2323" s="337"/>
    </row>
    <row r="2324" spans="1:13" s="71" customFormat="1" ht="26.4" customHeight="1">
      <c r="A2324" s="282">
        <v>23</v>
      </c>
      <c r="B2324" s="533"/>
      <c r="C2324" s="333" t="s">
        <v>2669</v>
      </c>
      <c r="D2324" s="333" t="s">
        <v>2682</v>
      </c>
      <c r="E2324" s="322" t="s">
        <v>2688</v>
      </c>
      <c r="F2324" s="334">
        <v>9</v>
      </c>
      <c r="G2324" s="311">
        <v>1905</v>
      </c>
      <c r="H2324" s="329" t="s">
        <v>1149</v>
      </c>
      <c r="I2324" s="313">
        <v>4</v>
      </c>
      <c r="J2324" s="336">
        <v>9.5</v>
      </c>
      <c r="K2324" s="336">
        <v>7.8</v>
      </c>
      <c r="L2324" s="336">
        <f t="shared" si="14"/>
        <v>1.7000000000000002</v>
      </c>
      <c r="M2324" s="337"/>
    </row>
    <row r="2325" spans="1:13" s="71" customFormat="1" ht="26.4" customHeight="1">
      <c r="A2325" s="282">
        <v>24</v>
      </c>
      <c r="B2325" s="533"/>
      <c r="C2325" s="333" t="s">
        <v>2669</v>
      </c>
      <c r="D2325" s="333" t="s">
        <v>2682</v>
      </c>
      <c r="E2325" s="338" t="s">
        <v>2689</v>
      </c>
      <c r="F2325" s="334">
        <v>10</v>
      </c>
      <c r="G2325" s="311">
        <v>1905</v>
      </c>
      <c r="H2325" s="329" t="s">
        <v>1149</v>
      </c>
      <c r="I2325" s="313">
        <v>25.4</v>
      </c>
      <c r="J2325" s="336">
        <v>7.4</v>
      </c>
      <c r="K2325" s="336">
        <v>6</v>
      </c>
      <c r="L2325" s="336">
        <f t="shared" si="14"/>
        <v>1.4000000000000004</v>
      </c>
      <c r="M2325" s="337"/>
    </row>
    <row r="2326" spans="1:13" s="71" customFormat="1" ht="26.4" customHeight="1">
      <c r="A2326" s="282">
        <v>25</v>
      </c>
      <c r="B2326" s="533"/>
      <c r="C2326" s="333" t="s">
        <v>2669</v>
      </c>
      <c r="D2326" s="333" t="s">
        <v>2682</v>
      </c>
      <c r="E2326" s="260" t="s">
        <v>2690</v>
      </c>
      <c r="F2326" s="334">
        <v>31</v>
      </c>
      <c r="G2326" s="311">
        <v>1905</v>
      </c>
      <c r="H2326" s="329" t="s">
        <v>1149</v>
      </c>
      <c r="I2326" s="313">
        <v>78.099999999999994</v>
      </c>
      <c r="J2326" s="336">
        <v>61.8</v>
      </c>
      <c r="K2326" s="336">
        <v>49.1</v>
      </c>
      <c r="L2326" s="336">
        <f t="shared" si="14"/>
        <v>12.699999999999996</v>
      </c>
      <c r="M2326" s="337"/>
    </row>
    <row r="2327" spans="1:13" s="71" customFormat="1" ht="26.4" customHeight="1">
      <c r="A2327" s="282">
        <v>26</v>
      </c>
      <c r="B2327" s="533"/>
      <c r="C2327" s="333" t="s">
        <v>2669</v>
      </c>
      <c r="D2327" s="333" t="s">
        <v>2682</v>
      </c>
      <c r="E2327" s="260" t="s">
        <v>2691</v>
      </c>
      <c r="F2327" s="334">
        <v>32</v>
      </c>
      <c r="G2327" s="311">
        <v>1905</v>
      </c>
      <c r="H2327" s="329" t="s">
        <v>1149</v>
      </c>
      <c r="I2327" s="313" t="s">
        <v>3</v>
      </c>
      <c r="J2327" s="336">
        <v>22.4</v>
      </c>
      <c r="K2327" s="336">
        <v>18.600000000000001</v>
      </c>
      <c r="L2327" s="336">
        <f t="shared" si="14"/>
        <v>3.7999999999999972</v>
      </c>
      <c r="M2327" s="337"/>
    </row>
    <row r="2328" spans="1:13" s="71" customFormat="1" ht="26.4" customHeight="1">
      <c r="A2328" s="282">
        <v>27</v>
      </c>
      <c r="B2328" s="533"/>
      <c r="C2328" s="333" t="s">
        <v>2669</v>
      </c>
      <c r="D2328" s="333" t="s">
        <v>2682</v>
      </c>
      <c r="E2328" s="260" t="s">
        <v>2692</v>
      </c>
      <c r="F2328" s="334">
        <v>35</v>
      </c>
      <c r="G2328" s="311">
        <v>1905</v>
      </c>
      <c r="H2328" s="329" t="s">
        <v>1149</v>
      </c>
      <c r="I2328" s="313">
        <v>12.56</v>
      </c>
      <c r="J2328" s="336">
        <v>12.4</v>
      </c>
      <c r="K2328" s="336">
        <v>10.1</v>
      </c>
      <c r="L2328" s="336">
        <f t="shared" si="14"/>
        <v>2.3000000000000007</v>
      </c>
      <c r="M2328" s="337"/>
    </row>
    <row r="2329" spans="1:13" s="71" customFormat="1" ht="26.4" customHeight="1">
      <c r="A2329" s="282">
        <v>28</v>
      </c>
      <c r="B2329" s="533"/>
      <c r="C2329" s="333" t="s">
        <v>2669</v>
      </c>
      <c r="D2329" s="333" t="s">
        <v>2682</v>
      </c>
      <c r="E2329" s="260" t="s">
        <v>2693</v>
      </c>
      <c r="F2329" s="334">
        <v>36</v>
      </c>
      <c r="G2329" s="311">
        <v>1905</v>
      </c>
      <c r="H2329" s="329" t="s">
        <v>1149</v>
      </c>
      <c r="I2329" s="313">
        <v>12.56</v>
      </c>
      <c r="J2329" s="336">
        <v>12.4</v>
      </c>
      <c r="K2329" s="336">
        <v>10.1</v>
      </c>
      <c r="L2329" s="336">
        <f t="shared" si="14"/>
        <v>2.3000000000000007</v>
      </c>
      <c r="M2329" s="337"/>
    </row>
    <row r="2330" spans="1:13" s="71" customFormat="1" ht="26.4" customHeight="1">
      <c r="A2330" s="282">
        <v>29</v>
      </c>
      <c r="B2330" s="533"/>
      <c r="C2330" s="333" t="s">
        <v>2669</v>
      </c>
      <c r="D2330" s="333" t="s">
        <v>2682</v>
      </c>
      <c r="E2330" s="441" t="s">
        <v>2694</v>
      </c>
      <c r="F2330" s="334">
        <v>37</v>
      </c>
      <c r="G2330" s="311">
        <v>1905</v>
      </c>
      <c r="H2330" s="329" t="s">
        <v>3</v>
      </c>
      <c r="I2330" s="313" t="s">
        <v>3</v>
      </c>
      <c r="J2330" s="336">
        <v>44.8</v>
      </c>
      <c r="K2330" s="336">
        <v>36.5</v>
      </c>
      <c r="L2330" s="336">
        <f t="shared" si="14"/>
        <v>8.2999999999999972</v>
      </c>
      <c r="M2330" s="337"/>
    </row>
    <row r="2331" spans="1:13" s="71" customFormat="1" ht="26.4" customHeight="1">
      <c r="A2331" s="282">
        <v>30</v>
      </c>
      <c r="B2331" s="533"/>
      <c r="C2331" s="333" t="s">
        <v>2669</v>
      </c>
      <c r="D2331" s="333" t="s">
        <v>2682</v>
      </c>
      <c r="E2331" s="441" t="s">
        <v>2695</v>
      </c>
      <c r="F2331" s="334">
        <v>38</v>
      </c>
      <c r="G2331" s="311">
        <v>1905</v>
      </c>
      <c r="H2331" s="329" t="s">
        <v>3</v>
      </c>
      <c r="I2331" s="313" t="s">
        <v>3</v>
      </c>
      <c r="J2331" s="336">
        <v>3.4</v>
      </c>
      <c r="K2331" s="336">
        <v>2.8</v>
      </c>
      <c r="L2331" s="336">
        <f t="shared" si="14"/>
        <v>0.60000000000000009</v>
      </c>
      <c r="M2331" s="337"/>
    </row>
    <row r="2332" spans="1:13" s="71" customFormat="1" ht="26.4" customHeight="1">
      <c r="A2332" s="282">
        <v>31</v>
      </c>
      <c r="B2332" s="533"/>
      <c r="C2332" s="333" t="s">
        <v>2669</v>
      </c>
      <c r="D2332" s="333" t="s">
        <v>2682</v>
      </c>
      <c r="E2332" s="441" t="s">
        <v>2696</v>
      </c>
      <c r="F2332" s="334">
        <v>33</v>
      </c>
      <c r="G2332" s="311">
        <v>1905</v>
      </c>
      <c r="H2332" s="329" t="s">
        <v>1149</v>
      </c>
      <c r="I2332" s="313">
        <v>1520</v>
      </c>
      <c r="J2332" s="336">
        <v>542.5</v>
      </c>
      <c r="K2332" s="336">
        <v>505.1</v>
      </c>
      <c r="L2332" s="336">
        <f t="shared" si="14"/>
        <v>37.399999999999977</v>
      </c>
      <c r="M2332" s="337"/>
    </row>
    <row r="2333" spans="1:13" s="71" customFormat="1" ht="26.4" customHeight="1">
      <c r="A2333" s="282">
        <v>32</v>
      </c>
      <c r="B2333" s="533"/>
      <c r="C2333" s="333" t="s">
        <v>2669</v>
      </c>
      <c r="D2333" s="333" t="s">
        <v>2682</v>
      </c>
      <c r="E2333" s="441" t="s">
        <v>2697</v>
      </c>
      <c r="F2333" s="334">
        <v>340</v>
      </c>
      <c r="G2333" s="311">
        <v>1905</v>
      </c>
      <c r="H2333" s="329" t="s">
        <v>1149</v>
      </c>
      <c r="I2333" s="313">
        <v>1520</v>
      </c>
      <c r="J2333" s="336">
        <v>420.2</v>
      </c>
      <c r="K2333" s="336">
        <v>418.5</v>
      </c>
      <c r="L2333" s="336">
        <f t="shared" si="14"/>
        <v>1.6999999999999886</v>
      </c>
      <c r="M2333" s="337"/>
    </row>
    <row r="2334" spans="1:13" s="71" customFormat="1" ht="26.4" customHeight="1">
      <c r="A2334" s="282">
        <v>33</v>
      </c>
      <c r="B2334" s="533"/>
      <c r="C2334" s="333" t="s">
        <v>2669</v>
      </c>
      <c r="D2334" s="333" t="s">
        <v>2682</v>
      </c>
      <c r="E2334" s="441" t="s">
        <v>2698</v>
      </c>
      <c r="F2334" s="334">
        <v>30</v>
      </c>
      <c r="G2334" s="311">
        <v>1905</v>
      </c>
      <c r="H2334" s="329" t="s">
        <v>1149</v>
      </c>
      <c r="I2334" s="313">
        <v>14.8</v>
      </c>
      <c r="J2334" s="336">
        <v>4.9000000000000004</v>
      </c>
      <c r="K2334" s="336">
        <v>4</v>
      </c>
      <c r="L2334" s="336">
        <f t="shared" si="14"/>
        <v>0.90000000000000036</v>
      </c>
      <c r="M2334" s="337"/>
    </row>
    <row r="2335" spans="1:13" s="71" customFormat="1" ht="26.4" customHeight="1">
      <c r="A2335" s="282">
        <v>34</v>
      </c>
      <c r="B2335" s="533"/>
      <c r="C2335" s="333" t="s">
        <v>2669</v>
      </c>
      <c r="D2335" s="333" t="s">
        <v>2682</v>
      </c>
      <c r="E2335" s="441" t="s">
        <v>2699</v>
      </c>
      <c r="F2335" s="334">
        <v>43</v>
      </c>
      <c r="G2335" s="311">
        <v>1905</v>
      </c>
      <c r="H2335" s="329" t="s">
        <v>1149</v>
      </c>
      <c r="I2335" s="313">
        <v>144</v>
      </c>
      <c r="J2335" s="336">
        <v>9.1</v>
      </c>
      <c r="K2335" s="336">
        <v>8.6999999999999993</v>
      </c>
      <c r="L2335" s="336">
        <f t="shared" si="14"/>
        <v>0.40000000000000036</v>
      </c>
      <c r="M2335" s="337"/>
    </row>
    <row r="2336" spans="1:13" s="71" customFormat="1" ht="26.4" customHeight="1">
      <c r="A2336" s="282">
        <v>35</v>
      </c>
      <c r="B2336" s="533"/>
      <c r="C2336" s="333" t="s">
        <v>2669</v>
      </c>
      <c r="D2336" s="333" t="s">
        <v>2682</v>
      </c>
      <c r="E2336" s="441" t="s">
        <v>2699</v>
      </c>
      <c r="F2336" s="334">
        <v>44</v>
      </c>
      <c r="G2336" s="311">
        <v>1905</v>
      </c>
      <c r="H2336" s="329" t="s">
        <v>1149</v>
      </c>
      <c r="I2336" s="313">
        <v>144</v>
      </c>
      <c r="J2336" s="336">
        <v>9.1</v>
      </c>
      <c r="K2336" s="336">
        <v>8.6999999999999993</v>
      </c>
      <c r="L2336" s="336">
        <f t="shared" si="14"/>
        <v>0.40000000000000036</v>
      </c>
      <c r="M2336" s="337"/>
    </row>
    <row r="2337" spans="1:13" s="71" customFormat="1" ht="26.4" customHeight="1">
      <c r="A2337" s="282">
        <v>36</v>
      </c>
      <c r="B2337" s="533"/>
      <c r="C2337" s="333" t="s">
        <v>2669</v>
      </c>
      <c r="D2337" s="333" t="s">
        <v>2682</v>
      </c>
      <c r="E2337" s="441" t="s">
        <v>2699</v>
      </c>
      <c r="F2337" s="334">
        <v>45</v>
      </c>
      <c r="G2337" s="311">
        <v>1905</v>
      </c>
      <c r="H2337" s="329" t="s">
        <v>1149</v>
      </c>
      <c r="I2337" s="313">
        <v>144</v>
      </c>
      <c r="J2337" s="336">
        <v>9.1</v>
      </c>
      <c r="K2337" s="336">
        <v>8.6999999999999993</v>
      </c>
      <c r="L2337" s="336">
        <f t="shared" si="14"/>
        <v>0.40000000000000036</v>
      </c>
      <c r="M2337" s="337"/>
    </row>
    <row r="2338" spans="1:13" s="71" customFormat="1" ht="26.4" customHeight="1">
      <c r="A2338" s="282">
        <v>37</v>
      </c>
      <c r="B2338" s="533"/>
      <c r="C2338" s="333" t="s">
        <v>2669</v>
      </c>
      <c r="D2338" s="333" t="s">
        <v>2682</v>
      </c>
      <c r="E2338" s="441" t="s">
        <v>2700</v>
      </c>
      <c r="F2338" s="334">
        <v>47</v>
      </c>
      <c r="G2338" s="311">
        <v>1905</v>
      </c>
      <c r="H2338" s="329" t="s">
        <v>3</v>
      </c>
      <c r="I2338" s="313" t="s">
        <v>3</v>
      </c>
      <c r="J2338" s="336">
        <v>3.4</v>
      </c>
      <c r="K2338" s="336">
        <v>2.8</v>
      </c>
      <c r="L2338" s="336">
        <f t="shared" si="14"/>
        <v>0.60000000000000009</v>
      </c>
      <c r="M2338" s="337"/>
    </row>
    <row r="2339" spans="1:13" s="71" customFormat="1" ht="26.4" customHeight="1">
      <c r="A2339" s="282">
        <v>38</v>
      </c>
      <c r="B2339" s="533"/>
      <c r="C2339" s="333" t="s">
        <v>2669</v>
      </c>
      <c r="D2339" s="333" t="s">
        <v>2682</v>
      </c>
      <c r="E2339" s="441" t="s">
        <v>2700</v>
      </c>
      <c r="F2339" s="334">
        <v>48</v>
      </c>
      <c r="G2339" s="311">
        <v>1905</v>
      </c>
      <c r="H2339" s="329" t="s">
        <v>3</v>
      </c>
      <c r="I2339" s="313" t="s">
        <v>3</v>
      </c>
      <c r="J2339" s="336">
        <v>3.4</v>
      </c>
      <c r="K2339" s="336">
        <v>2.8</v>
      </c>
      <c r="L2339" s="336">
        <f t="shared" si="14"/>
        <v>0.60000000000000009</v>
      </c>
      <c r="M2339" s="337"/>
    </row>
    <row r="2340" spans="1:13" s="71" customFormat="1" ht="26.4" customHeight="1">
      <c r="A2340" s="282">
        <v>39</v>
      </c>
      <c r="B2340" s="533"/>
      <c r="C2340" s="333" t="s">
        <v>2669</v>
      </c>
      <c r="D2340" s="333" t="s">
        <v>2682</v>
      </c>
      <c r="E2340" s="441" t="s">
        <v>2701</v>
      </c>
      <c r="F2340" s="334">
        <v>39</v>
      </c>
      <c r="G2340" s="311">
        <v>1905</v>
      </c>
      <c r="H2340" s="329" t="s">
        <v>1149</v>
      </c>
      <c r="I2340" s="313">
        <v>812</v>
      </c>
      <c r="J2340" s="336">
        <v>18.399999999999999</v>
      </c>
      <c r="K2340" s="336">
        <v>15.5</v>
      </c>
      <c r="L2340" s="336">
        <f t="shared" si="14"/>
        <v>2.8999999999999986</v>
      </c>
      <c r="M2340" s="337"/>
    </row>
    <row r="2341" spans="1:13" s="71" customFormat="1" ht="26.4" customHeight="1">
      <c r="A2341" s="282">
        <v>40</v>
      </c>
      <c r="B2341" s="533"/>
      <c r="C2341" s="333" t="s">
        <v>2669</v>
      </c>
      <c r="D2341" s="333" t="s">
        <v>2682</v>
      </c>
      <c r="E2341" s="441" t="s">
        <v>2701</v>
      </c>
      <c r="F2341" s="334">
        <v>40</v>
      </c>
      <c r="G2341" s="311">
        <v>1905</v>
      </c>
      <c r="H2341" s="329" t="s">
        <v>1149</v>
      </c>
      <c r="I2341" s="313">
        <v>812</v>
      </c>
      <c r="J2341" s="336">
        <v>18.399999999999999</v>
      </c>
      <c r="K2341" s="336">
        <v>15.5</v>
      </c>
      <c r="L2341" s="336">
        <f t="shared" si="14"/>
        <v>2.8999999999999986</v>
      </c>
      <c r="M2341" s="337"/>
    </row>
    <row r="2342" spans="1:13" s="71" customFormat="1" ht="26.4" customHeight="1">
      <c r="A2342" s="282">
        <v>41</v>
      </c>
      <c r="B2342" s="533"/>
      <c r="C2342" s="333" t="s">
        <v>2669</v>
      </c>
      <c r="D2342" s="333" t="s">
        <v>2682</v>
      </c>
      <c r="E2342" s="441" t="s">
        <v>2701</v>
      </c>
      <c r="F2342" s="334">
        <v>41</v>
      </c>
      <c r="G2342" s="311">
        <v>1905</v>
      </c>
      <c r="H2342" s="329" t="s">
        <v>1149</v>
      </c>
      <c r="I2342" s="313">
        <v>812</v>
      </c>
      <c r="J2342" s="336">
        <v>18.399999999999999</v>
      </c>
      <c r="K2342" s="336">
        <v>15.5</v>
      </c>
      <c r="L2342" s="336">
        <f t="shared" si="14"/>
        <v>2.8999999999999986</v>
      </c>
      <c r="M2342" s="337"/>
    </row>
    <row r="2343" spans="1:13" s="71" customFormat="1" ht="26.4" customHeight="1">
      <c r="A2343" s="282">
        <v>42</v>
      </c>
      <c r="B2343" s="533"/>
      <c r="C2343" s="333" t="s">
        <v>2669</v>
      </c>
      <c r="D2343" s="333" t="s">
        <v>2682</v>
      </c>
      <c r="E2343" s="441" t="s">
        <v>2701</v>
      </c>
      <c r="F2343" s="334">
        <v>42</v>
      </c>
      <c r="G2343" s="311">
        <v>1905</v>
      </c>
      <c r="H2343" s="329" t="s">
        <v>1149</v>
      </c>
      <c r="I2343" s="313">
        <v>812</v>
      </c>
      <c r="J2343" s="336">
        <v>18.399999999999999</v>
      </c>
      <c r="K2343" s="336">
        <v>15.5</v>
      </c>
      <c r="L2343" s="336">
        <f t="shared" si="14"/>
        <v>2.8999999999999986</v>
      </c>
      <c r="M2343" s="337"/>
    </row>
    <row r="2344" spans="1:13" s="71" customFormat="1" ht="26.4" customHeight="1">
      <c r="A2344" s="282">
        <v>43</v>
      </c>
      <c r="B2344" s="533"/>
      <c r="C2344" s="333" t="s">
        <v>2702</v>
      </c>
      <c r="D2344" s="333" t="s">
        <v>2703</v>
      </c>
      <c r="E2344" s="441" t="s">
        <v>2704</v>
      </c>
      <c r="F2344" s="334">
        <v>10109</v>
      </c>
      <c r="G2344" s="311">
        <v>1905</v>
      </c>
      <c r="H2344" s="329" t="s">
        <v>3</v>
      </c>
      <c r="I2344" s="313" t="s">
        <v>3</v>
      </c>
      <c r="J2344" s="336">
        <v>9.9</v>
      </c>
      <c r="K2344" s="336">
        <v>9.9</v>
      </c>
      <c r="L2344" s="336">
        <f t="shared" si="14"/>
        <v>0</v>
      </c>
      <c r="M2344" s="337"/>
    </row>
    <row r="2345" spans="1:13" s="71" customFormat="1" ht="26.4" customHeight="1">
      <c r="A2345" s="282">
        <v>44</v>
      </c>
      <c r="B2345" s="533"/>
      <c r="C2345" s="333" t="s">
        <v>2702</v>
      </c>
      <c r="D2345" s="333" t="s">
        <v>2703</v>
      </c>
      <c r="E2345" s="441" t="s">
        <v>2705</v>
      </c>
      <c r="F2345" s="334">
        <v>10169</v>
      </c>
      <c r="G2345" s="311">
        <v>1905</v>
      </c>
      <c r="H2345" s="329" t="s">
        <v>1149</v>
      </c>
      <c r="I2345" s="313">
        <v>82.7</v>
      </c>
      <c r="J2345" s="336">
        <v>32.6</v>
      </c>
      <c r="K2345" s="336">
        <v>28.2</v>
      </c>
      <c r="L2345" s="336">
        <f t="shared" si="14"/>
        <v>4.4000000000000021</v>
      </c>
      <c r="M2345" s="337"/>
    </row>
    <row r="2346" spans="1:13" s="71" customFormat="1" ht="26.4" customHeight="1">
      <c r="A2346" s="282">
        <v>45</v>
      </c>
      <c r="B2346" s="533"/>
      <c r="C2346" s="333" t="s">
        <v>2702</v>
      </c>
      <c r="D2346" s="333" t="s">
        <v>2706</v>
      </c>
      <c r="E2346" s="441" t="s">
        <v>953</v>
      </c>
      <c r="F2346" s="334">
        <v>10171</v>
      </c>
      <c r="G2346" s="311">
        <v>1905</v>
      </c>
      <c r="H2346" s="329" t="s">
        <v>1149</v>
      </c>
      <c r="I2346" s="313">
        <v>11.1</v>
      </c>
      <c r="J2346" s="336">
        <v>3.3</v>
      </c>
      <c r="K2346" s="336">
        <v>3.2</v>
      </c>
      <c r="L2346" s="336">
        <f t="shared" si="14"/>
        <v>9.9999999999999645E-2</v>
      </c>
      <c r="M2346" s="337"/>
    </row>
    <row r="2347" spans="1:13" s="71" customFormat="1" ht="26.4" customHeight="1">
      <c r="A2347" s="282">
        <v>46</v>
      </c>
      <c r="B2347" s="533"/>
      <c r="C2347" s="333" t="s">
        <v>2702</v>
      </c>
      <c r="D2347" s="333" t="s">
        <v>2706</v>
      </c>
      <c r="E2347" s="441" t="s">
        <v>2680</v>
      </c>
      <c r="F2347" s="334">
        <v>10110</v>
      </c>
      <c r="G2347" s="311">
        <v>1905</v>
      </c>
      <c r="H2347" s="340" t="s">
        <v>3</v>
      </c>
      <c r="I2347" s="313" t="s">
        <v>3</v>
      </c>
      <c r="J2347" s="336">
        <v>6.2</v>
      </c>
      <c r="K2347" s="336">
        <v>6.1</v>
      </c>
      <c r="L2347" s="336">
        <f t="shared" si="14"/>
        <v>0.10000000000000053</v>
      </c>
      <c r="M2347" s="337"/>
    </row>
    <row r="2348" spans="1:13" s="71" customFormat="1" ht="26.4" customHeight="1">
      <c r="A2348" s="282">
        <v>47</v>
      </c>
      <c r="B2348" s="533"/>
      <c r="C2348" s="333" t="s">
        <v>2702</v>
      </c>
      <c r="D2348" s="333" t="s">
        <v>2706</v>
      </c>
      <c r="E2348" s="441" t="s">
        <v>2707</v>
      </c>
      <c r="F2348" s="334">
        <v>20766</v>
      </c>
      <c r="G2348" s="311">
        <v>1905</v>
      </c>
      <c r="H2348" s="329" t="s">
        <v>1149</v>
      </c>
      <c r="I2348" s="313">
        <v>1296</v>
      </c>
      <c r="J2348" s="336">
        <v>242.2</v>
      </c>
      <c r="K2348" s="336">
        <v>242</v>
      </c>
      <c r="L2348" s="336">
        <f t="shared" si="14"/>
        <v>0.19999999999998863</v>
      </c>
      <c r="M2348" s="337"/>
    </row>
    <row r="2349" spans="1:13" s="71" customFormat="1" ht="26.4" customHeight="1">
      <c r="A2349" s="282">
        <v>48</v>
      </c>
      <c r="B2349" s="533"/>
      <c r="C2349" s="333" t="s">
        <v>2702</v>
      </c>
      <c r="D2349" s="333" t="s">
        <v>2706</v>
      </c>
      <c r="E2349" s="322" t="s">
        <v>2708</v>
      </c>
      <c r="F2349" s="334">
        <v>20769</v>
      </c>
      <c r="G2349" s="311">
        <v>1905</v>
      </c>
      <c r="H2349" s="329" t="s">
        <v>1149</v>
      </c>
      <c r="I2349" s="313">
        <v>14.7</v>
      </c>
      <c r="J2349" s="336">
        <v>15.1</v>
      </c>
      <c r="K2349" s="336">
        <v>14.9</v>
      </c>
      <c r="L2349" s="336">
        <f t="shared" si="14"/>
        <v>0.19999999999999929</v>
      </c>
      <c r="M2349" s="337"/>
    </row>
    <row r="2350" spans="1:13" s="71" customFormat="1" ht="26.4" customHeight="1">
      <c r="A2350" s="282">
        <v>49</v>
      </c>
      <c r="B2350" s="533"/>
      <c r="C2350" s="333" t="s">
        <v>2702</v>
      </c>
      <c r="D2350" s="333" t="s">
        <v>2706</v>
      </c>
      <c r="E2350" s="441" t="s">
        <v>2709</v>
      </c>
      <c r="F2350" s="334">
        <v>10172</v>
      </c>
      <c r="G2350" s="311">
        <v>1905</v>
      </c>
      <c r="H2350" s="329" t="s">
        <v>1149</v>
      </c>
      <c r="I2350" s="313">
        <v>33.200000000000003</v>
      </c>
      <c r="J2350" s="336">
        <v>9.1</v>
      </c>
      <c r="K2350" s="336">
        <v>8.8000000000000007</v>
      </c>
      <c r="L2350" s="336">
        <f t="shared" si="14"/>
        <v>0.29999999999999893</v>
      </c>
      <c r="M2350" s="337"/>
    </row>
    <row r="2351" spans="1:13" s="71" customFormat="1" ht="26.4" customHeight="1">
      <c r="A2351" s="282">
        <v>50</v>
      </c>
      <c r="B2351" s="533"/>
      <c r="C2351" s="333" t="s">
        <v>2702</v>
      </c>
      <c r="D2351" s="333" t="s">
        <v>2710</v>
      </c>
      <c r="E2351" s="441" t="s">
        <v>2711</v>
      </c>
      <c r="F2351" s="334">
        <v>850</v>
      </c>
      <c r="G2351" s="311">
        <v>1905</v>
      </c>
      <c r="H2351" s="329" t="s">
        <v>1149</v>
      </c>
      <c r="I2351" s="313">
        <v>339.6</v>
      </c>
      <c r="J2351" s="336">
        <v>16.3</v>
      </c>
      <c r="K2351" s="336">
        <v>9.1999999999999993</v>
      </c>
      <c r="L2351" s="336">
        <f t="shared" si="14"/>
        <v>7.1000000000000014</v>
      </c>
      <c r="M2351" s="337"/>
    </row>
    <row r="2352" spans="1:13" s="71" customFormat="1" ht="26.4" customHeight="1">
      <c r="A2352" s="282">
        <v>51</v>
      </c>
      <c r="B2352" s="533"/>
      <c r="C2352" s="333" t="s">
        <v>2702</v>
      </c>
      <c r="D2352" s="333" t="s">
        <v>2710</v>
      </c>
      <c r="E2352" s="441" t="s">
        <v>2712</v>
      </c>
      <c r="F2352" s="334">
        <v>851</v>
      </c>
      <c r="G2352" s="311">
        <v>1905</v>
      </c>
      <c r="H2352" s="329" t="s">
        <v>1149</v>
      </c>
      <c r="I2352" s="313">
        <v>24.6</v>
      </c>
      <c r="J2352" s="336">
        <v>4</v>
      </c>
      <c r="K2352" s="336">
        <v>2.2000000000000002</v>
      </c>
      <c r="L2352" s="336">
        <f t="shared" si="14"/>
        <v>1.7999999999999998</v>
      </c>
      <c r="M2352" s="337"/>
    </row>
    <row r="2353" spans="1:13" s="71" customFormat="1" ht="26.4" customHeight="1">
      <c r="A2353" s="282">
        <v>52</v>
      </c>
      <c r="B2353" s="533"/>
      <c r="C2353" s="333" t="s">
        <v>2702</v>
      </c>
      <c r="D2353" s="333" t="s">
        <v>2713</v>
      </c>
      <c r="E2353" s="441" t="s">
        <v>2714</v>
      </c>
      <c r="F2353" s="334">
        <v>10094</v>
      </c>
      <c r="G2353" s="311">
        <v>1905</v>
      </c>
      <c r="H2353" s="329" t="s">
        <v>1149</v>
      </c>
      <c r="I2353" s="313">
        <v>38.700000000000003</v>
      </c>
      <c r="J2353" s="336">
        <v>16.399999999999999</v>
      </c>
      <c r="K2353" s="336">
        <v>16.399999999999999</v>
      </c>
      <c r="L2353" s="336">
        <f t="shared" si="14"/>
        <v>0</v>
      </c>
      <c r="M2353" s="337"/>
    </row>
    <row r="2354" spans="1:13" s="71" customFormat="1" ht="26.4" customHeight="1">
      <c r="A2354" s="282">
        <v>53</v>
      </c>
      <c r="B2354" s="533"/>
      <c r="C2354" s="333" t="s">
        <v>2702</v>
      </c>
      <c r="D2354" s="333" t="s">
        <v>2713</v>
      </c>
      <c r="E2354" s="441" t="s">
        <v>2715</v>
      </c>
      <c r="F2354" s="334">
        <v>10107</v>
      </c>
      <c r="G2354" s="311">
        <v>1905</v>
      </c>
      <c r="H2354" s="329" t="s">
        <v>1149</v>
      </c>
      <c r="I2354" s="313">
        <v>251.3</v>
      </c>
      <c r="J2354" s="336">
        <v>57</v>
      </c>
      <c r="K2354" s="336">
        <v>56.9</v>
      </c>
      <c r="L2354" s="336">
        <f t="shared" si="14"/>
        <v>0.10000000000000142</v>
      </c>
      <c r="M2354" s="337"/>
    </row>
    <row r="2355" spans="1:13" s="71" customFormat="1" ht="26.4" customHeight="1">
      <c r="A2355" s="282">
        <v>54</v>
      </c>
      <c r="B2355" s="533"/>
      <c r="C2355" s="333" t="s">
        <v>2702</v>
      </c>
      <c r="D2355" s="333" t="s">
        <v>2713</v>
      </c>
      <c r="E2355" s="441" t="s">
        <v>2716</v>
      </c>
      <c r="F2355" s="334">
        <v>10100</v>
      </c>
      <c r="G2355" s="311">
        <v>1905</v>
      </c>
      <c r="H2355" s="329" t="s">
        <v>1149</v>
      </c>
      <c r="I2355" s="313">
        <v>95.6</v>
      </c>
      <c r="J2355" s="336">
        <v>29.7</v>
      </c>
      <c r="K2355" s="336">
        <v>23</v>
      </c>
      <c r="L2355" s="336">
        <f t="shared" si="14"/>
        <v>6.6999999999999993</v>
      </c>
      <c r="M2355" s="337"/>
    </row>
    <row r="2356" spans="1:13" s="71" customFormat="1" ht="26.4" customHeight="1">
      <c r="A2356" s="282">
        <v>55</v>
      </c>
      <c r="B2356" s="533"/>
      <c r="C2356" s="333" t="s">
        <v>2702</v>
      </c>
      <c r="D2356" s="333" t="s">
        <v>2713</v>
      </c>
      <c r="E2356" s="441" t="s">
        <v>2717</v>
      </c>
      <c r="F2356" s="334">
        <v>10101</v>
      </c>
      <c r="G2356" s="311">
        <v>1905</v>
      </c>
      <c r="H2356" s="329" t="s">
        <v>1149</v>
      </c>
      <c r="I2356" s="313">
        <v>96.2</v>
      </c>
      <c r="J2356" s="336">
        <v>55.2</v>
      </c>
      <c r="K2356" s="336">
        <v>48.5</v>
      </c>
      <c r="L2356" s="336">
        <f t="shared" si="14"/>
        <v>6.7000000000000028</v>
      </c>
      <c r="M2356" s="337"/>
    </row>
    <row r="2357" spans="1:13" s="71" customFormat="1" ht="26.4" customHeight="1">
      <c r="A2357" s="282">
        <v>56</v>
      </c>
      <c r="B2357" s="533"/>
      <c r="C2357" s="333" t="s">
        <v>2702</v>
      </c>
      <c r="D2357" s="333" t="s">
        <v>2713</v>
      </c>
      <c r="E2357" s="441" t="s">
        <v>2680</v>
      </c>
      <c r="F2357" s="334">
        <v>10108</v>
      </c>
      <c r="G2357" s="311">
        <v>1905</v>
      </c>
      <c r="H2357" s="329" t="s">
        <v>1149</v>
      </c>
      <c r="I2357" s="313">
        <v>37.6</v>
      </c>
      <c r="J2357" s="336">
        <v>9.8000000000000007</v>
      </c>
      <c r="K2357" s="336">
        <v>9</v>
      </c>
      <c r="L2357" s="336">
        <f t="shared" si="14"/>
        <v>0.80000000000000071</v>
      </c>
      <c r="M2357" s="337"/>
    </row>
    <row r="2358" spans="1:13" s="71" customFormat="1" ht="26.4" customHeight="1">
      <c r="A2358" s="282">
        <v>57</v>
      </c>
      <c r="B2358" s="533"/>
      <c r="C2358" s="333" t="s">
        <v>2702</v>
      </c>
      <c r="D2358" s="333" t="s">
        <v>2713</v>
      </c>
      <c r="E2358" s="441" t="s">
        <v>2718</v>
      </c>
      <c r="F2358" s="334">
        <v>10111</v>
      </c>
      <c r="G2358" s="311">
        <v>1905</v>
      </c>
      <c r="H2358" s="329" t="s">
        <v>1149</v>
      </c>
      <c r="I2358" s="313">
        <v>34.1</v>
      </c>
      <c r="J2358" s="336">
        <v>11.2</v>
      </c>
      <c r="K2358" s="336">
        <v>11.2</v>
      </c>
      <c r="L2358" s="336">
        <f t="shared" si="14"/>
        <v>0</v>
      </c>
      <c r="M2358" s="337"/>
    </row>
    <row r="2359" spans="1:13" s="71" customFormat="1" ht="26.4" customHeight="1">
      <c r="A2359" s="282">
        <v>58</v>
      </c>
      <c r="B2359" s="533"/>
      <c r="C2359" s="333" t="s">
        <v>2702</v>
      </c>
      <c r="D2359" s="333" t="s">
        <v>2713</v>
      </c>
      <c r="E2359" s="441" t="s">
        <v>2685</v>
      </c>
      <c r="F2359" s="334">
        <v>20652</v>
      </c>
      <c r="G2359" s="311">
        <v>1905</v>
      </c>
      <c r="H2359" s="329" t="s">
        <v>1149</v>
      </c>
      <c r="I2359" s="313">
        <v>51.3</v>
      </c>
      <c r="J2359" s="336">
        <v>42.4</v>
      </c>
      <c r="K2359" s="336">
        <v>38.6</v>
      </c>
      <c r="L2359" s="336">
        <f t="shared" si="14"/>
        <v>3.7999999999999972</v>
      </c>
      <c r="M2359" s="337"/>
    </row>
    <row r="2360" spans="1:13" s="71" customFormat="1" ht="26.4" customHeight="1">
      <c r="A2360" s="282">
        <v>59</v>
      </c>
      <c r="B2360" s="533"/>
      <c r="C2360" s="333" t="s">
        <v>2702</v>
      </c>
      <c r="D2360" s="333" t="s">
        <v>2713</v>
      </c>
      <c r="E2360" s="441" t="s">
        <v>2719</v>
      </c>
      <c r="F2360" s="334">
        <v>20653</v>
      </c>
      <c r="G2360" s="311">
        <v>1905</v>
      </c>
      <c r="H2360" s="329" t="s">
        <v>1149</v>
      </c>
      <c r="I2360" s="313">
        <v>25.12</v>
      </c>
      <c r="J2360" s="336">
        <v>10.8</v>
      </c>
      <c r="K2360" s="336">
        <v>6.7</v>
      </c>
      <c r="L2360" s="336">
        <f t="shared" si="14"/>
        <v>4.1000000000000005</v>
      </c>
      <c r="M2360" s="337"/>
    </row>
    <row r="2361" spans="1:13" s="71" customFormat="1" ht="26.4" customHeight="1">
      <c r="A2361" s="282">
        <v>60</v>
      </c>
      <c r="B2361" s="533"/>
      <c r="C2361" s="333" t="s">
        <v>2702</v>
      </c>
      <c r="D2361" s="333" t="s">
        <v>2713</v>
      </c>
      <c r="E2361" s="441" t="s">
        <v>2720</v>
      </c>
      <c r="F2361" s="334">
        <v>20651</v>
      </c>
      <c r="G2361" s="311">
        <v>1905</v>
      </c>
      <c r="H2361" s="329" t="s">
        <v>1149</v>
      </c>
      <c r="I2361" s="313">
        <v>113.04</v>
      </c>
      <c r="J2361" s="336">
        <v>123.4</v>
      </c>
      <c r="K2361" s="336">
        <v>111.1</v>
      </c>
      <c r="L2361" s="336">
        <f t="shared" si="14"/>
        <v>12.300000000000011</v>
      </c>
      <c r="M2361" s="337"/>
    </row>
    <row r="2362" spans="1:13" s="71" customFormat="1" ht="26.4" customHeight="1">
      <c r="A2362" s="282">
        <v>61</v>
      </c>
      <c r="B2362" s="533"/>
      <c r="C2362" s="333" t="s">
        <v>2702</v>
      </c>
      <c r="D2362" s="333" t="s">
        <v>2713</v>
      </c>
      <c r="E2362" s="441" t="s">
        <v>2721</v>
      </c>
      <c r="F2362" s="334">
        <v>20654</v>
      </c>
      <c r="G2362" s="311">
        <v>1905</v>
      </c>
      <c r="H2362" s="329" t="s">
        <v>1149</v>
      </c>
      <c r="I2362" s="313">
        <v>90</v>
      </c>
      <c r="J2362" s="336">
        <v>44.3</v>
      </c>
      <c r="K2362" s="336">
        <v>39.700000000000003</v>
      </c>
      <c r="L2362" s="336">
        <f t="shared" si="14"/>
        <v>4.5999999999999943</v>
      </c>
      <c r="M2362" s="337"/>
    </row>
    <row r="2363" spans="1:13" s="71" customFormat="1" ht="26.4" customHeight="1">
      <c r="A2363" s="282">
        <v>62</v>
      </c>
      <c r="B2363" s="533"/>
      <c r="C2363" s="333" t="s">
        <v>2702</v>
      </c>
      <c r="D2363" s="333" t="s">
        <v>2713</v>
      </c>
      <c r="E2363" s="441" t="s">
        <v>2722</v>
      </c>
      <c r="F2363" s="334">
        <v>20646</v>
      </c>
      <c r="G2363" s="311">
        <v>1905</v>
      </c>
      <c r="H2363" s="329" t="s">
        <v>1149</v>
      </c>
      <c r="I2363" s="313" t="s">
        <v>3</v>
      </c>
      <c r="J2363" s="336">
        <v>1</v>
      </c>
      <c r="K2363" s="336">
        <v>0.9</v>
      </c>
      <c r="L2363" s="336">
        <f t="shared" si="14"/>
        <v>9.9999999999999978E-2</v>
      </c>
      <c r="M2363" s="337"/>
    </row>
    <row r="2364" spans="1:13" s="71" customFormat="1" ht="26.4" customHeight="1">
      <c r="A2364" s="282">
        <v>63</v>
      </c>
      <c r="B2364" s="533"/>
      <c r="C2364" s="333" t="s">
        <v>2702</v>
      </c>
      <c r="D2364" s="333" t="s">
        <v>2713</v>
      </c>
      <c r="E2364" s="441" t="s">
        <v>2723</v>
      </c>
      <c r="F2364" s="334">
        <v>20650</v>
      </c>
      <c r="G2364" s="311">
        <v>1905</v>
      </c>
      <c r="H2364" s="329" t="s">
        <v>1149</v>
      </c>
      <c r="I2364" s="313">
        <v>45</v>
      </c>
      <c r="J2364" s="336">
        <v>0.4</v>
      </c>
      <c r="K2364" s="336">
        <v>0.3</v>
      </c>
      <c r="L2364" s="336">
        <f t="shared" si="14"/>
        <v>0.10000000000000003</v>
      </c>
      <c r="M2364" s="337"/>
    </row>
    <row r="2365" spans="1:13" s="71" customFormat="1" ht="26.4" customHeight="1">
      <c r="A2365" s="282">
        <v>64</v>
      </c>
      <c r="B2365" s="533"/>
      <c r="C2365" s="333" t="s">
        <v>2702</v>
      </c>
      <c r="D2365" s="333" t="s">
        <v>2713</v>
      </c>
      <c r="E2365" s="441" t="s">
        <v>2724</v>
      </c>
      <c r="F2365" s="334">
        <v>10095</v>
      </c>
      <c r="G2365" s="311">
        <v>1905</v>
      </c>
      <c r="H2365" s="329" t="s">
        <v>1149</v>
      </c>
      <c r="I2365" s="313">
        <v>270</v>
      </c>
      <c r="J2365" s="336">
        <v>111.3</v>
      </c>
      <c r="K2365" s="336">
        <v>111.2</v>
      </c>
      <c r="L2365" s="336">
        <f t="shared" si="14"/>
        <v>9.9999999999994316E-2</v>
      </c>
      <c r="M2365" s="337"/>
    </row>
    <row r="2366" spans="1:13" s="71" customFormat="1" ht="26.4" customHeight="1">
      <c r="A2366" s="282">
        <v>65</v>
      </c>
      <c r="B2366" s="533"/>
      <c r="C2366" s="333" t="s">
        <v>2702</v>
      </c>
      <c r="D2366" s="333" t="s">
        <v>2713</v>
      </c>
      <c r="E2366" s="441" t="s">
        <v>964</v>
      </c>
      <c r="F2366" s="334">
        <v>20655</v>
      </c>
      <c r="G2366" s="311">
        <v>1905</v>
      </c>
      <c r="H2366" s="329" t="s">
        <v>1149</v>
      </c>
      <c r="I2366" s="313">
        <v>2724</v>
      </c>
      <c r="J2366" s="336">
        <v>26.5</v>
      </c>
      <c r="K2366" s="336">
        <v>26.4</v>
      </c>
      <c r="L2366" s="336">
        <f t="shared" ref="L2366:L2429" si="15">J2366-K2366</f>
        <v>0.10000000000000142</v>
      </c>
      <c r="M2366" s="337"/>
    </row>
    <row r="2367" spans="1:13" s="71" customFormat="1" ht="26.4" customHeight="1">
      <c r="A2367" s="282">
        <v>66</v>
      </c>
      <c r="B2367" s="533"/>
      <c r="C2367" s="333" t="s">
        <v>2702</v>
      </c>
      <c r="D2367" s="333" t="s">
        <v>2725</v>
      </c>
      <c r="E2367" s="441" t="s">
        <v>2726</v>
      </c>
      <c r="F2367" s="334">
        <v>10106</v>
      </c>
      <c r="G2367" s="311">
        <v>1905</v>
      </c>
      <c r="H2367" s="329" t="s">
        <v>1149</v>
      </c>
      <c r="I2367" s="313">
        <v>290.5</v>
      </c>
      <c r="J2367" s="336">
        <v>156.69999999999999</v>
      </c>
      <c r="K2367" s="336">
        <v>156.6</v>
      </c>
      <c r="L2367" s="336">
        <f t="shared" si="15"/>
        <v>9.9999999999994316E-2</v>
      </c>
      <c r="M2367" s="337"/>
    </row>
    <row r="2368" spans="1:13" s="71" customFormat="1" ht="26.4" customHeight="1">
      <c r="A2368" s="282">
        <v>67</v>
      </c>
      <c r="B2368" s="533"/>
      <c r="C2368" s="333" t="s">
        <v>2727</v>
      </c>
      <c r="D2368" s="333" t="s">
        <v>2728</v>
      </c>
      <c r="E2368" s="441" t="s">
        <v>2729</v>
      </c>
      <c r="F2368" s="334">
        <v>2750</v>
      </c>
      <c r="G2368" s="311">
        <v>1905</v>
      </c>
      <c r="H2368" s="329" t="s">
        <v>1149</v>
      </c>
      <c r="I2368" s="313">
        <v>143.19999999999999</v>
      </c>
      <c r="J2368" s="336">
        <v>202</v>
      </c>
      <c r="K2368" s="336">
        <v>158.69999999999999</v>
      </c>
      <c r="L2368" s="336">
        <f t="shared" si="15"/>
        <v>43.300000000000011</v>
      </c>
      <c r="M2368" s="337"/>
    </row>
    <row r="2369" spans="1:13" s="71" customFormat="1" ht="26.4" customHeight="1">
      <c r="A2369" s="282">
        <v>68</v>
      </c>
      <c r="B2369" s="533"/>
      <c r="C2369" s="333" t="s">
        <v>2727</v>
      </c>
      <c r="D2369" s="333" t="s">
        <v>2728</v>
      </c>
      <c r="E2369" s="441" t="s">
        <v>2730</v>
      </c>
      <c r="F2369" s="334">
        <v>438</v>
      </c>
      <c r="G2369" s="311">
        <v>1905</v>
      </c>
      <c r="H2369" s="329" t="s">
        <v>1149</v>
      </c>
      <c r="I2369" s="313">
        <v>648</v>
      </c>
      <c r="J2369" s="336">
        <v>261.10000000000002</v>
      </c>
      <c r="K2369" s="336">
        <v>260.89999999999998</v>
      </c>
      <c r="L2369" s="336">
        <f t="shared" si="15"/>
        <v>0.20000000000004547</v>
      </c>
      <c r="M2369" s="337"/>
    </row>
    <row r="2370" spans="1:13" s="71" customFormat="1" ht="26.4" customHeight="1">
      <c r="A2370" s="282">
        <v>69</v>
      </c>
      <c r="B2370" s="533"/>
      <c r="C2370" s="333" t="s">
        <v>2727</v>
      </c>
      <c r="D2370" s="333" t="s">
        <v>2731</v>
      </c>
      <c r="E2370" s="441" t="s">
        <v>2732</v>
      </c>
      <c r="F2370" s="334">
        <v>439</v>
      </c>
      <c r="G2370" s="311">
        <v>1905</v>
      </c>
      <c r="H2370" s="329" t="s">
        <v>1149</v>
      </c>
      <c r="I2370" s="313">
        <v>648</v>
      </c>
      <c r="J2370" s="336">
        <v>261.10000000000002</v>
      </c>
      <c r="K2370" s="336">
        <v>260.89999999999998</v>
      </c>
      <c r="L2370" s="336">
        <f t="shared" si="15"/>
        <v>0.20000000000004547</v>
      </c>
      <c r="M2370" s="337"/>
    </row>
    <row r="2371" spans="1:13" s="71" customFormat="1" ht="26.4" customHeight="1">
      <c r="A2371" s="282">
        <v>70</v>
      </c>
      <c r="B2371" s="533"/>
      <c r="C2371" s="333" t="s">
        <v>2727</v>
      </c>
      <c r="D2371" s="333" t="s">
        <v>2733</v>
      </c>
      <c r="E2371" s="441" t="s">
        <v>2734</v>
      </c>
      <c r="F2371" s="334">
        <v>2760</v>
      </c>
      <c r="G2371" s="311">
        <v>1905</v>
      </c>
      <c r="H2371" s="329" t="s">
        <v>1149</v>
      </c>
      <c r="I2371" s="313">
        <v>17.2</v>
      </c>
      <c r="J2371" s="336">
        <v>9.9</v>
      </c>
      <c r="K2371" s="336">
        <v>7.8</v>
      </c>
      <c r="L2371" s="336">
        <f t="shared" si="15"/>
        <v>2.1000000000000005</v>
      </c>
      <c r="M2371" s="337"/>
    </row>
    <row r="2372" spans="1:13" s="71" customFormat="1" ht="26.4" customHeight="1">
      <c r="A2372" s="282">
        <v>71</v>
      </c>
      <c r="B2372" s="533"/>
      <c r="C2372" s="333" t="s">
        <v>2727</v>
      </c>
      <c r="D2372" s="333" t="s">
        <v>2735</v>
      </c>
      <c r="E2372" s="441" t="s">
        <v>2736</v>
      </c>
      <c r="F2372" s="334">
        <v>3333</v>
      </c>
      <c r="G2372" s="311">
        <v>1905</v>
      </c>
      <c r="H2372" s="329" t="s">
        <v>1149</v>
      </c>
      <c r="I2372" s="313">
        <v>15</v>
      </c>
      <c r="J2372" s="336">
        <v>2.8</v>
      </c>
      <c r="K2372" s="336">
        <v>2.2000000000000002</v>
      </c>
      <c r="L2372" s="336">
        <f t="shared" si="15"/>
        <v>0.59999999999999964</v>
      </c>
      <c r="M2372" s="337"/>
    </row>
    <row r="2373" spans="1:13" s="71" customFormat="1" ht="26.4" customHeight="1">
      <c r="A2373" s="282">
        <v>72</v>
      </c>
      <c r="B2373" s="533"/>
      <c r="C2373" s="333" t="s">
        <v>2727</v>
      </c>
      <c r="D2373" s="333" t="s">
        <v>2737</v>
      </c>
      <c r="E2373" s="322" t="s">
        <v>2738</v>
      </c>
      <c r="F2373" s="334">
        <v>3335</v>
      </c>
      <c r="G2373" s="311">
        <v>1905</v>
      </c>
      <c r="H2373" s="329" t="s">
        <v>3</v>
      </c>
      <c r="I2373" s="313" t="s">
        <v>3</v>
      </c>
      <c r="J2373" s="336">
        <v>88.3</v>
      </c>
      <c r="K2373" s="336">
        <v>79.2</v>
      </c>
      <c r="L2373" s="336">
        <f t="shared" si="15"/>
        <v>9.0999999999999943</v>
      </c>
      <c r="M2373" s="337"/>
    </row>
    <row r="2374" spans="1:13" s="71" customFormat="1" ht="26.4" customHeight="1">
      <c r="A2374" s="282">
        <v>73</v>
      </c>
      <c r="B2374" s="533"/>
      <c r="C2374" s="333" t="s">
        <v>2727</v>
      </c>
      <c r="D2374" s="333" t="s">
        <v>2739</v>
      </c>
      <c r="E2374" s="441" t="s">
        <v>2740</v>
      </c>
      <c r="F2374" s="334">
        <v>3334</v>
      </c>
      <c r="G2374" s="311">
        <v>1905</v>
      </c>
      <c r="H2374" s="329" t="s">
        <v>1149</v>
      </c>
      <c r="I2374" s="313">
        <v>89.6</v>
      </c>
      <c r="J2374" s="336">
        <v>13.2</v>
      </c>
      <c r="K2374" s="336">
        <v>12.1</v>
      </c>
      <c r="L2374" s="336">
        <f t="shared" si="15"/>
        <v>1.0999999999999996</v>
      </c>
      <c r="M2374" s="337"/>
    </row>
    <row r="2375" spans="1:13" s="71" customFormat="1" ht="26.4" customHeight="1">
      <c r="A2375" s="282">
        <v>74</v>
      </c>
      <c r="B2375" s="533"/>
      <c r="C2375" s="333" t="s">
        <v>2727</v>
      </c>
      <c r="D2375" s="333" t="s">
        <v>2741</v>
      </c>
      <c r="E2375" s="441" t="s">
        <v>2742</v>
      </c>
      <c r="F2375" s="334">
        <v>101010</v>
      </c>
      <c r="G2375" s="311">
        <v>1905</v>
      </c>
      <c r="H2375" s="340" t="s">
        <v>3</v>
      </c>
      <c r="I2375" s="330" t="s">
        <v>3</v>
      </c>
      <c r="J2375" s="336">
        <v>46.5</v>
      </c>
      <c r="K2375" s="336">
        <v>35.799999999999997</v>
      </c>
      <c r="L2375" s="336">
        <f t="shared" si="15"/>
        <v>10.700000000000003</v>
      </c>
      <c r="M2375" s="337"/>
    </row>
    <row r="2376" spans="1:13" s="71" customFormat="1" ht="26.4" customHeight="1">
      <c r="A2376" s="282">
        <v>75</v>
      </c>
      <c r="B2376" s="533"/>
      <c r="C2376" s="333" t="s">
        <v>2727</v>
      </c>
      <c r="D2376" s="333" t="s">
        <v>2743</v>
      </c>
      <c r="E2376" s="441" t="s">
        <v>2744</v>
      </c>
      <c r="F2376" s="334">
        <v>263</v>
      </c>
      <c r="G2376" s="311">
        <v>1905</v>
      </c>
      <c r="H2376" s="329" t="s">
        <v>1149</v>
      </c>
      <c r="I2376" s="313">
        <v>71.099999999999994</v>
      </c>
      <c r="J2376" s="336">
        <v>116</v>
      </c>
      <c r="K2376" s="336">
        <v>89.6</v>
      </c>
      <c r="L2376" s="336">
        <f t="shared" si="15"/>
        <v>26.400000000000006</v>
      </c>
      <c r="M2376" s="337"/>
    </row>
    <row r="2377" spans="1:13" s="71" customFormat="1" ht="26.4" customHeight="1">
      <c r="A2377" s="282">
        <v>76</v>
      </c>
      <c r="B2377" s="533"/>
      <c r="C2377" s="333" t="s">
        <v>2727</v>
      </c>
      <c r="D2377" s="333" t="s">
        <v>2745</v>
      </c>
      <c r="E2377" s="441" t="s">
        <v>2681</v>
      </c>
      <c r="F2377" s="334">
        <v>2620</v>
      </c>
      <c r="G2377" s="311">
        <v>1905</v>
      </c>
      <c r="H2377" s="329" t="s">
        <v>1149</v>
      </c>
      <c r="I2377" s="313">
        <v>110</v>
      </c>
      <c r="J2377" s="336">
        <v>50.6</v>
      </c>
      <c r="K2377" s="336">
        <v>29.3</v>
      </c>
      <c r="L2377" s="336">
        <f t="shared" si="15"/>
        <v>21.3</v>
      </c>
      <c r="M2377" s="337"/>
    </row>
    <row r="2378" spans="1:13" s="71" customFormat="1" ht="26.4" customHeight="1">
      <c r="A2378" s="282">
        <v>77</v>
      </c>
      <c r="B2378" s="533"/>
      <c r="C2378" s="333" t="s">
        <v>2727</v>
      </c>
      <c r="D2378" s="333" t="s">
        <v>2745</v>
      </c>
      <c r="E2378" s="441" t="s">
        <v>2746</v>
      </c>
      <c r="F2378" s="334">
        <v>427</v>
      </c>
      <c r="G2378" s="311">
        <v>1905</v>
      </c>
      <c r="H2378" s="329" t="s">
        <v>1149</v>
      </c>
      <c r="I2378" s="313">
        <v>25.12</v>
      </c>
      <c r="J2378" s="336">
        <v>23.1</v>
      </c>
      <c r="K2378" s="336">
        <v>19.600000000000001</v>
      </c>
      <c r="L2378" s="336">
        <f t="shared" si="15"/>
        <v>3.5</v>
      </c>
      <c r="M2378" s="337"/>
    </row>
    <row r="2379" spans="1:13" s="71" customFormat="1" ht="26.4" customHeight="1">
      <c r="A2379" s="282">
        <v>78</v>
      </c>
      <c r="B2379" s="533"/>
      <c r="C2379" s="333" t="s">
        <v>2727</v>
      </c>
      <c r="D2379" s="333" t="s">
        <v>2747</v>
      </c>
      <c r="E2379" s="441" t="s">
        <v>2748</v>
      </c>
      <c r="F2379" s="334">
        <v>4280</v>
      </c>
      <c r="G2379" s="311">
        <v>1905</v>
      </c>
      <c r="H2379" s="340" t="s">
        <v>3</v>
      </c>
      <c r="I2379" s="313" t="s">
        <v>3</v>
      </c>
      <c r="J2379" s="336">
        <v>118.8</v>
      </c>
      <c r="K2379" s="336">
        <v>103.7</v>
      </c>
      <c r="L2379" s="336">
        <f t="shared" si="15"/>
        <v>15.099999999999994</v>
      </c>
      <c r="M2379" s="337"/>
    </row>
    <row r="2380" spans="1:13" s="71" customFormat="1" ht="26.4" customHeight="1">
      <c r="A2380" s="282">
        <v>79</v>
      </c>
      <c r="B2380" s="533"/>
      <c r="C2380" s="333" t="s">
        <v>2727</v>
      </c>
      <c r="D2380" s="333" t="s">
        <v>2747</v>
      </c>
      <c r="E2380" s="441" t="s">
        <v>2749</v>
      </c>
      <c r="F2380" s="334">
        <v>4310</v>
      </c>
      <c r="G2380" s="311">
        <v>1905</v>
      </c>
      <c r="H2380" s="340" t="s">
        <v>3</v>
      </c>
      <c r="I2380" s="313" t="s">
        <v>3</v>
      </c>
      <c r="J2380" s="336">
        <v>38.200000000000003</v>
      </c>
      <c r="K2380" s="336">
        <v>26.1</v>
      </c>
      <c r="L2380" s="336">
        <f t="shared" si="15"/>
        <v>12.100000000000001</v>
      </c>
      <c r="M2380" s="337"/>
    </row>
    <row r="2381" spans="1:13" s="71" customFormat="1" ht="26.4" customHeight="1">
      <c r="A2381" s="282">
        <v>80</v>
      </c>
      <c r="B2381" s="533"/>
      <c r="C2381" s="333" t="s">
        <v>2727</v>
      </c>
      <c r="D2381" s="333" t="s">
        <v>2747</v>
      </c>
      <c r="E2381" s="441" t="s">
        <v>2750</v>
      </c>
      <c r="F2381" s="334">
        <v>4300</v>
      </c>
      <c r="G2381" s="311">
        <v>1905</v>
      </c>
      <c r="H2381" s="340" t="s">
        <v>3</v>
      </c>
      <c r="I2381" s="313" t="s">
        <v>3</v>
      </c>
      <c r="J2381" s="336">
        <v>89.1</v>
      </c>
      <c r="K2381" s="336">
        <v>77.8</v>
      </c>
      <c r="L2381" s="336">
        <f t="shared" si="15"/>
        <v>11.299999999999997</v>
      </c>
      <c r="M2381" s="337"/>
    </row>
    <row r="2382" spans="1:13" s="71" customFormat="1" ht="26.4" customHeight="1">
      <c r="A2382" s="282">
        <v>81</v>
      </c>
      <c r="B2382" s="533"/>
      <c r="C2382" s="333" t="s">
        <v>2727</v>
      </c>
      <c r="D2382" s="333" t="s">
        <v>2751</v>
      </c>
      <c r="E2382" s="441" t="s">
        <v>2744</v>
      </c>
      <c r="F2382" s="334">
        <v>258</v>
      </c>
      <c r="G2382" s="311">
        <v>1905</v>
      </c>
      <c r="H2382" s="329" t="s">
        <v>1149</v>
      </c>
      <c r="I2382" s="313">
        <v>115.2</v>
      </c>
      <c r="J2382" s="336">
        <v>100.2</v>
      </c>
      <c r="K2382" s="336">
        <v>82.1</v>
      </c>
      <c r="L2382" s="336">
        <f t="shared" si="15"/>
        <v>18.100000000000009</v>
      </c>
      <c r="M2382" s="337"/>
    </row>
    <row r="2383" spans="1:13" s="71" customFormat="1" ht="26.4" customHeight="1">
      <c r="A2383" s="282">
        <v>82</v>
      </c>
      <c r="B2383" s="533"/>
      <c r="C2383" s="333" t="s">
        <v>2727</v>
      </c>
      <c r="D2383" s="333" t="s">
        <v>2751</v>
      </c>
      <c r="E2383" s="441" t="s">
        <v>2752</v>
      </c>
      <c r="F2383" s="334">
        <v>4290</v>
      </c>
      <c r="G2383" s="311">
        <v>1905</v>
      </c>
      <c r="H2383" s="340" t="s">
        <v>3</v>
      </c>
      <c r="I2383" s="313" t="s">
        <v>3</v>
      </c>
      <c r="J2383" s="336">
        <v>89</v>
      </c>
      <c r="K2383" s="336">
        <v>86.8</v>
      </c>
      <c r="L2383" s="336">
        <f t="shared" si="15"/>
        <v>2.2000000000000028</v>
      </c>
      <c r="M2383" s="337"/>
    </row>
    <row r="2384" spans="1:13" s="71" customFormat="1" ht="26.4" customHeight="1">
      <c r="A2384" s="282">
        <v>83</v>
      </c>
      <c r="B2384" s="533"/>
      <c r="C2384" s="333" t="s">
        <v>2727</v>
      </c>
      <c r="D2384" s="333" t="s">
        <v>2751</v>
      </c>
      <c r="E2384" s="441" t="s">
        <v>2701</v>
      </c>
      <c r="F2384" s="334">
        <v>330</v>
      </c>
      <c r="G2384" s="311">
        <v>1905</v>
      </c>
      <c r="H2384" s="329" t="s">
        <v>1149</v>
      </c>
      <c r="I2384" s="313">
        <v>3392</v>
      </c>
      <c r="J2384" s="336">
        <v>75.900000000000006</v>
      </c>
      <c r="K2384" s="336">
        <v>75.2</v>
      </c>
      <c r="L2384" s="336">
        <f t="shared" si="15"/>
        <v>0.70000000000000284</v>
      </c>
      <c r="M2384" s="337"/>
    </row>
    <row r="2385" spans="1:13" s="71" customFormat="1" ht="26.4" customHeight="1">
      <c r="A2385" s="282">
        <v>84</v>
      </c>
      <c r="B2385" s="533"/>
      <c r="C2385" s="333" t="s">
        <v>2727</v>
      </c>
      <c r="D2385" s="333" t="s">
        <v>2753</v>
      </c>
      <c r="E2385" s="441" t="s">
        <v>2754</v>
      </c>
      <c r="F2385" s="334">
        <v>260</v>
      </c>
      <c r="G2385" s="311">
        <v>1905</v>
      </c>
      <c r="H2385" s="329" t="s">
        <v>1149</v>
      </c>
      <c r="I2385" s="313">
        <v>136.6</v>
      </c>
      <c r="J2385" s="336">
        <v>35</v>
      </c>
      <c r="K2385" s="336">
        <v>28.2</v>
      </c>
      <c r="L2385" s="336">
        <f t="shared" si="15"/>
        <v>6.8000000000000007</v>
      </c>
      <c r="M2385" s="337"/>
    </row>
    <row r="2386" spans="1:13" s="71" customFormat="1" ht="26.4" customHeight="1">
      <c r="A2386" s="282">
        <v>85</v>
      </c>
      <c r="B2386" s="533"/>
      <c r="C2386" s="333" t="s">
        <v>2727</v>
      </c>
      <c r="D2386" s="333" t="s">
        <v>2755</v>
      </c>
      <c r="E2386" s="441" t="s">
        <v>2756</v>
      </c>
      <c r="F2386" s="334">
        <v>2590</v>
      </c>
      <c r="G2386" s="311">
        <v>1905</v>
      </c>
      <c r="H2386" s="329" t="s">
        <v>1149</v>
      </c>
      <c r="I2386" s="313">
        <v>504.4</v>
      </c>
      <c r="J2386" s="336">
        <v>142.1</v>
      </c>
      <c r="K2386" s="336">
        <v>141.9</v>
      </c>
      <c r="L2386" s="336">
        <f t="shared" si="15"/>
        <v>0.19999999999998863</v>
      </c>
      <c r="M2386" s="337"/>
    </row>
    <row r="2387" spans="1:13" s="71" customFormat="1" ht="26.4" customHeight="1">
      <c r="A2387" s="282">
        <v>86</v>
      </c>
      <c r="B2387" s="533"/>
      <c r="C2387" s="333" t="s">
        <v>2757</v>
      </c>
      <c r="D2387" s="333" t="s">
        <v>2758</v>
      </c>
      <c r="E2387" s="441" t="s">
        <v>2759</v>
      </c>
      <c r="F2387" s="334">
        <v>7656</v>
      </c>
      <c r="G2387" s="311">
        <v>1905</v>
      </c>
      <c r="H2387" s="340" t="s">
        <v>3</v>
      </c>
      <c r="I2387" s="330" t="s">
        <v>3</v>
      </c>
      <c r="J2387" s="336">
        <v>5.2</v>
      </c>
      <c r="K2387" s="336">
        <v>5.0999999999999996</v>
      </c>
      <c r="L2387" s="336">
        <f t="shared" si="15"/>
        <v>0.10000000000000053</v>
      </c>
      <c r="M2387" s="337"/>
    </row>
    <row r="2388" spans="1:13" s="71" customFormat="1" ht="26.4" customHeight="1">
      <c r="A2388" s="282">
        <v>87</v>
      </c>
      <c r="B2388" s="533"/>
      <c r="C2388" s="333" t="s">
        <v>2757</v>
      </c>
      <c r="D2388" s="333" t="s">
        <v>2760</v>
      </c>
      <c r="E2388" s="441" t="s">
        <v>2761</v>
      </c>
      <c r="F2388" s="334">
        <v>6608</v>
      </c>
      <c r="G2388" s="311">
        <v>1905</v>
      </c>
      <c r="H2388" s="329" t="s">
        <v>1149</v>
      </c>
      <c r="I2388" s="313">
        <v>18</v>
      </c>
      <c r="J2388" s="336">
        <v>1.3</v>
      </c>
      <c r="K2388" s="336">
        <v>1.2</v>
      </c>
      <c r="L2388" s="336">
        <f t="shared" si="15"/>
        <v>0.10000000000000009</v>
      </c>
      <c r="M2388" s="337"/>
    </row>
    <row r="2389" spans="1:13" s="71" customFormat="1" ht="26.4">
      <c r="A2389" s="282">
        <v>88</v>
      </c>
      <c r="B2389" s="533"/>
      <c r="C2389" s="333" t="s">
        <v>2757</v>
      </c>
      <c r="D2389" s="333" t="s">
        <v>2762</v>
      </c>
      <c r="E2389" s="441" t="s">
        <v>2763</v>
      </c>
      <c r="F2389" s="334">
        <v>7657</v>
      </c>
      <c r="G2389" s="311">
        <v>1905</v>
      </c>
      <c r="H2389" s="329" t="s">
        <v>1149</v>
      </c>
      <c r="I2389" s="313">
        <v>31.9</v>
      </c>
      <c r="J2389" s="336">
        <v>6.8</v>
      </c>
      <c r="K2389" s="336">
        <v>6.6</v>
      </c>
      <c r="L2389" s="336">
        <f t="shared" si="15"/>
        <v>0.20000000000000018</v>
      </c>
      <c r="M2389" s="337"/>
    </row>
    <row r="2390" spans="1:13" s="71" customFormat="1" ht="26.4" customHeight="1">
      <c r="A2390" s="282">
        <v>89</v>
      </c>
      <c r="B2390" s="533"/>
      <c r="C2390" s="333" t="s">
        <v>2757</v>
      </c>
      <c r="D2390" s="307" t="s">
        <v>2764</v>
      </c>
      <c r="E2390" s="441" t="s">
        <v>2765</v>
      </c>
      <c r="F2390" s="334">
        <v>7658</v>
      </c>
      <c r="G2390" s="311">
        <v>1905</v>
      </c>
      <c r="H2390" s="340" t="s">
        <v>3</v>
      </c>
      <c r="I2390" s="313" t="s">
        <v>3</v>
      </c>
      <c r="J2390" s="336">
        <v>5.0999999999999996</v>
      </c>
      <c r="K2390" s="336">
        <v>5.0999999999999996</v>
      </c>
      <c r="L2390" s="336">
        <f t="shared" si="15"/>
        <v>0</v>
      </c>
      <c r="M2390" s="337"/>
    </row>
    <row r="2391" spans="1:13" s="71" customFormat="1" ht="26.4" customHeight="1">
      <c r="A2391" s="282">
        <v>90</v>
      </c>
      <c r="B2391" s="533"/>
      <c r="C2391" s="333" t="s">
        <v>2757</v>
      </c>
      <c r="D2391" s="307" t="s">
        <v>2764</v>
      </c>
      <c r="E2391" s="441" t="s">
        <v>2766</v>
      </c>
      <c r="F2391" s="334">
        <v>7660</v>
      </c>
      <c r="G2391" s="311">
        <v>1905</v>
      </c>
      <c r="H2391" s="340" t="s">
        <v>3</v>
      </c>
      <c r="I2391" s="313" t="s">
        <v>3</v>
      </c>
      <c r="J2391" s="336">
        <v>5.0999999999999996</v>
      </c>
      <c r="K2391" s="336">
        <v>5.0999999999999996</v>
      </c>
      <c r="L2391" s="336">
        <f t="shared" si="15"/>
        <v>0</v>
      </c>
      <c r="M2391" s="337"/>
    </row>
    <row r="2392" spans="1:13" s="71" customFormat="1" ht="26.4" customHeight="1">
      <c r="A2392" s="282">
        <v>91</v>
      </c>
      <c r="B2392" s="533"/>
      <c r="C2392" s="333" t="s">
        <v>2757</v>
      </c>
      <c r="D2392" s="307" t="s">
        <v>2764</v>
      </c>
      <c r="E2392" s="441" t="s">
        <v>2761</v>
      </c>
      <c r="F2392" s="334">
        <v>6609</v>
      </c>
      <c r="G2392" s="311">
        <v>1905</v>
      </c>
      <c r="H2392" s="329" t="s">
        <v>1149</v>
      </c>
      <c r="I2392" s="313">
        <v>18</v>
      </c>
      <c r="J2392" s="336">
        <v>3.3</v>
      </c>
      <c r="K2392" s="336">
        <v>2.9</v>
      </c>
      <c r="L2392" s="336">
        <f t="shared" si="15"/>
        <v>0.39999999999999991</v>
      </c>
      <c r="M2392" s="337"/>
    </row>
    <row r="2393" spans="1:13" s="71" customFormat="1" ht="26.4" customHeight="1">
      <c r="A2393" s="282">
        <v>92</v>
      </c>
      <c r="B2393" s="533"/>
      <c r="C2393" s="333" t="s">
        <v>2757</v>
      </c>
      <c r="D2393" s="307" t="s">
        <v>2764</v>
      </c>
      <c r="E2393" s="441" t="s">
        <v>2767</v>
      </c>
      <c r="F2393" s="334">
        <v>7659</v>
      </c>
      <c r="G2393" s="311">
        <v>1905</v>
      </c>
      <c r="H2393" s="329" t="s">
        <v>1149</v>
      </c>
      <c r="I2393" s="313">
        <v>76.3</v>
      </c>
      <c r="J2393" s="336">
        <v>4.5999999999999996</v>
      </c>
      <c r="K2393" s="336">
        <v>4.3</v>
      </c>
      <c r="L2393" s="336">
        <f t="shared" si="15"/>
        <v>0.29999999999999982</v>
      </c>
      <c r="M2393" s="337"/>
    </row>
    <row r="2394" spans="1:13" s="71" customFormat="1" ht="26.4" customHeight="1">
      <c r="A2394" s="282">
        <v>93</v>
      </c>
      <c r="B2394" s="533"/>
      <c r="C2394" s="333" t="s">
        <v>2757</v>
      </c>
      <c r="D2394" s="333" t="s">
        <v>2768</v>
      </c>
      <c r="E2394" s="441" t="s">
        <v>2769</v>
      </c>
      <c r="F2394" s="334">
        <v>6649</v>
      </c>
      <c r="G2394" s="311">
        <v>1905</v>
      </c>
      <c r="H2394" s="329" t="s">
        <v>1149</v>
      </c>
      <c r="I2394" s="313">
        <v>34</v>
      </c>
      <c r="J2394" s="336">
        <v>9.3000000000000007</v>
      </c>
      <c r="K2394" s="336">
        <v>8</v>
      </c>
      <c r="L2394" s="336">
        <f t="shared" si="15"/>
        <v>1.3000000000000007</v>
      </c>
      <c r="M2394" s="337"/>
    </row>
    <row r="2395" spans="1:13" s="71" customFormat="1" ht="26.4" customHeight="1">
      <c r="A2395" s="282">
        <v>94</v>
      </c>
      <c r="B2395" s="533"/>
      <c r="C2395" s="333" t="s">
        <v>2757</v>
      </c>
      <c r="D2395" s="333" t="s">
        <v>2770</v>
      </c>
      <c r="E2395" s="441" t="s">
        <v>2771</v>
      </c>
      <c r="F2395" s="334">
        <v>7652</v>
      </c>
      <c r="G2395" s="311">
        <v>1905</v>
      </c>
      <c r="H2395" s="329" t="s">
        <v>1149</v>
      </c>
      <c r="I2395" s="313">
        <v>159.19999999999999</v>
      </c>
      <c r="J2395" s="336">
        <v>7.9</v>
      </c>
      <c r="K2395" s="336">
        <v>7.6</v>
      </c>
      <c r="L2395" s="336">
        <f t="shared" si="15"/>
        <v>0.30000000000000071</v>
      </c>
      <c r="M2395" s="337"/>
    </row>
    <row r="2396" spans="1:13" s="71" customFormat="1" ht="26.4" customHeight="1">
      <c r="A2396" s="282">
        <v>95</v>
      </c>
      <c r="B2396" s="533"/>
      <c r="C2396" s="333" t="s">
        <v>2757</v>
      </c>
      <c r="D2396" s="333" t="s">
        <v>2770</v>
      </c>
      <c r="E2396" s="441" t="s">
        <v>2772</v>
      </c>
      <c r="F2396" s="334">
        <v>6612</v>
      </c>
      <c r="G2396" s="311">
        <v>1905</v>
      </c>
      <c r="H2396" s="329" t="s">
        <v>1149</v>
      </c>
      <c r="I2396" s="313">
        <v>46.2</v>
      </c>
      <c r="J2396" s="336">
        <v>2.5</v>
      </c>
      <c r="K2396" s="336">
        <v>2.4</v>
      </c>
      <c r="L2396" s="336">
        <f t="shared" si="15"/>
        <v>0.10000000000000009</v>
      </c>
      <c r="M2396" s="337"/>
    </row>
    <row r="2397" spans="1:13" s="71" customFormat="1" ht="26.4" customHeight="1">
      <c r="A2397" s="282">
        <v>96</v>
      </c>
      <c r="B2397" s="533"/>
      <c r="C2397" s="333" t="s">
        <v>2757</v>
      </c>
      <c r="D2397" s="333" t="s">
        <v>2770</v>
      </c>
      <c r="E2397" s="441" t="s">
        <v>2773</v>
      </c>
      <c r="F2397" s="334">
        <v>7654</v>
      </c>
      <c r="G2397" s="311">
        <v>1905</v>
      </c>
      <c r="H2397" s="329" t="s">
        <v>1149</v>
      </c>
      <c r="I2397" s="313">
        <v>231.4</v>
      </c>
      <c r="J2397" s="336">
        <v>2.4</v>
      </c>
      <c r="K2397" s="336">
        <v>2.4</v>
      </c>
      <c r="L2397" s="336">
        <f t="shared" si="15"/>
        <v>0</v>
      </c>
      <c r="M2397" s="337"/>
    </row>
    <row r="2398" spans="1:13" s="71" customFormat="1" ht="26.4" customHeight="1">
      <c r="A2398" s="282">
        <v>97</v>
      </c>
      <c r="B2398" s="533"/>
      <c r="C2398" s="333" t="s">
        <v>2757</v>
      </c>
      <c r="D2398" s="333" t="s">
        <v>2770</v>
      </c>
      <c r="E2398" s="441" t="s">
        <v>2774</v>
      </c>
      <c r="F2398" s="334">
        <v>7653</v>
      </c>
      <c r="G2398" s="311">
        <v>1905</v>
      </c>
      <c r="H2398" s="329" t="s">
        <v>1149</v>
      </c>
      <c r="I2398" s="313">
        <v>14.3</v>
      </c>
      <c r="J2398" s="336">
        <v>2</v>
      </c>
      <c r="K2398" s="336">
        <v>1.9</v>
      </c>
      <c r="L2398" s="336">
        <f t="shared" si="15"/>
        <v>0.10000000000000009</v>
      </c>
      <c r="M2398" s="337"/>
    </row>
    <row r="2399" spans="1:13" s="71" customFormat="1" ht="26.4" customHeight="1">
      <c r="A2399" s="282">
        <v>98</v>
      </c>
      <c r="B2399" s="533"/>
      <c r="C2399" s="333" t="s">
        <v>2757</v>
      </c>
      <c r="D2399" s="333" t="s">
        <v>2775</v>
      </c>
      <c r="E2399" s="441" t="s">
        <v>964</v>
      </c>
      <c r="F2399" s="334">
        <v>6652</v>
      </c>
      <c r="G2399" s="311">
        <v>1905</v>
      </c>
      <c r="H2399" s="340" t="s">
        <v>3</v>
      </c>
      <c r="I2399" s="330" t="s">
        <v>3</v>
      </c>
      <c r="J2399" s="336">
        <v>5.0999999999999996</v>
      </c>
      <c r="K2399" s="336">
        <v>4.4000000000000004</v>
      </c>
      <c r="L2399" s="336">
        <f t="shared" si="15"/>
        <v>0.69999999999999929</v>
      </c>
      <c r="M2399" s="337"/>
    </row>
    <row r="2400" spans="1:13" s="71" customFormat="1" ht="26.4" customHeight="1">
      <c r="A2400" s="282">
        <v>99</v>
      </c>
      <c r="B2400" s="533"/>
      <c r="C2400" s="333" t="s">
        <v>2757</v>
      </c>
      <c r="D2400" s="333" t="s">
        <v>2776</v>
      </c>
      <c r="E2400" s="260" t="s">
        <v>2777</v>
      </c>
      <c r="F2400" s="334">
        <v>6651</v>
      </c>
      <c r="G2400" s="311">
        <v>1905</v>
      </c>
      <c r="H2400" s="340" t="s">
        <v>3</v>
      </c>
      <c r="I2400" s="330" t="s">
        <v>3</v>
      </c>
      <c r="J2400" s="336">
        <v>25</v>
      </c>
      <c r="K2400" s="336">
        <v>21.7</v>
      </c>
      <c r="L2400" s="336">
        <f t="shared" si="15"/>
        <v>3.3000000000000007</v>
      </c>
      <c r="M2400" s="337"/>
    </row>
    <row r="2401" spans="1:13" s="71" customFormat="1" ht="26.4" customHeight="1">
      <c r="A2401" s="282">
        <v>100</v>
      </c>
      <c r="B2401" s="533"/>
      <c r="C2401" s="333" t="s">
        <v>2757</v>
      </c>
      <c r="D2401" s="333" t="s">
        <v>2776</v>
      </c>
      <c r="E2401" s="441" t="s">
        <v>2778</v>
      </c>
      <c r="F2401" s="334">
        <v>6650</v>
      </c>
      <c r="G2401" s="311">
        <v>1905</v>
      </c>
      <c r="H2401" s="340" t="s">
        <v>3</v>
      </c>
      <c r="I2401" s="330" t="s">
        <v>3</v>
      </c>
      <c r="J2401" s="336">
        <v>186.2</v>
      </c>
      <c r="K2401" s="336">
        <v>161.30000000000001</v>
      </c>
      <c r="L2401" s="336">
        <f t="shared" si="15"/>
        <v>24.899999999999977</v>
      </c>
      <c r="M2401" s="337"/>
    </row>
    <row r="2402" spans="1:13" s="71" customFormat="1" ht="26.4" customHeight="1">
      <c r="A2402" s="282">
        <v>101</v>
      </c>
      <c r="B2402" s="533"/>
      <c r="C2402" s="333" t="s">
        <v>2757</v>
      </c>
      <c r="D2402" s="333" t="s">
        <v>2770</v>
      </c>
      <c r="E2402" s="441" t="s">
        <v>2779</v>
      </c>
      <c r="F2402" s="334">
        <v>7655</v>
      </c>
      <c r="G2402" s="311">
        <v>1905</v>
      </c>
      <c r="H2402" s="340" t="s">
        <v>3</v>
      </c>
      <c r="I2402" s="330" t="s">
        <v>3</v>
      </c>
      <c r="J2402" s="336">
        <v>2.4</v>
      </c>
      <c r="K2402" s="336">
        <v>2.4</v>
      </c>
      <c r="L2402" s="336">
        <f t="shared" si="15"/>
        <v>0</v>
      </c>
      <c r="M2402" s="337"/>
    </row>
    <row r="2403" spans="1:13" s="71" customFormat="1" ht="26.4" customHeight="1">
      <c r="A2403" s="282">
        <v>102</v>
      </c>
      <c r="B2403" s="533"/>
      <c r="C2403" s="333" t="s">
        <v>2757</v>
      </c>
      <c r="D2403" s="333" t="s">
        <v>2780</v>
      </c>
      <c r="E2403" s="441" t="s">
        <v>2781</v>
      </c>
      <c r="F2403" s="334">
        <v>6648</v>
      </c>
      <c r="G2403" s="311">
        <v>1905</v>
      </c>
      <c r="H2403" s="340" t="s">
        <v>722</v>
      </c>
      <c r="I2403" s="313">
        <v>6</v>
      </c>
      <c r="J2403" s="336">
        <v>116.6</v>
      </c>
      <c r="K2403" s="336">
        <v>116.4</v>
      </c>
      <c r="L2403" s="336">
        <f t="shared" si="15"/>
        <v>0.19999999999998863</v>
      </c>
      <c r="M2403" s="337"/>
    </row>
    <row r="2404" spans="1:13" s="71" customFormat="1" ht="26.4" customHeight="1">
      <c r="A2404" s="282">
        <v>103</v>
      </c>
      <c r="B2404" s="533"/>
      <c r="C2404" s="333" t="s">
        <v>2757</v>
      </c>
      <c r="D2404" s="333" t="s">
        <v>2780</v>
      </c>
      <c r="E2404" s="441" t="s">
        <v>2782</v>
      </c>
      <c r="F2404" s="334">
        <v>66110</v>
      </c>
      <c r="G2404" s="311">
        <v>1905</v>
      </c>
      <c r="H2404" s="340" t="s">
        <v>722</v>
      </c>
      <c r="I2404" s="313">
        <v>15</v>
      </c>
      <c r="J2404" s="336">
        <v>166.3</v>
      </c>
      <c r="K2404" s="336">
        <v>144.4</v>
      </c>
      <c r="L2404" s="336">
        <f t="shared" si="15"/>
        <v>21.900000000000006</v>
      </c>
      <c r="M2404" s="337"/>
    </row>
    <row r="2405" spans="1:13" s="71" customFormat="1" ht="26.4" customHeight="1">
      <c r="A2405" s="282">
        <v>104</v>
      </c>
      <c r="B2405" s="533"/>
      <c r="C2405" s="333" t="s">
        <v>2669</v>
      </c>
      <c r="D2405" s="333" t="s">
        <v>2783</v>
      </c>
      <c r="E2405" s="441" t="s">
        <v>2784</v>
      </c>
      <c r="F2405" s="334">
        <v>267</v>
      </c>
      <c r="G2405" s="339" t="s">
        <v>2785</v>
      </c>
      <c r="H2405" s="340" t="s">
        <v>2658</v>
      </c>
      <c r="I2405" s="313">
        <v>4425</v>
      </c>
      <c r="J2405" s="336">
        <v>33</v>
      </c>
      <c r="K2405" s="336">
        <v>25.6</v>
      </c>
      <c r="L2405" s="336">
        <f t="shared" si="15"/>
        <v>7.3999999999999986</v>
      </c>
      <c r="M2405" s="337"/>
    </row>
    <row r="2406" spans="1:13" s="71" customFormat="1" ht="39.6">
      <c r="A2406" s="282">
        <v>105</v>
      </c>
      <c r="B2406" s="533"/>
      <c r="C2406" s="333" t="s">
        <v>2669</v>
      </c>
      <c r="D2406" s="307" t="s">
        <v>2786</v>
      </c>
      <c r="E2406" s="322" t="s">
        <v>2787</v>
      </c>
      <c r="F2406" s="334">
        <v>280</v>
      </c>
      <c r="G2406" s="311">
        <v>1905</v>
      </c>
      <c r="H2406" s="340" t="s">
        <v>722</v>
      </c>
      <c r="I2406" s="313">
        <v>4</v>
      </c>
      <c r="J2406" s="336">
        <v>14.8</v>
      </c>
      <c r="K2406" s="336">
        <v>9.4</v>
      </c>
      <c r="L2406" s="336">
        <f t="shared" si="15"/>
        <v>5.4</v>
      </c>
      <c r="M2406" s="337"/>
    </row>
    <row r="2407" spans="1:13" s="71" customFormat="1" ht="26.4" customHeight="1">
      <c r="A2407" s="282">
        <v>106</v>
      </c>
      <c r="B2407" s="533"/>
      <c r="C2407" s="333" t="s">
        <v>2669</v>
      </c>
      <c r="D2407" s="333" t="s">
        <v>2788</v>
      </c>
      <c r="E2407" s="322" t="s">
        <v>2789</v>
      </c>
      <c r="F2407" s="334">
        <v>283</v>
      </c>
      <c r="G2407" s="311">
        <v>1905</v>
      </c>
      <c r="H2407" s="340" t="s">
        <v>2658</v>
      </c>
      <c r="I2407" s="313">
        <v>3021</v>
      </c>
      <c r="J2407" s="336">
        <v>11.3</v>
      </c>
      <c r="K2407" s="336">
        <v>8.6999999999999993</v>
      </c>
      <c r="L2407" s="336">
        <f t="shared" si="15"/>
        <v>2.6000000000000014</v>
      </c>
      <c r="M2407" s="337"/>
    </row>
    <row r="2408" spans="1:13" s="71" customFormat="1" ht="26.4" customHeight="1">
      <c r="A2408" s="282">
        <v>107</v>
      </c>
      <c r="B2408" s="533"/>
      <c r="C2408" s="333" t="s">
        <v>2669</v>
      </c>
      <c r="D2408" s="333" t="s">
        <v>2790</v>
      </c>
      <c r="E2408" s="322" t="s">
        <v>2791</v>
      </c>
      <c r="F2408" s="334">
        <v>309</v>
      </c>
      <c r="G2408" s="311">
        <v>1905</v>
      </c>
      <c r="H2408" s="340" t="s">
        <v>2658</v>
      </c>
      <c r="I2408" s="313">
        <v>1005</v>
      </c>
      <c r="J2408" s="336">
        <v>5.3</v>
      </c>
      <c r="K2408" s="336">
        <v>3.5</v>
      </c>
      <c r="L2408" s="336">
        <f t="shared" si="15"/>
        <v>1.7999999999999998</v>
      </c>
      <c r="M2408" s="337"/>
    </row>
    <row r="2409" spans="1:13" s="71" customFormat="1" ht="26.4">
      <c r="A2409" s="282">
        <v>108</v>
      </c>
      <c r="B2409" s="533"/>
      <c r="C2409" s="333" t="s">
        <v>2792</v>
      </c>
      <c r="D2409" s="307" t="s">
        <v>12948</v>
      </c>
      <c r="E2409" s="322" t="s">
        <v>2793</v>
      </c>
      <c r="F2409" s="334">
        <v>5555</v>
      </c>
      <c r="G2409" s="311">
        <v>1905</v>
      </c>
      <c r="H2409" s="340" t="s">
        <v>2658</v>
      </c>
      <c r="I2409" s="313">
        <v>8680</v>
      </c>
      <c r="J2409" s="336">
        <v>529.1</v>
      </c>
      <c r="K2409" s="336">
        <v>298.5</v>
      </c>
      <c r="L2409" s="336">
        <f t="shared" si="15"/>
        <v>230.60000000000002</v>
      </c>
      <c r="M2409" s="337"/>
    </row>
    <row r="2410" spans="1:13" s="71" customFormat="1" ht="26.4" customHeight="1">
      <c r="A2410" s="282">
        <v>109</v>
      </c>
      <c r="B2410" s="533"/>
      <c r="C2410" s="333" t="s">
        <v>2794</v>
      </c>
      <c r="D2410" s="307" t="s">
        <v>2795</v>
      </c>
      <c r="E2410" s="322" t="s">
        <v>2796</v>
      </c>
      <c r="F2410" s="334">
        <v>5557</v>
      </c>
      <c r="G2410" s="311">
        <v>1905</v>
      </c>
      <c r="H2410" s="340" t="s">
        <v>2658</v>
      </c>
      <c r="I2410" s="313">
        <v>3680</v>
      </c>
      <c r="J2410" s="336">
        <v>602.20000000000005</v>
      </c>
      <c r="K2410" s="336">
        <v>359.4</v>
      </c>
      <c r="L2410" s="336">
        <f t="shared" si="15"/>
        <v>242.80000000000007</v>
      </c>
      <c r="M2410" s="337"/>
    </row>
    <row r="2411" spans="1:13" s="71" customFormat="1" ht="39.6">
      <c r="A2411" s="282">
        <v>110</v>
      </c>
      <c r="B2411" s="533"/>
      <c r="C2411" s="333" t="s">
        <v>2669</v>
      </c>
      <c r="D2411" s="307" t="s">
        <v>2797</v>
      </c>
      <c r="E2411" s="322" t="s">
        <v>2798</v>
      </c>
      <c r="F2411" s="334">
        <v>265</v>
      </c>
      <c r="G2411" s="311">
        <v>1905</v>
      </c>
      <c r="H2411" s="340" t="s">
        <v>2658</v>
      </c>
      <c r="I2411" s="313">
        <v>19200</v>
      </c>
      <c r="J2411" s="336">
        <v>1636.1</v>
      </c>
      <c r="K2411" s="336">
        <v>1262.5</v>
      </c>
      <c r="L2411" s="336">
        <f t="shared" si="15"/>
        <v>373.59999999999991</v>
      </c>
      <c r="M2411" s="337"/>
    </row>
    <row r="2412" spans="1:13" s="71" customFormat="1" ht="39.6">
      <c r="A2412" s="282">
        <v>111</v>
      </c>
      <c r="B2412" s="533"/>
      <c r="C2412" s="333" t="s">
        <v>2669</v>
      </c>
      <c r="D2412" s="307" t="s">
        <v>2799</v>
      </c>
      <c r="E2412" s="322" t="s">
        <v>13260</v>
      </c>
      <c r="F2412" s="334">
        <v>1032711</v>
      </c>
      <c r="G2412" s="311">
        <v>1905</v>
      </c>
      <c r="H2412" s="340" t="s">
        <v>2658</v>
      </c>
      <c r="I2412" s="313">
        <v>2867</v>
      </c>
      <c r="J2412" s="336">
        <v>29.6</v>
      </c>
      <c r="K2412" s="336">
        <v>24.5</v>
      </c>
      <c r="L2412" s="336">
        <f t="shared" si="15"/>
        <v>5.1000000000000014</v>
      </c>
      <c r="M2412" s="337"/>
    </row>
    <row r="2413" spans="1:13" s="71" customFormat="1" ht="52.8">
      <c r="A2413" s="282">
        <v>112</v>
      </c>
      <c r="B2413" s="533"/>
      <c r="C2413" s="333" t="s">
        <v>2669</v>
      </c>
      <c r="D2413" s="333" t="s">
        <v>13407</v>
      </c>
      <c r="E2413" s="322" t="s">
        <v>2800</v>
      </c>
      <c r="F2413" s="334">
        <v>1032712</v>
      </c>
      <c r="G2413" s="311">
        <v>1905</v>
      </c>
      <c r="H2413" s="340" t="s">
        <v>2658</v>
      </c>
      <c r="I2413" s="313">
        <v>9650</v>
      </c>
      <c r="J2413" s="336">
        <v>29.5</v>
      </c>
      <c r="K2413" s="336">
        <v>24.4</v>
      </c>
      <c r="L2413" s="336">
        <f t="shared" si="15"/>
        <v>5.1000000000000014</v>
      </c>
      <c r="M2413" s="337"/>
    </row>
    <row r="2414" spans="1:13" s="71" customFormat="1" ht="39.6">
      <c r="A2414" s="282">
        <v>113</v>
      </c>
      <c r="B2414" s="533"/>
      <c r="C2414" s="333" t="s">
        <v>2669</v>
      </c>
      <c r="D2414" s="333" t="s">
        <v>12949</v>
      </c>
      <c r="E2414" s="338" t="s">
        <v>2801</v>
      </c>
      <c r="F2414" s="334">
        <v>1032713</v>
      </c>
      <c r="G2414" s="311">
        <v>1905</v>
      </c>
      <c r="H2414" s="340" t="s">
        <v>2658</v>
      </c>
      <c r="I2414" s="313">
        <v>20916</v>
      </c>
      <c r="J2414" s="336">
        <v>344.8</v>
      </c>
      <c r="K2414" s="336">
        <v>120.5</v>
      </c>
      <c r="L2414" s="336">
        <f t="shared" si="15"/>
        <v>224.3</v>
      </c>
      <c r="M2414" s="337"/>
    </row>
    <row r="2415" spans="1:13" s="71" customFormat="1" ht="26.4" customHeight="1">
      <c r="A2415" s="282">
        <v>114</v>
      </c>
      <c r="B2415" s="533"/>
      <c r="C2415" s="333" t="s">
        <v>2669</v>
      </c>
      <c r="D2415" s="333" t="s">
        <v>2802</v>
      </c>
      <c r="E2415" s="441" t="s">
        <v>2803</v>
      </c>
      <c r="F2415" s="334">
        <v>1032781</v>
      </c>
      <c r="G2415" s="311">
        <v>1905</v>
      </c>
      <c r="H2415" s="340" t="s">
        <v>2658</v>
      </c>
      <c r="I2415" s="313">
        <v>3470</v>
      </c>
      <c r="J2415" s="336">
        <v>47.2</v>
      </c>
      <c r="K2415" s="336">
        <v>39</v>
      </c>
      <c r="L2415" s="336">
        <f t="shared" si="15"/>
        <v>8.2000000000000028</v>
      </c>
      <c r="M2415" s="337"/>
    </row>
    <row r="2416" spans="1:13" s="71" customFormat="1" ht="26.4" customHeight="1">
      <c r="A2416" s="282">
        <v>115</v>
      </c>
      <c r="B2416" s="533"/>
      <c r="C2416" s="333" t="s">
        <v>2669</v>
      </c>
      <c r="D2416" s="333" t="s">
        <v>2804</v>
      </c>
      <c r="E2416" s="441" t="s">
        <v>2805</v>
      </c>
      <c r="F2416" s="334">
        <v>1032782</v>
      </c>
      <c r="G2416" s="311">
        <v>1905</v>
      </c>
      <c r="H2416" s="340" t="s">
        <v>2658</v>
      </c>
      <c r="I2416" s="313">
        <v>2730</v>
      </c>
      <c r="J2416" s="336">
        <v>37.200000000000003</v>
      </c>
      <c r="K2416" s="336">
        <v>30.8</v>
      </c>
      <c r="L2416" s="336">
        <f t="shared" si="15"/>
        <v>6.4000000000000021</v>
      </c>
      <c r="M2416" s="337"/>
    </row>
    <row r="2417" spans="1:13" s="71" customFormat="1" ht="26.4" customHeight="1">
      <c r="A2417" s="282">
        <v>116</v>
      </c>
      <c r="B2417" s="533"/>
      <c r="C2417" s="333" t="s">
        <v>2669</v>
      </c>
      <c r="D2417" s="333" t="s">
        <v>2804</v>
      </c>
      <c r="E2417" s="441" t="s">
        <v>2806</v>
      </c>
      <c r="F2417" s="334">
        <v>1032783</v>
      </c>
      <c r="G2417" s="311">
        <v>1905</v>
      </c>
      <c r="H2417" s="340" t="s">
        <v>2658</v>
      </c>
      <c r="I2417" s="313">
        <v>2760</v>
      </c>
      <c r="J2417" s="336">
        <v>37.6</v>
      </c>
      <c r="K2417" s="336">
        <v>30.9</v>
      </c>
      <c r="L2417" s="336">
        <f t="shared" si="15"/>
        <v>6.7000000000000028</v>
      </c>
      <c r="M2417" s="337"/>
    </row>
    <row r="2418" spans="1:13" s="71" customFormat="1" ht="26.4" customHeight="1">
      <c r="A2418" s="282">
        <v>117</v>
      </c>
      <c r="B2418" s="533"/>
      <c r="C2418" s="333" t="s">
        <v>2669</v>
      </c>
      <c r="D2418" s="333" t="s">
        <v>2807</v>
      </c>
      <c r="E2418" s="322" t="s">
        <v>2808</v>
      </c>
      <c r="F2418" s="334">
        <v>1032784</v>
      </c>
      <c r="G2418" s="311">
        <v>1905</v>
      </c>
      <c r="H2418" s="340" t="s">
        <v>2658</v>
      </c>
      <c r="I2418" s="313">
        <v>715</v>
      </c>
      <c r="J2418" s="336">
        <v>9.6999999999999993</v>
      </c>
      <c r="K2418" s="336">
        <v>8.1</v>
      </c>
      <c r="L2418" s="336">
        <f t="shared" si="15"/>
        <v>1.5999999999999996</v>
      </c>
      <c r="M2418" s="337"/>
    </row>
    <row r="2419" spans="1:13" s="71" customFormat="1" ht="26.4" customHeight="1">
      <c r="A2419" s="282">
        <v>118</v>
      </c>
      <c r="B2419" s="533"/>
      <c r="C2419" s="333" t="s">
        <v>2669</v>
      </c>
      <c r="D2419" s="333" t="s">
        <v>2809</v>
      </c>
      <c r="E2419" s="441" t="s">
        <v>2810</v>
      </c>
      <c r="F2419" s="334">
        <v>1032721</v>
      </c>
      <c r="G2419" s="311">
        <v>1905</v>
      </c>
      <c r="H2419" s="340" t="s">
        <v>2658</v>
      </c>
      <c r="I2419" s="313">
        <v>2230</v>
      </c>
      <c r="J2419" s="336">
        <v>92.8</v>
      </c>
      <c r="K2419" s="336">
        <v>53.3</v>
      </c>
      <c r="L2419" s="336">
        <f t="shared" si="15"/>
        <v>39.5</v>
      </c>
      <c r="M2419" s="337"/>
    </row>
    <row r="2420" spans="1:13" s="71" customFormat="1" ht="26.4" customHeight="1">
      <c r="A2420" s="282">
        <v>119</v>
      </c>
      <c r="B2420" s="533"/>
      <c r="C2420" s="333" t="s">
        <v>2669</v>
      </c>
      <c r="D2420" s="333" t="s">
        <v>2811</v>
      </c>
      <c r="E2420" s="441" t="s">
        <v>2812</v>
      </c>
      <c r="F2420" s="334">
        <v>1032722</v>
      </c>
      <c r="G2420" s="311">
        <v>1905</v>
      </c>
      <c r="H2420" s="340" t="s">
        <v>2658</v>
      </c>
      <c r="I2420" s="313">
        <v>9386</v>
      </c>
      <c r="J2420" s="336">
        <v>390.7</v>
      </c>
      <c r="K2420" s="336">
        <v>227.6</v>
      </c>
      <c r="L2420" s="336">
        <f t="shared" si="15"/>
        <v>163.1</v>
      </c>
      <c r="M2420" s="337"/>
    </row>
    <row r="2421" spans="1:13" s="71" customFormat="1" ht="26.4" customHeight="1">
      <c r="A2421" s="282">
        <v>120</v>
      </c>
      <c r="B2421" s="533"/>
      <c r="C2421" s="333" t="s">
        <v>2669</v>
      </c>
      <c r="D2421" s="333" t="s">
        <v>2813</v>
      </c>
      <c r="E2421" s="441" t="s">
        <v>2814</v>
      </c>
      <c r="F2421" s="334">
        <v>1032723</v>
      </c>
      <c r="G2421" s="311">
        <v>1905</v>
      </c>
      <c r="H2421" s="340" t="s">
        <v>2658</v>
      </c>
      <c r="I2421" s="313">
        <v>9201.5</v>
      </c>
      <c r="J2421" s="336">
        <v>255.8</v>
      </c>
      <c r="K2421" s="336">
        <v>152.4</v>
      </c>
      <c r="L2421" s="336">
        <f t="shared" si="15"/>
        <v>103.4</v>
      </c>
      <c r="M2421" s="337"/>
    </row>
    <row r="2422" spans="1:13" s="71" customFormat="1" ht="26.4" customHeight="1">
      <c r="A2422" s="282">
        <v>121</v>
      </c>
      <c r="B2422" s="533"/>
      <c r="C2422" s="333" t="s">
        <v>2815</v>
      </c>
      <c r="D2422" s="307" t="s">
        <v>2816</v>
      </c>
      <c r="E2422" s="441" t="s">
        <v>2817</v>
      </c>
      <c r="F2422" s="334">
        <v>1310</v>
      </c>
      <c r="G2422" s="311">
        <v>1905</v>
      </c>
      <c r="H2422" s="340" t="s">
        <v>3</v>
      </c>
      <c r="I2422" s="330" t="s">
        <v>3</v>
      </c>
      <c r="J2422" s="336">
        <v>111.4</v>
      </c>
      <c r="K2422" s="336">
        <v>88</v>
      </c>
      <c r="L2422" s="336">
        <f t="shared" si="15"/>
        <v>23.400000000000006</v>
      </c>
      <c r="M2422" s="337"/>
    </row>
    <row r="2423" spans="1:13" s="71" customFormat="1" ht="26.4" customHeight="1">
      <c r="A2423" s="282">
        <v>122</v>
      </c>
      <c r="B2423" s="533"/>
      <c r="C2423" s="333" t="s">
        <v>2818</v>
      </c>
      <c r="D2423" s="307" t="s">
        <v>2819</v>
      </c>
      <c r="E2423" s="441" t="s">
        <v>2820</v>
      </c>
      <c r="F2423" s="334">
        <v>1850</v>
      </c>
      <c r="G2423" s="311">
        <v>1905</v>
      </c>
      <c r="H2423" s="340" t="s">
        <v>2658</v>
      </c>
      <c r="I2423" s="313">
        <v>10851</v>
      </c>
      <c r="J2423" s="336">
        <v>1024.8</v>
      </c>
      <c r="K2423" s="336">
        <v>680</v>
      </c>
      <c r="L2423" s="336">
        <f t="shared" si="15"/>
        <v>344.79999999999995</v>
      </c>
      <c r="M2423" s="337"/>
    </row>
    <row r="2424" spans="1:13" s="71" customFormat="1" ht="26.4" customHeight="1">
      <c r="A2424" s="282">
        <v>123</v>
      </c>
      <c r="B2424" s="533"/>
      <c r="C2424" s="333" t="s">
        <v>2669</v>
      </c>
      <c r="D2424" s="307" t="s">
        <v>2821</v>
      </c>
      <c r="E2424" s="322" t="s">
        <v>2822</v>
      </c>
      <c r="F2424" s="334">
        <v>686</v>
      </c>
      <c r="G2424" s="311">
        <v>1905</v>
      </c>
      <c r="H2424" s="340" t="s">
        <v>3</v>
      </c>
      <c r="I2424" s="330" t="s">
        <v>3</v>
      </c>
      <c r="J2424" s="336">
        <v>23.1</v>
      </c>
      <c r="K2424" s="336">
        <v>17</v>
      </c>
      <c r="L2424" s="336">
        <f t="shared" si="15"/>
        <v>6.1000000000000014</v>
      </c>
      <c r="M2424" s="337"/>
    </row>
    <row r="2425" spans="1:13" s="71" customFormat="1" ht="26.4" customHeight="1">
      <c r="A2425" s="282">
        <v>124</v>
      </c>
      <c r="B2425" s="533"/>
      <c r="C2425" s="333" t="s">
        <v>2669</v>
      </c>
      <c r="D2425" s="307" t="s">
        <v>2821</v>
      </c>
      <c r="E2425" s="322" t="s">
        <v>2823</v>
      </c>
      <c r="F2425" s="334">
        <v>688</v>
      </c>
      <c r="G2425" s="311">
        <v>1905</v>
      </c>
      <c r="H2425" s="340" t="s">
        <v>3</v>
      </c>
      <c r="I2425" s="330" t="s">
        <v>3</v>
      </c>
      <c r="J2425" s="336">
        <v>1.2</v>
      </c>
      <c r="K2425" s="336">
        <v>0.9</v>
      </c>
      <c r="L2425" s="336">
        <f t="shared" si="15"/>
        <v>0.29999999999999993</v>
      </c>
      <c r="M2425" s="337"/>
    </row>
    <row r="2426" spans="1:13" s="71" customFormat="1" ht="26.4" customHeight="1">
      <c r="A2426" s="282">
        <v>125</v>
      </c>
      <c r="B2426" s="533"/>
      <c r="C2426" s="333" t="s">
        <v>2669</v>
      </c>
      <c r="D2426" s="307" t="s">
        <v>2824</v>
      </c>
      <c r="E2426" s="322" t="s">
        <v>2825</v>
      </c>
      <c r="F2426" s="334">
        <v>670</v>
      </c>
      <c r="G2426" s="311">
        <v>1905</v>
      </c>
      <c r="H2426" s="340" t="s">
        <v>3</v>
      </c>
      <c r="I2426" s="330" t="s">
        <v>3</v>
      </c>
      <c r="J2426" s="336">
        <v>3.6</v>
      </c>
      <c r="K2426" s="336">
        <v>2.6</v>
      </c>
      <c r="L2426" s="336">
        <f t="shared" si="15"/>
        <v>1</v>
      </c>
      <c r="M2426" s="337"/>
    </row>
    <row r="2427" spans="1:13" s="71" customFormat="1" ht="26.4" customHeight="1">
      <c r="A2427" s="282">
        <v>126</v>
      </c>
      <c r="B2427" s="533"/>
      <c r="C2427" s="333" t="s">
        <v>2669</v>
      </c>
      <c r="D2427" s="333" t="s">
        <v>2826</v>
      </c>
      <c r="E2427" s="322" t="s">
        <v>2827</v>
      </c>
      <c r="F2427" s="334">
        <v>671</v>
      </c>
      <c r="G2427" s="311">
        <v>1905</v>
      </c>
      <c r="H2427" s="340" t="s">
        <v>3</v>
      </c>
      <c r="I2427" s="330" t="s">
        <v>3</v>
      </c>
      <c r="J2427" s="336">
        <v>19.5</v>
      </c>
      <c r="K2427" s="336">
        <v>15.1</v>
      </c>
      <c r="L2427" s="336">
        <f t="shared" si="15"/>
        <v>4.4000000000000004</v>
      </c>
      <c r="M2427" s="337"/>
    </row>
    <row r="2428" spans="1:13" s="71" customFormat="1" ht="26.4" customHeight="1">
      <c r="A2428" s="282">
        <v>127</v>
      </c>
      <c r="B2428" s="533"/>
      <c r="C2428" s="333" t="s">
        <v>2669</v>
      </c>
      <c r="D2428" s="333" t="s">
        <v>2828</v>
      </c>
      <c r="E2428" s="322" t="s">
        <v>2829</v>
      </c>
      <c r="F2428" s="334">
        <v>672</v>
      </c>
      <c r="G2428" s="311">
        <v>1905</v>
      </c>
      <c r="H2428" s="340" t="s">
        <v>3</v>
      </c>
      <c r="I2428" s="330" t="s">
        <v>3</v>
      </c>
      <c r="J2428" s="336">
        <v>19.5</v>
      </c>
      <c r="K2428" s="336">
        <v>15.1</v>
      </c>
      <c r="L2428" s="336">
        <f t="shared" si="15"/>
        <v>4.4000000000000004</v>
      </c>
      <c r="M2428" s="337"/>
    </row>
    <row r="2429" spans="1:13" s="71" customFormat="1" ht="26.4" customHeight="1">
      <c r="A2429" s="282">
        <v>128</v>
      </c>
      <c r="B2429" s="533"/>
      <c r="C2429" s="333" t="s">
        <v>2669</v>
      </c>
      <c r="D2429" s="307" t="s">
        <v>2830</v>
      </c>
      <c r="E2429" s="441" t="s">
        <v>2831</v>
      </c>
      <c r="F2429" s="334">
        <v>46</v>
      </c>
      <c r="G2429" s="311">
        <v>1905</v>
      </c>
      <c r="H2429" s="340" t="s">
        <v>3</v>
      </c>
      <c r="I2429" s="330" t="s">
        <v>3</v>
      </c>
      <c r="J2429" s="336">
        <v>139.6</v>
      </c>
      <c r="K2429" s="336">
        <v>103.6</v>
      </c>
      <c r="L2429" s="336">
        <f t="shared" si="15"/>
        <v>36</v>
      </c>
      <c r="M2429" s="337"/>
    </row>
    <row r="2430" spans="1:13" s="71" customFormat="1" ht="26.4" customHeight="1">
      <c r="A2430" s="282">
        <v>129</v>
      </c>
      <c r="B2430" s="533"/>
      <c r="C2430" s="333" t="s">
        <v>2669</v>
      </c>
      <c r="D2430" s="307" t="s">
        <v>2832</v>
      </c>
      <c r="E2430" s="441" t="s">
        <v>2833</v>
      </c>
      <c r="F2430" s="334">
        <v>49</v>
      </c>
      <c r="G2430" s="311">
        <v>1905</v>
      </c>
      <c r="H2430" s="340" t="s">
        <v>3</v>
      </c>
      <c r="I2430" s="330" t="s">
        <v>3</v>
      </c>
      <c r="J2430" s="336">
        <v>183.2</v>
      </c>
      <c r="K2430" s="336">
        <v>147.69999999999999</v>
      </c>
      <c r="L2430" s="336">
        <f t="shared" ref="L2430:L2493" si="16">J2430-K2430</f>
        <v>35.5</v>
      </c>
      <c r="M2430" s="337"/>
    </row>
    <row r="2431" spans="1:13" s="71" customFormat="1" ht="26.4" customHeight="1">
      <c r="A2431" s="282">
        <v>130</v>
      </c>
      <c r="B2431" s="533"/>
      <c r="C2431" s="333" t="s">
        <v>2669</v>
      </c>
      <c r="D2431" s="333" t="s">
        <v>2834</v>
      </c>
      <c r="E2431" s="441" t="s">
        <v>2835</v>
      </c>
      <c r="F2431" s="334">
        <v>281</v>
      </c>
      <c r="G2431" s="311">
        <v>1905</v>
      </c>
      <c r="H2431" s="340" t="s">
        <v>3</v>
      </c>
      <c r="I2431" s="330" t="s">
        <v>3</v>
      </c>
      <c r="J2431" s="336">
        <v>12.8</v>
      </c>
      <c r="K2431" s="336">
        <v>11.2</v>
      </c>
      <c r="L2431" s="336">
        <f t="shared" si="16"/>
        <v>1.6000000000000014</v>
      </c>
      <c r="M2431" s="337"/>
    </row>
    <row r="2432" spans="1:13" s="71" customFormat="1" ht="26.4" customHeight="1">
      <c r="A2432" s="282">
        <v>131</v>
      </c>
      <c r="B2432" s="533"/>
      <c r="C2432" s="333" t="s">
        <v>2669</v>
      </c>
      <c r="D2432" s="333" t="s">
        <v>2836</v>
      </c>
      <c r="E2432" s="441" t="s">
        <v>1146</v>
      </c>
      <c r="F2432" s="334">
        <v>277</v>
      </c>
      <c r="G2432" s="311">
        <v>1905</v>
      </c>
      <c r="H2432" s="340" t="s">
        <v>3</v>
      </c>
      <c r="I2432" s="330" t="s">
        <v>3</v>
      </c>
      <c r="J2432" s="336">
        <v>1263.0999999999999</v>
      </c>
      <c r="K2432" s="336">
        <v>277.7</v>
      </c>
      <c r="L2432" s="336">
        <f t="shared" si="16"/>
        <v>985.39999999999986</v>
      </c>
      <c r="M2432" s="337"/>
    </row>
    <row r="2433" spans="1:13" s="71" customFormat="1" ht="26.4" customHeight="1">
      <c r="A2433" s="282">
        <v>132</v>
      </c>
      <c r="B2433" s="533"/>
      <c r="C2433" s="333" t="s">
        <v>2669</v>
      </c>
      <c r="D2433" s="333" t="s">
        <v>3</v>
      </c>
      <c r="E2433" s="441" t="s">
        <v>2837</v>
      </c>
      <c r="F2433" s="334">
        <v>88880</v>
      </c>
      <c r="G2433" s="311">
        <v>1905</v>
      </c>
      <c r="H2433" s="340" t="s">
        <v>2658</v>
      </c>
      <c r="I2433" s="313">
        <v>10851</v>
      </c>
      <c r="J2433" s="336">
        <v>262.8</v>
      </c>
      <c r="K2433" s="336">
        <v>49.5</v>
      </c>
      <c r="L2433" s="336">
        <f t="shared" si="16"/>
        <v>213.3</v>
      </c>
      <c r="M2433" s="337"/>
    </row>
    <row r="2434" spans="1:13" s="71" customFormat="1" ht="39.6">
      <c r="A2434" s="282">
        <v>133</v>
      </c>
      <c r="B2434" s="533"/>
      <c r="C2434" s="333" t="s">
        <v>2669</v>
      </c>
      <c r="D2434" s="333" t="s">
        <v>2838</v>
      </c>
      <c r="E2434" s="441" t="s">
        <v>2839</v>
      </c>
      <c r="F2434" s="334">
        <v>264</v>
      </c>
      <c r="G2434" s="311">
        <v>1905</v>
      </c>
      <c r="H2434" s="340" t="s">
        <v>722</v>
      </c>
      <c r="I2434" s="313">
        <v>7.8</v>
      </c>
      <c r="J2434" s="336">
        <v>32.9</v>
      </c>
      <c r="K2434" s="336">
        <v>17.600000000000001</v>
      </c>
      <c r="L2434" s="336">
        <f t="shared" si="16"/>
        <v>15.299999999999997</v>
      </c>
      <c r="M2434" s="337"/>
    </row>
    <row r="2435" spans="1:13" s="71" customFormat="1" ht="52.8">
      <c r="A2435" s="282">
        <v>134</v>
      </c>
      <c r="B2435" s="533"/>
      <c r="C2435" s="333" t="s">
        <v>2669</v>
      </c>
      <c r="D2435" s="333" t="s">
        <v>13408</v>
      </c>
      <c r="E2435" s="441" t="s">
        <v>2840</v>
      </c>
      <c r="F2435" s="334">
        <v>274</v>
      </c>
      <c r="G2435" s="311">
        <v>1905</v>
      </c>
      <c r="H2435" s="340" t="s">
        <v>722</v>
      </c>
      <c r="I2435" s="313">
        <v>8.3000000000000007</v>
      </c>
      <c r="J2435" s="336">
        <v>18.3</v>
      </c>
      <c r="K2435" s="336">
        <v>15.3</v>
      </c>
      <c r="L2435" s="336">
        <f t="shared" si="16"/>
        <v>3</v>
      </c>
      <c r="M2435" s="337"/>
    </row>
    <row r="2436" spans="1:13" s="71" customFormat="1" ht="39.6">
      <c r="A2436" s="282">
        <v>135</v>
      </c>
      <c r="B2436" s="533"/>
      <c r="C2436" s="333" t="s">
        <v>2669</v>
      </c>
      <c r="D2436" s="333" t="s">
        <v>12950</v>
      </c>
      <c r="E2436" s="441" t="s">
        <v>2840</v>
      </c>
      <c r="F2436" s="334">
        <v>275</v>
      </c>
      <c r="G2436" s="311">
        <v>1905</v>
      </c>
      <c r="H2436" s="340" t="s">
        <v>722</v>
      </c>
      <c r="I2436" s="313">
        <v>12.2</v>
      </c>
      <c r="J2436" s="336">
        <v>34.9</v>
      </c>
      <c r="K2436" s="336">
        <v>29</v>
      </c>
      <c r="L2436" s="336">
        <f t="shared" si="16"/>
        <v>5.8999999999999986</v>
      </c>
      <c r="M2436" s="337"/>
    </row>
    <row r="2437" spans="1:13" s="71" customFormat="1" ht="26.4" customHeight="1">
      <c r="A2437" s="282">
        <v>136</v>
      </c>
      <c r="B2437" s="533"/>
      <c r="C2437" s="333" t="s">
        <v>2669</v>
      </c>
      <c r="D2437" s="333" t="s">
        <v>2841</v>
      </c>
      <c r="E2437" s="260" t="s">
        <v>2842</v>
      </c>
      <c r="F2437" s="334">
        <v>276</v>
      </c>
      <c r="G2437" s="311">
        <v>1905</v>
      </c>
      <c r="H2437" s="340" t="s">
        <v>722</v>
      </c>
      <c r="I2437" s="313">
        <v>6.5</v>
      </c>
      <c r="J2437" s="336">
        <v>25.7</v>
      </c>
      <c r="K2437" s="336">
        <v>22.5</v>
      </c>
      <c r="L2437" s="336">
        <f t="shared" si="16"/>
        <v>3.1999999999999993</v>
      </c>
      <c r="M2437" s="337"/>
    </row>
    <row r="2438" spans="1:13" s="71" customFormat="1" ht="26.4" customHeight="1">
      <c r="A2438" s="282">
        <v>137</v>
      </c>
      <c r="B2438" s="533"/>
      <c r="C2438" s="333" t="s">
        <v>2669</v>
      </c>
      <c r="D2438" s="333" t="s">
        <v>2843</v>
      </c>
      <c r="E2438" s="441" t="s">
        <v>2844</v>
      </c>
      <c r="F2438" s="334">
        <v>304</v>
      </c>
      <c r="G2438" s="311">
        <v>1905</v>
      </c>
      <c r="H2438" s="340" t="s">
        <v>722</v>
      </c>
      <c r="I2438" s="313">
        <v>185.6</v>
      </c>
      <c r="J2438" s="336">
        <v>9</v>
      </c>
      <c r="K2438" s="336">
        <v>6.6</v>
      </c>
      <c r="L2438" s="336">
        <f t="shared" si="16"/>
        <v>2.4000000000000004</v>
      </c>
      <c r="M2438" s="337"/>
    </row>
    <row r="2439" spans="1:13" s="71" customFormat="1" ht="26.4" customHeight="1">
      <c r="A2439" s="282">
        <v>138</v>
      </c>
      <c r="B2439" s="533"/>
      <c r="C2439" s="333" t="s">
        <v>2669</v>
      </c>
      <c r="D2439" s="333" t="s">
        <v>2845</v>
      </c>
      <c r="E2439" s="441" t="s">
        <v>2846</v>
      </c>
      <c r="F2439" s="334">
        <v>307</v>
      </c>
      <c r="G2439" s="311">
        <v>1905</v>
      </c>
      <c r="H2439" s="340" t="s">
        <v>2658</v>
      </c>
      <c r="I2439" s="313">
        <v>183</v>
      </c>
      <c r="J2439" s="336">
        <v>2.5</v>
      </c>
      <c r="K2439" s="336">
        <v>1.8</v>
      </c>
      <c r="L2439" s="336">
        <f t="shared" si="16"/>
        <v>0.7</v>
      </c>
      <c r="M2439" s="337"/>
    </row>
    <row r="2440" spans="1:13" s="71" customFormat="1" ht="26.4" customHeight="1">
      <c r="A2440" s="282">
        <v>139</v>
      </c>
      <c r="B2440" s="533"/>
      <c r="C2440" s="333" t="s">
        <v>2669</v>
      </c>
      <c r="D2440" s="333" t="s">
        <v>2847</v>
      </c>
      <c r="E2440" s="441" t="s">
        <v>2846</v>
      </c>
      <c r="F2440" s="334">
        <v>308</v>
      </c>
      <c r="G2440" s="311">
        <v>1905</v>
      </c>
      <c r="H2440" s="340" t="s">
        <v>2658</v>
      </c>
      <c r="I2440" s="313">
        <v>127</v>
      </c>
      <c r="J2440" s="336">
        <v>1</v>
      </c>
      <c r="K2440" s="336">
        <v>0.7</v>
      </c>
      <c r="L2440" s="336">
        <f t="shared" si="16"/>
        <v>0.30000000000000004</v>
      </c>
      <c r="M2440" s="337"/>
    </row>
    <row r="2441" spans="1:13" s="71" customFormat="1" ht="26.4" customHeight="1">
      <c r="A2441" s="282">
        <v>140</v>
      </c>
      <c r="B2441" s="533"/>
      <c r="C2441" s="333" t="s">
        <v>2848</v>
      </c>
      <c r="D2441" s="307" t="s">
        <v>3</v>
      </c>
      <c r="E2441" s="441" t="s">
        <v>2840</v>
      </c>
      <c r="F2441" s="334">
        <v>3090</v>
      </c>
      <c r="G2441" s="311">
        <v>1905</v>
      </c>
      <c r="H2441" s="340" t="s">
        <v>722</v>
      </c>
      <c r="I2441" s="313" t="s">
        <v>2849</v>
      </c>
      <c r="J2441" s="336">
        <v>6</v>
      </c>
      <c r="K2441" s="336">
        <v>6</v>
      </c>
      <c r="L2441" s="336">
        <f t="shared" si="16"/>
        <v>0</v>
      </c>
      <c r="M2441" s="337"/>
    </row>
    <row r="2442" spans="1:13" s="71" customFormat="1" ht="26.4" customHeight="1">
      <c r="A2442" s="282">
        <v>141</v>
      </c>
      <c r="B2442" s="533"/>
      <c r="C2442" s="333" t="s">
        <v>2669</v>
      </c>
      <c r="D2442" s="333" t="s">
        <v>2850</v>
      </c>
      <c r="E2442" s="441" t="s">
        <v>2840</v>
      </c>
      <c r="F2442" s="334">
        <v>279</v>
      </c>
      <c r="G2442" s="311">
        <v>1905</v>
      </c>
      <c r="H2442" s="340" t="s">
        <v>722</v>
      </c>
      <c r="I2442" s="313">
        <v>9.0500000000000007</v>
      </c>
      <c r="J2442" s="336">
        <v>10.9</v>
      </c>
      <c r="K2442" s="336">
        <v>9.1</v>
      </c>
      <c r="L2442" s="336">
        <f t="shared" si="16"/>
        <v>1.8000000000000007</v>
      </c>
      <c r="M2442" s="337"/>
    </row>
    <row r="2443" spans="1:13" s="71" customFormat="1" ht="26.4" customHeight="1">
      <c r="A2443" s="282">
        <v>142</v>
      </c>
      <c r="B2443" s="533"/>
      <c r="C2443" s="333" t="s">
        <v>2669</v>
      </c>
      <c r="D2443" s="333" t="s">
        <v>2851</v>
      </c>
      <c r="E2443" s="441" t="s">
        <v>2852</v>
      </c>
      <c r="F2443" s="334">
        <v>284</v>
      </c>
      <c r="G2443" s="311">
        <v>1905</v>
      </c>
      <c r="H2443" s="340" t="s">
        <v>722</v>
      </c>
      <c r="I2443" s="313">
        <v>1.7</v>
      </c>
      <c r="J2443" s="336">
        <v>39.299999999999997</v>
      </c>
      <c r="K2443" s="336">
        <v>30.9</v>
      </c>
      <c r="L2443" s="336">
        <f t="shared" si="16"/>
        <v>8.3999999999999986</v>
      </c>
      <c r="M2443" s="337"/>
    </row>
    <row r="2444" spans="1:13" s="71" customFormat="1" ht="26.4" customHeight="1">
      <c r="A2444" s="282">
        <v>143</v>
      </c>
      <c r="B2444" s="533"/>
      <c r="C2444" s="333" t="s">
        <v>2669</v>
      </c>
      <c r="D2444" s="333" t="s">
        <v>2853</v>
      </c>
      <c r="E2444" s="441" t="s">
        <v>938</v>
      </c>
      <c r="F2444" s="334">
        <v>2890</v>
      </c>
      <c r="G2444" s="311">
        <v>1905</v>
      </c>
      <c r="H2444" s="340" t="s">
        <v>2658</v>
      </c>
      <c r="I2444" s="313">
        <v>58.5</v>
      </c>
      <c r="J2444" s="336">
        <v>2.7</v>
      </c>
      <c r="K2444" s="336">
        <v>2.1</v>
      </c>
      <c r="L2444" s="336">
        <f t="shared" si="16"/>
        <v>0.60000000000000009</v>
      </c>
      <c r="M2444" s="337"/>
    </row>
    <row r="2445" spans="1:13" s="71" customFormat="1" ht="26.4" customHeight="1">
      <c r="A2445" s="282">
        <v>144</v>
      </c>
      <c r="B2445" s="533"/>
      <c r="C2445" s="333" t="s">
        <v>2669</v>
      </c>
      <c r="D2445" s="333" t="s">
        <v>2854</v>
      </c>
      <c r="E2445" s="441" t="s">
        <v>938</v>
      </c>
      <c r="F2445" s="334">
        <v>2910</v>
      </c>
      <c r="G2445" s="311">
        <v>1905</v>
      </c>
      <c r="H2445" s="340" t="s">
        <v>2658</v>
      </c>
      <c r="I2445" s="313">
        <v>290</v>
      </c>
      <c r="J2445" s="336">
        <v>1</v>
      </c>
      <c r="K2445" s="336">
        <v>0.8</v>
      </c>
      <c r="L2445" s="336">
        <f t="shared" si="16"/>
        <v>0.19999999999999996</v>
      </c>
      <c r="M2445" s="337"/>
    </row>
    <row r="2446" spans="1:13" s="71" customFormat="1" ht="26.4" customHeight="1">
      <c r="A2446" s="282">
        <v>145</v>
      </c>
      <c r="B2446" s="533"/>
      <c r="C2446" s="333" t="s">
        <v>2669</v>
      </c>
      <c r="D2446" s="333" t="s">
        <v>2855</v>
      </c>
      <c r="E2446" s="441" t="s">
        <v>938</v>
      </c>
      <c r="F2446" s="334">
        <v>293</v>
      </c>
      <c r="G2446" s="311">
        <v>1905</v>
      </c>
      <c r="H2446" s="340" t="s">
        <v>2658</v>
      </c>
      <c r="I2446" s="313">
        <v>326</v>
      </c>
      <c r="J2446" s="336">
        <v>0.4</v>
      </c>
      <c r="K2446" s="336">
        <v>0.3</v>
      </c>
      <c r="L2446" s="336">
        <f t="shared" si="16"/>
        <v>0.10000000000000003</v>
      </c>
      <c r="M2446" s="337"/>
    </row>
    <row r="2447" spans="1:13" s="71" customFormat="1" ht="26.4" customHeight="1">
      <c r="A2447" s="282">
        <v>146</v>
      </c>
      <c r="B2447" s="533"/>
      <c r="C2447" s="333" t="s">
        <v>2669</v>
      </c>
      <c r="D2447" s="333" t="s">
        <v>2856</v>
      </c>
      <c r="E2447" s="322" t="s">
        <v>2857</v>
      </c>
      <c r="F2447" s="334">
        <v>1870</v>
      </c>
      <c r="G2447" s="311">
        <v>1905</v>
      </c>
      <c r="H2447" s="340" t="s">
        <v>2658</v>
      </c>
      <c r="I2447" s="313">
        <v>2292</v>
      </c>
      <c r="J2447" s="336">
        <v>25.3</v>
      </c>
      <c r="K2447" s="336">
        <v>7.9</v>
      </c>
      <c r="L2447" s="336">
        <f t="shared" si="16"/>
        <v>17.399999999999999</v>
      </c>
      <c r="M2447" s="337"/>
    </row>
    <row r="2448" spans="1:13" s="71" customFormat="1" ht="26.4" customHeight="1">
      <c r="A2448" s="282">
        <v>147</v>
      </c>
      <c r="B2448" s="533"/>
      <c r="C2448" s="333" t="s">
        <v>2669</v>
      </c>
      <c r="D2448" s="333" t="s">
        <v>2858</v>
      </c>
      <c r="E2448" s="441" t="s">
        <v>938</v>
      </c>
      <c r="F2448" s="334">
        <v>286</v>
      </c>
      <c r="G2448" s="311">
        <v>1905</v>
      </c>
      <c r="H2448" s="340" t="s">
        <v>2658</v>
      </c>
      <c r="I2448" s="313">
        <v>395</v>
      </c>
      <c r="J2448" s="336">
        <v>0.5</v>
      </c>
      <c r="K2448" s="336">
        <v>0.2</v>
      </c>
      <c r="L2448" s="336">
        <f t="shared" si="16"/>
        <v>0.3</v>
      </c>
      <c r="M2448" s="337"/>
    </row>
    <row r="2449" spans="1:13" s="71" customFormat="1" ht="26.4">
      <c r="A2449" s="282">
        <v>148</v>
      </c>
      <c r="B2449" s="533"/>
      <c r="C2449" s="333" t="s">
        <v>1799</v>
      </c>
      <c r="D2449" s="307" t="s">
        <v>12951</v>
      </c>
      <c r="E2449" s="260" t="s">
        <v>13263</v>
      </c>
      <c r="F2449" s="334">
        <v>20648</v>
      </c>
      <c r="G2449" s="311">
        <v>1905</v>
      </c>
      <c r="H2449" s="340" t="s">
        <v>2658</v>
      </c>
      <c r="I2449" s="313">
        <v>129</v>
      </c>
      <c r="J2449" s="336">
        <v>2.5</v>
      </c>
      <c r="K2449" s="336">
        <v>2.2000000000000002</v>
      </c>
      <c r="L2449" s="336">
        <f t="shared" si="16"/>
        <v>0.29999999999999982</v>
      </c>
      <c r="M2449" s="337"/>
    </row>
    <row r="2450" spans="1:13" s="71" customFormat="1" ht="26.4">
      <c r="A2450" s="282">
        <v>149</v>
      </c>
      <c r="B2450" s="533"/>
      <c r="C2450" s="333" t="s">
        <v>1799</v>
      </c>
      <c r="D2450" s="307" t="s">
        <v>12951</v>
      </c>
      <c r="E2450" s="441" t="s">
        <v>1141</v>
      </c>
      <c r="F2450" s="334">
        <v>20761</v>
      </c>
      <c r="G2450" s="311">
        <v>1905</v>
      </c>
      <c r="H2450" s="340" t="s">
        <v>2658</v>
      </c>
      <c r="I2450" s="313">
        <v>420</v>
      </c>
      <c r="J2450" s="336">
        <v>27.7</v>
      </c>
      <c r="K2450" s="336">
        <v>27.1</v>
      </c>
      <c r="L2450" s="336">
        <f t="shared" si="16"/>
        <v>0.59999999999999787</v>
      </c>
      <c r="M2450" s="337"/>
    </row>
    <row r="2451" spans="1:13" s="71" customFormat="1" ht="26.4">
      <c r="A2451" s="282">
        <v>150</v>
      </c>
      <c r="B2451" s="533"/>
      <c r="C2451" s="333" t="s">
        <v>1799</v>
      </c>
      <c r="D2451" s="307" t="s">
        <v>12951</v>
      </c>
      <c r="E2451" s="441" t="s">
        <v>2859</v>
      </c>
      <c r="F2451" s="334">
        <v>20762</v>
      </c>
      <c r="G2451" s="311">
        <v>1905</v>
      </c>
      <c r="H2451" s="340" t="s">
        <v>3</v>
      </c>
      <c r="I2451" s="330" t="s">
        <v>3</v>
      </c>
      <c r="J2451" s="336">
        <v>64</v>
      </c>
      <c r="K2451" s="336">
        <v>61</v>
      </c>
      <c r="L2451" s="336">
        <f t="shared" si="16"/>
        <v>3</v>
      </c>
      <c r="M2451" s="337"/>
    </row>
    <row r="2452" spans="1:13" s="71" customFormat="1" ht="26.4">
      <c r="A2452" s="282">
        <v>151</v>
      </c>
      <c r="B2452" s="533"/>
      <c r="C2452" s="333" t="s">
        <v>1799</v>
      </c>
      <c r="D2452" s="307" t="s">
        <v>12951</v>
      </c>
      <c r="E2452" s="322" t="s">
        <v>2860</v>
      </c>
      <c r="F2452" s="334">
        <v>20763</v>
      </c>
      <c r="G2452" s="311">
        <v>1905</v>
      </c>
      <c r="H2452" s="340" t="s">
        <v>3</v>
      </c>
      <c r="I2452" s="330" t="s">
        <v>3</v>
      </c>
      <c r="J2452" s="336">
        <v>17.100000000000001</v>
      </c>
      <c r="K2452" s="336">
        <v>13.1</v>
      </c>
      <c r="L2452" s="336">
        <f t="shared" si="16"/>
        <v>4.0000000000000018</v>
      </c>
      <c r="M2452" s="337"/>
    </row>
    <row r="2453" spans="1:13" s="71" customFormat="1" ht="26.4">
      <c r="A2453" s="282">
        <v>152</v>
      </c>
      <c r="B2453" s="533"/>
      <c r="C2453" s="333" t="s">
        <v>1799</v>
      </c>
      <c r="D2453" s="307" t="s">
        <v>12951</v>
      </c>
      <c r="E2453" s="441" t="s">
        <v>2862</v>
      </c>
      <c r="F2453" s="334">
        <v>20765</v>
      </c>
      <c r="G2453" s="311">
        <v>1905</v>
      </c>
      <c r="H2453" s="340" t="s">
        <v>3</v>
      </c>
      <c r="I2453" s="330" t="s">
        <v>3</v>
      </c>
      <c r="J2453" s="336">
        <v>13</v>
      </c>
      <c r="K2453" s="336">
        <v>11.5</v>
      </c>
      <c r="L2453" s="336">
        <f t="shared" si="16"/>
        <v>1.5</v>
      </c>
      <c r="M2453" s="337"/>
    </row>
    <row r="2454" spans="1:13" s="71" customFormat="1" ht="26.4">
      <c r="A2454" s="282">
        <v>153</v>
      </c>
      <c r="B2454" s="533"/>
      <c r="C2454" s="333" t="s">
        <v>1799</v>
      </c>
      <c r="D2454" s="307" t="s">
        <v>12951</v>
      </c>
      <c r="E2454" s="441" t="s">
        <v>627</v>
      </c>
      <c r="F2454" s="334">
        <v>20767</v>
      </c>
      <c r="G2454" s="311">
        <v>1905</v>
      </c>
      <c r="H2454" s="340" t="s">
        <v>3</v>
      </c>
      <c r="I2454" s="330" t="s">
        <v>3</v>
      </c>
      <c r="J2454" s="336">
        <v>4.4000000000000004</v>
      </c>
      <c r="K2454" s="336">
        <v>3.8</v>
      </c>
      <c r="L2454" s="336">
        <f t="shared" si="16"/>
        <v>0.60000000000000053</v>
      </c>
      <c r="M2454" s="337"/>
    </row>
    <row r="2455" spans="1:13" s="71" customFormat="1" ht="26.4">
      <c r="A2455" s="282">
        <v>154</v>
      </c>
      <c r="B2455" s="533"/>
      <c r="C2455" s="333" t="s">
        <v>1799</v>
      </c>
      <c r="D2455" s="307" t="s">
        <v>12951</v>
      </c>
      <c r="E2455" s="441" t="s">
        <v>2863</v>
      </c>
      <c r="F2455" s="334">
        <v>301302</v>
      </c>
      <c r="G2455" s="311">
        <v>1905</v>
      </c>
      <c r="H2455" s="340" t="s">
        <v>3</v>
      </c>
      <c r="I2455" s="330" t="s">
        <v>3</v>
      </c>
      <c r="J2455" s="336">
        <v>14.6</v>
      </c>
      <c r="K2455" s="336">
        <v>12.5</v>
      </c>
      <c r="L2455" s="336">
        <f t="shared" si="16"/>
        <v>2.0999999999999996</v>
      </c>
      <c r="M2455" s="337"/>
    </row>
    <row r="2456" spans="1:13" s="71" customFormat="1" ht="26.4">
      <c r="A2456" s="282">
        <v>155</v>
      </c>
      <c r="B2456" s="533"/>
      <c r="C2456" s="333" t="s">
        <v>1799</v>
      </c>
      <c r="D2456" s="307" t="s">
        <v>12951</v>
      </c>
      <c r="E2456" s="441" t="s">
        <v>2864</v>
      </c>
      <c r="F2456" s="334">
        <v>301303</v>
      </c>
      <c r="G2456" s="311">
        <v>1905</v>
      </c>
      <c r="H2456" s="340" t="s">
        <v>3</v>
      </c>
      <c r="I2456" s="330" t="s">
        <v>3</v>
      </c>
      <c r="J2456" s="336">
        <v>3.4</v>
      </c>
      <c r="K2456" s="336">
        <v>3</v>
      </c>
      <c r="L2456" s="336">
        <f t="shared" si="16"/>
        <v>0.39999999999999991</v>
      </c>
      <c r="M2456" s="337"/>
    </row>
    <row r="2457" spans="1:13" s="71" customFormat="1" ht="26.4">
      <c r="A2457" s="282">
        <v>156</v>
      </c>
      <c r="B2457" s="533"/>
      <c r="C2457" s="333" t="s">
        <v>1799</v>
      </c>
      <c r="D2457" s="307" t="s">
        <v>12951</v>
      </c>
      <c r="E2457" s="441" t="s">
        <v>2865</v>
      </c>
      <c r="F2457" s="334">
        <v>301305</v>
      </c>
      <c r="G2457" s="311">
        <v>1905</v>
      </c>
      <c r="H2457" s="340" t="s">
        <v>3</v>
      </c>
      <c r="I2457" s="330" t="s">
        <v>3</v>
      </c>
      <c r="J2457" s="336">
        <v>6.3</v>
      </c>
      <c r="K2457" s="336">
        <v>5.3</v>
      </c>
      <c r="L2457" s="336">
        <f t="shared" si="16"/>
        <v>1</v>
      </c>
      <c r="M2457" s="337"/>
    </row>
    <row r="2458" spans="1:13" s="71" customFormat="1" ht="26.4">
      <c r="A2458" s="282">
        <v>157</v>
      </c>
      <c r="B2458" s="533"/>
      <c r="C2458" s="333" t="s">
        <v>1799</v>
      </c>
      <c r="D2458" s="307" t="s">
        <v>12951</v>
      </c>
      <c r="E2458" s="441" t="s">
        <v>2866</v>
      </c>
      <c r="F2458" s="334">
        <v>301306</v>
      </c>
      <c r="G2458" s="311">
        <v>1905</v>
      </c>
      <c r="H2458" s="340" t="s">
        <v>3</v>
      </c>
      <c r="I2458" s="330" t="s">
        <v>3</v>
      </c>
      <c r="J2458" s="336">
        <v>4.9000000000000004</v>
      </c>
      <c r="K2458" s="336">
        <v>4.5</v>
      </c>
      <c r="L2458" s="336">
        <f t="shared" si="16"/>
        <v>0.40000000000000036</v>
      </c>
      <c r="M2458" s="337"/>
    </row>
    <row r="2459" spans="1:13" s="71" customFormat="1" ht="26.4">
      <c r="A2459" s="282">
        <v>158</v>
      </c>
      <c r="B2459" s="533"/>
      <c r="C2459" s="333" t="s">
        <v>1799</v>
      </c>
      <c r="D2459" s="307" t="s">
        <v>12951</v>
      </c>
      <c r="E2459" s="441" t="s">
        <v>2867</v>
      </c>
      <c r="F2459" s="334">
        <v>301308</v>
      </c>
      <c r="G2459" s="311">
        <v>1905</v>
      </c>
      <c r="H2459" s="340" t="s">
        <v>3</v>
      </c>
      <c r="I2459" s="330" t="s">
        <v>3</v>
      </c>
      <c r="J2459" s="336">
        <v>4.9000000000000004</v>
      </c>
      <c r="K2459" s="336">
        <v>4.0999999999999996</v>
      </c>
      <c r="L2459" s="336">
        <f t="shared" si="16"/>
        <v>0.80000000000000071</v>
      </c>
      <c r="M2459" s="337"/>
    </row>
    <row r="2460" spans="1:13" s="71" customFormat="1" ht="26.4">
      <c r="A2460" s="282">
        <v>159</v>
      </c>
      <c r="B2460" s="533"/>
      <c r="C2460" s="333" t="s">
        <v>1799</v>
      </c>
      <c r="D2460" s="307" t="s">
        <v>12951</v>
      </c>
      <c r="E2460" s="441" t="s">
        <v>2868</v>
      </c>
      <c r="F2460" s="334">
        <v>301312</v>
      </c>
      <c r="G2460" s="311">
        <v>1905</v>
      </c>
      <c r="H2460" s="340" t="s">
        <v>3</v>
      </c>
      <c r="I2460" s="330" t="s">
        <v>3</v>
      </c>
      <c r="J2460" s="336">
        <v>27.3</v>
      </c>
      <c r="K2460" s="336">
        <v>23.2</v>
      </c>
      <c r="L2460" s="336">
        <f t="shared" si="16"/>
        <v>4.1000000000000014</v>
      </c>
      <c r="M2460" s="337"/>
    </row>
    <row r="2461" spans="1:13" s="71" customFormat="1" ht="26.4">
      <c r="A2461" s="282">
        <v>160</v>
      </c>
      <c r="B2461" s="533"/>
      <c r="C2461" s="333" t="s">
        <v>1799</v>
      </c>
      <c r="D2461" s="307" t="s">
        <v>12951</v>
      </c>
      <c r="E2461" s="441" t="s">
        <v>2869</v>
      </c>
      <c r="F2461" s="334">
        <v>301313</v>
      </c>
      <c r="G2461" s="311">
        <v>1905</v>
      </c>
      <c r="H2461" s="340" t="s">
        <v>3</v>
      </c>
      <c r="I2461" s="330" t="s">
        <v>3</v>
      </c>
      <c r="J2461" s="336">
        <v>5.2</v>
      </c>
      <c r="K2461" s="336">
        <v>4.5</v>
      </c>
      <c r="L2461" s="336">
        <f t="shared" si="16"/>
        <v>0.70000000000000018</v>
      </c>
      <c r="M2461" s="337"/>
    </row>
    <row r="2462" spans="1:13" s="71" customFormat="1" ht="26.4">
      <c r="A2462" s="282">
        <v>161</v>
      </c>
      <c r="B2462" s="533"/>
      <c r="C2462" s="333" t="s">
        <v>1799</v>
      </c>
      <c r="D2462" s="307" t="s">
        <v>12951</v>
      </c>
      <c r="E2462" s="441" t="s">
        <v>2870</v>
      </c>
      <c r="F2462" s="334">
        <v>301315</v>
      </c>
      <c r="G2462" s="311">
        <v>1905</v>
      </c>
      <c r="H2462" s="340" t="s">
        <v>3</v>
      </c>
      <c r="I2462" s="330" t="s">
        <v>3</v>
      </c>
      <c r="J2462" s="336">
        <v>0.6</v>
      </c>
      <c r="K2462" s="336">
        <v>0.5</v>
      </c>
      <c r="L2462" s="336">
        <f t="shared" si="16"/>
        <v>9.9999999999999978E-2</v>
      </c>
      <c r="M2462" s="337"/>
    </row>
    <row r="2463" spans="1:13" s="71" customFormat="1" ht="26.4">
      <c r="A2463" s="282">
        <v>162</v>
      </c>
      <c r="B2463" s="533"/>
      <c r="C2463" s="333" t="s">
        <v>1799</v>
      </c>
      <c r="D2463" s="307" t="s">
        <v>12951</v>
      </c>
      <c r="E2463" s="441" t="s">
        <v>2871</v>
      </c>
      <c r="F2463" s="334">
        <v>301318</v>
      </c>
      <c r="G2463" s="311">
        <v>1905</v>
      </c>
      <c r="H2463" s="340" t="s">
        <v>3</v>
      </c>
      <c r="I2463" s="330" t="s">
        <v>3</v>
      </c>
      <c r="J2463" s="336">
        <v>67.8</v>
      </c>
      <c r="K2463" s="336">
        <v>58.2</v>
      </c>
      <c r="L2463" s="336">
        <f t="shared" si="16"/>
        <v>9.5999999999999943</v>
      </c>
      <c r="M2463" s="337"/>
    </row>
    <row r="2464" spans="1:13" s="71" customFormat="1" ht="26.4">
      <c r="A2464" s="282">
        <v>163</v>
      </c>
      <c r="B2464" s="533"/>
      <c r="C2464" s="333" t="s">
        <v>1799</v>
      </c>
      <c r="D2464" s="307" t="s">
        <v>12951</v>
      </c>
      <c r="E2464" s="260" t="s">
        <v>2872</v>
      </c>
      <c r="F2464" s="334">
        <v>301086</v>
      </c>
      <c r="G2464" s="311">
        <v>1905</v>
      </c>
      <c r="H2464" s="340" t="s">
        <v>3</v>
      </c>
      <c r="I2464" s="330" t="s">
        <v>3</v>
      </c>
      <c r="J2464" s="336">
        <v>3.6</v>
      </c>
      <c r="K2464" s="336">
        <v>3.1</v>
      </c>
      <c r="L2464" s="336">
        <f t="shared" si="16"/>
        <v>0.5</v>
      </c>
      <c r="M2464" s="337"/>
    </row>
    <row r="2465" spans="1:13" s="71" customFormat="1" ht="26.4">
      <c r="A2465" s="282">
        <v>164</v>
      </c>
      <c r="B2465" s="533"/>
      <c r="C2465" s="333" t="s">
        <v>1799</v>
      </c>
      <c r="D2465" s="307" t="s">
        <v>12951</v>
      </c>
      <c r="E2465" s="338" t="s">
        <v>2873</v>
      </c>
      <c r="F2465" s="334">
        <v>301300</v>
      </c>
      <c r="G2465" s="311">
        <v>1905</v>
      </c>
      <c r="H2465" s="340" t="s">
        <v>3</v>
      </c>
      <c r="I2465" s="330" t="s">
        <v>3</v>
      </c>
      <c r="J2465" s="336">
        <v>13.5</v>
      </c>
      <c r="K2465" s="336">
        <v>8.5</v>
      </c>
      <c r="L2465" s="336">
        <f t="shared" si="16"/>
        <v>5</v>
      </c>
      <c r="M2465" s="337"/>
    </row>
    <row r="2466" spans="1:13" s="71" customFormat="1" ht="26.4">
      <c r="A2466" s="282">
        <v>165</v>
      </c>
      <c r="B2466" s="533"/>
      <c r="C2466" s="333" t="s">
        <v>1799</v>
      </c>
      <c r="D2466" s="307" t="s">
        <v>2874</v>
      </c>
      <c r="E2466" s="441" t="s">
        <v>2875</v>
      </c>
      <c r="F2466" s="334">
        <v>30010</v>
      </c>
      <c r="G2466" s="311">
        <v>1905</v>
      </c>
      <c r="H2466" s="340" t="s">
        <v>3</v>
      </c>
      <c r="I2466" s="330" t="s">
        <v>3</v>
      </c>
      <c r="J2466" s="336">
        <v>27.6</v>
      </c>
      <c r="K2466" s="336">
        <v>23.7</v>
      </c>
      <c r="L2466" s="336">
        <f t="shared" si="16"/>
        <v>3.9000000000000021</v>
      </c>
      <c r="M2466" s="337"/>
    </row>
    <row r="2467" spans="1:13" s="71" customFormat="1" ht="26.4" customHeight="1">
      <c r="A2467" s="282">
        <v>166</v>
      </c>
      <c r="B2467" s="533"/>
      <c r="C2467" s="333" t="s">
        <v>1799</v>
      </c>
      <c r="D2467" s="333" t="s">
        <v>2876</v>
      </c>
      <c r="E2467" s="441" t="s">
        <v>2877</v>
      </c>
      <c r="F2467" s="334">
        <v>301090</v>
      </c>
      <c r="G2467" s="311">
        <v>1905</v>
      </c>
      <c r="H2467" s="340" t="s">
        <v>2658</v>
      </c>
      <c r="I2467" s="313">
        <v>300</v>
      </c>
      <c r="J2467" s="336">
        <v>5.2</v>
      </c>
      <c r="K2467" s="336">
        <v>5</v>
      </c>
      <c r="L2467" s="336">
        <f t="shared" si="16"/>
        <v>0.20000000000000018</v>
      </c>
      <c r="M2467" s="337"/>
    </row>
    <row r="2468" spans="1:13" s="71" customFormat="1" ht="26.4" customHeight="1">
      <c r="A2468" s="282">
        <v>167</v>
      </c>
      <c r="B2468" s="533"/>
      <c r="C2468" s="333" t="s">
        <v>1799</v>
      </c>
      <c r="D2468" s="333" t="s">
        <v>2878</v>
      </c>
      <c r="E2468" s="322" t="s">
        <v>2879</v>
      </c>
      <c r="F2468" s="334">
        <v>301091</v>
      </c>
      <c r="G2468" s="311">
        <v>1905</v>
      </c>
      <c r="H2468" s="340" t="s">
        <v>2658</v>
      </c>
      <c r="I2468" s="313">
        <v>50</v>
      </c>
      <c r="J2468" s="336">
        <v>1.1000000000000001</v>
      </c>
      <c r="K2468" s="336">
        <v>0.9</v>
      </c>
      <c r="L2468" s="336">
        <f t="shared" si="16"/>
        <v>0.20000000000000007</v>
      </c>
      <c r="M2468" s="337"/>
    </row>
    <row r="2469" spans="1:13" s="71" customFormat="1" ht="26.4" customHeight="1">
      <c r="A2469" s="282">
        <v>168</v>
      </c>
      <c r="B2469" s="533"/>
      <c r="C2469" s="333" t="s">
        <v>1799</v>
      </c>
      <c r="D2469" s="333" t="s">
        <v>2880</v>
      </c>
      <c r="E2469" s="441" t="s">
        <v>2881</v>
      </c>
      <c r="F2469" s="334">
        <v>301092</v>
      </c>
      <c r="G2469" s="311">
        <v>1905</v>
      </c>
      <c r="H2469" s="340" t="s">
        <v>2658</v>
      </c>
      <c r="I2469" s="313">
        <v>1000</v>
      </c>
      <c r="J2469" s="336">
        <v>20.399999999999999</v>
      </c>
      <c r="K2469" s="336">
        <v>18.600000000000001</v>
      </c>
      <c r="L2469" s="336">
        <f t="shared" si="16"/>
        <v>1.7999999999999972</v>
      </c>
      <c r="M2469" s="337"/>
    </row>
    <row r="2470" spans="1:13" s="71" customFormat="1" ht="38.25" customHeight="1">
      <c r="A2470" s="282">
        <v>169</v>
      </c>
      <c r="B2470" s="533"/>
      <c r="C2470" s="333" t="s">
        <v>1799</v>
      </c>
      <c r="D2470" s="333" t="s">
        <v>2882</v>
      </c>
      <c r="E2470" s="441" t="s">
        <v>2883</v>
      </c>
      <c r="F2470" s="334">
        <v>301093</v>
      </c>
      <c r="G2470" s="311">
        <v>1905</v>
      </c>
      <c r="H2470" s="340" t="s">
        <v>2658</v>
      </c>
      <c r="I2470" s="313">
        <v>350</v>
      </c>
      <c r="J2470" s="336">
        <v>22.2</v>
      </c>
      <c r="K2470" s="336">
        <v>19.5</v>
      </c>
      <c r="L2470" s="336">
        <f t="shared" si="16"/>
        <v>2.6999999999999993</v>
      </c>
      <c r="M2470" s="337"/>
    </row>
    <row r="2471" spans="1:13" s="71" customFormat="1" ht="38.25" customHeight="1">
      <c r="A2471" s="282">
        <v>170</v>
      </c>
      <c r="B2471" s="533"/>
      <c r="C2471" s="333" t="s">
        <v>1799</v>
      </c>
      <c r="D2471" s="333" t="s">
        <v>12952</v>
      </c>
      <c r="E2471" s="441" t="s">
        <v>2884</v>
      </c>
      <c r="F2471" s="334">
        <v>301095</v>
      </c>
      <c r="G2471" s="311">
        <v>1905</v>
      </c>
      <c r="H2471" s="340" t="s">
        <v>2658</v>
      </c>
      <c r="I2471" s="313">
        <v>400</v>
      </c>
      <c r="J2471" s="336">
        <v>16.5</v>
      </c>
      <c r="K2471" s="336">
        <v>15.3</v>
      </c>
      <c r="L2471" s="336">
        <f t="shared" si="16"/>
        <v>1.1999999999999993</v>
      </c>
      <c r="M2471" s="337"/>
    </row>
    <row r="2472" spans="1:13" s="71" customFormat="1" ht="38.25" customHeight="1">
      <c r="A2472" s="282">
        <v>171</v>
      </c>
      <c r="B2472" s="533"/>
      <c r="C2472" s="333" t="s">
        <v>1799</v>
      </c>
      <c r="D2472" s="333" t="s">
        <v>12953</v>
      </c>
      <c r="E2472" s="441" t="s">
        <v>2885</v>
      </c>
      <c r="F2472" s="334">
        <v>301096</v>
      </c>
      <c r="G2472" s="311">
        <v>1905</v>
      </c>
      <c r="H2472" s="340" t="s">
        <v>2658</v>
      </c>
      <c r="I2472" s="313">
        <v>600</v>
      </c>
      <c r="J2472" s="336">
        <v>12.4</v>
      </c>
      <c r="K2472" s="336">
        <v>11.3</v>
      </c>
      <c r="L2472" s="336">
        <f t="shared" si="16"/>
        <v>1.0999999999999996</v>
      </c>
      <c r="M2472" s="337"/>
    </row>
    <row r="2473" spans="1:13" s="71" customFormat="1" ht="39.6">
      <c r="A2473" s="282">
        <v>172</v>
      </c>
      <c r="B2473" s="533"/>
      <c r="C2473" s="333" t="s">
        <v>1799</v>
      </c>
      <c r="D2473" s="333" t="s">
        <v>2886</v>
      </c>
      <c r="E2473" s="441" t="s">
        <v>13019</v>
      </c>
      <c r="F2473" s="334">
        <v>301097</v>
      </c>
      <c r="G2473" s="311">
        <v>1905</v>
      </c>
      <c r="H2473" s="340" t="s">
        <v>2658</v>
      </c>
      <c r="I2473" s="313">
        <v>1300</v>
      </c>
      <c r="J2473" s="336">
        <v>36.799999999999997</v>
      </c>
      <c r="K2473" s="336">
        <v>35</v>
      </c>
      <c r="L2473" s="336">
        <f t="shared" si="16"/>
        <v>1.7999999999999972</v>
      </c>
      <c r="M2473" s="337"/>
    </row>
    <row r="2474" spans="1:13" s="71" customFormat="1" ht="26.4">
      <c r="A2474" s="282">
        <v>173</v>
      </c>
      <c r="B2474" s="533"/>
      <c r="C2474" s="333" t="s">
        <v>1799</v>
      </c>
      <c r="D2474" s="333" t="s">
        <v>2887</v>
      </c>
      <c r="E2474" s="441" t="s">
        <v>2888</v>
      </c>
      <c r="F2474" s="334">
        <v>301098</v>
      </c>
      <c r="G2474" s="311">
        <v>1905</v>
      </c>
      <c r="H2474" s="340" t="s">
        <v>2658</v>
      </c>
      <c r="I2474" s="313">
        <v>250</v>
      </c>
      <c r="J2474" s="336">
        <v>16.7</v>
      </c>
      <c r="K2474" s="336">
        <v>14.8</v>
      </c>
      <c r="L2474" s="336">
        <f t="shared" si="16"/>
        <v>1.8999999999999986</v>
      </c>
      <c r="M2474" s="337"/>
    </row>
    <row r="2475" spans="1:13" s="71" customFormat="1" ht="39.6">
      <c r="A2475" s="282">
        <v>174</v>
      </c>
      <c r="B2475" s="533"/>
      <c r="C2475" s="333" t="s">
        <v>1799</v>
      </c>
      <c r="D2475" s="333" t="s">
        <v>12954</v>
      </c>
      <c r="E2475" s="441" t="s">
        <v>2889</v>
      </c>
      <c r="F2475" s="334">
        <v>301099</v>
      </c>
      <c r="G2475" s="311">
        <v>1905</v>
      </c>
      <c r="H2475" s="340" t="s">
        <v>2658</v>
      </c>
      <c r="I2475" s="313">
        <v>350</v>
      </c>
      <c r="J2475" s="336">
        <v>15.4</v>
      </c>
      <c r="K2475" s="336">
        <v>14.1</v>
      </c>
      <c r="L2475" s="336">
        <f t="shared" si="16"/>
        <v>1.3000000000000007</v>
      </c>
      <c r="M2475" s="337"/>
    </row>
    <row r="2476" spans="1:13" s="71" customFormat="1" ht="26.4">
      <c r="A2476" s="282">
        <v>175</v>
      </c>
      <c r="B2476" s="533"/>
      <c r="C2476" s="333" t="s">
        <v>1799</v>
      </c>
      <c r="D2476" s="333" t="s">
        <v>2890</v>
      </c>
      <c r="E2476" s="441" t="s">
        <v>2891</v>
      </c>
      <c r="F2476" s="334">
        <v>301100</v>
      </c>
      <c r="G2476" s="311">
        <v>1905</v>
      </c>
      <c r="H2476" s="340" t="s">
        <v>2658</v>
      </c>
      <c r="I2476" s="313">
        <v>400</v>
      </c>
      <c r="J2476" s="336">
        <v>14.7</v>
      </c>
      <c r="K2476" s="336">
        <v>14.3</v>
      </c>
      <c r="L2476" s="336">
        <f t="shared" si="16"/>
        <v>0.39999999999999858</v>
      </c>
      <c r="M2476" s="337"/>
    </row>
    <row r="2477" spans="1:13" s="71" customFormat="1" ht="39.6">
      <c r="A2477" s="282">
        <v>176</v>
      </c>
      <c r="B2477" s="533"/>
      <c r="C2477" s="333" t="s">
        <v>1799</v>
      </c>
      <c r="D2477" s="333" t="s">
        <v>2892</v>
      </c>
      <c r="E2477" s="441" t="s">
        <v>2893</v>
      </c>
      <c r="F2477" s="334">
        <v>301101</v>
      </c>
      <c r="G2477" s="311">
        <v>1905</v>
      </c>
      <c r="H2477" s="340" t="s">
        <v>2658</v>
      </c>
      <c r="I2477" s="313">
        <v>80</v>
      </c>
      <c r="J2477" s="336">
        <v>4.7</v>
      </c>
      <c r="K2477" s="336">
        <v>4.4000000000000004</v>
      </c>
      <c r="L2477" s="336">
        <f t="shared" si="16"/>
        <v>0.29999999999999982</v>
      </c>
      <c r="M2477" s="337"/>
    </row>
    <row r="2478" spans="1:13" s="71" customFormat="1" ht="26.4">
      <c r="A2478" s="282">
        <v>177</v>
      </c>
      <c r="B2478" s="533"/>
      <c r="C2478" s="333" t="s">
        <v>1799</v>
      </c>
      <c r="D2478" s="333" t="s">
        <v>2894</v>
      </c>
      <c r="E2478" s="322" t="s">
        <v>2895</v>
      </c>
      <c r="F2478" s="334">
        <v>301102</v>
      </c>
      <c r="G2478" s="311">
        <v>1905</v>
      </c>
      <c r="H2478" s="340" t="s">
        <v>2658</v>
      </c>
      <c r="I2478" s="313">
        <v>450</v>
      </c>
      <c r="J2478" s="336">
        <v>18.600000000000001</v>
      </c>
      <c r="K2478" s="336">
        <v>18</v>
      </c>
      <c r="L2478" s="336">
        <f t="shared" si="16"/>
        <v>0.60000000000000142</v>
      </c>
      <c r="M2478" s="337"/>
    </row>
    <row r="2479" spans="1:13" s="71" customFormat="1" ht="26.4" customHeight="1">
      <c r="A2479" s="282">
        <v>178</v>
      </c>
      <c r="B2479" s="533"/>
      <c r="C2479" s="333" t="s">
        <v>1799</v>
      </c>
      <c r="D2479" s="333" t="s">
        <v>2896</v>
      </c>
      <c r="E2479" s="322" t="s">
        <v>2897</v>
      </c>
      <c r="F2479" s="334">
        <v>301103</v>
      </c>
      <c r="G2479" s="311">
        <v>1905</v>
      </c>
      <c r="H2479" s="340" t="s">
        <v>2658</v>
      </c>
      <c r="I2479" s="313">
        <v>350</v>
      </c>
      <c r="J2479" s="336">
        <v>17.399999999999999</v>
      </c>
      <c r="K2479" s="336">
        <v>17</v>
      </c>
      <c r="L2479" s="336">
        <f t="shared" si="16"/>
        <v>0.39999999999999858</v>
      </c>
      <c r="M2479" s="337"/>
    </row>
    <row r="2480" spans="1:13" s="71" customFormat="1" ht="26.4" customHeight="1">
      <c r="A2480" s="282">
        <v>179</v>
      </c>
      <c r="B2480" s="533"/>
      <c r="C2480" s="333" t="s">
        <v>1799</v>
      </c>
      <c r="D2480" s="333" t="s">
        <v>2898</v>
      </c>
      <c r="E2480" s="441" t="s">
        <v>2899</v>
      </c>
      <c r="F2480" s="334">
        <v>301104</v>
      </c>
      <c r="G2480" s="311">
        <v>1905</v>
      </c>
      <c r="H2480" s="340" t="s">
        <v>2658</v>
      </c>
      <c r="I2480" s="313">
        <v>90</v>
      </c>
      <c r="J2480" s="336">
        <v>1.8</v>
      </c>
      <c r="K2480" s="336">
        <v>1.6</v>
      </c>
      <c r="L2480" s="336">
        <f t="shared" si="16"/>
        <v>0.19999999999999996</v>
      </c>
      <c r="M2480" s="337"/>
    </row>
    <row r="2481" spans="1:13" s="71" customFormat="1" ht="26.4">
      <c r="A2481" s="282">
        <v>180</v>
      </c>
      <c r="B2481" s="533"/>
      <c r="C2481" s="333" t="s">
        <v>1799</v>
      </c>
      <c r="D2481" s="333" t="s">
        <v>2900</v>
      </c>
      <c r="E2481" s="441" t="s">
        <v>2901</v>
      </c>
      <c r="F2481" s="334">
        <v>301106</v>
      </c>
      <c r="G2481" s="311">
        <v>1905</v>
      </c>
      <c r="H2481" s="340" t="s">
        <v>2658</v>
      </c>
      <c r="I2481" s="313">
        <v>220</v>
      </c>
      <c r="J2481" s="336">
        <v>8.4</v>
      </c>
      <c r="K2481" s="336">
        <v>8.3000000000000007</v>
      </c>
      <c r="L2481" s="336">
        <f t="shared" si="16"/>
        <v>9.9999999999999645E-2</v>
      </c>
      <c r="M2481" s="337"/>
    </row>
    <row r="2482" spans="1:13" s="71" customFormat="1" ht="26.4">
      <c r="A2482" s="282">
        <v>181</v>
      </c>
      <c r="B2482" s="533"/>
      <c r="C2482" s="333" t="s">
        <v>1799</v>
      </c>
      <c r="D2482" s="333" t="s">
        <v>2902</v>
      </c>
      <c r="E2482" s="441" t="s">
        <v>2903</v>
      </c>
      <c r="F2482" s="334">
        <v>301107</v>
      </c>
      <c r="G2482" s="311">
        <v>1905</v>
      </c>
      <c r="H2482" s="340" t="s">
        <v>2658</v>
      </c>
      <c r="I2482" s="313">
        <v>150</v>
      </c>
      <c r="J2482" s="336">
        <v>5.6</v>
      </c>
      <c r="K2482" s="336">
        <v>4.2</v>
      </c>
      <c r="L2482" s="336">
        <f t="shared" si="16"/>
        <v>1.3999999999999995</v>
      </c>
      <c r="M2482" s="337"/>
    </row>
    <row r="2483" spans="1:13" s="71" customFormat="1" ht="35.25" customHeight="1">
      <c r="A2483" s="282">
        <v>182</v>
      </c>
      <c r="B2483" s="533"/>
      <c r="C2483" s="333" t="s">
        <v>1799</v>
      </c>
      <c r="D2483" s="333" t="s">
        <v>13409</v>
      </c>
      <c r="E2483" s="441" t="s">
        <v>2904</v>
      </c>
      <c r="F2483" s="334">
        <v>301108</v>
      </c>
      <c r="G2483" s="311">
        <v>1905</v>
      </c>
      <c r="H2483" s="340" t="s">
        <v>2658</v>
      </c>
      <c r="I2483" s="313">
        <v>500</v>
      </c>
      <c r="J2483" s="336">
        <v>8.6999999999999993</v>
      </c>
      <c r="K2483" s="336">
        <v>8.4</v>
      </c>
      <c r="L2483" s="336">
        <f t="shared" si="16"/>
        <v>0.29999999999999893</v>
      </c>
      <c r="M2483" s="337"/>
    </row>
    <row r="2484" spans="1:13" s="71" customFormat="1" ht="26.4">
      <c r="A2484" s="282">
        <v>183</v>
      </c>
      <c r="B2484" s="533"/>
      <c r="C2484" s="333" t="s">
        <v>1799</v>
      </c>
      <c r="D2484" s="333" t="s">
        <v>2905</v>
      </c>
      <c r="E2484" s="441" t="s">
        <v>2906</v>
      </c>
      <c r="F2484" s="334">
        <v>301109</v>
      </c>
      <c r="G2484" s="311">
        <v>1905</v>
      </c>
      <c r="H2484" s="340" t="s">
        <v>2658</v>
      </c>
      <c r="I2484" s="313">
        <v>200</v>
      </c>
      <c r="J2484" s="336">
        <v>3.5</v>
      </c>
      <c r="K2484" s="336">
        <v>3.4</v>
      </c>
      <c r="L2484" s="336">
        <f t="shared" si="16"/>
        <v>0.10000000000000009</v>
      </c>
      <c r="M2484" s="337"/>
    </row>
    <row r="2485" spans="1:13" s="71" customFormat="1" ht="39.6">
      <c r="A2485" s="282">
        <v>184</v>
      </c>
      <c r="B2485" s="533"/>
      <c r="C2485" s="333" t="s">
        <v>1799</v>
      </c>
      <c r="D2485" s="333" t="s">
        <v>12768</v>
      </c>
      <c r="E2485" s="441" t="s">
        <v>2907</v>
      </c>
      <c r="F2485" s="334">
        <v>301110</v>
      </c>
      <c r="G2485" s="311">
        <v>1905</v>
      </c>
      <c r="H2485" s="340" t="s">
        <v>2658</v>
      </c>
      <c r="I2485" s="313">
        <v>170</v>
      </c>
      <c r="J2485" s="336">
        <v>17.2</v>
      </c>
      <c r="K2485" s="336">
        <v>13</v>
      </c>
      <c r="L2485" s="336">
        <f t="shared" si="16"/>
        <v>4.1999999999999993</v>
      </c>
      <c r="M2485" s="337"/>
    </row>
    <row r="2486" spans="1:13" s="71" customFormat="1" ht="39.6">
      <c r="A2486" s="282">
        <v>185</v>
      </c>
      <c r="B2486" s="533"/>
      <c r="C2486" s="333" t="s">
        <v>1799</v>
      </c>
      <c r="D2486" s="333" t="s">
        <v>2908</v>
      </c>
      <c r="E2486" s="441" t="s">
        <v>2909</v>
      </c>
      <c r="F2486" s="334">
        <v>301111</v>
      </c>
      <c r="G2486" s="311">
        <v>1905</v>
      </c>
      <c r="H2486" s="340" t="s">
        <v>2658</v>
      </c>
      <c r="I2486" s="313">
        <v>500</v>
      </c>
      <c r="J2486" s="336">
        <v>17.3</v>
      </c>
      <c r="K2486" s="336">
        <v>16.2</v>
      </c>
      <c r="L2486" s="336">
        <f t="shared" si="16"/>
        <v>1.1000000000000014</v>
      </c>
      <c r="M2486" s="337"/>
    </row>
    <row r="2487" spans="1:13" s="71" customFormat="1" ht="39.6">
      <c r="A2487" s="282">
        <v>186</v>
      </c>
      <c r="B2487" s="533"/>
      <c r="C2487" s="333" t="s">
        <v>1799</v>
      </c>
      <c r="D2487" s="333" t="s">
        <v>12955</v>
      </c>
      <c r="E2487" s="441" t="s">
        <v>2910</v>
      </c>
      <c r="F2487" s="334">
        <v>301112</v>
      </c>
      <c r="G2487" s="311">
        <v>1905</v>
      </c>
      <c r="H2487" s="340" t="s">
        <v>2658</v>
      </c>
      <c r="I2487" s="313">
        <v>200</v>
      </c>
      <c r="J2487" s="336">
        <v>3.7</v>
      </c>
      <c r="K2487" s="336">
        <v>3.5</v>
      </c>
      <c r="L2487" s="336">
        <f t="shared" si="16"/>
        <v>0.20000000000000018</v>
      </c>
      <c r="M2487" s="337"/>
    </row>
    <row r="2488" spans="1:13" s="71" customFormat="1" ht="26.4">
      <c r="A2488" s="282">
        <v>187</v>
      </c>
      <c r="B2488" s="533"/>
      <c r="C2488" s="333" t="s">
        <v>1799</v>
      </c>
      <c r="D2488" s="333" t="s">
        <v>2911</v>
      </c>
      <c r="E2488" s="441" t="s">
        <v>2912</v>
      </c>
      <c r="F2488" s="334">
        <v>301113</v>
      </c>
      <c r="G2488" s="311">
        <v>1905</v>
      </c>
      <c r="H2488" s="340" t="s">
        <v>2658</v>
      </c>
      <c r="I2488" s="313">
        <v>330</v>
      </c>
      <c r="J2488" s="336">
        <v>6.4</v>
      </c>
      <c r="K2488" s="336">
        <v>6.3</v>
      </c>
      <c r="L2488" s="336">
        <f t="shared" si="16"/>
        <v>0.10000000000000053</v>
      </c>
      <c r="M2488" s="337"/>
    </row>
    <row r="2489" spans="1:13" s="71" customFormat="1" ht="39.6">
      <c r="A2489" s="282">
        <v>188</v>
      </c>
      <c r="B2489" s="533"/>
      <c r="C2489" s="333" t="s">
        <v>1799</v>
      </c>
      <c r="D2489" s="333" t="s">
        <v>12956</v>
      </c>
      <c r="E2489" s="441" t="s">
        <v>2913</v>
      </c>
      <c r="F2489" s="334">
        <v>301114</v>
      </c>
      <c r="G2489" s="311">
        <v>1905</v>
      </c>
      <c r="H2489" s="340" t="s">
        <v>2658</v>
      </c>
      <c r="I2489" s="313">
        <v>650</v>
      </c>
      <c r="J2489" s="336">
        <v>25.8</v>
      </c>
      <c r="K2489" s="336">
        <v>24.9</v>
      </c>
      <c r="L2489" s="336">
        <f t="shared" si="16"/>
        <v>0.90000000000000213</v>
      </c>
      <c r="M2489" s="337"/>
    </row>
    <row r="2490" spans="1:13" s="71" customFormat="1" ht="26.4" customHeight="1">
      <c r="A2490" s="282">
        <v>189</v>
      </c>
      <c r="B2490" s="533"/>
      <c r="C2490" s="333" t="s">
        <v>1799</v>
      </c>
      <c r="D2490" s="333" t="s">
        <v>2914</v>
      </c>
      <c r="E2490" s="441" t="s">
        <v>2915</v>
      </c>
      <c r="F2490" s="334">
        <v>301115</v>
      </c>
      <c r="G2490" s="311">
        <v>1905</v>
      </c>
      <c r="H2490" s="340" t="s">
        <v>2658</v>
      </c>
      <c r="I2490" s="313">
        <v>500</v>
      </c>
      <c r="J2490" s="336">
        <v>17.3</v>
      </c>
      <c r="K2490" s="336">
        <v>17</v>
      </c>
      <c r="L2490" s="336">
        <f t="shared" si="16"/>
        <v>0.30000000000000071</v>
      </c>
      <c r="M2490" s="337"/>
    </row>
    <row r="2491" spans="1:13" s="71" customFormat="1" ht="26.4">
      <c r="A2491" s="282">
        <v>190</v>
      </c>
      <c r="B2491" s="533"/>
      <c r="C2491" s="333" t="s">
        <v>1799</v>
      </c>
      <c r="D2491" s="333" t="s">
        <v>2916</v>
      </c>
      <c r="E2491" s="441" t="s">
        <v>2917</v>
      </c>
      <c r="F2491" s="334">
        <v>301116</v>
      </c>
      <c r="G2491" s="311">
        <v>1905</v>
      </c>
      <c r="H2491" s="340" t="s">
        <v>2658</v>
      </c>
      <c r="I2491" s="313">
        <v>1200</v>
      </c>
      <c r="J2491" s="336">
        <v>51</v>
      </c>
      <c r="K2491" s="336">
        <v>49.8</v>
      </c>
      <c r="L2491" s="336">
        <f t="shared" si="16"/>
        <v>1.2000000000000028</v>
      </c>
      <c r="M2491" s="337"/>
    </row>
    <row r="2492" spans="1:13" s="71" customFormat="1" ht="26.4">
      <c r="A2492" s="282">
        <v>191</v>
      </c>
      <c r="B2492" s="533"/>
      <c r="C2492" s="333" t="s">
        <v>1799</v>
      </c>
      <c r="D2492" s="307" t="s">
        <v>2918</v>
      </c>
      <c r="E2492" s="322" t="s">
        <v>2919</v>
      </c>
      <c r="F2492" s="334">
        <v>301117</v>
      </c>
      <c r="G2492" s="311">
        <v>1905</v>
      </c>
      <c r="H2492" s="340" t="s">
        <v>2658</v>
      </c>
      <c r="I2492" s="313">
        <v>630</v>
      </c>
      <c r="J2492" s="336">
        <v>14.2</v>
      </c>
      <c r="K2492" s="336">
        <v>12.5</v>
      </c>
      <c r="L2492" s="336">
        <f t="shared" si="16"/>
        <v>1.6999999999999993</v>
      </c>
      <c r="M2492" s="337"/>
    </row>
    <row r="2493" spans="1:13" s="71" customFormat="1" ht="39.6">
      <c r="A2493" s="282">
        <v>192</v>
      </c>
      <c r="B2493" s="533"/>
      <c r="C2493" s="333" t="s">
        <v>1799</v>
      </c>
      <c r="D2493" s="333" t="s">
        <v>12769</v>
      </c>
      <c r="E2493" s="322" t="s">
        <v>13020</v>
      </c>
      <c r="F2493" s="334">
        <v>301311</v>
      </c>
      <c r="G2493" s="311">
        <v>1905</v>
      </c>
      <c r="H2493" s="340" t="s">
        <v>2658</v>
      </c>
      <c r="I2493" s="313">
        <v>10232</v>
      </c>
      <c r="J2493" s="336">
        <v>1555.2</v>
      </c>
      <c r="K2493" s="336">
        <v>1363.3</v>
      </c>
      <c r="L2493" s="336">
        <f t="shared" si="16"/>
        <v>191.90000000000009</v>
      </c>
      <c r="M2493" s="337"/>
    </row>
    <row r="2494" spans="1:13" s="71" customFormat="1" ht="26.4">
      <c r="A2494" s="282">
        <v>193</v>
      </c>
      <c r="B2494" s="533"/>
      <c r="C2494" s="333" t="s">
        <v>1799</v>
      </c>
      <c r="D2494" s="333" t="s">
        <v>2920</v>
      </c>
      <c r="E2494" s="441" t="s">
        <v>2921</v>
      </c>
      <c r="F2494" s="334">
        <v>301384</v>
      </c>
      <c r="G2494" s="311">
        <v>1905</v>
      </c>
      <c r="H2494" s="340" t="s">
        <v>2658</v>
      </c>
      <c r="I2494" s="313">
        <v>665</v>
      </c>
      <c r="J2494" s="336">
        <v>29.5</v>
      </c>
      <c r="K2494" s="336">
        <v>23.9</v>
      </c>
      <c r="L2494" s="336">
        <f t="shared" ref="L2494:L2557" si="17">J2494-K2494</f>
        <v>5.6000000000000014</v>
      </c>
      <c r="M2494" s="337"/>
    </row>
    <row r="2495" spans="1:13" s="71" customFormat="1" ht="26.4" customHeight="1">
      <c r="A2495" s="282">
        <v>194</v>
      </c>
      <c r="B2495" s="533"/>
      <c r="C2495" s="333" t="s">
        <v>1799</v>
      </c>
      <c r="D2495" s="333" t="s">
        <v>2922</v>
      </c>
      <c r="E2495" s="441" t="s">
        <v>2923</v>
      </c>
      <c r="F2495" s="334">
        <v>301089</v>
      </c>
      <c r="G2495" s="311">
        <v>1905</v>
      </c>
      <c r="H2495" s="340" t="s">
        <v>2658</v>
      </c>
      <c r="I2495" s="313">
        <v>4562</v>
      </c>
      <c r="J2495" s="336">
        <v>185.6</v>
      </c>
      <c r="K2495" s="336">
        <v>179.4</v>
      </c>
      <c r="L2495" s="336">
        <f t="shared" si="17"/>
        <v>6.1999999999999886</v>
      </c>
      <c r="M2495" s="337"/>
    </row>
    <row r="2496" spans="1:13" s="71" customFormat="1" ht="26.4" customHeight="1">
      <c r="A2496" s="282">
        <v>195</v>
      </c>
      <c r="B2496" s="533"/>
      <c r="C2496" s="333" t="s">
        <v>2924</v>
      </c>
      <c r="D2496" s="333" t="s">
        <v>2925</v>
      </c>
      <c r="E2496" s="441" t="s">
        <v>2926</v>
      </c>
      <c r="F2496" s="334">
        <v>301</v>
      </c>
      <c r="G2496" s="311">
        <v>1905</v>
      </c>
      <c r="H2496" s="340" t="s">
        <v>3</v>
      </c>
      <c r="I2496" s="330" t="s">
        <v>3</v>
      </c>
      <c r="J2496" s="336">
        <v>7.4</v>
      </c>
      <c r="K2496" s="336">
        <v>5.7</v>
      </c>
      <c r="L2496" s="336">
        <f t="shared" si="17"/>
        <v>1.7000000000000002</v>
      </c>
      <c r="M2496" s="337"/>
    </row>
    <row r="2497" spans="1:13" s="71" customFormat="1" ht="39.6">
      <c r="A2497" s="282">
        <v>196</v>
      </c>
      <c r="B2497" s="533"/>
      <c r="C2497" s="333" t="s">
        <v>2924</v>
      </c>
      <c r="D2497" s="307" t="s">
        <v>2927</v>
      </c>
      <c r="E2497" s="441" t="s">
        <v>2928</v>
      </c>
      <c r="F2497" s="334">
        <v>294</v>
      </c>
      <c r="G2497" s="311">
        <v>1905</v>
      </c>
      <c r="H2497" s="340" t="s">
        <v>2658</v>
      </c>
      <c r="I2497" s="313">
        <v>3475</v>
      </c>
      <c r="J2497" s="336">
        <v>15.8</v>
      </c>
      <c r="K2497" s="336">
        <v>15.2</v>
      </c>
      <c r="L2497" s="336">
        <f t="shared" si="17"/>
        <v>0.60000000000000142</v>
      </c>
      <c r="M2497" s="337"/>
    </row>
    <row r="2498" spans="1:13" s="71" customFormat="1" ht="52.8">
      <c r="A2498" s="282">
        <v>197</v>
      </c>
      <c r="B2498" s="533"/>
      <c r="C2498" s="333" t="s">
        <v>2924</v>
      </c>
      <c r="D2498" s="307" t="s">
        <v>13410</v>
      </c>
      <c r="E2498" s="441" t="s">
        <v>2929</v>
      </c>
      <c r="F2498" s="334">
        <v>296</v>
      </c>
      <c r="G2498" s="311">
        <v>1905</v>
      </c>
      <c r="H2498" s="340" t="s">
        <v>2658</v>
      </c>
      <c r="I2498" s="313" t="s">
        <v>2930</v>
      </c>
      <c r="J2498" s="336">
        <v>27.3</v>
      </c>
      <c r="K2498" s="336">
        <v>21</v>
      </c>
      <c r="L2498" s="336">
        <f t="shared" si="17"/>
        <v>6.3000000000000007</v>
      </c>
      <c r="M2498" s="337"/>
    </row>
    <row r="2499" spans="1:13" s="71" customFormat="1" ht="39.6">
      <c r="A2499" s="282">
        <v>198</v>
      </c>
      <c r="B2499" s="533"/>
      <c r="C2499" s="333" t="s">
        <v>2924</v>
      </c>
      <c r="D2499" s="307" t="s">
        <v>12957</v>
      </c>
      <c r="E2499" s="441" t="s">
        <v>2931</v>
      </c>
      <c r="F2499" s="334">
        <v>297</v>
      </c>
      <c r="G2499" s="311">
        <v>1905</v>
      </c>
      <c r="H2499" s="340" t="s">
        <v>2658</v>
      </c>
      <c r="I2499" s="313">
        <v>3750</v>
      </c>
      <c r="J2499" s="336">
        <v>10.5</v>
      </c>
      <c r="K2499" s="336">
        <v>8.1</v>
      </c>
      <c r="L2499" s="336">
        <f t="shared" si="17"/>
        <v>2.4000000000000004</v>
      </c>
      <c r="M2499" s="337"/>
    </row>
    <row r="2500" spans="1:13" s="71" customFormat="1" ht="26.4" customHeight="1">
      <c r="A2500" s="282">
        <v>199</v>
      </c>
      <c r="B2500" s="533"/>
      <c r="C2500" s="333" t="s">
        <v>2924</v>
      </c>
      <c r="D2500" s="307" t="s">
        <v>3</v>
      </c>
      <c r="E2500" s="441" t="s">
        <v>2932</v>
      </c>
      <c r="F2500" s="334">
        <v>298</v>
      </c>
      <c r="G2500" s="311">
        <v>1905</v>
      </c>
      <c r="H2500" s="340" t="s">
        <v>2658</v>
      </c>
      <c r="I2500" s="313">
        <v>30</v>
      </c>
      <c r="J2500" s="336">
        <v>0.5</v>
      </c>
      <c r="K2500" s="336">
        <v>0.3</v>
      </c>
      <c r="L2500" s="336">
        <f t="shared" si="17"/>
        <v>0.2</v>
      </c>
      <c r="M2500" s="337"/>
    </row>
    <row r="2501" spans="1:13" s="71" customFormat="1" ht="39.6">
      <c r="A2501" s="282">
        <v>200</v>
      </c>
      <c r="B2501" s="533"/>
      <c r="C2501" s="333" t="s">
        <v>2924</v>
      </c>
      <c r="D2501" s="333" t="s">
        <v>12958</v>
      </c>
      <c r="E2501" s="441" t="s">
        <v>2875</v>
      </c>
      <c r="F2501" s="334">
        <v>299</v>
      </c>
      <c r="G2501" s="311">
        <v>1905</v>
      </c>
      <c r="H2501" s="340" t="s">
        <v>2658</v>
      </c>
      <c r="I2501" s="313">
        <v>3700</v>
      </c>
      <c r="J2501" s="336">
        <v>10.6</v>
      </c>
      <c r="K2501" s="336">
        <v>8.1</v>
      </c>
      <c r="L2501" s="336">
        <f t="shared" si="17"/>
        <v>2.5</v>
      </c>
      <c r="M2501" s="337"/>
    </row>
    <row r="2502" spans="1:13" s="71" customFormat="1" ht="52.8">
      <c r="A2502" s="282">
        <v>201</v>
      </c>
      <c r="B2502" s="533"/>
      <c r="C2502" s="307" t="s">
        <v>2924</v>
      </c>
      <c r="D2502" s="307" t="s">
        <v>12959</v>
      </c>
      <c r="E2502" s="441" t="s">
        <v>2929</v>
      </c>
      <c r="F2502" s="310">
        <v>295</v>
      </c>
      <c r="G2502" s="311">
        <v>1905</v>
      </c>
      <c r="H2502" s="340" t="s">
        <v>2658</v>
      </c>
      <c r="I2502" s="313" t="s">
        <v>2933</v>
      </c>
      <c r="J2502" s="314">
        <v>9.4</v>
      </c>
      <c r="K2502" s="314">
        <v>6.8</v>
      </c>
      <c r="L2502" s="314">
        <f t="shared" si="17"/>
        <v>2.6000000000000005</v>
      </c>
      <c r="M2502" s="337"/>
    </row>
    <row r="2503" spans="1:13" s="71" customFormat="1" ht="52.8">
      <c r="A2503" s="282">
        <v>202</v>
      </c>
      <c r="B2503" s="533"/>
      <c r="C2503" s="333" t="s">
        <v>2924</v>
      </c>
      <c r="D2503" s="333" t="s">
        <v>12960</v>
      </c>
      <c r="E2503" s="441" t="s">
        <v>2929</v>
      </c>
      <c r="F2503" s="334">
        <v>300</v>
      </c>
      <c r="G2503" s="311">
        <v>1905</v>
      </c>
      <c r="H2503" s="340" t="s">
        <v>2658</v>
      </c>
      <c r="I2503" s="313">
        <v>600</v>
      </c>
      <c r="J2503" s="336">
        <v>6</v>
      </c>
      <c r="K2503" s="336">
        <v>4.4000000000000004</v>
      </c>
      <c r="L2503" s="336">
        <f t="shared" si="17"/>
        <v>1.5999999999999996</v>
      </c>
      <c r="M2503" s="337"/>
    </row>
    <row r="2504" spans="1:13" s="71" customFormat="1" ht="26.4" customHeight="1">
      <c r="A2504" s="282">
        <v>203</v>
      </c>
      <c r="B2504" s="533"/>
      <c r="C2504" s="333" t="s">
        <v>1799</v>
      </c>
      <c r="D2504" s="333" t="s">
        <v>2934</v>
      </c>
      <c r="E2504" s="441" t="s">
        <v>2935</v>
      </c>
      <c r="F2504" s="334">
        <v>301309</v>
      </c>
      <c r="G2504" s="311">
        <v>1905</v>
      </c>
      <c r="H2504" s="340" t="s">
        <v>3</v>
      </c>
      <c r="I2504" s="330" t="s">
        <v>3</v>
      </c>
      <c r="J2504" s="336">
        <v>151.9</v>
      </c>
      <c r="K2504" s="336">
        <v>151.69999999999999</v>
      </c>
      <c r="L2504" s="336">
        <f t="shared" si="17"/>
        <v>0.20000000000001705</v>
      </c>
      <c r="M2504" s="337"/>
    </row>
    <row r="2505" spans="1:13" s="71" customFormat="1" ht="26.4">
      <c r="A2505" s="282">
        <v>204</v>
      </c>
      <c r="B2505" s="533"/>
      <c r="C2505" s="333" t="s">
        <v>1799</v>
      </c>
      <c r="D2505" s="307" t="s">
        <v>2936</v>
      </c>
      <c r="E2505" s="441" t="s">
        <v>2937</v>
      </c>
      <c r="F2505" s="334">
        <v>301316</v>
      </c>
      <c r="G2505" s="311">
        <v>1905</v>
      </c>
      <c r="H2505" s="340" t="s">
        <v>3</v>
      </c>
      <c r="I2505" s="330" t="s">
        <v>3</v>
      </c>
      <c r="J2505" s="336">
        <v>31.3</v>
      </c>
      <c r="K2505" s="336">
        <v>31.3</v>
      </c>
      <c r="L2505" s="336">
        <f t="shared" si="17"/>
        <v>0</v>
      </c>
      <c r="M2505" s="337"/>
    </row>
    <row r="2506" spans="1:13" s="71" customFormat="1" ht="39.6">
      <c r="A2506" s="282">
        <v>205</v>
      </c>
      <c r="B2506" s="533"/>
      <c r="C2506" s="333" t="s">
        <v>1799</v>
      </c>
      <c r="D2506" s="307" t="s">
        <v>12770</v>
      </c>
      <c r="E2506" s="322" t="s">
        <v>2938</v>
      </c>
      <c r="F2506" s="334">
        <v>301191</v>
      </c>
      <c r="G2506" s="311">
        <v>1905</v>
      </c>
      <c r="H2506" s="340" t="s">
        <v>2658</v>
      </c>
      <c r="I2506" s="313">
        <v>425</v>
      </c>
      <c r="J2506" s="336">
        <v>150.69999999999999</v>
      </c>
      <c r="K2506" s="336">
        <v>150.5</v>
      </c>
      <c r="L2506" s="336">
        <f t="shared" si="17"/>
        <v>0.19999999999998863</v>
      </c>
      <c r="M2506" s="337"/>
    </row>
    <row r="2507" spans="1:13" s="71" customFormat="1" ht="39.6">
      <c r="A2507" s="282">
        <v>206</v>
      </c>
      <c r="B2507" s="533"/>
      <c r="C2507" s="333" t="s">
        <v>1799</v>
      </c>
      <c r="D2507" s="307" t="s">
        <v>2939</v>
      </c>
      <c r="E2507" s="441" t="s">
        <v>2940</v>
      </c>
      <c r="F2507" s="334">
        <v>301192</v>
      </c>
      <c r="G2507" s="311">
        <v>1905</v>
      </c>
      <c r="H2507" s="340" t="s">
        <v>2658</v>
      </c>
      <c r="I2507" s="313">
        <v>3379</v>
      </c>
      <c r="J2507" s="336">
        <v>437.2</v>
      </c>
      <c r="K2507" s="336">
        <v>437</v>
      </c>
      <c r="L2507" s="336">
        <f t="shared" si="17"/>
        <v>0.19999999999998863</v>
      </c>
      <c r="M2507" s="337"/>
    </row>
    <row r="2508" spans="1:13" s="71" customFormat="1" ht="26.4" customHeight="1">
      <c r="A2508" s="282">
        <v>207</v>
      </c>
      <c r="B2508" s="533"/>
      <c r="C2508" s="333" t="s">
        <v>1799</v>
      </c>
      <c r="D2508" s="333" t="s">
        <v>2941</v>
      </c>
      <c r="E2508" s="441" t="s">
        <v>2942</v>
      </c>
      <c r="F2508" s="334">
        <v>301321</v>
      </c>
      <c r="G2508" s="311">
        <v>1905</v>
      </c>
      <c r="H2508" s="340" t="s">
        <v>2658</v>
      </c>
      <c r="I2508" s="313">
        <v>838</v>
      </c>
      <c r="J2508" s="336">
        <v>228.3</v>
      </c>
      <c r="K2508" s="336">
        <v>228.1</v>
      </c>
      <c r="L2508" s="336">
        <f t="shared" si="17"/>
        <v>0.20000000000001705</v>
      </c>
      <c r="M2508" s="337"/>
    </row>
    <row r="2509" spans="1:13" s="71" customFormat="1" ht="26.4" customHeight="1">
      <c r="A2509" s="282">
        <v>208</v>
      </c>
      <c r="B2509" s="533"/>
      <c r="C2509" s="333" t="s">
        <v>1799</v>
      </c>
      <c r="D2509" s="333" t="s">
        <v>2941</v>
      </c>
      <c r="E2509" s="441" t="s">
        <v>2943</v>
      </c>
      <c r="F2509" s="334">
        <v>301345</v>
      </c>
      <c r="G2509" s="311">
        <v>1905</v>
      </c>
      <c r="H2509" s="340" t="s">
        <v>2658</v>
      </c>
      <c r="I2509" s="313">
        <v>4497</v>
      </c>
      <c r="J2509" s="336">
        <v>125.6</v>
      </c>
      <c r="K2509" s="336">
        <v>125.5</v>
      </c>
      <c r="L2509" s="336">
        <f t="shared" si="17"/>
        <v>9.9999999999994316E-2</v>
      </c>
      <c r="M2509" s="337"/>
    </row>
    <row r="2510" spans="1:13" s="71" customFormat="1" ht="26.4" customHeight="1">
      <c r="A2510" s="282">
        <v>209</v>
      </c>
      <c r="B2510" s="533"/>
      <c r="C2510" s="333" t="s">
        <v>1799</v>
      </c>
      <c r="D2510" s="333" t="s">
        <v>2941</v>
      </c>
      <c r="E2510" s="441" t="s">
        <v>2944</v>
      </c>
      <c r="F2510" s="334">
        <v>301365</v>
      </c>
      <c r="G2510" s="311">
        <v>1905</v>
      </c>
      <c r="H2510" s="340" t="s">
        <v>2658</v>
      </c>
      <c r="I2510" s="313">
        <v>5282</v>
      </c>
      <c r="J2510" s="336">
        <v>95</v>
      </c>
      <c r="K2510" s="336">
        <v>94.9</v>
      </c>
      <c r="L2510" s="336">
        <f t="shared" si="17"/>
        <v>9.9999999999994316E-2</v>
      </c>
      <c r="M2510" s="337"/>
    </row>
    <row r="2511" spans="1:13" s="71" customFormat="1" ht="26.4" customHeight="1">
      <c r="A2511" s="282">
        <v>210</v>
      </c>
      <c r="B2511" s="533"/>
      <c r="C2511" s="333" t="s">
        <v>1799</v>
      </c>
      <c r="D2511" s="333" t="s">
        <v>2861</v>
      </c>
      <c r="E2511" s="441" t="s">
        <v>2942</v>
      </c>
      <c r="F2511" s="334">
        <v>301366</v>
      </c>
      <c r="G2511" s="311">
        <v>1905</v>
      </c>
      <c r="H2511" s="340" t="s">
        <v>2658</v>
      </c>
      <c r="I2511" s="313">
        <v>1304</v>
      </c>
      <c r="J2511" s="336">
        <v>203.5</v>
      </c>
      <c r="K2511" s="336">
        <v>203.4</v>
      </c>
      <c r="L2511" s="336">
        <f t="shared" si="17"/>
        <v>9.9999999999994316E-2</v>
      </c>
      <c r="M2511" s="337"/>
    </row>
    <row r="2512" spans="1:13" s="71" customFormat="1" ht="26.4" customHeight="1">
      <c r="A2512" s="282">
        <v>211</v>
      </c>
      <c r="B2512" s="533"/>
      <c r="C2512" s="333" t="s">
        <v>1799</v>
      </c>
      <c r="D2512" s="333" t="s">
        <v>2945</v>
      </c>
      <c r="E2512" s="441" t="s">
        <v>2946</v>
      </c>
      <c r="F2512" s="334">
        <v>301385</v>
      </c>
      <c r="G2512" s="311">
        <v>1905</v>
      </c>
      <c r="H2512" s="340" t="s">
        <v>2658</v>
      </c>
      <c r="I2512" s="313">
        <v>2560</v>
      </c>
      <c r="J2512" s="336">
        <v>284.10000000000002</v>
      </c>
      <c r="K2512" s="336">
        <v>284</v>
      </c>
      <c r="L2512" s="336">
        <f t="shared" si="17"/>
        <v>0.10000000000002274</v>
      </c>
      <c r="M2512" s="337"/>
    </row>
    <row r="2513" spans="1:13" s="71" customFormat="1" ht="75" customHeight="1">
      <c r="A2513" s="282">
        <v>212</v>
      </c>
      <c r="B2513" s="533"/>
      <c r="C2513" s="333" t="s">
        <v>1799</v>
      </c>
      <c r="D2513" s="333" t="s">
        <v>12961</v>
      </c>
      <c r="E2513" s="441" t="s">
        <v>2947</v>
      </c>
      <c r="F2513" s="334">
        <v>3020</v>
      </c>
      <c r="G2513" s="311">
        <v>1905</v>
      </c>
      <c r="H2513" s="340" t="s">
        <v>2658</v>
      </c>
      <c r="I2513" s="313">
        <v>9860</v>
      </c>
      <c r="J2513" s="336">
        <v>671.4</v>
      </c>
      <c r="K2513" s="336">
        <v>671.3</v>
      </c>
      <c r="L2513" s="336">
        <f t="shared" si="17"/>
        <v>0.10000000000002274</v>
      </c>
      <c r="M2513" s="337"/>
    </row>
    <row r="2514" spans="1:13" s="71" customFormat="1" ht="39.6">
      <c r="A2514" s="282">
        <v>213</v>
      </c>
      <c r="B2514" s="533"/>
      <c r="C2514" s="333" t="s">
        <v>1799</v>
      </c>
      <c r="D2514" s="307" t="s">
        <v>2948</v>
      </c>
      <c r="E2514" s="441" t="s">
        <v>2949</v>
      </c>
      <c r="F2514" s="334">
        <v>301118</v>
      </c>
      <c r="G2514" s="311">
        <v>1905</v>
      </c>
      <c r="H2514" s="340" t="s">
        <v>2658</v>
      </c>
      <c r="I2514" s="313">
        <v>1362</v>
      </c>
      <c r="J2514" s="336">
        <v>44</v>
      </c>
      <c r="K2514" s="336">
        <v>44</v>
      </c>
      <c r="L2514" s="336">
        <f t="shared" si="17"/>
        <v>0</v>
      </c>
      <c r="M2514" s="337"/>
    </row>
    <row r="2515" spans="1:13" s="71" customFormat="1" ht="39.6">
      <c r="A2515" s="282">
        <v>214</v>
      </c>
      <c r="B2515" s="533"/>
      <c r="C2515" s="333" t="s">
        <v>1799</v>
      </c>
      <c r="D2515" s="333" t="s">
        <v>13411</v>
      </c>
      <c r="E2515" s="441" t="s">
        <v>2950</v>
      </c>
      <c r="F2515" s="334">
        <v>1470</v>
      </c>
      <c r="G2515" s="311">
        <v>1905</v>
      </c>
      <c r="H2515" s="340" t="s">
        <v>3</v>
      </c>
      <c r="I2515" s="330" t="s">
        <v>3</v>
      </c>
      <c r="J2515" s="336">
        <v>437.3</v>
      </c>
      <c r="K2515" s="336">
        <v>399.3</v>
      </c>
      <c r="L2515" s="336">
        <f t="shared" si="17"/>
        <v>38</v>
      </c>
      <c r="M2515" s="337"/>
    </row>
    <row r="2516" spans="1:13" s="71" customFormat="1" ht="39.6">
      <c r="A2516" s="282">
        <v>215</v>
      </c>
      <c r="B2516" s="533"/>
      <c r="C2516" s="333" t="s">
        <v>1799</v>
      </c>
      <c r="D2516" s="333" t="s">
        <v>12962</v>
      </c>
      <c r="E2516" s="441" t="s">
        <v>2951</v>
      </c>
      <c r="F2516" s="334">
        <v>2168</v>
      </c>
      <c r="G2516" s="311">
        <v>1905</v>
      </c>
      <c r="H2516" s="340" t="s">
        <v>3</v>
      </c>
      <c r="I2516" s="330" t="s">
        <v>3</v>
      </c>
      <c r="J2516" s="336">
        <v>6.4</v>
      </c>
      <c r="K2516" s="336">
        <v>1.4</v>
      </c>
      <c r="L2516" s="336">
        <f t="shared" si="17"/>
        <v>5</v>
      </c>
      <c r="M2516" s="337"/>
    </row>
    <row r="2517" spans="1:13" s="71" customFormat="1" ht="26.4">
      <c r="A2517" s="282">
        <v>216</v>
      </c>
      <c r="B2517" s="533"/>
      <c r="C2517" s="333" t="s">
        <v>1799</v>
      </c>
      <c r="D2517" s="307" t="s">
        <v>2952</v>
      </c>
      <c r="E2517" s="441" t="s">
        <v>2953</v>
      </c>
      <c r="F2517" s="334">
        <v>20630</v>
      </c>
      <c r="G2517" s="311">
        <v>1905</v>
      </c>
      <c r="H2517" s="340" t="s">
        <v>3</v>
      </c>
      <c r="I2517" s="330" t="s">
        <v>3</v>
      </c>
      <c r="J2517" s="336">
        <v>8.9</v>
      </c>
      <c r="K2517" s="336">
        <v>8.9</v>
      </c>
      <c r="L2517" s="336">
        <f t="shared" si="17"/>
        <v>0</v>
      </c>
      <c r="M2517" s="337"/>
    </row>
    <row r="2518" spans="1:13" s="71" customFormat="1" ht="39.6">
      <c r="A2518" s="282">
        <v>217</v>
      </c>
      <c r="B2518" s="533"/>
      <c r="C2518" s="333" t="s">
        <v>1799</v>
      </c>
      <c r="D2518" s="307" t="s">
        <v>2954</v>
      </c>
      <c r="E2518" s="441" t="s">
        <v>2955</v>
      </c>
      <c r="F2518" s="334">
        <v>301138</v>
      </c>
      <c r="G2518" s="311">
        <v>1905</v>
      </c>
      <c r="H2518" s="340" t="s">
        <v>3</v>
      </c>
      <c r="I2518" s="330" t="s">
        <v>3</v>
      </c>
      <c r="J2518" s="336">
        <v>18</v>
      </c>
      <c r="K2518" s="336">
        <v>17.3</v>
      </c>
      <c r="L2518" s="336">
        <f t="shared" si="17"/>
        <v>0.69999999999999929</v>
      </c>
      <c r="M2518" s="337"/>
    </row>
    <row r="2519" spans="1:13" s="71" customFormat="1" ht="26.4">
      <c r="A2519" s="282">
        <v>218</v>
      </c>
      <c r="B2519" s="533"/>
      <c r="C2519" s="333" t="s">
        <v>1799</v>
      </c>
      <c r="D2519" s="307" t="s">
        <v>2956</v>
      </c>
      <c r="E2519" s="441" t="s">
        <v>2957</v>
      </c>
      <c r="F2519" s="334">
        <v>301346</v>
      </c>
      <c r="G2519" s="311">
        <v>1905</v>
      </c>
      <c r="H2519" s="340" t="s">
        <v>3</v>
      </c>
      <c r="I2519" s="330" t="s">
        <v>3</v>
      </c>
      <c r="J2519" s="336">
        <v>82.4</v>
      </c>
      <c r="K2519" s="336">
        <v>73</v>
      </c>
      <c r="L2519" s="336">
        <f t="shared" si="17"/>
        <v>9.4000000000000057</v>
      </c>
      <c r="M2519" s="337"/>
    </row>
    <row r="2520" spans="1:13" s="71" customFormat="1" ht="26.4">
      <c r="A2520" s="282">
        <v>219</v>
      </c>
      <c r="B2520" s="533"/>
      <c r="C2520" s="333" t="s">
        <v>1799</v>
      </c>
      <c r="D2520" s="307" t="s">
        <v>2958</v>
      </c>
      <c r="E2520" s="441" t="s">
        <v>2959</v>
      </c>
      <c r="F2520" s="334">
        <v>301120</v>
      </c>
      <c r="G2520" s="311">
        <v>1905</v>
      </c>
      <c r="H2520" s="340" t="s">
        <v>3</v>
      </c>
      <c r="I2520" s="330" t="s">
        <v>3</v>
      </c>
      <c r="J2520" s="336">
        <v>2.2999999999999998</v>
      </c>
      <c r="K2520" s="336">
        <v>2.2000000000000002</v>
      </c>
      <c r="L2520" s="336">
        <f t="shared" si="17"/>
        <v>9.9999999999999645E-2</v>
      </c>
      <c r="M2520" s="337"/>
    </row>
    <row r="2521" spans="1:13" s="71" customFormat="1" ht="39.6">
      <c r="A2521" s="282">
        <v>220</v>
      </c>
      <c r="B2521" s="533"/>
      <c r="C2521" s="333" t="s">
        <v>1799</v>
      </c>
      <c r="D2521" s="307" t="s">
        <v>2960</v>
      </c>
      <c r="E2521" s="441" t="s">
        <v>2961</v>
      </c>
      <c r="F2521" s="334">
        <v>20663</v>
      </c>
      <c r="G2521" s="311">
        <v>1905</v>
      </c>
      <c r="H2521" s="340" t="s">
        <v>3</v>
      </c>
      <c r="I2521" s="330" t="s">
        <v>3</v>
      </c>
      <c r="J2521" s="336">
        <v>61.1</v>
      </c>
      <c r="K2521" s="336">
        <v>61</v>
      </c>
      <c r="L2521" s="336">
        <f t="shared" si="17"/>
        <v>0.10000000000000142</v>
      </c>
      <c r="M2521" s="337"/>
    </row>
    <row r="2522" spans="1:13" s="71" customFormat="1" ht="26.4">
      <c r="A2522" s="282">
        <v>221</v>
      </c>
      <c r="B2522" s="533"/>
      <c r="C2522" s="333" t="s">
        <v>1799</v>
      </c>
      <c r="D2522" s="333" t="s">
        <v>12963</v>
      </c>
      <c r="E2522" s="441" t="s">
        <v>2962</v>
      </c>
      <c r="F2522" s="334">
        <v>301141</v>
      </c>
      <c r="G2522" s="311">
        <v>1905</v>
      </c>
      <c r="H2522" s="340" t="s">
        <v>3</v>
      </c>
      <c r="I2522" s="330" t="s">
        <v>3</v>
      </c>
      <c r="J2522" s="336">
        <v>10.8</v>
      </c>
      <c r="K2522" s="336">
        <v>10.7</v>
      </c>
      <c r="L2522" s="336">
        <f t="shared" si="17"/>
        <v>0.10000000000000142</v>
      </c>
      <c r="M2522" s="337"/>
    </row>
    <row r="2523" spans="1:13" s="71" customFormat="1" ht="26.4">
      <c r="A2523" s="282">
        <v>222</v>
      </c>
      <c r="B2523" s="533"/>
      <c r="C2523" s="333" t="s">
        <v>1799</v>
      </c>
      <c r="D2523" s="333" t="s">
        <v>2963</v>
      </c>
      <c r="E2523" s="441" t="s">
        <v>2964</v>
      </c>
      <c r="F2523" s="334">
        <v>301142</v>
      </c>
      <c r="G2523" s="311">
        <v>1905</v>
      </c>
      <c r="H2523" s="340" t="s">
        <v>3</v>
      </c>
      <c r="I2523" s="330" t="s">
        <v>3</v>
      </c>
      <c r="J2523" s="336">
        <v>39.9</v>
      </c>
      <c r="K2523" s="336">
        <v>39.799999999999997</v>
      </c>
      <c r="L2523" s="336">
        <f t="shared" si="17"/>
        <v>0.10000000000000142</v>
      </c>
      <c r="M2523" s="337"/>
    </row>
    <row r="2524" spans="1:13" s="71" customFormat="1" ht="26.4">
      <c r="A2524" s="282">
        <v>223</v>
      </c>
      <c r="B2524" s="533"/>
      <c r="C2524" s="333" t="s">
        <v>1799</v>
      </c>
      <c r="D2524" s="333" t="s">
        <v>2965</v>
      </c>
      <c r="E2524" s="441" t="s">
        <v>2966</v>
      </c>
      <c r="F2524" s="334">
        <v>301143</v>
      </c>
      <c r="G2524" s="311">
        <v>1905</v>
      </c>
      <c r="H2524" s="340" t="s">
        <v>3</v>
      </c>
      <c r="I2524" s="330" t="s">
        <v>3</v>
      </c>
      <c r="J2524" s="336">
        <v>58.8</v>
      </c>
      <c r="K2524" s="336">
        <v>58.7</v>
      </c>
      <c r="L2524" s="336">
        <f t="shared" si="17"/>
        <v>9.9999999999994316E-2</v>
      </c>
      <c r="M2524" s="337"/>
    </row>
    <row r="2525" spans="1:13" s="71" customFormat="1" ht="26.4" customHeight="1">
      <c r="A2525" s="282">
        <v>224</v>
      </c>
      <c r="B2525" s="533"/>
      <c r="C2525" s="333" t="s">
        <v>1799</v>
      </c>
      <c r="D2525" s="333" t="s">
        <v>2967</v>
      </c>
      <c r="E2525" s="441" t="s">
        <v>937</v>
      </c>
      <c r="F2525" s="334">
        <v>301149</v>
      </c>
      <c r="G2525" s="311">
        <v>1905</v>
      </c>
      <c r="H2525" s="340" t="s">
        <v>3</v>
      </c>
      <c r="I2525" s="330" t="s">
        <v>3</v>
      </c>
      <c r="J2525" s="336">
        <v>71.099999999999994</v>
      </c>
      <c r="K2525" s="336">
        <v>71</v>
      </c>
      <c r="L2525" s="336">
        <f t="shared" si="17"/>
        <v>9.9999999999994316E-2</v>
      </c>
      <c r="M2525" s="337"/>
    </row>
    <row r="2526" spans="1:13" s="71" customFormat="1" ht="26.4" customHeight="1">
      <c r="A2526" s="282">
        <v>225</v>
      </c>
      <c r="B2526" s="533"/>
      <c r="C2526" s="333" t="s">
        <v>1799</v>
      </c>
      <c r="D2526" s="307" t="s">
        <v>2968</v>
      </c>
      <c r="E2526" s="441" t="s">
        <v>2969</v>
      </c>
      <c r="F2526" s="334">
        <v>301150</v>
      </c>
      <c r="G2526" s="311">
        <v>1905</v>
      </c>
      <c r="H2526" s="340" t="s">
        <v>3</v>
      </c>
      <c r="I2526" s="330" t="s">
        <v>3</v>
      </c>
      <c r="J2526" s="336">
        <v>57.5</v>
      </c>
      <c r="K2526" s="336">
        <v>57.3</v>
      </c>
      <c r="L2526" s="336">
        <f t="shared" si="17"/>
        <v>0.20000000000000284</v>
      </c>
      <c r="M2526" s="337"/>
    </row>
    <row r="2527" spans="1:13" s="71" customFormat="1" ht="26.4" customHeight="1">
      <c r="A2527" s="282">
        <v>226</v>
      </c>
      <c r="B2527" s="533"/>
      <c r="C2527" s="333" t="s">
        <v>1799</v>
      </c>
      <c r="D2527" s="333" t="s">
        <v>2970</v>
      </c>
      <c r="E2527" s="441" t="s">
        <v>2955</v>
      </c>
      <c r="F2527" s="334">
        <v>301139</v>
      </c>
      <c r="G2527" s="311">
        <v>1905</v>
      </c>
      <c r="H2527" s="340" t="s">
        <v>3</v>
      </c>
      <c r="I2527" s="330" t="s">
        <v>3</v>
      </c>
      <c r="J2527" s="336">
        <v>150.5</v>
      </c>
      <c r="K2527" s="336">
        <v>150.4</v>
      </c>
      <c r="L2527" s="336">
        <f t="shared" si="17"/>
        <v>9.9999999999994316E-2</v>
      </c>
      <c r="M2527" s="337"/>
    </row>
    <row r="2528" spans="1:13" s="71" customFormat="1" ht="26.4" customHeight="1">
      <c r="A2528" s="282">
        <v>227</v>
      </c>
      <c r="B2528" s="533"/>
      <c r="C2528" s="333" t="s">
        <v>1799</v>
      </c>
      <c r="D2528" s="333" t="s">
        <v>2970</v>
      </c>
      <c r="E2528" s="441" t="s">
        <v>2971</v>
      </c>
      <c r="F2528" s="334">
        <v>301127</v>
      </c>
      <c r="G2528" s="311">
        <v>1905</v>
      </c>
      <c r="H2528" s="340" t="s">
        <v>3</v>
      </c>
      <c r="I2528" s="330" t="s">
        <v>3</v>
      </c>
      <c r="J2528" s="336">
        <v>27.2</v>
      </c>
      <c r="K2528" s="336">
        <v>27.2</v>
      </c>
      <c r="L2528" s="336">
        <f t="shared" si="17"/>
        <v>0</v>
      </c>
      <c r="M2528" s="337"/>
    </row>
    <row r="2529" spans="1:13" s="71" customFormat="1" ht="26.4" customHeight="1">
      <c r="A2529" s="282">
        <v>228</v>
      </c>
      <c r="B2529" s="533"/>
      <c r="C2529" s="333" t="s">
        <v>1799</v>
      </c>
      <c r="D2529" s="333" t="s">
        <v>2972</v>
      </c>
      <c r="E2529" s="441" t="s">
        <v>2973</v>
      </c>
      <c r="F2529" s="334">
        <v>301129</v>
      </c>
      <c r="G2529" s="311">
        <v>1905</v>
      </c>
      <c r="H2529" s="340" t="s">
        <v>2658</v>
      </c>
      <c r="I2529" s="313">
        <v>350</v>
      </c>
      <c r="J2529" s="336">
        <v>11.4</v>
      </c>
      <c r="K2529" s="336">
        <v>11.3</v>
      </c>
      <c r="L2529" s="336">
        <f t="shared" si="17"/>
        <v>9.9999999999999645E-2</v>
      </c>
      <c r="M2529" s="337"/>
    </row>
    <row r="2530" spans="1:13" s="71" customFormat="1" ht="26.4" customHeight="1">
      <c r="A2530" s="282">
        <v>229</v>
      </c>
      <c r="B2530" s="533"/>
      <c r="C2530" s="333" t="s">
        <v>1799</v>
      </c>
      <c r="D2530" s="333" t="s">
        <v>2974</v>
      </c>
      <c r="E2530" s="441" t="s">
        <v>13021</v>
      </c>
      <c r="F2530" s="334">
        <v>301130</v>
      </c>
      <c r="G2530" s="311">
        <v>1905</v>
      </c>
      <c r="H2530" s="340" t="s">
        <v>2658</v>
      </c>
      <c r="I2530" s="313">
        <v>100</v>
      </c>
      <c r="J2530" s="336">
        <v>7</v>
      </c>
      <c r="K2530" s="336">
        <v>6.9</v>
      </c>
      <c r="L2530" s="336">
        <f t="shared" si="17"/>
        <v>9.9999999999999645E-2</v>
      </c>
      <c r="M2530" s="337"/>
    </row>
    <row r="2531" spans="1:13" s="71" customFormat="1" ht="26.4" customHeight="1">
      <c r="A2531" s="282">
        <v>230</v>
      </c>
      <c r="B2531" s="533"/>
      <c r="C2531" s="333" t="s">
        <v>1799</v>
      </c>
      <c r="D2531" s="333" t="s">
        <v>2975</v>
      </c>
      <c r="E2531" s="441" t="s">
        <v>2976</v>
      </c>
      <c r="F2531" s="334">
        <v>301131</v>
      </c>
      <c r="G2531" s="311">
        <v>1905</v>
      </c>
      <c r="H2531" s="340" t="s">
        <v>2658</v>
      </c>
      <c r="I2531" s="313">
        <v>132</v>
      </c>
      <c r="J2531" s="336">
        <v>4.5999999999999996</v>
      </c>
      <c r="K2531" s="336">
        <v>4.5</v>
      </c>
      <c r="L2531" s="336">
        <f t="shared" si="17"/>
        <v>9.9999999999999645E-2</v>
      </c>
      <c r="M2531" s="337"/>
    </row>
    <row r="2532" spans="1:13" s="71" customFormat="1" ht="26.4">
      <c r="A2532" s="282">
        <v>231</v>
      </c>
      <c r="B2532" s="533"/>
      <c r="C2532" s="333" t="s">
        <v>1799</v>
      </c>
      <c r="D2532" s="307" t="s">
        <v>2977</v>
      </c>
      <c r="E2532" s="441" t="s">
        <v>2978</v>
      </c>
      <c r="F2532" s="334">
        <v>301132</v>
      </c>
      <c r="G2532" s="311">
        <v>1905</v>
      </c>
      <c r="H2532" s="340" t="s">
        <v>2658</v>
      </c>
      <c r="I2532" s="313">
        <v>3595</v>
      </c>
      <c r="J2532" s="336">
        <v>167.2</v>
      </c>
      <c r="K2532" s="336">
        <v>167</v>
      </c>
      <c r="L2532" s="336">
        <f t="shared" si="17"/>
        <v>0.19999999999998863</v>
      </c>
      <c r="M2532" s="337"/>
    </row>
    <row r="2533" spans="1:13" s="71" customFormat="1" ht="26.4">
      <c r="A2533" s="282">
        <v>232</v>
      </c>
      <c r="B2533" s="533"/>
      <c r="C2533" s="333" t="s">
        <v>1799</v>
      </c>
      <c r="D2533" s="333" t="s">
        <v>12771</v>
      </c>
      <c r="E2533" s="441" t="s">
        <v>2979</v>
      </c>
      <c r="F2533" s="334">
        <v>301133</v>
      </c>
      <c r="G2533" s="311">
        <v>1905</v>
      </c>
      <c r="H2533" s="340" t="s">
        <v>2658</v>
      </c>
      <c r="I2533" s="313">
        <v>380</v>
      </c>
      <c r="J2533" s="336">
        <v>12</v>
      </c>
      <c r="K2533" s="336">
        <v>11.9</v>
      </c>
      <c r="L2533" s="336">
        <f t="shared" si="17"/>
        <v>9.9999999999999645E-2</v>
      </c>
      <c r="M2533" s="337"/>
    </row>
    <row r="2534" spans="1:13" s="71" customFormat="1" ht="26.4">
      <c r="A2534" s="282">
        <v>233</v>
      </c>
      <c r="B2534" s="533"/>
      <c r="C2534" s="333" t="s">
        <v>1799</v>
      </c>
      <c r="D2534" s="333" t="s">
        <v>2980</v>
      </c>
      <c r="E2534" s="441" t="s">
        <v>2981</v>
      </c>
      <c r="F2534" s="334">
        <v>301134</v>
      </c>
      <c r="G2534" s="311">
        <v>1905</v>
      </c>
      <c r="H2534" s="340" t="s">
        <v>2658</v>
      </c>
      <c r="I2534" s="313">
        <v>550</v>
      </c>
      <c r="J2534" s="336">
        <v>16.8</v>
      </c>
      <c r="K2534" s="336">
        <v>16.7</v>
      </c>
      <c r="L2534" s="336">
        <f t="shared" si="17"/>
        <v>0.10000000000000142</v>
      </c>
      <c r="M2534" s="337"/>
    </row>
    <row r="2535" spans="1:13" s="71" customFormat="1" ht="26.4">
      <c r="A2535" s="282">
        <v>234</v>
      </c>
      <c r="B2535" s="533"/>
      <c r="C2535" s="333" t="s">
        <v>1799</v>
      </c>
      <c r="D2535" s="333" t="s">
        <v>2982</v>
      </c>
      <c r="E2535" s="441" t="s">
        <v>2983</v>
      </c>
      <c r="F2535" s="334">
        <v>301135</v>
      </c>
      <c r="G2535" s="311">
        <v>1905</v>
      </c>
      <c r="H2535" s="340" t="s">
        <v>2658</v>
      </c>
      <c r="I2535" s="313">
        <v>420</v>
      </c>
      <c r="J2535" s="336">
        <v>13.2</v>
      </c>
      <c r="K2535" s="336">
        <v>13</v>
      </c>
      <c r="L2535" s="336">
        <f t="shared" si="17"/>
        <v>0.19999999999999929</v>
      </c>
      <c r="M2535" s="337"/>
    </row>
    <row r="2536" spans="1:13" s="71" customFormat="1" ht="26.4">
      <c r="A2536" s="282">
        <v>235</v>
      </c>
      <c r="B2536" s="533"/>
      <c r="C2536" s="333" t="s">
        <v>1799</v>
      </c>
      <c r="D2536" s="307" t="s">
        <v>2968</v>
      </c>
      <c r="E2536" s="441" t="s">
        <v>2984</v>
      </c>
      <c r="F2536" s="334">
        <v>301140</v>
      </c>
      <c r="G2536" s="311">
        <v>1905</v>
      </c>
      <c r="H2536" s="340" t="s">
        <v>2658</v>
      </c>
      <c r="I2536" s="313">
        <v>185.2</v>
      </c>
      <c r="J2536" s="336">
        <v>6.3</v>
      </c>
      <c r="K2536" s="336">
        <v>6.2</v>
      </c>
      <c r="L2536" s="336">
        <f t="shared" si="17"/>
        <v>9.9999999999999645E-2</v>
      </c>
      <c r="M2536" s="337"/>
    </row>
    <row r="2537" spans="1:13" s="71" customFormat="1" ht="39.6">
      <c r="A2537" s="282">
        <v>236</v>
      </c>
      <c r="B2537" s="533"/>
      <c r="C2537" s="333" t="s">
        <v>1799</v>
      </c>
      <c r="D2537" s="307" t="s">
        <v>12964</v>
      </c>
      <c r="E2537" s="441" t="s">
        <v>2985</v>
      </c>
      <c r="F2537" s="334">
        <v>301144</v>
      </c>
      <c r="G2537" s="311">
        <v>1905</v>
      </c>
      <c r="H2537" s="340" t="s">
        <v>2658</v>
      </c>
      <c r="I2537" s="313">
        <v>690</v>
      </c>
      <c r="J2537" s="336">
        <v>22.2</v>
      </c>
      <c r="K2537" s="336">
        <v>22.1</v>
      </c>
      <c r="L2537" s="336">
        <f t="shared" si="17"/>
        <v>9.9999999999997868E-2</v>
      </c>
      <c r="M2537" s="337"/>
    </row>
    <row r="2538" spans="1:13" s="71" customFormat="1" ht="26.4">
      <c r="A2538" s="282">
        <v>237</v>
      </c>
      <c r="B2538" s="533"/>
      <c r="C2538" s="333" t="s">
        <v>1799</v>
      </c>
      <c r="D2538" s="307" t="s">
        <v>2986</v>
      </c>
      <c r="E2538" s="441" t="s">
        <v>2987</v>
      </c>
      <c r="F2538" s="334">
        <v>301145</v>
      </c>
      <c r="G2538" s="311">
        <v>1905</v>
      </c>
      <c r="H2538" s="340" t="s">
        <v>2658</v>
      </c>
      <c r="I2538" s="313">
        <v>540</v>
      </c>
      <c r="J2538" s="336">
        <v>14.4</v>
      </c>
      <c r="K2538" s="336">
        <v>14.2</v>
      </c>
      <c r="L2538" s="336">
        <f t="shared" si="17"/>
        <v>0.20000000000000107</v>
      </c>
      <c r="M2538" s="337"/>
    </row>
    <row r="2539" spans="1:13" s="71" customFormat="1" ht="39.6">
      <c r="A2539" s="282">
        <v>238</v>
      </c>
      <c r="B2539" s="533"/>
      <c r="C2539" s="333" t="s">
        <v>1799</v>
      </c>
      <c r="D2539" s="333" t="s">
        <v>12772</v>
      </c>
      <c r="E2539" s="441" t="s">
        <v>2988</v>
      </c>
      <c r="F2539" s="334">
        <v>301146</v>
      </c>
      <c r="G2539" s="311">
        <v>1905</v>
      </c>
      <c r="H2539" s="340" t="s">
        <v>2658</v>
      </c>
      <c r="I2539" s="313">
        <v>530</v>
      </c>
      <c r="J2539" s="336">
        <v>14.2</v>
      </c>
      <c r="K2539" s="336">
        <v>14</v>
      </c>
      <c r="L2539" s="336">
        <f t="shared" si="17"/>
        <v>0.19999999999999929</v>
      </c>
      <c r="M2539" s="337"/>
    </row>
    <row r="2540" spans="1:13" s="71" customFormat="1" ht="26.4">
      <c r="A2540" s="282">
        <v>239</v>
      </c>
      <c r="B2540" s="533"/>
      <c r="C2540" s="333" t="s">
        <v>1799</v>
      </c>
      <c r="D2540" s="333" t="s">
        <v>2989</v>
      </c>
      <c r="E2540" s="441" t="s">
        <v>2990</v>
      </c>
      <c r="F2540" s="334">
        <v>301147</v>
      </c>
      <c r="G2540" s="311">
        <v>1905</v>
      </c>
      <c r="H2540" s="340" t="s">
        <v>2658</v>
      </c>
      <c r="I2540" s="313">
        <v>508</v>
      </c>
      <c r="J2540" s="336">
        <v>13.6</v>
      </c>
      <c r="K2540" s="336">
        <v>13.5</v>
      </c>
      <c r="L2540" s="336">
        <f t="shared" si="17"/>
        <v>9.9999999999999645E-2</v>
      </c>
      <c r="M2540" s="337"/>
    </row>
    <row r="2541" spans="1:13" s="71" customFormat="1" ht="26.4">
      <c r="A2541" s="282">
        <v>240</v>
      </c>
      <c r="B2541" s="533"/>
      <c r="C2541" s="333" t="s">
        <v>1799</v>
      </c>
      <c r="D2541" s="333" t="s">
        <v>2991</v>
      </c>
      <c r="E2541" s="441" t="s">
        <v>2992</v>
      </c>
      <c r="F2541" s="334">
        <v>301148</v>
      </c>
      <c r="G2541" s="311">
        <v>1905</v>
      </c>
      <c r="H2541" s="340" t="s">
        <v>2658</v>
      </c>
      <c r="I2541" s="313">
        <v>420</v>
      </c>
      <c r="J2541" s="336">
        <v>11.5</v>
      </c>
      <c r="K2541" s="336">
        <v>11.4</v>
      </c>
      <c r="L2541" s="336">
        <f t="shared" si="17"/>
        <v>9.9999999999999645E-2</v>
      </c>
      <c r="M2541" s="337"/>
    </row>
    <row r="2542" spans="1:13" s="71" customFormat="1" ht="26.4">
      <c r="A2542" s="282">
        <v>241</v>
      </c>
      <c r="B2542" s="533"/>
      <c r="C2542" s="333" t="s">
        <v>2727</v>
      </c>
      <c r="D2542" s="333" t="s">
        <v>2993</v>
      </c>
      <c r="E2542" s="441" t="s">
        <v>2994</v>
      </c>
      <c r="F2542" s="334">
        <v>2525</v>
      </c>
      <c r="G2542" s="311">
        <v>1905</v>
      </c>
      <c r="H2542" s="340" t="s">
        <v>2658</v>
      </c>
      <c r="I2542" s="313">
        <v>15469</v>
      </c>
      <c r="J2542" s="336">
        <v>64.5</v>
      </c>
      <c r="K2542" s="336">
        <v>58.8</v>
      </c>
      <c r="L2542" s="336">
        <f t="shared" si="17"/>
        <v>5.7000000000000028</v>
      </c>
      <c r="M2542" s="337"/>
    </row>
    <row r="2543" spans="1:13" s="71" customFormat="1" ht="26.4">
      <c r="A2543" s="282">
        <v>242</v>
      </c>
      <c r="B2543" s="533"/>
      <c r="C2543" s="333" t="s">
        <v>2995</v>
      </c>
      <c r="D2543" s="333" t="s">
        <v>2780</v>
      </c>
      <c r="E2543" s="441" t="s">
        <v>2996</v>
      </c>
      <c r="F2543" s="334">
        <v>2526</v>
      </c>
      <c r="G2543" s="311">
        <v>1905</v>
      </c>
      <c r="H2543" s="340" t="s">
        <v>2658</v>
      </c>
      <c r="I2543" s="313">
        <v>9904</v>
      </c>
      <c r="J2543" s="336">
        <v>186.6</v>
      </c>
      <c r="K2543" s="336">
        <v>157.80000000000001</v>
      </c>
      <c r="L2543" s="336">
        <f t="shared" si="17"/>
        <v>28.799999999999983</v>
      </c>
      <c r="M2543" s="337"/>
    </row>
    <row r="2544" spans="1:13" s="71" customFormat="1" ht="26.4">
      <c r="A2544" s="282">
        <v>243</v>
      </c>
      <c r="B2544" s="533"/>
      <c r="C2544" s="333" t="s">
        <v>2997</v>
      </c>
      <c r="D2544" s="333" t="s">
        <v>2998</v>
      </c>
      <c r="E2544" s="441" t="s">
        <v>2999</v>
      </c>
      <c r="F2544" s="334">
        <v>472</v>
      </c>
      <c r="G2544" s="311">
        <v>1905</v>
      </c>
      <c r="H2544" s="340" t="s">
        <v>2658</v>
      </c>
      <c r="I2544" s="313">
        <v>203</v>
      </c>
      <c r="J2544" s="336">
        <v>4.5999999999999996</v>
      </c>
      <c r="K2544" s="336">
        <v>3.8</v>
      </c>
      <c r="L2544" s="336">
        <f t="shared" si="17"/>
        <v>0.79999999999999982</v>
      </c>
      <c r="M2544" s="337"/>
    </row>
    <row r="2545" spans="1:13" s="71" customFormat="1" ht="26.4">
      <c r="A2545" s="282">
        <v>244</v>
      </c>
      <c r="B2545" s="533"/>
      <c r="C2545" s="333" t="s">
        <v>2727</v>
      </c>
      <c r="D2545" s="307" t="s">
        <v>3000</v>
      </c>
      <c r="E2545" s="441" t="s">
        <v>13022</v>
      </c>
      <c r="F2545" s="334">
        <v>701</v>
      </c>
      <c r="G2545" s="311">
        <v>1905</v>
      </c>
      <c r="H2545" s="340" t="s">
        <v>2658</v>
      </c>
      <c r="I2545" s="313">
        <v>132</v>
      </c>
      <c r="J2545" s="336">
        <v>3</v>
      </c>
      <c r="K2545" s="336">
        <v>2.4</v>
      </c>
      <c r="L2545" s="336">
        <f t="shared" si="17"/>
        <v>0.60000000000000009</v>
      </c>
      <c r="M2545" s="337"/>
    </row>
    <row r="2546" spans="1:13" s="71" customFormat="1" ht="26.4">
      <c r="A2546" s="282">
        <v>245</v>
      </c>
      <c r="B2546" s="533"/>
      <c r="C2546" s="333" t="s">
        <v>2727</v>
      </c>
      <c r="D2546" s="333" t="s">
        <v>3001</v>
      </c>
      <c r="E2546" s="441" t="s">
        <v>3002</v>
      </c>
      <c r="F2546" s="334">
        <v>716</v>
      </c>
      <c r="G2546" s="311">
        <v>1905</v>
      </c>
      <c r="H2546" s="340" t="s">
        <v>2658</v>
      </c>
      <c r="I2546" s="313">
        <v>689</v>
      </c>
      <c r="J2546" s="336">
        <v>1.1000000000000001</v>
      </c>
      <c r="K2546" s="336">
        <v>0.8</v>
      </c>
      <c r="L2546" s="336">
        <f t="shared" si="17"/>
        <v>0.30000000000000004</v>
      </c>
      <c r="M2546" s="337"/>
    </row>
    <row r="2547" spans="1:13" s="71" customFormat="1" ht="26.4">
      <c r="A2547" s="282">
        <v>246</v>
      </c>
      <c r="B2547" s="533"/>
      <c r="C2547" s="333" t="s">
        <v>2727</v>
      </c>
      <c r="D2547" s="333" t="s">
        <v>3003</v>
      </c>
      <c r="E2547" s="441" t="s">
        <v>3004</v>
      </c>
      <c r="F2547" s="334">
        <v>723</v>
      </c>
      <c r="G2547" s="311">
        <v>1905</v>
      </c>
      <c r="H2547" s="340" t="s">
        <v>2658</v>
      </c>
      <c r="I2547" s="313">
        <v>12.5</v>
      </c>
      <c r="J2547" s="336">
        <v>0.2</v>
      </c>
      <c r="K2547" s="336">
        <v>0.1</v>
      </c>
      <c r="L2547" s="336">
        <f t="shared" si="17"/>
        <v>0.1</v>
      </c>
      <c r="M2547" s="337"/>
    </row>
    <row r="2548" spans="1:13" s="71" customFormat="1" ht="26.4">
      <c r="A2548" s="282">
        <v>247</v>
      </c>
      <c r="B2548" s="533"/>
      <c r="C2548" s="333" t="s">
        <v>2727</v>
      </c>
      <c r="D2548" s="333" t="s">
        <v>3005</v>
      </c>
      <c r="E2548" s="441" t="s">
        <v>3006</v>
      </c>
      <c r="F2548" s="334">
        <v>730</v>
      </c>
      <c r="G2548" s="311">
        <v>1905</v>
      </c>
      <c r="H2548" s="340" t="s">
        <v>3</v>
      </c>
      <c r="I2548" s="330" t="s">
        <v>3</v>
      </c>
      <c r="J2548" s="336">
        <v>3.7</v>
      </c>
      <c r="K2548" s="336">
        <v>2.9</v>
      </c>
      <c r="L2548" s="336">
        <f t="shared" si="17"/>
        <v>0.80000000000000027</v>
      </c>
      <c r="M2548" s="337"/>
    </row>
    <row r="2549" spans="1:13" s="71" customFormat="1" ht="26.4">
      <c r="A2549" s="282">
        <v>248</v>
      </c>
      <c r="B2549" s="533"/>
      <c r="C2549" s="307" t="s">
        <v>3007</v>
      </c>
      <c r="D2549" s="333" t="s">
        <v>3008</v>
      </c>
      <c r="E2549" s="260" t="s">
        <v>3009</v>
      </c>
      <c r="F2549" s="334">
        <v>110055</v>
      </c>
      <c r="G2549" s="311"/>
      <c r="H2549" s="340" t="s">
        <v>2658</v>
      </c>
      <c r="I2549" s="313">
        <v>27000</v>
      </c>
      <c r="J2549" s="336">
        <v>479.2</v>
      </c>
      <c r="K2549" s="336">
        <v>446.7</v>
      </c>
      <c r="L2549" s="336">
        <f t="shared" si="17"/>
        <v>32.5</v>
      </c>
      <c r="M2549" s="337"/>
    </row>
    <row r="2550" spans="1:13" s="71" customFormat="1" ht="52.8">
      <c r="A2550" s="282">
        <v>249</v>
      </c>
      <c r="B2550" s="533"/>
      <c r="C2550" s="333" t="s">
        <v>3010</v>
      </c>
      <c r="D2550" s="333" t="s">
        <v>12965</v>
      </c>
      <c r="E2550" s="441" t="s">
        <v>3011</v>
      </c>
      <c r="F2550" s="334">
        <v>655</v>
      </c>
      <c r="G2550" s="311">
        <v>1905</v>
      </c>
      <c r="H2550" s="340" t="s">
        <v>2658</v>
      </c>
      <c r="I2550" s="313">
        <v>14001</v>
      </c>
      <c r="J2550" s="336">
        <v>12.9</v>
      </c>
      <c r="K2550" s="336">
        <v>11.4</v>
      </c>
      <c r="L2550" s="336">
        <f t="shared" si="17"/>
        <v>1.5</v>
      </c>
      <c r="M2550" s="337"/>
    </row>
    <row r="2551" spans="1:13" s="71" customFormat="1" ht="26.4">
      <c r="A2551" s="282">
        <v>250</v>
      </c>
      <c r="B2551" s="533"/>
      <c r="C2551" s="333" t="s">
        <v>3010</v>
      </c>
      <c r="D2551" s="333" t="s">
        <v>2998</v>
      </c>
      <c r="E2551" s="441" t="s">
        <v>3012</v>
      </c>
      <c r="F2551" s="334">
        <v>474</v>
      </c>
      <c r="G2551" s="311">
        <v>1905</v>
      </c>
      <c r="H2551" s="340" t="s">
        <v>2658</v>
      </c>
      <c r="I2551" s="313">
        <v>62</v>
      </c>
      <c r="J2551" s="336">
        <v>3.5</v>
      </c>
      <c r="K2551" s="336">
        <v>2.8</v>
      </c>
      <c r="L2551" s="336">
        <f t="shared" si="17"/>
        <v>0.70000000000000018</v>
      </c>
      <c r="M2551" s="337"/>
    </row>
    <row r="2552" spans="1:13" s="71" customFormat="1" ht="39.6">
      <c r="A2552" s="282">
        <v>251</v>
      </c>
      <c r="B2552" s="533"/>
      <c r="C2552" s="333" t="s">
        <v>3010</v>
      </c>
      <c r="D2552" s="307" t="s">
        <v>3013</v>
      </c>
      <c r="E2552" s="441" t="s">
        <v>3014</v>
      </c>
      <c r="F2552" s="334">
        <v>6880</v>
      </c>
      <c r="G2552" s="311">
        <v>1905</v>
      </c>
      <c r="H2552" s="340" t="s">
        <v>2658</v>
      </c>
      <c r="I2552" s="313">
        <v>1254</v>
      </c>
      <c r="J2552" s="336">
        <v>34.9</v>
      </c>
      <c r="K2552" s="336">
        <v>33.6</v>
      </c>
      <c r="L2552" s="336">
        <f t="shared" si="17"/>
        <v>1.2999999999999972</v>
      </c>
      <c r="M2552" s="337"/>
    </row>
    <row r="2553" spans="1:13" s="71" customFormat="1" ht="37.5" customHeight="1">
      <c r="A2553" s="282">
        <v>252</v>
      </c>
      <c r="B2553" s="533"/>
      <c r="C2553" s="333" t="s">
        <v>3010</v>
      </c>
      <c r="D2553" s="333" t="s">
        <v>3005</v>
      </c>
      <c r="E2553" s="322" t="s">
        <v>13416</v>
      </c>
      <c r="F2553" s="334">
        <v>693</v>
      </c>
      <c r="G2553" s="311">
        <v>1905</v>
      </c>
      <c r="H2553" s="340" t="s">
        <v>3</v>
      </c>
      <c r="I2553" s="330" t="s">
        <v>3</v>
      </c>
      <c r="J2553" s="336">
        <v>7.3</v>
      </c>
      <c r="K2553" s="336">
        <v>6</v>
      </c>
      <c r="L2553" s="336">
        <f t="shared" si="17"/>
        <v>1.2999999999999998</v>
      </c>
      <c r="M2553" s="337"/>
    </row>
    <row r="2554" spans="1:13" s="71" customFormat="1" ht="26.4">
      <c r="A2554" s="282">
        <v>253</v>
      </c>
      <c r="B2554" s="533"/>
      <c r="C2554" s="333" t="s">
        <v>3010</v>
      </c>
      <c r="D2554" s="307" t="s">
        <v>3015</v>
      </c>
      <c r="E2554" s="441" t="s">
        <v>3016</v>
      </c>
      <c r="F2554" s="334">
        <v>423</v>
      </c>
      <c r="G2554" s="311">
        <v>1905</v>
      </c>
      <c r="H2554" s="340" t="s">
        <v>3</v>
      </c>
      <c r="I2554" s="330" t="s">
        <v>3</v>
      </c>
      <c r="J2554" s="336">
        <v>232.7</v>
      </c>
      <c r="K2554" s="336">
        <v>198.8</v>
      </c>
      <c r="L2554" s="336">
        <f t="shared" si="17"/>
        <v>33.899999999999977</v>
      </c>
      <c r="M2554" s="337"/>
    </row>
    <row r="2555" spans="1:13" s="71" customFormat="1" ht="26.4">
      <c r="A2555" s="282">
        <v>254</v>
      </c>
      <c r="B2555" s="533"/>
      <c r="C2555" s="333" t="s">
        <v>3010</v>
      </c>
      <c r="D2555" s="307" t="s">
        <v>3015</v>
      </c>
      <c r="E2555" s="441" t="s">
        <v>3017</v>
      </c>
      <c r="F2555" s="334">
        <v>425</v>
      </c>
      <c r="G2555" s="311">
        <v>1905</v>
      </c>
      <c r="H2555" s="340" t="s">
        <v>3</v>
      </c>
      <c r="I2555" s="330" t="s">
        <v>3</v>
      </c>
      <c r="J2555" s="336">
        <v>104.8</v>
      </c>
      <c r="K2555" s="336">
        <v>88.4</v>
      </c>
      <c r="L2555" s="336">
        <f t="shared" si="17"/>
        <v>16.399999999999991</v>
      </c>
      <c r="M2555" s="337"/>
    </row>
    <row r="2556" spans="1:13" s="71" customFormat="1" ht="39.6">
      <c r="A2556" s="282">
        <v>255</v>
      </c>
      <c r="B2556" s="533"/>
      <c r="C2556" s="333" t="s">
        <v>3010</v>
      </c>
      <c r="D2556" s="307" t="s">
        <v>3018</v>
      </c>
      <c r="E2556" s="441" t="s">
        <v>3019</v>
      </c>
      <c r="F2556" s="334">
        <v>632</v>
      </c>
      <c r="G2556" s="311">
        <v>1905</v>
      </c>
      <c r="H2556" s="340" t="s">
        <v>2658</v>
      </c>
      <c r="I2556" s="313">
        <v>4768</v>
      </c>
      <c r="J2556" s="336">
        <v>151.4</v>
      </c>
      <c r="K2556" s="336">
        <v>147.6</v>
      </c>
      <c r="L2556" s="336">
        <f t="shared" si="17"/>
        <v>3.8000000000000114</v>
      </c>
      <c r="M2556" s="337"/>
    </row>
    <row r="2557" spans="1:13" s="71" customFormat="1" ht="26.4">
      <c r="A2557" s="282">
        <v>256</v>
      </c>
      <c r="B2557" s="533"/>
      <c r="C2557" s="333" t="s">
        <v>3010</v>
      </c>
      <c r="D2557" s="333" t="s">
        <v>3020</v>
      </c>
      <c r="E2557" s="441" t="s">
        <v>3021</v>
      </c>
      <c r="F2557" s="334">
        <v>633</v>
      </c>
      <c r="G2557" s="311">
        <v>1905</v>
      </c>
      <c r="H2557" s="340" t="s">
        <v>2658</v>
      </c>
      <c r="I2557" s="313">
        <v>296</v>
      </c>
      <c r="J2557" s="336">
        <v>28.4</v>
      </c>
      <c r="K2557" s="336">
        <v>25.8</v>
      </c>
      <c r="L2557" s="336">
        <f t="shared" si="17"/>
        <v>2.5999999999999979</v>
      </c>
      <c r="M2557" s="337"/>
    </row>
    <row r="2558" spans="1:13" s="71" customFormat="1" ht="26.4">
      <c r="A2558" s="282">
        <v>257</v>
      </c>
      <c r="B2558" s="533"/>
      <c r="C2558" s="333" t="s">
        <v>3010</v>
      </c>
      <c r="D2558" s="333" t="s">
        <v>3022</v>
      </c>
      <c r="E2558" s="441" t="s">
        <v>3023</v>
      </c>
      <c r="F2558" s="334">
        <v>664</v>
      </c>
      <c r="G2558" s="311">
        <v>1905</v>
      </c>
      <c r="H2558" s="340" t="s">
        <v>2658</v>
      </c>
      <c r="I2558" s="313">
        <v>2384</v>
      </c>
      <c r="J2558" s="336">
        <v>120.8</v>
      </c>
      <c r="K2558" s="336">
        <v>105.9</v>
      </c>
      <c r="L2558" s="336">
        <f t="shared" ref="L2558:L2621" si="18">J2558-K2558</f>
        <v>14.899999999999991</v>
      </c>
      <c r="M2558" s="337"/>
    </row>
    <row r="2559" spans="1:13" s="71" customFormat="1" ht="26.4">
      <c r="A2559" s="282">
        <v>258</v>
      </c>
      <c r="B2559" s="533"/>
      <c r="C2559" s="333" t="s">
        <v>3010</v>
      </c>
      <c r="D2559" s="333" t="s">
        <v>3024</v>
      </c>
      <c r="E2559" s="441" t="s">
        <v>3025</v>
      </c>
      <c r="F2559" s="334">
        <v>665</v>
      </c>
      <c r="G2559" s="311">
        <v>1905</v>
      </c>
      <c r="H2559" s="340" t="s">
        <v>2658</v>
      </c>
      <c r="I2559" s="313">
        <v>2384</v>
      </c>
      <c r="J2559" s="336">
        <v>113.5</v>
      </c>
      <c r="K2559" s="336">
        <v>113</v>
      </c>
      <c r="L2559" s="336">
        <f t="shared" si="18"/>
        <v>0.5</v>
      </c>
      <c r="M2559" s="337"/>
    </row>
    <row r="2560" spans="1:13" s="71" customFormat="1" ht="26.4">
      <c r="A2560" s="282">
        <v>259</v>
      </c>
      <c r="B2560" s="533"/>
      <c r="C2560" s="333" t="s">
        <v>3010</v>
      </c>
      <c r="D2560" s="307" t="s">
        <v>3026</v>
      </c>
      <c r="E2560" s="441" t="s">
        <v>3027</v>
      </c>
      <c r="F2560" s="334">
        <v>416</v>
      </c>
      <c r="G2560" s="311">
        <v>1905</v>
      </c>
      <c r="H2560" s="340" t="s">
        <v>2658</v>
      </c>
      <c r="I2560" s="313">
        <v>1471</v>
      </c>
      <c r="J2560" s="336">
        <v>418.4</v>
      </c>
      <c r="K2560" s="336">
        <v>407.2</v>
      </c>
      <c r="L2560" s="336">
        <f t="shared" si="18"/>
        <v>11.199999999999989</v>
      </c>
      <c r="M2560" s="337"/>
    </row>
    <row r="2561" spans="1:13" s="71" customFormat="1" ht="26.4">
      <c r="A2561" s="282">
        <v>260</v>
      </c>
      <c r="B2561" s="533"/>
      <c r="C2561" s="333" t="s">
        <v>3010</v>
      </c>
      <c r="D2561" s="307" t="s">
        <v>3000</v>
      </c>
      <c r="E2561" s="441" t="s">
        <v>3028</v>
      </c>
      <c r="F2561" s="334">
        <v>699</v>
      </c>
      <c r="G2561" s="311">
        <v>1905</v>
      </c>
      <c r="H2561" s="340" t="s">
        <v>2658</v>
      </c>
      <c r="I2561" s="313">
        <v>274.5</v>
      </c>
      <c r="J2561" s="336">
        <v>11.9</v>
      </c>
      <c r="K2561" s="336">
        <v>9.9</v>
      </c>
      <c r="L2561" s="336">
        <f t="shared" si="18"/>
        <v>2</v>
      </c>
      <c r="M2561" s="337"/>
    </row>
    <row r="2562" spans="1:13" s="71" customFormat="1" ht="26.4">
      <c r="A2562" s="282">
        <v>261</v>
      </c>
      <c r="B2562" s="533"/>
      <c r="C2562" s="333" t="s">
        <v>3010</v>
      </c>
      <c r="D2562" s="333" t="s">
        <v>3029</v>
      </c>
      <c r="E2562" s="441" t="s">
        <v>3030</v>
      </c>
      <c r="F2562" s="334">
        <v>717</v>
      </c>
      <c r="G2562" s="311">
        <v>1905</v>
      </c>
      <c r="H2562" s="340" t="s">
        <v>2658</v>
      </c>
      <c r="I2562" s="313">
        <v>2854</v>
      </c>
      <c r="J2562" s="336">
        <v>6.2</v>
      </c>
      <c r="K2562" s="336">
        <v>5</v>
      </c>
      <c r="L2562" s="336">
        <f t="shared" si="18"/>
        <v>1.2000000000000002</v>
      </c>
      <c r="M2562" s="337"/>
    </row>
    <row r="2563" spans="1:13" s="71" customFormat="1" ht="26.4">
      <c r="A2563" s="282">
        <v>262</v>
      </c>
      <c r="B2563" s="533"/>
      <c r="C2563" s="333" t="s">
        <v>3010</v>
      </c>
      <c r="D2563" s="333" t="s">
        <v>3031</v>
      </c>
      <c r="E2563" s="441" t="s">
        <v>3032</v>
      </c>
      <c r="F2563" s="334">
        <v>817</v>
      </c>
      <c r="G2563" s="311">
        <v>1905</v>
      </c>
      <c r="H2563" s="340" t="s">
        <v>2658</v>
      </c>
      <c r="I2563" s="313">
        <v>117</v>
      </c>
      <c r="J2563" s="336">
        <v>49</v>
      </c>
      <c r="K2563" s="336">
        <v>35.799999999999997</v>
      </c>
      <c r="L2563" s="336">
        <f t="shared" si="18"/>
        <v>13.200000000000003</v>
      </c>
      <c r="M2563" s="337"/>
    </row>
    <row r="2564" spans="1:13" s="71" customFormat="1" ht="26.4">
      <c r="A2564" s="282">
        <v>263</v>
      </c>
      <c r="B2564" s="533"/>
      <c r="C2564" s="333" t="s">
        <v>3010</v>
      </c>
      <c r="D2564" s="333" t="s">
        <v>3033</v>
      </c>
      <c r="E2564" s="441" t="s">
        <v>3034</v>
      </c>
      <c r="F2564" s="334">
        <v>818</v>
      </c>
      <c r="G2564" s="311">
        <v>1905</v>
      </c>
      <c r="H2564" s="340" t="s">
        <v>2658</v>
      </c>
      <c r="I2564" s="313">
        <v>827</v>
      </c>
      <c r="J2564" s="336">
        <v>84.2</v>
      </c>
      <c r="K2564" s="336">
        <v>61</v>
      </c>
      <c r="L2564" s="336">
        <f t="shared" si="18"/>
        <v>23.200000000000003</v>
      </c>
      <c r="M2564" s="337"/>
    </row>
    <row r="2565" spans="1:13" s="71" customFormat="1" ht="26.4">
      <c r="A2565" s="282">
        <v>264</v>
      </c>
      <c r="B2565" s="533"/>
      <c r="C2565" s="333" t="s">
        <v>3010</v>
      </c>
      <c r="D2565" s="333" t="s">
        <v>2998</v>
      </c>
      <c r="E2565" s="441" t="s">
        <v>3035</v>
      </c>
      <c r="F2565" s="334">
        <v>473</v>
      </c>
      <c r="G2565" s="311">
        <v>1905</v>
      </c>
      <c r="H2565" s="340" t="s">
        <v>3</v>
      </c>
      <c r="I2565" s="330" t="s">
        <v>3</v>
      </c>
      <c r="J2565" s="336">
        <v>12</v>
      </c>
      <c r="K2565" s="336">
        <v>10</v>
      </c>
      <c r="L2565" s="336">
        <f t="shared" si="18"/>
        <v>2</v>
      </c>
      <c r="M2565" s="337"/>
    </row>
    <row r="2566" spans="1:13" s="71" customFormat="1" ht="26.4">
      <c r="A2566" s="282">
        <v>265</v>
      </c>
      <c r="B2566" s="533"/>
      <c r="C2566" s="333" t="s">
        <v>3010</v>
      </c>
      <c r="D2566" s="333" t="s">
        <v>2743</v>
      </c>
      <c r="E2566" s="441" t="s">
        <v>3036</v>
      </c>
      <c r="F2566" s="334">
        <v>678</v>
      </c>
      <c r="G2566" s="311">
        <v>1905</v>
      </c>
      <c r="H2566" s="340" t="s">
        <v>2658</v>
      </c>
      <c r="I2566" s="313">
        <v>56</v>
      </c>
      <c r="J2566" s="336">
        <v>18.3</v>
      </c>
      <c r="K2566" s="336">
        <v>16.100000000000001</v>
      </c>
      <c r="L2566" s="336">
        <f t="shared" si="18"/>
        <v>2.1999999999999993</v>
      </c>
      <c r="M2566" s="337"/>
    </row>
    <row r="2567" spans="1:13" s="71" customFormat="1" ht="26.4">
      <c r="A2567" s="282">
        <v>266</v>
      </c>
      <c r="B2567" s="533"/>
      <c r="C2567" s="333" t="s">
        <v>3010</v>
      </c>
      <c r="D2567" s="333" t="s">
        <v>2745</v>
      </c>
      <c r="E2567" s="441" t="s">
        <v>3037</v>
      </c>
      <c r="F2567" s="334">
        <v>691</v>
      </c>
      <c r="G2567" s="311">
        <v>1905</v>
      </c>
      <c r="H2567" s="340" t="s">
        <v>3</v>
      </c>
      <c r="I2567" s="330" t="s">
        <v>3</v>
      </c>
      <c r="J2567" s="336">
        <v>87.8</v>
      </c>
      <c r="K2567" s="336">
        <v>83.8</v>
      </c>
      <c r="L2567" s="336">
        <f t="shared" si="18"/>
        <v>4</v>
      </c>
      <c r="M2567" s="337"/>
    </row>
    <row r="2568" spans="1:13" s="71" customFormat="1" ht="26.4">
      <c r="A2568" s="282">
        <v>267</v>
      </c>
      <c r="B2568" s="533"/>
      <c r="C2568" s="333" t="s">
        <v>3010</v>
      </c>
      <c r="D2568" s="333" t="s">
        <v>3038</v>
      </c>
      <c r="E2568" s="441" t="s">
        <v>3039</v>
      </c>
      <c r="F2568" s="334">
        <v>667</v>
      </c>
      <c r="G2568" s="311">
        <v>1905</v>
      </c>
      <c r="H2568" s="340" t="s">
        <v>3</v>
      </c>
      <c r="I2568" s="330" t="s">
        <v>3</v>
      </c>
      <c r="J2568" s="336">
        <v>8.3000000000000007</v>
      </c>
      <c r="K2568" s="336">
        <v>7.6</v>
      </c>
      <c r="L2568" s="336">
        <f t="shared" si="18"/>
        <v>0.70000000000000107</v>
      </c>
      <c r="M2568" s="337"/>
    </row>
    <row r="2569" spans="1:13" s="71" customFormat="1" ht="26.4">
      <c r="A2569" s="282">
        <v>268</v>
      </c>
      <c r="B2569" s="533"/>
      <c r="C2569" s="333" t="s">
        <v>3010</v>
      </c>
      <c r="D2569" s="333" t="s">
        <v>3040</v>
      </c>
      <c r="E2569" s="441" t="s">
        <v>3041</v>
      </c>
      <c r="F2569" s="334">
        <v>6710</v>
      </c>
      <c r="G2569" s="311">
        <v>1905</v>
      </c>
      <c r="H2569" s="340" t="s">
        <v>3</v>
      </c>
      <c r="I2569" s="330" t="s">
        <v>3</v>
      </c>
      <c r="J2569" s="336">
        <v>5.0999999999999996</v>
      </c>
      <c r="K2569" s="336">
        <v>4.3</v>
      </c>
      <c r="L2569" s="336">
        <f t="shared" si="18"/>
        <v>0.79999999999999982</v>
      </c>
      <c r="M2569" s="337"/>
    </row>
    <row r="2570" spans="1:13" s="71" customFormat="1" ht="26.4">
      <c r="A2570" s="282">
        <v>269</v>
      </c>
      <c r="B2570" s="533"/>
      <c r="C2570" s="333" t="s">
        <v>3010</v>
      </c>
      <c r="D2570" s="333" t="s">
        <v>3038</v>
      </c>
      <c r="E2570" s="441" t="s">
        <v>3042</v>
      </c>
      <c r="F2570" s="334">
        <v>6720</v>
      </c>
      <c r="G2570" s="311">
        <v>1905</v>
      </c>
      <c r="H2570" s="340" t="s">
        <v>3</v>
      </c>
      <c r="I2570" s="330" t="s">
        <v>3</v>
      </c>
      <c r="J2570" s="336">
        <v>0.8</v>
      </c>
      <c r="K2570" s="336">
        <v>0.7</v>
      </c>
      <c r="L2570" s="336">
        <f t="shared" si="18"/>
        <v>0.10000000000000009</v>
      </c>
      <c r="M2570" s="337"/>
    </row>
    <row r="2571" spans="1:13" s="71" customFormat="1" ht="26.4">
      <c r="A2571" s="282">
        <v>270</v>
      </c>
      <c r="B2571" s="533"/>
      <c r="C2571" s="333" t="s">
        <v>3010</v>
      </c>
      <c r="D2571" s="307" t="s">
        <v>3043</v>
      </c>
      <c r="E2571" s="441" t="s">
        <v>3044</v>
      </c>
      <c r="F2571" s="334">
        <v>675</v>
      </c>
      <c r="G2571" s="311">
        <v>1905</v>
      </c>
      <c r="H2571" s="340" t="s">
        <v>3</v>
      </c>
      <c r="I2571" s="330" t="s">
        <v>3</v>
      </c>
      <c r="J2571" s="336">
        <v>14</v>
      </c>
      <c r="K2571" s="336">
        <v>14</v>
      </c>
      <c r="L2571" s="336">
        <f t="shared" si="18"/>
        <v>0</v>
      </c>
      <c r="M2571" s="337"/>
    </row>
    <row r="2572" spans="1:13" s="71" customFormat="1" ht="26.4">
      <c r="A2572" s="282">
        <v>271</v>
      </c>
      <c r="B2572" s="533"/>
      <c r="C2572" s="333" t="s">
        <v>3010</v>
      </c>
      <c r="D2572" s="307" t="s">
        <v>3043</v>
      </c>
      <c r="E2572" s="441" t="s">
        <v>3044</v>
      </c>
      <c r="F2572" s="334">
        <v>677</v>
      </c>
      <c r="G2572" s="311">
        <v>1905</v>
      </c>
      <c r="H2572" s="340" t="s">
        <v>3</v>
      </c>
      <c r="I2572" s="330" t="s">
        <v>3</v>
      </c>
      <c r="J2572" s="336">
        <v>78</v>
      </c>
      <c r="K2572" s="336">
        <v>77.900000000000006</v>
      </c>
      <c r="L2572" s="336">
        <f t="shared" si="18"/>
        <v>9.9999999999994316E-2</v>
      </c>
      <c r="M2572" s="337"/>
    </row>
    <row r="2573" spans="1:13" s="71" customFormat="1" ht="39.6">
      <c r="A2573" s="282">
        <v>272</v>
      </c>
      <c r="B2573" s="533"/>
      <c r="C2573" s="333" t="s">
        <v>2669</v>
      </c>
      <c r="D2573" s="333" t="s">
        <v>3045</v>
      </c>
      <c r="E2573" s="441" t="s">
        <v>3046</v>
      </c>
      <c r="F2573" s="334">
        <v>900</v>
      </c>
      <c r="G2573" s="311">
        <v>1905</v>
      </c>
      <c r="H2573" s="340" t="s">
        <v>2658</v>
      </c>
      <c r="I2573" s="313">
        <v>720</v>
      </c>
      <c r="J2573" s="336">
        <v>1.5</v>
      </c>
      <c r="K2573" s="336">
        <v>0.6</v>
      </c>
      <c r="L2573" s="336">
        <f t="shared" si="18"/>
        <v>0.9</v>
      </c>
      <c r="M2573" s="337"/>
    </row>
    <row r="2574" spans="1:13" s="71" customFormat="1" ht="39.6">
      <c r="A2574" s="282">
        <v>273</v>
      </c>
      <c r="B2574" s="533"/>
      <c r="C2574" s="333" t="s">
        <v>2669</v>
      </c>
      <c r="D2574" s="333" t="s">
        <v>3047</v>
      </c>
      <c r="E2574" s="441" t="s">
        <v>3048</v>
      </c>
      <c r="F2574" s="334">
        <v>24</v>
      </c>
      <c r="G2574" s="311">
        <v>1905</v>
      </c>
      <c r="H2574" s="340" t="s">
        <v>3</v>
      </c>
      <c r="I2574" s="330" t="s">
        <v>3</v>
      </c>
      <c r="J2574" s="336">
        <v>24.3</v>
      </c>
      <c r="K2574" s="336">
        <v>6.9</v>
      </c>
      <c r="L2574" s="336">
        <f t="shared" si="18"/>
        <v>17.399999999999999</v>
      </c>
      <c r="M2574" s="337"/>
    </row>
    <row r="2575" spans="1:13" s="71" customFormat="1" ht="26.4">
      <c r="A2575" s="282">
        <v>274</v>
      </c>
      <c r="B2575" s="533"/>
      <c r="C2575" s="333" t="s">
        <v>3049</v>
      </c>
      <c r="D2575" s="333" t="s">
        <v>3050</v>
      </c>
      <c r="E2575" s="441" t="s">
        <v>3051</v>
      </c>
      <c r="F2575" s="334">
        <v>1690</v>
      </c>
      <c r="G2575" s="311">
        <v>1905</v>
      </c>
      <c r="H2575" s="329" t="s">
        <v>1149</v>
      </c>
      <c r="I2575" s="313">
        <v>2038</v>
      </c>
      <c r="J2575" s="336">
        <v>335.4</v>
      </c>
      <c r="K2575" s="336">
        <v>132.69999999999999</v>
      </c>
      <c r="L2575" s="336">
        <f t="shared" si="18"/>
        <v>202.7</v>
      </c>
      <c r="M2575" s="337"/>
    </row>
    <row r="2576" spans="1:13" s="71" customFormat="1" ht="26.4">
      <c r="A2576" s="282">
        <v>275</v>
      </c>
      <c r="B2576" s="533"/>
      <c r="C2576" s="333" t="s">
        <v>3049</v>
      </c>
      <c r="D2576" s="333" t="s">
        <v>3050</v>
      </c>
      <c r="E2576" s="322" t="s">
        <v>3052</v>
      </c>
      <c r="F2576" s="334">
        <v>1700</v>
      </c>
      <c r="G2576" s="311">
        <v>1905</v>
      </c>
      <c r="H2576" s="329" t="s">
        <v>1149</v>
      </c>
      <c r="I2576" s="313">
        <v>2226.5</v>
      </c>
      <c r="J2576" s="336">
        <v>333.5</v>
      </c>
      <c r="K2576" s="336">
        <v>236.2</v>
      </c>
      <c r="L2576" s="336">
        <f t="shared" si="18"/>
        <v>97.300000000000011</v>
      </c>
      <c r="M2576" s="337"/>
    </row>
    <row r="2577" spans="1:13" s="71" customFormat="1" ht="26.4">
      <c r="A2577" s="282">
        <v>276</v>
      </c>
      <c r="B2577" s="533"/>
      <c r="C2577" s="333" t="s">
        <v>3049</v>
      </c>
      <c r="D2577" s="333" t="s">
        <v>3050</v>
      </c>
      <c r="E2577" s="322" t="s">
        <v>3053</v>
      </c>
      <c r="F2577" s="334">
        <v>1710</v>
      </c>
      <c r="G2577" s="311">
        <v>1905</v>
      </c>
      <c r="H2577" s="329" t="s">
        <v>1149</v>
      </c>
      <c r="I2577" s="313">
        <v>630</v>
      </c>
      <c r="J2577" s="336">
        <v>37.799999999999997</v>
      </c>
      <c r="K2577" s="336">
        <v>15.1</v>
      </c>
      <c r="L2577" s="336">
        <f t="shared" si="18"/>
        <v>22.699999999999996</v>
      </c>
      <c r="M2577" s="337"/>
    </row>
    <row r="2578" spans="1:13" s="71" customFormat="1" ht="26.4">
      <c r="A2578" s="282">
        <v>277</v>
      </c>
      <c r="B2578" s="533"/>
      <c r="C2578" s="333" t="s">
        <v>3049</v>
      </c>
      <c r="D2578" s="333" t="s">
        <v>3050</v>
      </c>
      <c r="E2578" s="322" t="s">
        <v>3054</v>
      </c>
      <c r="F2578" s="334">
        <v>20306</v>
      </c>
      <c r="G2578" s="311">
        <v>1905</v>
      </c>
      <c r="H2578" s="340" t="s">
        <v>3</v>
      </c>
      <c r="I2578" s="330" t="s">
        <v>3</v>
      </c>
      <c r="J2578" s="336">
        <v>10.7</v>
      </c>
      <c r="K2578" s="336">
        <v>8.8000000000000007</v>
      </c>
      <c r="L2578" s="336">
        <f t="shared" si="18"/>
        <v>1.8999999999999986</v>
      </c>
      <c r="M2578" s="337"/>
    </row>
    <row r="2579" spans="1:13" s="71" customFormat="1" ht="26.4">
      <c r="A2579" s="282">
        <v>278</v>
      </c>
      <c r="B2579" s="533"/>
      <c r="C2579" s="333" t="s">
        <v>3049</v>
      </c>
      <c r="D2579" s="333" t="s">
        <v>3050</v>
      </c>
      <c r="E2579" s="322" t="s">
        <v>3055</v>
      </c>
      <c r="F2579" s="334">
        <v>10311</v>
      </c>
      <c r="G2579" s="311">
        <v>1905</v>
      </c>
      <c r="H2579" s="340" t="s">
        <v>3</v>
      </c>
      <c r="I2579" s="330" t="s">
        <v>3</v>
      </c>
      <c r="J2579" s="336">
        <v>2.5</v>
      </c>
      <c r="K2579" s="336">
        <v>0.9</v>
      </c>
      <c r="L2579" s="336">
        <f t="shared" si="18"/>
        <v>1.6</v>
      </c>
      <c r="M2579" s="337"/>
    </row>
    <row r="2580" spans="1:13" s="71" customFormat="1" ht="26.4">
      <c r="A2580" s="282">
        <v>279</v>
      </c>
      <c r="B2580" s="533"/>
      <c r="C2580" s="333" t="s">
        <v>3049</v>
      </c>
      <c r="D2580" s="333" t="s">
        <v>3050</v>
      </c>
      <c r="E2580" s="441" t="s">
        <v>3056</v>
      </c>
      <c r="F2580" s="334">
        <v>10312</v>
      </c>
      <c r="G2580" s="311">
        <v>1905</v>
      </c>
      <c r="H2580" s="340" t="s">
        <v>3</v>
      </c>
      <c r="I2580" s="330" t="s">
        <v>3</v>
      </c>
      <c r="J2580" s="336">
        <v>9.1</v>
      </c>
      <c r="K2580" s="336">
        <v>4.3</v>
      </c>
      <c r="L2580" s="336">
        <f t="shared" si="18"/>
        <v>4.8</v>
      </c>
      <c r="M2580" s="337"/>
    </row>
    <row r="2581" spans="1:13" s="71" customFormat="1" ht="26.4">
      <c r="A2581" s="282">
        <v>280</v>
      </c>
      <c r="B2581" s="533"/>
      <c r="C2581" s="333" t="s">
        <v>3049</v>
      </c>
      <c r="D2581" s="333" t="s">
        <v>3050</v>
      </c>
      <c r="E2581" s="441" t="s">
        <v>3057</v>
      </c>
      <c r="F2581" s="334">
        <v>10313</v>
      </c>
      <c r="G2581" s="311">
        <v>1905</v>
      </c>
      <c r="H2581" s="340" t="s">
        <v>3</v>
      </c>
      <c r="I2581" s="330" t="s">
        <v>3</v>
      </c>
      <c r="J2581" s="336">
        <v>270.10000000000002</v>
      </c>
      <c r="K2581" s="336">
        <v>210.2</v>
      </c>
      <c r="L2581" s="336">
        <f t="shared" si="18"/>
        <v>59.900000000000034</v>
      </c>
      <c r="M2581" s="337"/>
    </row>
    <row r="2582" spans="1:13" s="71" customFormat="1" ht="26.4">
      <c r="A2582" s="282">
        <v>281</v>
      </c>
      <c r="B2582" s="533"/>
      <c r="C2582" s="333" t="s">
        <v>3049</v>
      </c>
      <c r="D2582" s="333" t="s">
        <v>3050</v>
      </c>
      <c r="E2582" s="322" t="s">
        <v>3058</v>
      </c>
      <c r="F2582" s="334">
        <v>10314</v>
      </c>
      <c r="G2582" s="311">
        <v>1905</v>
      </c>
      <c r="H2582" s="340" t="s">
        <v>3</v>
      </c>
      <c r="I2582" s="330" t="s">
        <v>3</v>
      </c>
      <c r="J2582" s="336">
        <v>13.6</v>
      </c>
      <c r="K2582" s="336">
        <v>6.3</v>
      </c>
      <c r="L2582" s="336">
        <f t="shared" si="18"/>
        <v>7.3</v>
      </c>
      <c r="M2582" s="337"/>
    </row>
    <row r="2583" spans="1:13" s="71" customFormat="1" ht="39.6">
      <c r="A2583" s="282">
        <v>282</v>
      </c>
      <c r="B2583" s="533"/>
      <c r="C2583" s="333" t="s">
        <v>3049</v>
      </c>
      <c r="D2583" s="333" t="s">
        <v>3050</v>
      </c>
      <c r="E2583" s="322" t="s">
        <v>3059</v>
      </c>
      <c r="F2583" s="334">
        <v>10320</v>
      </c>
      <c r="G2583" s="311">
        <v>1905</v>
      </c>
      <c r="H2583" s="340" t="s">
        <v>3</v>
      </c>
      <c r="I2583" s="330" t="s">
        <v>3</v>
      </c>
      <c r="J2583" s="336">
        <v>0.4</v>
      </c>
      <c r="K2583" s="336">
        <v>0.2</v>
      </c>
      <c r="L2583" s="336">
        <f t="shared" si="18"/>
        <v>0.2</v>
      </c>
      <c r="M2583" s="337"/>
    </row>
    <row r="2584" spans="1:13" s="71" customFormat="1" ht="26.4">
      <c r="A2584" s="282">
        <v>283</v>
      </c>
      <c r="B2584" s="533"/>
      <c r="C2584" s="333" t="s">
        <v>3049</v>
      </c>
      <c r="D2584" s="333" t="s">
        <v>3050</v>
      </c>
      <c r="E2584" s="322" t="s">
        <v>3060</v>
      </c>
      <c r="F2584" s="334">
        <v>10322</v>
      </c>
      <c r="G2584" s="311">
        <v>1905</v>
      </c>
      <c r="H2584" s="340" t="s">
        <v>3</v>
      </c>
      <c r="I2584" s="330" t="s">
        <v>3</v>
      </c>
      <c r="J2584" s="336">
        <v>60.9</v>
      </c>
      <c r="K2584" s="336">
        <v>34.299999999999997</v>
      </c>
      <c r="L2584" s="336">
        <f t="shared" si="18"/>
        <v>26.6</v>
      </c>
      <c r="M2584" s="337"/>
    </row>
    <row r="2585" spans="1:13" s="71" customFormat="1" ht="26.4">
      <c r="A2585" s="282">
        <v>284</v>
      </c>
      <c r="B2585" s="533"/>
      <c r="C2585" s="333" t="s">
        <v>3049</v>
      </c>
      <c r="D2585" s="333" t="s">
        <v>3050</v>
      </c>
      <c r="E2585" s="322" t="s">
        <v>3061</v>
      </c>
      <c r="F2585" s="334">
        <v>10324</v>
      </c>
      <c r="G2585" s="311">
        <v>1905</v>
      </c>
      <c r="H2585" s="340" t="s">
        <v>3</v>
      </c>
      <c r="I2585" s="330" t="s">
        <v>3</v>
      </c>
      <c r="J2585" s="336">
        <v>311.2</v>
      </c>
      <c r="K2585" s="336">
        <v>144.9</v>
      </c>
      <c r="L2585" s="336">
        <f t="shared" si="18"/>
        <v>166.29999999999998</v>
      </c>
      <c r="M2585" s="337"/>
    </row>
    <row r="2586" spans="1:13" s="71" customFormat="1" ht="26.4">
      <c r="A2586" s="282">
        <v>285</v>
      </c>
      <c r="B2586" s="533"/>
      <c r="C2586" s="333" t="s">
        <v>3049</v>
      </c>
      <c r="D2586" s="333" t="s">
        <v>3050</v>
      </c>
      <c r="E2586" s="322" t="s">
        <v>3062</v>
      </c>
      <c r="F2586" s="334">
        <v>20280</v>
      </c>
      <c r="G2586" s="311">
        <v>1905</v>
      </c>
      <c r="H2586" s="340" t="s">
        <v>2658</v>
      </c>
      <c r="I2586" s="313">
        <v>304</v>
      </c>
      <c r="J2586" s="336">
        <v>5.0999999999999996</v>
      </c>
      <c r="K2586" s="336">
        <v>3.2</v>
      </c>
      <c r="L2586" s="336">
        <f t="shared" si="18"/>
        <v>1.8999999999999995</v>
      </c>
      <c r="M2586" s="337"/>
    </row>
    <row r="2587" spans="1:13" s="71" customFormat="1" ht="26.4">
      <c r="A2587" s="282">
        <v>286</v>
      </c>
      <c r="B2587" s="533"/>
      <c r="C2587" s="333" t="s">
        <v>3049</v>
      </c>
      <c r="D2587" s="333" t="s">
        <v>3050</v>
      </c>
      <c r="E2587" s="441" t="s">
        <v>3063</v>
      </c>
      <c r="F2587" s="334">
        <v>20281</v>
      </c>
      <c r="G2587" s="311">
        <v>1905</v>
      </c>
      <c r="H2587" s="340" t="s">
        <v>2658</v>
      </c>
      <c r="I2587" s="313">
        <v>135</v>
      </c>
      <c r="J2587" s="336">
        <v>5.4</v>
      </c>
      <c r="K2587" s="336">
        <v>4.3</v>
      </c>
      <c r="L2587" s="336">
        <f t="shared" si="18"/>
        <v>1.1000000000000005</v>
      </c>
      <c r="M2587" s="337"/>
    </row>
    <row r="2588" spans="1:13" s="71" customFormat="1" ht="39.6">
      <c r="A2588" s="282">
        <v>287</v>
      </c>
      <c r="B2588" s="533"/>
      <c r="C2588" s="333" t="s">
        <v>3049</v>
      </c>
      <c r="D2588" s="333" t="s">
        <v>3050</v>
      </c>
      <c r="E2588" s="322" t="s">
        <v>3064</v>
      </c>
      <c r="F2588" s="334">
        <v>20291</v>
      </c>
      <c r="G2588" s="311">
        <v>1905</v>
      </c>
      <c r="H2588" s="340" t="s">
        <v>3</v>
      </c>
      <c r="I2588" s="330" t="s">
        <v>3</v>
      </c>
      <c r="J2588" s="336">
        <v>0.4</v>
      </c>
      <c r="K2588" s="336">
        <v>0.4</v>
      </c>
      <c r="L2588" s="336">
        <f t="shared" si="18"/>
        <v>0</v>
      </c>
      <c r="M2588" s="337"/>
    </row>
    <row r="2589" spans="1:13" s="71" customFormat="1" ht="26.4">
      <c r="A2589" s="282">
        <v>288</v>
      </c>
      <c r="B2589" s="533"/>
      <c r="C2589" s="333" t="s">
        <v>3049</v>
      </c>
      <c r="D2589" s="333" t="s">
        <v>3050</v>
      </c>
      <c r="E2589" s="322" t="s">
        <v>3065</v>
      </c>
      <c r="F2589" s="334">
        <v>20298</v>
      </c>
      <c r="G2589" s="311">
        <v>1905</v>
      </c>
      <c r="H2589" s="340" t="s">
        <v>2658</v>
      </c>
      <c r="I2589" s="313">
        <v>100</v>
      </c>
      <c r="J2589" s="336">
        <v>1.1000000000000001</v>
      </c>
      <c r="K2589" s="336">
        <v>0.9</v>
      </c>
      <c r="L2589" s="336">
        <f t="shared" si="18"/>
        <v>0.20000000000000007</v>
      </c>
      <c r="M2589" s="337"/>
    </row>
    <row r="2590" spans="1:13" s="71" customFormat="1" ht="26.4">
      <c r="A2590" s="282">
        <v>289</v>
      </c>
      <c r="B2590" s="533"/>
      <c r="C2590" s="333" t="s">
        <v>3049</v>
      </c>
      <c r="D2590" s="333" t="s">
        <v>3050</v>
      </c>
      <c r="E2590" s="322" t="s">
        <v>3066</v>
      </c>
      <c r="F2590" s="334">
        <v>20302</v>
      </c>
      <c r="G2590" s="311">
        <v>1905</v>
      </c>
      <c r="H2590" s="340" t="s">
        <v>2658</v>
      </c>
      <c r="I2590" s="313">
        <v>478</v>
      </c>
      <c r="J2590" s="336">
        <v>100.8</v>
      </c>
      <c r="K2590" s="336">
        <v>19.2</v>
      </c>
      <c r="L2590" s="336">
        <f t="shared" si="18"/>
        <v>81.599999999999994</v>
      </c>
      <c r="M2590" s="337"/>
    </row>
    <row r="2591" spans="1:13" s="71" customFormat="1" ht="26.4">
      <c r="A2591" s="282">
        <v>290</v>
      </c>
      <c r="B2591" s="533"/>
      <c r="C2591" s="333" t="s">
        <v>3049</v>
      </c>
      <c r="D2591" s="333" t="s">
        <v>3050</v>
      </c>
      <c r="E2591" s="322" t="s">
        <v>3067</v>
      </c>
      <c r="F2591" s="334">
        <v>20304</v>
      </c>
      <c r="G2591" s="311">
        <v>1905</v>
      </c>
      <c r="H2591" s="340" t="s">
        <v>2658</v>
      </c>
      <c r="I2591" s="313">
        <v>42</v>
      </c>
      <c r="J2591" s="336">
        <v>1.3</v>
      </c>
      <c r="K2591" s="336">
        <v>1.1000000000000001</v>
      </c>
      <c r="L2591" s="336">
        <f t="shared" si="18"/>
        <v>0.19999999999999996</v>
      </c>
      <c r="M2591" s="337"/>
    </row>
    <row r="2592" spans="1:13" s="71" customFormat="1" ht="39.6">
      <c r="A2592" s="282">
        <v>291</v>
      </c>
      <c r="B2592" s="533"/>
      <c r="C2592" s="333" t="s">
        <v>3049</v>
      </c>
      <c r="D2592" s="333" t="s">
        <v>3050</v>
      </c>
      <c r="E2592" s="338" t="s">
        <v>13023</v>
      </c>
      <c r="F2592" s="334">
        <v>20309</v>
      </c>
      <c r="G2592" s="311">
        <v>1905</v>
      </c>
      <c r="H2592" s="340" t="s">
        <v>2658</v>
      </c>
      <c r="I2592" s="313">
        <v>235</v>
      </c>
      <c r="J2592" s="336">
        <v>2.4</v>
      </c>
      <c r="K2592" s="336">
        <v>1.2</v>
      </c>
      <c r="L2592" s="336">
        <f t="shared" si="18"/>
        <v>1.2</v>
      </c>
      <c r="M2592" s="337"/>
    </row>
    <row r="2593" spans="1:13" s="71" customFormat="1" ht="26.4">
      <c r="A2593" s="282">
        <v>292</v>
      </c>
      <c r="B2593" s="533"/>
      <c r="C2593" s="333" t="s">
        <v>3049</v>
      </c>
      <c r="D2593" s="333" t="s">
        <v>3050</v>
      </c>
      <c r="E2593" s="322" t="s">
        <v>3068</v>
      </c>
      <c r="F2593" s="334">
        <v>20310</v>
      </c>
      <c r="G2593" s="311">
        <v>1905</v>
      </c>
      <c r="H2593" s="340" t="s">
        <v>3</v>
      </c>
      <c r="I2593" s="313" t="s">
        <v>3</v>
      </c>
      <c r="J2593" s="336">
        <v>98.5</v>
      </c>
      <c r="K2593" s="336">
        <v>49.5</v>
      </c>
      <c r="L2593" s="336">
        <f t="shared" si="18"/>
        <v>49</v>
      </c>
      <c r="M2593" s="337"/>
    </row>
    <row r="2594" spans="1:13" s="71" customFormat="1" ht="26.4">
      <c r="A2594" s="282">
        <v>293</v>
      </c>
      <c r="B2594" s="533"/>
      <c r="C2594" s="333" t="s">
        <v>3049</v>
      </c>
      <c r="D2594" s="333" t="s">
        <v>3050</v>
      </c>
      <c r="E2594" s="322" t="s">
        <v>3069</v>
      </c>
      <c r="F2594" s="334">
        <v>20312</v>
      </c>
      <c r="G2594" s="311">
        <v>1905</v>
      </c>
      <c r="H2594" s="340" t="s">
        <v>2658</v>
      </c>
      <c r="I2594" s="313">
        <v>220</v>
      </c>
      <c r="J2594" s="336">
        <v>13.8</v>
      </c>
      <c r="K2594" s="336">
        <v>8.8000000000000007</v>
      </c>
      <c r="L2594" s="336">
        <f t="shared" si="18"/>
        <v>5</v>
      </c>
      <c r="M2594" s="337"/>
    </row>
    <row r="2595" spans="1:13" s="71" customFormat="1" ht="26.4">
      <c r="A2595" s="282">
        <v>294</v>
      </c>
      <c r="B2595" s="533"/>
      <c r="C2595" s="333" t="s">
        <v>3049</v>
      </c>
      <c r="D2595" s="333" t="s">
        <v>3050</v>
      </c>
      <c r="E2595" s="322" t="s">
        <v>3070</v>
      </c>
      <c r="F2595" s="334">
        <v>20313</v>
      </c>
      <c r="G2595" s="311">
        <v>1905</v>
      </c>
      <c r="H2595" s="340" t="s">
        <v>2658</v>
      </c>
      <c r="I2595" s="313">
        <v>280</v>
      </c>
      <c r="J2595" s="336">
        <v>3.1</v>
      </c>
      <c r="K2595" s="336">
        <v>2.5</v>
      </c>
      <c r="L2595" s="336">
        <f t="shared" si="18"/>
        <v>0.60000000000000009</v>
      </c>
      <c r="M2595" s="337"/>
    </row>
    <row r="2596" spans="1:13" s="71" customFormat="1" ht="26.4">
      <c r="A2596" s="282">
        <v>295</v>
      </c>
      <c r="B2596" s="533"/>
      <c r="C2596" s="333" t="s">
        <v>3049</v>
      </c>
      <c r="D2596" s="333" t="s">
        <v>3050</v>
      </c>
      <c r="E2596" s="441" t="s">
        <v>3071</v>
      </c>
      <c r="F2596" s="334">
        <v>20606</v>
      </c>
      <c r="G2596" s="311">
        <v>1905</v>
      </c>
      <c r="H2596" s="340" t="s">
        <v>3</v>
      </c>
      <c r="I2596" s="330" t="s">
        <v>3</v>
      </c>
      <c r="J2596" s="336">
        <v>24.5</v>
      </c>
      <c r="K2596" s="336">
        <v>10.8</v>
      </c>
      <c r="L2596" s="336">
        <f t="shared" si="18"/>
        <v>13.7</v>
      </c>
      <c r="M2596" s="337"/>
    </row>
    <row r="2597" spans="1:13" s="71" customFormat="1" ht="26.4">
      <c r="A2597" s="282">
        <v>296</v>
      </c>
      <c r="B2597" s="533"/>
      <c r="C2597" s="333" t="s">
        <v>3049</v>
      </c>
      <c r="D2597" s="333" t="s">
        <v>3050</v>
      </c>
      <c r="E2597" s="441" t="s">
        <v>2680</v>
      </c>
      <c r="F2597" s="334">
        <v>30820</v>
      </c>
      <c r="G2597" s="311">
        <v>1905</v>
      </c>
      <c r="H2597" s="340" t="s">
        <v>3</v>
      </c>
      <c r="I2597" s="330" t="s">
        <v>3</v>
      </c>
      <c r="J2597" s="336">
        <v>14</v>
      </c>
      <c r="K2597" s="336">
        <v>9.6</v>
      </c>
      <c r="L2597" s="336">
        <f t="shared" si="18"/>
        <v>4.4000000000000004</v>
      </c>
      <c r="M2597" s="337"/>
    </row>
    <row r="2598" spans="1:13" s="71" customFormat="1" ht="26.4">
      <c r="A2598" s="282">
        <v>297</v>
      </c>
      <c r="B2598" s="533"/>
      <c r="C2598" s="333" t="s">
        <v>3049</v>
      </c>
      <c r="D2598" s="333" t="s">
        <v>3050</v>
      </c>
      <c r="E2598" s="322" t="s">
        <v>13024</v>
      </c>
      <c r="F2598" s="334">
        <v>168</v>
      </c>
      <c r="G2598" s="311">
        <v>1905</v>
      </c>
      <c r="H2598" s="329" t="s">
        <v>1149</v>
      </c>
      <c r="I2598" s="313">
        <v>477</v>
      </c>
      <c r="J2598" s="336">
        <v>60.2</v>
      </c>
      <c r="K2598" s="336">
        <v>24.1</v>
      </c>
      <c r="L2598" s="336">
        <f t="shared" si="18"/>
        <v>36.1</v>
      </c>
      <c r="M2598" s="337"/>
    </row>
    <row r="2599" spans="1:13" s="71" customFormat="1" ht="26.4">
      <c r="A2599" s="282">
        <v>298</v>
      </c>
      <c r="B2599" s="533"/>
      <c r="C2599" s="333" t="s">
        <v>3049</v>
      </c>
      <c r="D2599" s="333" t="s">
        <v>3050</v>
      </c>
      <c r="E2599" s="441" t="s">
        <v>3072</v>
      </c>
      <c r="F2599" s="334">
        <v>2020</v>
      </c>
      <c r="G2599" s="311">
        <v>1905</v>
      </c>
      <c r="H2599" s="329" t="s">
        <v>1149</v>
      </c>
      <c r="I2599" s="313">
        <v>1112</v>
      </c>
      <c r="J2599" s="336">
        <v>517</v>
      </c>
      <c r="K2599" s="336">
        <v>127.9</v>
      </c>
      <c r="L2599" s="336">
        <f t="shared" si="18"/>
        <v>389.1</v>
      </c>
      <c r="M2599" s="337"/>
    </row>
    <row r="2600" spans="1:13" s="71" customFormat="1" ht="26.4">
      <c r="A2600" s="282">
        <v>299</v>
      </c>
      <c r="B2600" s="533"/>
      <c r="C2600" s="333" t="s">
        <v>3049</v>
      </c>
      <c r="D2600" s="333" t="s">
        <v>3050</v>
      </c>
      <c r="E2600" s="441" t="s">
        <v>3073</v>
      </c>
      <c r="F2600" s="334">
        <v>10078</v>
      </c>
      <c r="G2600" s="311">
        <v>1905</v>
      </c>
      <c r="H2600" s="340" t="s">
        <v>3</v>
      </c>
      <c r="I2600" s="330" t="s">
        <v>3</v>
      </c>
      <c r="J2600" s="336">
        <v>32.799999999999997</v>
      </c>
      <c r="K2600" s="336">
        <v>32.799999999999997</v>
      </c>
      <c r="L2600" s="336">
        <f t="shared" si="18"/>
        <v>0</v>
      </c>
      <c r="M2600" s="337"/>
    </row>
    <row r="2601" spans="1:13" s="71" customFormat="1" ht="26.4">
      <c r="A2601" s="282">
        <v>300</v>
      </c>
      <c r="B2601" s="533"/>
      <c r="C2601" s="333" t="s">
        <v>3049</v>
      </c>
      <c r="D2601" s="333" t="s">
        <v>3074</v>
      </c>
      <c r="E2601" s="441" t="s">
        <v>3075</v>
      </c>
      <c r="F2601" s="334">
        <v>20003</v>
      </c>
      <c r="G2601" s="311">
        <v>1905</v>
      </c>
      <c r="H2601" s="340" t="s">
        <v>2658</v>
      </c>
      <c r="I2601" s="313">
        <v>1610</v>
      </c>
      <c r="J2601" s="336">
        <v>38</v>
      </c>
      <c r="K2601" s="336">
        <v>35.799999999999997</v>
      </c>
      <c r="L2601" s="336">
        <f t="shared" si="18"/>
        <v>2.2000000000000028</v>
      </c>
      <c r="M2601" s="337"/>
    </row>
    <row r="2602" spans="1:13" s="71" customFormat="1" ht="26.4">
      <c r="A2602" s="282">
        <v>301</v>
      </c>
      <c r="B2602" s="533"/>
      <c r="C2602" s="333" t="s">
        <v>3049</v>
      </c>
      <c r="D2602" s="333" t="s">
        <v>3074</v>
      </c>
      <c r="E2602" s="322" t="s">
        <v>3076</v>
      </c>
      <c r="F2602" s="334">
        <v>20490</v>
      </c>
      <c r="G2602" s="311">
        <v>1905</v>
      </c>
      <c r="H2602" s="340" t="s">
        <v>2658</v>
      </c>
      <c r="I2602" s="313">
        <v>700</v>
      </c>
      <c r="J2602" s="336">
        <v>641.79999999999995</v>
      </c>
      <c r="K2602" s="336">
        <v>316.3</v>
      </c>
      <c r="L2602" s="336">
        <f t="shared" si="18"/>
        <v>325.49999999999994</v>
      </c>
      <c r="M2602" s="337"/>
    </row>
    <row r="2603" spans="1:13" s="71" customFormat="1" ht="26.4">
      <c r="A2603" s="282">
        <v>302</v>
      </c>
      <c r="B2603" s="533"/>
      <c r="C2603" s="333" t="s">
        <v>3049</v>
      </c>
      <c r="D2603" s="333" t="s">
        <v>3074</v>
      </c>
      <c r="E2603" s="441" t="s">
        <v>3077</v>
      </c>
      <c r="F2603" s="334">
        <v>20489</v>
      </c>
      <c r="G2603" s="311">
        <v>1905</v>
      </c>
      <c r="H2603" s="340" t="s">
        <v>2658</v>
      </c>
      <c r="I2603" s="313">
        <v>83</v>
      </c>
      <c r="J2603" s="336">
        <v>14.6</v>
      </c>
      <c r="K2603" s="336">
        <v>12.8</v>
      </c>
      <c r="L2603" s="336">
        <f t="shared" si="18"/>
        <v>1.7999999999999989</v>
      </c>
      <c r="M2603" s="337"/>
    </row>
    <row r="2604" spans="1:13" s="71" customFormat="1" ht="26.4">
      <c r="A2604" s="282">
        <v>303</v>
      </c>
      <c r="B2604" s="533"/>
      <c r="C2604" s="333" t="s">
        <v>3049</v>
      </c>
      <c r="D2604" s="333" t="s">
        <v>3074</v>
      </c>
      <c r="E2604" s="441" t="s">
        <v>3078</v>
      </c>
      <c r="F2604" s="334">
        <v>20488</v>
      </c>
      <c r="G2604" s="311">
        <v>1905</v>
      </c>
      <c r="H2604" s="340" t="s">
        <v>2658</v>
      </c>
      <c r="I2604" s="313">
        <v>303</v>
      </c>
      <c r="J2604" s="336">
        <v>19.3</v>
      </c>
      <c r="K2604" s="336">
        <v>17.2</v>
      </c>
      <c r="L2604" s="336">
        <f t="shared" si="18"/>
        <v>2.1000000000000014</v>
      </c>
      <c r="M2604" s="337"/>
    </row>
    <row r="2605" spans="1:13" s="71" customFormat="1" ht="38.25" customHeight="1">
      <c r="A2605" s="282">
        <v>304</v>
      </c>
      <c r="B2605" s="533"/>
      <c r="C2605" s="333" t="s">
        <v>3049</v>
      </c>
      <c r="D2605" s="333" t="s">
        <v>3079</v>
      </c>
      <c r="E2605" s="322" t="s">
        <v>13417</v>
      </c>
      <c r="F2605" s="334">
        <v>20305</v>
      </c>
      <c r="G2605" s="311">
        <v>1905</v>
      </c>
      <c r="H2605" s="340" t="s">
        <v>2658</v>
      </c>
      <c r="I2605" s="313">
        <v>190</v>
      </c>
      <c r="J2605" s="336">
        <v>2.2000000000000002</v>
      </c>
      <c r="K2605" s="336">
        <v>1.2</v>
      </c>
      <c r="L2605" s="336">
        <f t="shared" si="18"/>
        <v>1.0000000000000002</v>
      </c>
      <c r="M2605" s="337"/>
    </row>
    <row r="2606" spans="1:13" s="71" customFormat="1" ht="26.4">
      <c r="A2606" s="282">
        <v>305</v>
      </c>
      <c r="B2606" s="533"/>
      <c r="C2606" s="333" t="s">
        <v>3049</v>
      </c>
      <c r="D2606" s="333" t="s">
        <v>3080</v>
      </c>
      <c r="E2606" s="322" t="s">
        <v>3081</v>
      </c>
      <c r="F2606" s="334">
        <v>20257</v>
      </c>
      <c r="G2606" s="311">
        <v>1905</v>
      </c>
      <c r="H2606" s="340" t="s">
        <v>2658</v>
      </c>
      <c r="I2606" s="313">
        <v>2800</v>
      </c>
      <c r="J2606" s="336">
        <v>143.69999999999999</v>
      </c>
      <c r="K2606" s="336">
        <v>119.5</v>
      </c>
      <c r="L2606" s="336">
        <f t="shared" si="18"/>
        <v>24.199999999999989</v>
      </c>
      <c r="M2606" s="337"/>
    </row>
    <row r="2607" spans="1:13" s="71" customFormat="1" ht="26.4">
      <c r="A2607" s="282">
        <v>306</v>
      </c>
      <c r="B2607" s="533"/>
      <c r="C2607" s="333" t="s">
        <v>3049</v>
      </c>
      <c r="D2607" s="333" t="s">
        <v>3074</v>
      </c>
      <c r="E2607" s="441" t="s">
        <v>3082</v>
      </c>
      <c r="F2607" s="334">
        <v>380</v>
      </c>
      <c r="G2607" s="311">
        <v>1905</v>
      </c>
      <c r="H2607" s="329" t="s">
        <v>1149</v>
      </c>
      <c r="I2607" s="313">
        <v>156</v>
      </c>
      <c r="J2607" s="336">
        <v>212.9</v>
      </c>
      <c r="K2607" s="336">
        <v>108</v>
      </c>
      <c r="L2607" s="336">
        <f t="shared" si="18"/>
        <v>104.9</v>
      </c>
      <c r="M2607" s="337"/>
    </row>
    <row r="2608" spans="1:13" s="71" customFormat="1" ht="26.4">
      <c r="A2608" s="282">
        <v>307</v>
      </c>
      <c r="B2608" s="533"/>
      <c r="C2608" s="333" t="s">
        <v>3049</v>
      </c>
      <c r="D2608" s="333" t="s">
        <v>3080</v>
      </c>
      <c r="E2608" s="441" t="s">
        <v>3083</v>
      </c>
      <c r="F2608" s="334">
        <v>10142</v>
      </c>
      <c r="G2608" s="311">
        <v>1905</v>
      </c>
      <c r="H2608" s="340" t="s">
        <v>3</v>
      </c>
      <c r="I2608" s="330" t="s">
        <v>3</v>
      </c>
      <c r="J2608" s="336">
        <v>22.1</v>
      </c>
      <c r="K2608" s="336">
        <v>20</v>
      </c>
      <c r="L2608" s="336">
        <f t="shared" si="18"/>
        <v>2.1000000000000014</v>
      </c>
      <c r="M2608" s="337"/>
    </row>
    <row r="2609" spans="1:13" s="71" customFormat="1" ht="26.4">
      <c r="A2609" s="282">
        <v>308</v>
      </c>
      <c r="B2609" s="533"/>
      <c r="C2609" s="333" t="s">
        <v>3049</v>
      </c>
      <c r="D2609" s="333" t="s">
        <v>3080</v>
      </c>
      <c r="E2609" s="441" t="s">
        <v>3084</v>
      </c>
      <c r="F2609" s="334">
        <v>10524</v>
      </c>
      <c r="G2609" s="311">
        <v>1905</v>
      </c>
      <c r="H2609" s="340" t="s">
        <v>3</v>
      </c>
      <c r="I2609" s="330" t="s">
        <v>3</v>
      </c>
      <c r="J2609" s="336">
        <v>32.4</v>
      </c>
      <c r="K2609" s="336">
        <v>25.1</v>
      </c>
      <c r="L2609" s="336">
        <f t="shared" si="18"/>
        <v>7.2999999999999972</v>
      </c>
      <c r="M2609" s="337"/>
    </row>
    <row r="2610" spans="1:13" s="71" customFormat="1" ht="26.4">
      <c r="A2610" s="282">
        <v>309</v>
      </c>
      <c r="B2610" s="533"/>
      <c r="C2610" s="333" t="s">
        <v>3049</v>
      </c>
      <c r="D2610" s="333" t="s">
        <v>3085</v>
      </c>
      <c r="E2610" s="441" t="s">
        <v>3086</v>
      </c>
      <c r="F2610" s="334">
        <v>20129</v>
      </c>
      <c r="G2610" s="311">
        <v>1905</v>
      </c>
      <c r="H2610" s="340" t="s">
        <v>2658</v>
      </c>
      <c r="I2610" s="313">
        <v>5675</v>
      </c>
      <c r="J2610" s="336">
        <v>83.1</v>
      </c>
      <c r="K2610" s="336">
        <v>83.1</v>
      </c>
      <c r="L2610" s="336">
        <f t="shared" si="18"/>
        <v>0</v>
      </c>
      <c r="M2610" s="337"/>
    </row>
    <row r="2611" spans="1:13" s="71" customFormat="1" ht="26.4">
      <c r="A2611" s="282">
        <v>310</v>
      </c>
      <c r="B2611" s="533"/>
      <c r="C2611" s="333" t="s">
        <v>3049</v>
      </c>
      <c r="D2611" s="307" t="s">
        <v>3087</v>
      </c>
      <c r="E2611" s="441" t="s">
        <v>3088</v>
      </c>
      <c r="F2611" s="334">
        <v>10514</v>
      </c>
      <c r="G2611" s="311">
        <v>1905</v>
      </c>
      <c r="H2611" s="340" t="s">
        <v>2658</v>
      </c>
      <c r="I2611" s="313">
        <v>2426</v>
      </c>
      <c r="J2611" s="336">
        <v>167.6</v>
      </c>
      <c r="K2611" s="336">
        <v>115</v>
      </c>
      <c r="L2611" s="336">
        <f t="shared" si="18"/>
        <v>52.599999999999994</v>
      </c>
      <c r="M2611" s="337"/>
    </row>
    <row r="2612" spans="1:13" s="71" customFormat="1" ht="26.4">
      <c r="A2612" s="282">
        <v>311</v>
      </c>
      <c r="B2612" s="533"/>
      <c r="C2612" s="333" t="s">
        <v>3049</v>
      </c>
      <c r="D2612" s="307" t="s">
        <v>3089</v>
      </c>
      <c r="E2612" s="441" t="s">
        <v>13026</v>
      </c>
      <c r="F2612" s="334">
        <v>20130</v>
      </c>
      <c r="G2612" s="311">
        <v>1905</v>
      </c>
      <c r="H2612" s="340" t="s">
        <v>2658</v>
      </c>
      <c r="I2612" s="313">
        <v>250</v>
      </c>
      <c r="J2612" s="336">
        <v>4.0999999999999996</v>
      </c>
      <c r="K2612" s="336">
        <v>4.0999999999999996</v>
      </c>
      <c r="L2612" s="336">
        <f t="shared" si="18"/>
        <v>0</v>
      </c>
      <c r="M2612" s="337"/>
    </row>
    <row r="2613" spans="1:13" s="71" customFormat="1" ht="26.4">
      <c r="A2613" s="282">
        <v>312</v>
      </c>
      <c r="B2613" s="533"/>
      <c r="C2613" s="333" t="s">
        <v>3049</v>
      </c>
      <c r="D2613" s="307" t="s">
        <v>3080</v>
      </c>
      <c r="E2613" s="441" t="s">
        <v>13025</v>
      </c>
      <c r="F2613" s="334">
        <v>20238</v>
      </c>
      <c r="G2613" s="311">
        <v>1905</v>
      </c>
      <c r="H2613" s="340" t="s">
        <v>2658</v>
      </c>
      <c r="I2613" s="313">
        <v>1487.5</v>
      </c>
      <c r="J2613" s="336">
        <v>8.6</v>
      </c>
      <c r="K2613" s="336">
        <v>5</v>
      </c>
      <c r="L2613" s="336">
        <f t="shared" si="18"/>
        <v>3.5999999999999996</v>
      </c>
      <c r="M2613" s="337"/>
    </row>
    <row r="2614" spans="1:13" s="71" customFormat="1" ht="26.4">
      <c r="A2614" s="282">
        <v>313</v>
      </c>
      <c r="B2614" s="533"/>
      <c r="C2614" s="333" t="s">
        <v>3049</v>
      </c>
      <c r="D2614" s="307" t="s">
        <v>3090</v>
      </c>
      <c r="E2614" s="441" t="s">
        <v>3091</v>
      </c>
      <c r="F2614" s="334">
        <v>20254</v>
      </c>
      <c r="G2614" s="311">
        <v>1905</v>
      </c>
      <c r="H2614" s="340" t="s">
        <v>2658</v>
      </c>
      <c r="I2614" s="313">
        <v>372</v>
      </c>
      <c r="J2614" s="336">
        <v>7.9</v>
      </c>
      <c r="K2614" s="336">
        <v>7.9</v>
      </c>
      <c r="L2614" s="336">
        <f t="shared" si="18"/>
        <v>0</v>
      </c>
      <c r="M2614" s="337"/>
    </row>
    <row r="2615" spans="1:13" s="71" customFormat="1" ht="26.4">
      <c r="A2615" s="282">
        <v>314</v>
      </c>
      <c r="B2615" s="533"/>
      <c r="C2615" s="333" t="s">
        <v>3049</v>
      </c>
      <c r="D2615" s="307" t="s">
        <v>13243</v>
      </c>
      <c r="E2615" s="441" t="s">
        <v>13027</v>
      </c>
      <c r="F2615" s="334">
        <v>20315</v>
      </c>
      <c r="G2615" s="311">
        <v>1905</v>
      </c>
      <c r="H2615" s="340" t="s">
        <v>2658</v>
      </c>
      <c r="I2615" s="313">
        <v>302</v>
      </c>
      <c r="J2615" s="336">
        <v>9.6</v>
      </c>
      <c r="K2615" s="336">
        <v>5.2</v>
      </c>
      <c r="L2615" s="336">
        <f t="shared" si="18"/>
        <v>4.3999999999999995</v>
      </c>
      <c r="M2615" s="337"/>
    </row>
    <row r="2616" spans="1:13" s="71" customFormat="1" ht="26.4">
      <c r="A2616" s="282">
        <v>315</v>
      </c>
      <c r="B2616" s="533"/>
      <c r="C2616" s="333" t="s">
        <v>3049</v>
      </c>
      <c r="D2616" s="333" t="s">
        <v>3092</v>
      </c>
      <c r="E2616" s="441" t="s">
        <v>13028</v>
      </c>
      <c r="F2616" s="334">
        <v>20430</v>
      </c>
      <c r="G2616" s="311">
        <v>1905</v>
      </c>
      <c r="H2616" s="340" t="s">
        <v>2658</v>
      </c>
      <c r="I2616" s="313">
        <v>67</v>
      </c>
      <c r="J2616" s="336">
        <v>4.9000000000000004</v>
      </c>
      <c r="K2616" s="336">
        <v>2.5</v>
      </c>
      <c r="L2616" s="336">
        <f t="shared" si="18"/>
        <v>2.4000000000000004</v>
      </c>
      <c r="M2616" s="337"/>
    </row>
    <row r="2617" spans="1:13" s="71" customFormat="1" ht="26.4">
      <c r="A2617" s="282">
        <v>316</v>
      </c>
      <c r="B2617" s="533"/>
      <c r="C2617" s="333" t="s">
        <v>3049</v>
      </c>
      <c r="D2617" s="307" t="s">
        <v>3093</v>
      </c>
      <c r="E2617" s="441" t="s">
        <v>3094</v>
      </c>
      <c r="F2617" s="334">
        <v>20474</v>
      </c>
      <c r="G2617" s="311">
        <v>1905</v>
      </c>
      <c r="H2617" s="340" t="s">
        <v>2658</v>
      </c>
      <c r="I2617" s="313">
        <v>1018</v>
      </c>
      <c r="J2617" s="336">
        <v>12.6</v>
      </c>
      <c r="K2617" s="336">
        <v>6</v>
      </c>
      <c r="L2617" s="336">
        <f t="shared" si="18"/>
        <v>6.6</v>
      </c>
      <c r="M2617" s="337"/>
    </row>
    <row r="2618" spans="1:13" s="71" customFormat="1" ht="26.4">
      <c r="A2618" s="282">
        <v>317</v>
      </c>
      <c r="B2618" s="533"/>
      <c r="C2618" s="333" t="s">
        <v>3049</v>
      </c>
      <c r="D2618" s="307" t="s">
        <v>3095</v>
      </c>
      <c r="E2618" s="441" t="s">
        <v>12773</v>
      </c>
      <c r="F2618" s="334">
        <v>20485</v>
      </c>
      <c r="G2618" s="311">
        <v>1905</v>
      </c>
      <c r="H2618" s="340" t="s">
        <v>2658</v>
      </c>
      <c r="I2618" s="313">
        <v>298</v>
      </c>
      <c r="J2618" s="336">
        <v>10.8</v>
      </c>
      <c r="K2618" s="336">
        <v>4.9000000000000004</v>
      </c>
      <c r="L2618" s="336">
        <f t="shared" si="18"/>
        <v>5.9</v>
      </c>
      <c r="M2618" s="337"/>
    </row>
    <row r="2619" spans="1:13" s="71" customFormat="1" ht="26.4">
      <c r="A2619" s="282">
        <v>318</v>
      </c>
      <c r="B2619" s="533"/>
      <c r="C2619" s="333" t="s">
        <v>3049</v>
      </c>
      <c r="D2619" s="307" t="s">
        <v>3096</v>
      </c>
      <c r="E2619" s="441" t="s">
        <v>3097</v>
      </c>
      <c r="F2619" s="334">
        <v>20502</v>
      </c>
      <c r="G2619" s="311">
        <v>1905</v>
      </c>
      <c r="H2619" s="340" t="s">
        <v>2658</v>
      </c>
      <c r="I2619" s="313">
        <v>57</v>
      </c>
      <c r="J2619" s="336">
        <v>1.5</v>
      </c>
      <c r="K2619" s="336">
        <v>0.6</v>
      </c>
      <c r="L2619" s="336">
        <f t="shared" si="18"/>
        <v>0.9</v>
      </c>
      <c r="M2619" s="337"/>
    </row>
    <row r="2620" spans="1:13" s="71" customFormat="1" ht="26.4">
      <c r="A2620" s="282">
        <v>319</v>
      </c>
      <c r="B2620" s="533"/>
      <c r="C2620" s="333" t="s">
        <v>3049</v>
      </c>
      <c r="D2620" s="307" t="s">
        <v>3098</v>
      </c>
      <c r="E2620" s="441" t="s">
        <v>3099</v>
      </c>
      <c r="F2620" s="334">
        <v>20550</v>
      </c>
      <c r="G2620" s="311">
        <v>1905</v>
      </c>
      <c r="H2620" s="340" t="s">
        <v>2658</v>
      </c>
      <c r="I2620" s="313">
        <v>107</v>
      </c>
      <c r="J2620" s="336">
        <v>13.9</v>
      </c>
      <c r="K2620" s="336">
        <v>5.7</v>
      </c>
      <c r="L2620" s="336">
        <f t="shared" si="18"/>
        <v>8.1999999999999993</v>
      </c>
      <c r="M2620" s="337"/>
    </row>
    <row r="2621" spans="1:13" s="71" customFormat="1" ht="26.4">
      <c r="A2621" s="282">
        <v>320</v>
      </c>
      <c r="B2621" s="533"/>
      <c r="C2621" s="333" t="s">
        <v>3049</v>
      </c>
      <c r="D2621" s="307" t="s">
        <v>3100</v>
      </c>
      <c r="E2621" s="441" t="s">
        <v>3101</v>
      </c>
      <c r="F2621" s="334">
        <v>20581</v>
      </c>
      <c r="G2621" s="311">
        <v>1905</v>
      </c>
      <c r="H2621" s="340" t="s">
        <v>2658</v>
      </c>
      <c r="I2621" s="313">
        <v>169</v>
      </c>
      <c r="J2621" s="336">
        <v>0.8</v>
      </c>
      <c r="K2621" s="336">
        <v>0.3</v>
      </c>
      <c r="L2621" s="336">
        <f t="shared" si="18"/>
        <v>0.5</v>
      </c>
      <c r="M2621" s="337"/>
    </row>
    <row r="2622" spans="1:13" s="71" customFormat="1" ht="26.4">
      <c r="A2622" s="282">
        <v>321</v>
      </c>
      <c r="B2622" s="533"/>
      <c r="C2622" s="333" t="s">
        <v>3049</v>
      </c>
      <c r="D2622" s="333" t="s">
        <v>3102</v>
      </c>
      <c r="E2622" s="441" t="s">
        <v>2717</v>
      </c>
      <c r="F2622" s="334">
        <v>10569</v>
      </c>
      <c r="G2622" s="311">
        <v>1905</v>
      </c>
      <c r="H2622" s="329" t="s">
        <v>1149</v>
      </c>
      <c r="I2622" s="313">
        <v>12.5</v>
      </c>
      <c r="J2622" s="336">
        <v>12.5</v>
      </c>
      <c r="K2622" s="336">
        <v>5.4</v>
      </c>
      <c r="L2622" s="336">
        <f t="shared" ref="L2622:L2685" si="19">J2622-K2622</f>
        <v>7.1</v>
      </c>
      <c r="M2622" s="337"/>
    </row>
    <row r="2623" spans="1:13" s="71" customFormat="1" ht="26.4">
      <c r="A2623" s="282">
        <v>322</v>
      </c>
      <c r="B2623" s="533"/>
      <c r="C2623" s="333" t="s">
        <v>3049</v>
      </c>
      <c r="D2623" s="333" t="s">
        <v>3103</v>
      </c>
      <c r="E2623" s="441" t="s">
        <v>3104</v>
      </c>
      <c r="F2623" s="334">
        <v>20299</v>
      </c>
      <c r="G2623" s="311">
        <v>1905</v>
      </c>
      <c r="H2623" s="340" t="s">
        <v>2658</v>
      </c>
      <c r="I2623" s="313">
        <v>33</v>
      </c>
      <c r="J2623" s="336">
        <v>0.4</v>
      </c>
      <c r="K2623" s="336">
        <v>0.3</v>
      </c>
      <c r="L2623" s="336">
        <f t="shared" si="19"/>
        <v>0.10000000000000003</v>
      </c>
      <c r="M2623" s="337"/>
    </row>
    <row r="2624" spans="1:13" s="71" customFormat="1" ht="26.4">
      <c r="A2624" s="282">
        <v>323</v>
      </c>
      <c r="B2624" s="533"/>
      <c r="C2624" s="333" t="s">
        <v>3049</v>
      </c>
      <c r="D2624" s="333" t="s">
        <v>3103</v>
      </c>
      <c r="E2624" s="441" t="s">
        <v>3105</v>
      </c>
      <c r="F2624" s="334">
        <v>10318</v>
      </c>
      <c r="G2624" s="311">
        <v>1905</v>
      </c>
      <c r="H2624" s="340" t="s">
        <v>3</v>
      </c>
      <c r="I2624" s="330" t="s">
        <v>3</v>
      </c>
      <c r="J2624" s="336">
        <v>0.6</v>
      </c>
      <c r="K2624" s="336">
        <v>0.3</v>
      </c>
      <c r="L2624" s="336">
        <f t="shared" si="19"/>
        <v>0.3</v>
      </c>
      <c r="M2624" s="337"/>
    </row>
    <row r="2625" spans="1:13" s="71" customFormat="1" ht="26.4">
      <c r="A2625" s="282">
        <v>324</v>
      </c>
      <c r="B2625" s="533"/>
      <c r="C2625" s="333" t="s">
        <v>3049</v>
      </c>
      <c r="D2625" s="333" t="s">
        <v>3103</v>
      </c>
      <c r="E2625" s="441" t="s">
        <v>3106</v>
      </c>
      <c r="F2625" s="334">
        <v>20497</v>
      </c>
      <c r="G2625" s="311">
        <v>1905</v>
      </c>
      <c r="H2625" s="340" t="s">
        <v>3</v>
      </c>
      <c r="I2625" s="330" t="s">
        <v>3</v>
      </c>
      <c r="J2625" s="336">
        <v>4.0999999999999996</v>
      </c>
      <c r="K2625" s="336">
        <v>2.6</v>
      </c>
      <c r="L2625" s="336">
        <f t="shared" si="19"/>
        <v>1.4999999999999996</v>
      </c>
      <c r="M2625" s="337"/>
    </row>
    <row r="2626" spans="1:13" s="71" customFormat="1" ht="26.4">
      <c r="A2626" s="282">
        <v>325</v>
      </c>
      <c r="B2626" s="533"/>
      <c r="C2626" s="333" t="s">
        <v>3049</v>
      </c>
      <c r="D2626" s="333" t="s">
        <v>3103</v>
      </c>
      <c r="E2626" s="441" t="s">
        <v>3107</v>
      </c>
      <c r="F2626" s="334">
        <v>20607</v>
      </c>
      <c r="G2626" s="311"/>
      <c r="H2626" s="340" t="s">
        <v>3</v>
      </c>
      <c r="I2626" s="330" t="s">
        <v>3</v>
      </c>
      <c r="J2626" s="336">
        <v>2.8</v>
      </c>
      <c r="K2626" s="336">
        <v>2.8</v>
      </c>
      <c r="L2626" s="336">
        <f t="shared" si="19"/>
        <v>0</v>
      </c>
      <c r="M2626" s="337"/>
    </row>
    <row r="2627" spans="1:13" s="71" customFormat="1" ht="26.4">
      <c r="A2627" s="282">
        <v>326</v>
      </c>
      <c r="B2627" s="533"/>
      <c r="C2627" s="333" t="s">
        <v>3049</v>
      </c>
      <c r="D2627" s="333" t="s">
        <v>3103</v>
      </c>
      <c r="E2627" s="441" t="s">
        <v>3108</v>
      </c>
      <c r="F2627" s="334">
        <v>45905</v>
      </c>
      <c r="G2627" s="311">
        <v>1905</v>
      </c>
      <c r="H2627" s="340" t="s">
        <v>3</v>
      </c>
      <c r="I2627" s="330" t="s">
        <v>3</v>
      </c>
      <c r="J2627" s="336">
        <v>1.7</v>
      </c>
      <c r="K2627" s="336">
        <v>1.5</v>
      </c>
      <c r="L2627" s="336">
        <f t="shared" si="19"/>
        <v>0.19999999999999996</v>
      </c>
      <c r="M2627" s="337"/>
    </row>
    <row r="2628" spans="1:13" s="71" customFormat="1" ht="26.4">
      <c r="A2628" s="282">
        <v>327</v>
      </c>
      <c r="B2628" s="533"/>
      <c r="C2628" s="333" t="s">
        <v>3049</v>
      </c>
      <c r="D2628" s="333" t="s">
        <v>3109</v>
      </c>
      <c r="E2628" s="441" t="s">
        <v>3110</v>
      </c>
      <c r="F2628" s="334">
        <v>20255</v>
      </c>
      <c r="G2628" s="311">
        <v>1905</v>
      </c>
      <c r="H2628" s="340" t="s">
        <v>2658</v>
      </c>
      <c r="I2628" s="313">
        <v>595</v>
      </c>
      <c r="J2628" s="336">
        <v>21.2</v>
      </c>
      <c r="K2628" s="336">
        <v>10.8</v>
      </c>
      <c r="L2628" s="336">
        <f t="shared" si="19"/>
        <v>10.399999999999999</v>
      </c>
      <c r="M2628" s="337"/>
    </row>
    <row r="2629" spans="1:13" s="71" customFormat="1" ht="26.4">
      <c r="A2629" s="282">
        <v>328</v>
      </c>
      <c r="B2629" s="533"/>
      <c r="C2629" s="333" t="s">
        <v>3049</v>
      </c>
      <c r="D2629" s="333" t="s">
        <v>3109</v>
      </c>
      <c r="E2629" s="441" t="s">
        <v>3111</v>
      </c>
      <c r="F2629" s="334">
        <v>20316</v>
      </c>
      <c r="G2629" s="311">
        <v>1905</v>
      </c>
      <c r="H2629" s="340" t="s">
        <v>2658</v>
      </c>
      <c r="I2629" s="313">
        <v>198</v>
      </c>
      <c r="J2629" s="336">
        <v>4.8</v>
      </c>
      <c r="K2629" s="336">
        <v>2.2999999999999998</v>
      </c>
      <c r="L2629" s="336">
        <f t="shared" si="19"/>
        <v>2.5</v>
      </c>
      <c r="M2629" s="337"/>
    </row>
    <row r="2630" spans="1:13" s="71" customFormat="1" ht="26.4">
      <c r="A2630" s="282">
        <v>329</v>
      </c>
      <c r="B2630" s="533"/>
      <c r="C2630" s="333" t="s">
        <v>3049</v>
      </c>
      <c r="D2630" s="333" t="s">
        <v>3112</v>
      </c>
      <c r="E2630" s="441" t="s">
        <v>3113</v>
      </c>
      <c r="F2630" s="334">
        <v>20429</v>
      </c>
      <c r="G2630" s="311">
        <v>1905</v>
      </c>
      <c r="H2630" s="340" t="s">
        <v>2658</v>
      </c>
      <c r="I2630" s="313">
        <v>119</v>
      </c>
      <c r="J2630" s="336">
        <v>1.3</v>
      </c>
      <c r="K2630" s="336">
        <v>0.9</v>
      </c>
      <c r="L2630" s="336">
        <f t="shared" si="19"/>
        <v>0.4</v>
      </c>
      <c r="M2630" s="337"/>
    </row>
    <row r="2631" spans="1:13" s="71" customFormat="1" ht="26.4">
      <c r="A2631" s="282">
        <v>330</v>
      </c>
      <c r="B2631" s="533"/>
      <c r="C2631" s="333" t="s">
        <v>3049</v>
      </c>
      <c r="D2631" s="307" t="s">
        <v>3114</v>
      </c>
      <c r="E2631" s="441" t="s">
        <v>3115</v>
      </c>
      <c r="F2631" s="334">
        <v>20472</v>
      </c>
      <c r="G2631" s="311">
        <v>1905</v>
      </c>
      <c r="H2631" s="340" t="s">
        <v>2658</v>
      </c>
      <c r="I2631" s="313">
        <v>300</v>
      </c>
      <c r="J2631" s="336">
        <v>12.4</v>
      </c>
      <c r="K2631" s="336">
        <v>8.1999999999999993</v>
      </c>
      <c r="L2631" s="336">
        <f t="shared" si="19"/>
        <v>4.2000000000000011</v>
      </c>
      <c r="M2631" s="337"/>
    </row>
    <row r="2632" spans="1:13" s="71" customFormat="1" ht="26.4">
      <c r="A2632" s="282">
        <v>331</v>
      </c>
      <c r="B2632" s="533"/>
      <c r="C2632" s="333" t="s">
        <v>3049</v>
      </c>
      <c r="D2632" s="307" t="s">
        <v>3116</v>
      </c>
      <c r="E2632" s="441" t="s">
        <v>3117</v>
      </c>
      <c r="F2632" s="334">
        <v>20473</v>
      </c>
      <c r="G2632" s="311">
        <v>1905</v>
      </c>
      <c r="H2632" s="340" t="s">
        <v>2658</v>
      </c>
      <c r="I2632" s="313">
        <v>18</v>
      </c>
      <c r="J2632" s="336">
        <v>1.4</v>
      </c>
      <c r="K2632" s="336">
        <v>0.6</v>
      </c>
      <c r="L2632" s="336">
        <f t="shared" si="19"/>
        <v>0.79999999999999993</v>
      </c>
      <c r="M2632" s="337"/>
    </row>
    <row r="2633" spans="1:13" s="71" customFormat="1" ht="26.4">
      <c r="A2633" s="282">
        <v>332</v>
      </c>
      <c r="B2633" s="533"/>
      <c r="C2633" s="333" t="s">
        <v>3049</v>
      </c>
      <c r="D2633" s="307" t="s">
        <v>3118</v>
      </c>
      <c r="E2633" s="441" t="s">
        <v>3119</v>
      </c>
      <c r="F2633" s="334">
        <v>20484</v>
      </c>
      <c r="G2633" s="311">
        <v>1905</v>
      </c>
      <c r="H2633" s="340" t="s">
        <v>2658</v>
      </c>
      <c r="I2633" s="313">
        <v>52</v>
      </c>
      <c r="J2633" s="336">
        <v>2.4</v>
      </c>
      <c r="K2633" s="336">
        <v>1.4</v>
      </c>
      <c r="L2633" s="336">
        <f t="shared" si="19"/>
        <v>1</v>
      </c>
      <c r="M2633" s="337"/>
    </row>
    <row r="2634" spans="1:13" s="71" customFormat="1" ht="26.4">
      <c r="A2634" s="282">
        <v>333</v>
      </c>
      <c r="B2634" s="533"/>
      <c r="C2634" s="333" t="s">
        <v>3049</v>
      </c>
      <c r="D2634" s="307" t="s">
        <v>3096</v>
      </c>
      <c r="E2634" s="441" t="s">
        <v>3120</v>
      </c>
      <c r="F2634" s="334">
        <v>20504</v>
      </c>
      <c r="G2634" s="311">
        <v>1905</v>
      </c>
      <c r="H2634" s="340" t="s">
        <v>2658</v>
      </c>
      <c r="I2634" s="313">
        <v>10.5</v>
      </c>
      <c r="J2634" s="336">
        <v>0.8</v>
      </c>
      <c r="K2634" s="336">
        <v>0.5</v>
      </c>
      <c r="L2634" s="336">
        <f t="shared" si="19"/>
        <v>0.30000000000000004</v>
      </c>
      <c r="M2634" s="337"/>
    </row>
    <row r="2635" spans="1:13" s="71" customFormat="1" ht="26.4">
      <c r="A2635" s="282">
        <v>334</v>
      </c>
      <c r="B2635" s="533"/>
      <c r="C2635" s="333" t="s">
        <v>3</v>
      </c>
      <c r="D2635" s="307" t="s">
        <v>3121</v>
      </c>
      <c r="E2635" s="441" t="s">
        <v>3122</v>
      </c>
      <c r="F2635" s="334">
        <v>20545</v>
      </c>
      <c r="G2635" s="311">
        <v>1905</v>
      </c>
      <c r="H2635" s="340" t="s">
        <v>3</v>
      </c>
      <c r="I2635" s="313" t="s">
        <v>3</v>
      </c>
      <c r="J2635" s="336">
        <v>12.5</v>
      </c>
      <c r="K2635" s="336">
        <v>5.4</v>
      </c>
      <c r="L2635" s="336">
        <f t="shared" si="19"/>
        <v>7.1</v>
      </c>
      <c r="M2635" s="337"/>
    </row>
    <row r="2636" spans="1:13" s="71" customFormat="1" ht="26.4">
      <c r="A2636" s="282">
        <v>335</v>
      </c>
      <c r="B2636" s="533"/>
      <c r="C2636" s="333" t="s">
        <v>3049</v>
      </c>
      <c r="D2636" s="333" t="s">
        <v>3123</v>
      </c>
      <c r="E2636" s="441" t="s">
        <v>3124</v>
      </c>
      <c r="F2636" s="334">
        <v>20546</v>
      </c>
      <c r="G2636" s="311">
        <v>1905</v>
      </c>
      <c r="H2636" s="340" t="s">
        <v>2658</v>
      </c>
      <c r="I2636" s="313">
        <v>14</v>
      </c>
      <c r="J2636" s="336">
        <v>0.3</v>
      </c>
      <c r="K2636" s="336">
        <v>0.2</v>
      </c>
      <c r="L2636" s="336">
        <f t="shared" si="19"/>
        <v>9.9999999999999978E-2</v>
      </c>
      <c r="M2636" s="337"/>
    </row>
    <row r="2637" spans="1:13" s="71" customFormat="1" ht="26.4">
      <c r="A2637" s="282">
        <v>336</v>
      </c>
      <c r="B2637" s="533"/>
      <c r="C2637" s="333" t="s">
        <v>3049</v>
      </c>
      <c r="D2637" s="307" t="s">
        <v>3098</v>
      </c>
      <c r="E2637" s="441" t="s">
        <v>3125</v>
      </c>
      <c r="F2637" s="334">
        <v>20551</v>
      </c>
      <c r="G2637" s="311">
        <v>1905</v>
      </c>
      <c r="H2637" s="340" t="s">
        <v>2658</v>
      </c>
      <c r="I2637" s="313">
        <v>8</v>
      </c>
      <c r="J2637" s="336">
        <v>4.3</v>
      </c>
      <c r="K2637" s="336">
        <v>2.2000000000000002</v>
      </c>
      <c r="L2637" s="336">
        <f t="shared" si="19"/>
        <v>2.0999999999999996</v>
      </c>
      <c r="M2637" s="337"/>
    </row>
    <row r="2638" spans="1:13" s="71" customFormat="1" ht="26.4">
      <c r="A2638" s="282">
        <v>337</v>
      </c>
      <c r="B2638" s="533"/>
      <c r="C2638" s="333" t="s">
        <v>3049</v>
      </c>
      <c r="D2638" s="333" t="s">
        <v>3074</v>
      </c>
      <c r="E2638" s="441" t="s">
        <v>3126</v>
      </c>
      <c r="F2638" s="334">
        <v>20554</v>
      </c>
      <c r="G2638" s="311">
        <v>1905</v>
      </c>
      <c r="H2638" s="340" t="s">
        <v>2658</v>
      </c>
      <c r="I2638" s="313">
        <v>30</v>
      </c>
      <c r="J2638" s="336">
        <v>1.7</v>
      </c>
      <c r="K2638" s="336">
        <v>0.8</v>
      </c>
      <c r="L2638" s="336">
        <f t="shared" si="19"/>
        <v>0.89999999999999991</v>
      </c>
      <c r="M2638" s="337"/>
    </row>
    <row r="2639" spans="1:13" s="71" customFormat="1" ht="26.4">
      <c r="A2639" s="282">
        <v>338</v>
      </c>
      <c r="B2639" s="533"/>
      <c r="C2639" s="333" t="s">
        <v>3049</v>
      </c>
      <c r="D2639" s="313" t="s">
        <v>3100</v>
      </c>
      <c r="E2639" s="441" t="s">
        <v>3127</v>
      </c>
      <c r="F2639" s="334">
        <v>20580</v>
      </c>
      <c r="G2639" s="311">
        <v>1905</v>
      </c>
      <c r="H2639" s="340" t="s">
        <v>2658</v>
      </c>
      <c r="I2639" s="313">
        <v>42</v>
      </c>
      <c r="J2639" s="336">
        <v>0</v>
      </c>
      <c r="K2639" s="336">
        <v>0</v>
      </c>
      <c r="L2639" s="336">
        <f t="shared" si="19"/>
        <v>0</v>
      </c>
      <c r="M2639" s="337"/>
    </row>
    <row r="2640" spans="1:13" s="71" customFormat="1" ht="26.4">
      <c r="A2640" s="282">
        <v>339</v>
      </c>
      <c r="B2640" s="533"/>
      <c r="C2640" s="333" t="s">
        <v>3049</v>
      </c>
      <c r="D2640" s="333" t="s">
        <v>3128</v>
      </c>
      <c r="E2640" s="441" t="s">
        <v>3129</v>
      </c>
      <c r="F2640" s="334">
        <v>20126</v>
      </c>
      <c r="G2640" s="311">
        <v>1905</v>
      </c>
      <c r="H2640" s="340" t="s">
        <v>2658</v>
      </c>
      <c r="I2640" s="313">
        <v>4815.5</v>
      </c>
      <c r="J2640" s="336">
        <v>196.3</v>
      </c>
      <c r="K2640" s="336">
        <v>154.80000000000001</v>
      </c>
      <c r="L2640" s="336">
        <f t="shared" si="19"/>
        <v>41.5</v>
      </c>
      <c r="M2640" s="337"/>
    </row>
    <row r="2641" spans="1:13" s="71" customFormat="1" ht="26.4">
      <c r="A2641" s="282">
        <v>340</v>
      </c>
      <c r="B2641" s="533"/>
      <c r="C2641" s="333" t="s">
        <v>3049</v>
      </c>
      <c r="D2641" s="333" t="s">
        <v>3130</v>
      </c>
      <c r="E2641" s="441" t="s">
        <v>3131</v>
      </c>
      <c r="F2641" s="334">
        <v>103100117</v>
      </c>
      <c r="G2641" s="311"/>
      <c r="H2641" s="340" t="s">
        <v>1149</v>
      </c>
      <c r="I2641" s="313">
        <v>13</v>
      </c>
      <c r="J2641" s="336">
        <v>14.5</v>
      </c>
      <c r="K2641" s="336">
        <v>9.3000000000000007</v>
      </c>
      <c r="L2641" s="336">
        <f t="shared" si="19"/>
        <v>5.1999999999999993</v>
      </c>
      <c r="M2641" s="337"/>
    </row>
    <row r="2642" spans="1:13" s="71" customFormat="1" ht="26.4">
      <c r="A2642" s="282">
        <v>341</v>
      </c>
      <c r="B2642" s="533"/>
      <c r="C2642" s="333" t="s">
        <v>3049</v>
      </c>
      <c r="D2642" s="333" t="s">
        <v>3132</v>
      </c>
      <c r="E2642" s="441" t="s">
        <v>13029</v>
      </c>
      <c r="F2642" s="334">
        <v>10310027</v>
      </c>
      <c r="G2642" s="311">
        <v>1905</v>
      </c>
      <c r="H2642" s="467" t="s">
        <v>3</v>
      </c>
      <c r="I2642" s="330" t="s">
        <v>3</v>
      </c>
      <c r="J2642" s="336">
        <v>190</v>
      </c>
      <c r="K2642" s="336">
        <v>114.8</v>
      </c>
      <c r="L2642" s="336">
        <f t="shared" si="19"/>
        <v>75.2</v>
      </c>
      <c r="M2642" s="337"/>
    </row>
    <row r="2643" spans="1:13" s="71" customFormat="1" ht="26.4">
      <c r="A2643" s="282">
        <v>342</v>
      </c>
      <c r="B2643" s="533"/>
      <c r="C2643" s="333" t="s">
        <v>3049</v>
      </c>
      <c r="D2643" s="333" t="s">
        <v>3074</v>
      </c>
      <c r="E2643" s="441" t="s">
        <v>3133</v>
      </c>
      <c r="F2643" s="334">
        <v>10579</v>
      </c>
      <c r="G2643" s="311">
        <v>1905</v>
      </c>
      <c r="H2643" s="340" t="s">
        <v>2658</v>
      </c>
      <c r="I2643" s="313">
        <v>420</v>
      </c>
      <c r="J2643" s="336">
        <v>0.9</v>
      </c>
      <c r="K2643" s="336">
        <v>0.5</v>
      </c>
      <c r="L2643" s="336">
        <f t="shared" si="19"/>
        <v>0.4</v>
      </c>
      <c r="M2643" s="337"/>
    </row>
    <row r="2644" spans="1:13" s="71" customFormat="1" ht="26.4">
      <c r="A2644" s="282">
        <v>343</v>
      </c>
      <c r="B2644" s="533"/>
      <c r="C2644" s="333" t="s">
        <v>3049</v>
      </c>
      <c r="D2644" s="333" t="s">
        <v>3074</v>
      </c>
      <c r="E2644" s="441" t="s">
        <v>627</v>
      </c>
      <c r="F2644" s="334">
        <v>230</v>
      </c>
      <c r="G2644" s="311">
        <v>1905</v>
      </c>
      <c r="H2644" s="329" t="s">
        <v>1149</v>
      </c>
      <c r="I2644" s="313">
        <v>4.5</v>
      </c>
      <c r="J2644" s="336">
        <v>0.8</v>
      </c>
      <c r="K2644" s="336">
        <v>0.2</v>
      </c>
      <c r="L2644" s="336">
        <f t="shared" si="19"/>
        <v>0.60000000000000009</v>
      </c>
      <c r="M2644" s="337"/>
    </row>
    <row r="2645" spans="1:13" s="71" customFormat="1" ht="26.4">
      <c r="A2645" s="282">
        <v>344</v>
      </c>
      <c r="B2645" s="533"/>
      <c r="C2645" s="333" t="s">
        <v>3049</v>
      </c>
      <c r="D2645" s="333" t="s">
        <v>3074</v>
      </c>
      <c r="E2645" s="441" t="s">
        <v>2681</v>
      </c>
      <c r="F2645" s="334">
        <v>2290</v>
      </c>
      <c r="G2645" s="311">
        <v>1905</v>
      </c>
      <c r="H2645" s="329" t="s">
        <v>1149</v>
      </c>
      <c r="I2645" s="313">
        <v>506</v>
      </c>
      <c r="J2645" s="336">
        <v>154.30000000000001</v>
      </c>
      <c r="K2645" s="336">
        <v>61.5</v>
      </c>
      <c r="L2645" s="336">
        <f t="shared" si="19"/>
        <v>92.800000000000011</v>
      </c>
      <c r="M2645" s="337"/>
    </row>
    <row r="2646" spans="1:13" s="71" customFormat="1" ht="26.4">
      <c r="A2646" s="282">
        <v>345</v>
      </c>
      <c r="B2646" s="533"/>
      <c r="C2646" s="333" t="s">
        <v>3049</v>
      </c>
      <c r="D2646" s="333" t="s">
        <v>3074</v>
      </c>
      <c r="E2646" s="441" t="s">
        <v>2729</v>
      </c>
      <c r="F2646" s="334">
        <v>2310</v>
      </c>
      <c r="G2646" s="311">
        <v>1905</v>
      </c>
      <c r="H2646" s="329" t="s">
        <v>1149</v>
      </c>
      <c r="I2646" s="313">
        <v>240.7</v>
      </c>
      <c r="J2646" s="336">
        <v>30.1</v>
      </c>
      <c r="K2646" s="336">
        <v>5.2</v>
      </c>
      <c r="L2646" s="336">
        <f t="shared" si="19"/>
        <v>24.900000000000002</v>
      </c>
      <c r="M2646" s="337"/>
    </row>
    <row r="2647" spans="1:13" s="71" customFormat="1" ht="26.4">
      <c r="A2647" s="282">
        <v>346</v>
      </c>
      <c r="B2647" s="533"/>
      <c r="C2647" s="333" t="s">
        <v>3049</v>
      </c>
      <c r="D2647" s="333" t="s">
        <v>3074</v>
      </c>
      <c r="E2647" s="441" t="s">
        <v>1079</v>
      </c>
      <c r="F2647" s="334">
        <v>2320</v>
      </c>
      <c r="G2647" s="311">
        <v>1905</v>
      </c>
      <c r="H2647" s="329" t="s">
        <v>1149</v>
      </c>
      <c r="I2647" s="313">
        <v>35.799999999999997</v>
      </c>
      <c r="J2647" s="336">
        <v>4.4000000000000004</v>
      </c>
      <c r="K2647" s="336">
        <v>1.1000000000000001</v>
      </c>
      <c r="L2647" s="336">
        <f t="shared" si="19"/>
        <v>3.3000000000000003</v>
      </c>
      <c r="M2647" s="337"/>
    </row>
    <row r="2648" spans="1:13" s="71" customFormat="1" ht="26.4">
      <c r="A2648" s="282">
        <v>347</v>
      </c>
      <c r="B2648" s="533"/>
      <c r="C2648" s="333" t="s">
        <v>3049</v>
      </c>
      <c r="D2648" s="333" t="s">
        <v>3074</v>
      </c>
      <c r="E2648" s="260" t="s">
        <v>3134</v>
      </c>
      <c r="F2648" s="310">
        <v>10623</v>
      </c>
      <c r="G2648" s="311">
        <v>1905</v>
      </c>
      <c r="H2648" s="340" t="s">
        <v>3</v>
      </c>
      <c r="I2648" s="313" t="s">
        <v>3</v>
      </c>
      <c r="J2648" s="314">
        <v>25.2</v>
      </c>
      <c r="K2648" s="314">
        <v>4.9000000000000004</v>
      </c>
      <c r="L2648" s="336">
        <f t="shared" si="19"/>
        <v>20.299999999999997</v>
      </c>
      <c r="M2648" s="337"/>
    </row>
    <row r="2649" spans="1:13" s="71" customFormat="1" ht="26.4">
      <c r="A2649" s="282">
        <v>348</v>
      </c>
      <c r="B2649" s="533"/>
      <c r="C2649" s="333" t="s">
        <v>3049</v>
      </c>
      <c r="D2649" s="333" t="s">
        <v>3074</v>
      </c>
      <c r="E2649" s="260" t="s">
        <v>3134</v>
      </c>
      <c r="F2649" s="310">
        <v>10624</v>
      </c>
      <c r="G2649" s="311">
        <v>1905</v>
      </c>
      <c r="H2649" s="340" t="s">
        <v>3</v>
      </c>
      <c r="I2649" s="313" t="s">
        <v>3</v>
      </c>
      <c r="J2649" s="314">
        <v>25.2</v>
      </c>
      <c r="K2649" s="314">
        <v>4.9000000000000004</v>
      </c>
      <c r="L2649" s="336">
        <f t="shared" si="19"/>
        <v>20.299999999999997</v>
      </c>
      <c r="M2649" s="337"/>
    </row>
    <row r="2650" spans="1:13" s="71" customFormat="1" ht="26.4">
      <c r="A2650" s="282">
        <v>349</v>
      </c>
      <c r="B2650" s="533"/>
      <c r="C2650" s="333" t="s">
        <v>3049</v>
      </c>
      <c r="D2650" s="333" t="s">
        <v>3074</v>
      </c>
      <c r="E2650" s="260" t="s">
        <v>3134</v>
      </c>
      <c r="F2650" s="310">
        <v>10625</v>
      </c>
      <c r="G2650" s="311">
        <v>1905</v>
      </c>
      <c r="H2650" s="340" t="s">
        <v>3</v>
      </c>
      <c r="I2650" s="313" t="s">
        <v>3</v>
      </c>
      <c r="J2650" s="314">
        <v>25.2</v>
      </c>
      <c r="K2650" s="314">
        <v>4.9000000000000004</v>
      </c>
      <c r="L2650" s="336">
        <f t="shared" si="19"/>
        <v>20.299999999999997</v>
      </c>
      <c r="M2650" s="337"/>
    </row>
    <row r="2651" spans="1:13" s="71" customFormat="1" ht="26.4">
      <c r="A2651" s="282">
        <v>350</v>
      </c>
      <c r="B2651" s="533"/>
      <c r="C2651" s="333" t="s">
        <v>3049</v>
      </c>
      <c r="D2651" s="333" t="s">
        <v>3074</v>
      </c>
      <c r="E2651" s="260" t="s">
        <v>3134</v>
      </c>
      <c r="F2651" s="310">
        <v>10626</v>
      </c>
      <c r="G2651" s="311">
        <v>1905</v>
      </c>
      <c r="H2651" s="340" t="s">
        <v>3</v>
      </c>
      <c r="I2651" s="313" t="s">
        <v>3</v>
      </c>
      <c r="J2651" s="314">
        <v>25.2</v>
      </c>
      <c r="K2651" s="314">
        <v>4.9000000000000004</v>
      </c>
      <c r="L2651" s="336">
        <f t="shared" si="19"/>
        <v>20.299999999999997</v>
      </c>
      <c r="M2651" s="337"/>
    </row>
    <row r="2652" spans="1:13" s="71" customFormat="1" ht="26.4">
      <c r="A2652" s="282">
        <v>351</v>
      </c>
      <c r="B2652" s="533"/>
      <c r="C2652" s="333" t="s">
        <v>3049</v>
      </c>
      <c r="D2652" s="333" t="s">
        <v>3074</v>
      </c>
      <c r="E2652" s="260" t="s">
        <v>3134</v>
      </c>
      <c r="F2652" s="310">
        <v>10627</v>
      </c>
      <c r="G2652" s="311">
        <v>1905</v>
      </c>
      <c r="H2652" s="340" t="s">
        <v>3</v>
      </c>
      <c r="I2652" s="313" t="s">
        <v>3</v>
      </c>
      <c r="J2652" s="314">
        <v>25.2</v>
      </c>
      <c r="K2652" s="314">
        <v>4.9000000000000004</v>
      </c>
      <c r="L2652" s="336">
        <f t="shared" si="19"/>
        <v>20.299999999999997</v>
      </c>
      <c r="M2652" s="337"/>
    </row>
    <row r="2653" spans="1:13" s="71" customFormat="1" ht="26.4">
      <c r="A2653" s="282">
        <v>352</v>
      </c>
      <c r="B2653" s="533"/>
      <c r="C2653" s="333" t="s">
        <v>3049</v>
      </c>
      <c r="D2653" s="333" t="s">
        <v>3074</v>
      </c>
      <c r="E2653" s="260" t="s">
        <v>3134</v>
      </c>
      <c r="F2653" s="310">
        <v>10628</v>
      </c>
      <c r="G2653" s="311">
        <v>1905</v>
      </c>
      <c r="H2653" s="340" t="s">
        <v>3</v>
      </c>
      <c r="I2653" s="313" t="s">
        <v>3</v>
      </c>
      <c r="J2653" s="314">
        <v>25.2</v>
      </c>
      <c r="K2653" s="314">
        <v>4.9000000000000004</v>
      </c>
      <c r="L2653" s="336">
        <f t="shared" si="19"/>
        <v>20.299999999999997</v>
      </c>
      <c r="M2653" s="337"/>
    </row>
    <row r="2654" spans="1:13" s="71" customFormat="1" ht="26.4">
      <c r="A2654" s="282">
        <v>353</v>
      </c>
      <c r="B2654" s="533"/>
      <c r="C2654" s="333" t="s">
        <v>3049</v>
      </c>
      <c r="D2654" s="333" t="s">
        <v>3074</v>
      </c>
      <c r="E2654" s="260" t="s">
        <v>3134</v>
      </c>
      <c r="F2654" s="310">
        <v>10629</v>
      </c>
      <c r="G2654" s="311">
        <v>1905</v>
      </c>
      <c r="H2654" s="340" t="s">
        <v>3</v>
      </c>
      <c r="I2654" s="313" t="s">
        <v>3</v>
      </c>
      <c r="J2654" s="314">
        <v>25.2</v>
      </c>
      <c r="K2654" s="314">
        <v>4.9000000000000004</v>
      </c>
      <c r="L2654" s="336">
        <f t="shared" si="19"/>
        <v>20.299999999999997</v>
      </c>
      <c r="M2654" s="337"/>
    </row>
    <row r="2655" spans="1:13" s="71" customFormat="1" ht="26.4">
      <c r="A2655" s="282">
        <v>354</v>
      </c>
      <c r="B2655" s="533"/>
      <c r="C2655" s="333" t="s">
        <v>3049</v>
      </c>
      <c r="D2655" s="333" t="s">
        <v>3074</v>
      </c>
      <c r="E2655" s="260" t="s">
        <v>3134</v>
      </c>
      <c r="F2655" s="310">
        <v>10630</v>
      </c>
      <c r="G2655" s="311">
        <v>1905</v>
      </c>
      <c r="H2655" s="340" t="s">
        <v>3</v>
      </c>
      <c r="I2655" s="313" t="s">
        <v>3</v>
      </c>
      <c r="J2655" s="314">
        <v>25.2</v>
      </c>
      <c r="K2655" s="314">
        <v>4.9000000000000004</v>
      </c>
      <c r="L2655" s="336">
        <f t="shared" si="19"/>
        <v>20.299999999999997</v>
      </c>
      <c r="M2655" s="337"/>
    </row>
    <row r="2656" spans="1:13" s="71" customFormat="1" ht="26.4">
      <c r="A2656" s="282">
        <v>355</v>
      </c>
      <c r="B2656" s="533"/>
      <c r="C2656" s="333" t="s">
        <v>3049</v>
      </c>
      <c r="D2656" s="333" t="s">
        <v>3074</v>
      </c>
      <c r="E2656" s="514" t="s">
        <v>13320</v>
      </c>
      <c r="F2656" s="310">
        <v>10621</v>
      </c>
      <c r="G2656" s="311">
        <v>1905</v>
      </c>
      <c r="H2656" s="340" t="s">
        <v>3</v>
      </c>
      <c r="I2656" s="313" t="s">
        <v>3</v>
      </c>
      <c r="J2656" s="314">
        <v>8.1</v>
      </c>
      <c r="K2656" s="314">
        <v>1.6</v>
      </c>
      <c r="L2656" s="336">
        <f t="shared" si="19"/>
        <v>6.5</v>
      </c>
      <c r="M2656" s="337"/>
    </row>
    <row r="2657" spans="1:13" s="71" customFormat="1" ht="26.4">
      <c r="A2657" s="282">
        <v>356</v>
      </c>
      <c r="B2657" s="533"/>
      <c r="C2657" s="333" t="s">
        <v>3049</v>
      </c>
      <c r="D2657" s="333" t="s">
        <v>3074</v>
      </c>
      <c r="E2657" s="514" t="s">
        <v>13320</v>
      </c>
      <c r="F2657" s="310">
        <v>10622</v>
      </c>
      <c r="G2657" s="311">
        <v>1905</v>
      </c>
      <c r="H2657" s="340" t="s">
        <v>3</v>
      </c>
      <c r="I2657" s="313" t="s">
        <v>3</v>
      </c>
      <c r="J2657" s="314">
        <v>8.1</v>
      </c>
      <c r="K2657" s="314">
        <v>1.6</v>
      </c>
      <c r="L2657" s="336">
        <f t="shared" si="19"/>
        <v>6.5</v>
      </c>
      <c r="M2657" s="337"/>
    </row>
    <row r="2658" spans="1:13" s="71" customFormat="1" ht="26.4">
      <c r="A2658" s="282">
        <v>357</v>
      </c>
      <c r="B2658" s="533"/>
      <c r="C2658" s="333" t="s">
        <v>3049</v>
      </c>
      <c r="D2658" s="333" t="s">
        <v>3074</v>
      </c>
      <c r="E2658" s="260" t="s">
        <v>3135</v>
      </c>
      <c r="F2658" s="310">
        <v>10577</v>
      </c>
      <c r="G2658" s="311">
        <v>1905</v>
      </c>
      <c r="H2658" s="340" t="s">
        <v>1136</v>
      </c>
      <c r="I2658" s="313">
        <v>3000</v>
      </c>
      <c r="J2658" s="314">
        <v>55.8</v>
      </c>
      <c r="K2658" s="314">
        <v>15.5</v>
      </c>
      <c r="L2658" s="336">
        <f t="shared" si="19"/>
        <v>40.299999999999997</v>
      </c>
      <c r="M2658" s="337"/>
    </row>
    <row r="2659" spans="1:13" s="71" customFormat="1" ht="26.4">
      <c r="A2659" s="282">
        <v>358</v>
      </c>
      <c r="B2659" s="533"/>
      <c r="C2659" s="333" t="s">
        <v>3049</v>
      </c>
      <c r="D2659" s="333" t="s">
        <v>3074</v>
      </c>
      <c r="E2659" s="260" t="s">
        <v>3136</v>
      </c>
      <c r="F2659" s="310">
        <v>10578</v>
      </c>
      <c r="G2659" s="311">
        <v>1905</v>
      </c>
      <c r="H2659" s="340" t="s">
        <v>1136</v>
      </c>
      <c r="I2659" s="313">
        <v>50</v>
      </c>
      <c r="J2659" s="314">
        <v>8.1</v>
      </c>
      <c r="K2659" s="314">
        <v>2.8</v>
      </c>
      <c r="L2659" s="336">
        <f t="shared" si="19"/>
        <v>5.3</v>
      </c>
      <c r="M2659" s="337"/>
    </row>
    <row r="2660" spans="1:13" s="71" customFormat="1" ht="26.4">
      <c r="A2660" s="282">
        <v>359</v>
      </c>
      <c r="B2660" s="533"/>
      <c r="C2660" s="333" t="s">
        <v>3049</v>
      </c>
      <c r="D2660" s="333" t="s">
        <v>3074</v>
      </c>
      <c r="E2660" s="260" t="s">
        <v>3137</v>
      </c>
      <c r="F2660" s="310">
        <v>20594</v>
      </c>
      <c r="G2660" s="311">
        <v>1905</v>
      </c>
      <c r="H2660" s="340" t="s">
        <v>2658</v>
      </c>
      <c r="I2660" s="313">
        <v>41.5</v>
      </c>
      <c r="J2660" s="314">
        <v>0.4</v>
      </c>
      <c r="K2660" s="314">
        <v>0.1</v>
      </c>
      <c r="L2660" s="336">
        <f t="shared" si="19"/>
        <v>0.30000000000000004</v>
      </c>
      <c r="M2660" s="337"/>
    </row>
    <row r="2661" spans="1:13" s="71" customFormat="1" ht="26.4">
      <c r="A2661" s="282">
        <v>360</v>
      </c>
      <c r="B2661" s="533"/>
      <c r="C2661" s="333" t="s">
        <v>3049</v>
      </c>
      <c r="D2661" s="333" t="s">
        <v>3074</v>
      </c>
      <c r="E2661" s="260" t="s">
        <v>3137</v>
      </c>
      <c r="F2661" s="310">
        <v>20595</v>
      </c>
      <c r="G2661" s="311">
        <v>1905</v>
      </c>
      <c r="H2661" s="340" t="s">
        <v>2658</v>
      </c>
      <c r="I2661" s="313">
        <v>41.5</v>
      </c>
      <c r="J2661" s="314">
        <v>0.4</v>
      </c>
      <c r="K2661" s="314">
        <v>0.1</v>
      </c>
      <c r="L2661" s="336">
        <f t="shared" si="19"/>
        <v>0.30000000000000004</v>
      </c>
      <c r="M2661" s="337"/>
    </row>
    <row r="2662" spans="1:13" s="71" customFormat="1" ht="26.4">
      <c r="A2662" s="282">
        <v>361</v>
      </c>
      <c r="B2662" s="533"/>
      <c r="C2662" s="333" t="s">
        <v>3049</v>
      </c>
      <c r="D2662" s="333" t="s">
        <v>3074</v>
      </c>
      <c r="E2662" s="260" t="s">
        <v>3138</v>
      </c>
      <c r="F2662" s="310">
        <v>20597</v>
      </c>
      <c r="G2662" s="311">
        <v>1905</v>
      </c>
      <c r="H2662" s="340" t="s">
        <v>2658</v>
      </c>
      <c r="I2662" s="313">
        <v>128</v>
      </c>
      <c r="J2662" s="314">
        <v>0.7</v>
      </c>
      <c r="K2662" s="314">
        <v>0.2</v>
      </c>
      <c r="L2662" s="336">
        <f t="shared" si="19"/>
        <v>0.49999999999999994</v>
      </c>
      <c r="M2662" s="337"/>
    </row>
    <row r="2663" spans="1:13" s="71" customFormat="1" ht="26.4">
      <c r="A2663" s="282">
        <v>362</v>
      </c>
      <c r="B2663" s="533"/>
      <c r="C2663" s="333" t="s">
        <v>3049</v>
      </c>
      <c r="D2663" s="333" t="s">
        <v>3074</v>
      </c>
      <c r="E2663" s="260" t="s">
        <v>3139</v>
      </c>
      <c r="F2663" s="310">
        <v>20596</v>
      </c>
      <c r="G2663" s="311">
        <v>1905</v>
      </c>
      <c r="H2663" s="340" t="s">
        <v>2658</v>
      </c>
      <c r="I2663" s="313">
        <v>102</v>
      </c>
      <c r="J2663" s="314">
        <v>1.3</v>
      </c>
      <c r="K2663" s="314">
        <v>0.4</v>
      </c>
      <c r="L2663" s="336">
        <f t="shared" si="19"/>
        <v>0.9</v>
      </c>
      <c r="M2663" s="337"/>
    </row>
    <row r="2664" spans="1:13" s="71" customFormat="1" ht="26.4">
      <c r="A2664" s="282">
        <v>363</v>
      </c>
      <c r="B2664" s="533"/>
      <c r="C2664" s="333" t="s">
        <v>3049</v>
      </c>
      <c r="D2664" s="333" t="s">
        <v>3074</v>
      </c>
      <c r="E2664" s="260" t="s">
        <v>3140</v>
      </c>
      <c r="F2664" s="310">
        <v>20598</v>
      </c>
      <c r="G2664" s="311">
        <v>1905</v>
      </c>
      <c r="H2664" s="340" t="s">
        <v>2658</v>
      </c>
      <c r="I2664" s="313">
        <v>87</v>
      </c>
      <c r="J2664" s="314">
        <v>0.3</v>
      </c>
      <c r="K2664" s="314">
        <v>0.1</v>
      </c>
      <c r="L2664" s="336">
        <f t="shared" si="19"/>
        <v>0.19999999999999998</v>
      </c>
      <c r="M2664" s="337"/>
    </row>
    <row r="2665" spans="1:13" s="71" customFormat="1" ht="26.4">
      <c r="A2665" s="282">
        <v>364</v>
      </c>
      <c r="B2665" s="533"/>
      <c r="C2665" s="333" t="s">
        <v>3049</v>
      </c>
      <c r="D2665" s="333" t="s">
        <v>3074</v>
      </c>
      <c r="E2665" s="260" t="s">
        <v>3141</v>
      </c>
      <c r="F2665" s="310">
        <v>20599</v>
      </c>
      <c r="G2665" s="311">
        <v>1905</v>
      </c>
      <c r="H2665" s="340" t="s">
        <v>2658</v>
      </c>
      <c r="I2665" s="313">
        <v>101</v>
      </c>
      <c r="J2665" s="314">
        <v>0.3</v>
      </c>
      <c r="K2665" s="314">
        <v>0.1</v>
      </c>
      <c r="L2665" s="336">
        <f t="shared" si="19"/>
        <v>0.19999999999999998</v>
      </c>
      <c r="M2665" s="337"/>
    </row>
    <row r="2666" spans="1:13" s="71" customFormat="1" ht="26.4">
      <c r="A2666" s="282">
        <v>365</v>
      </c>
      <c r="B2666" s="533"/>
      <c r="C2666" s="333" t="s">
        <v>3049</v>
      </c>
      <c r="D2666" s="333" t="s">
        <v>3074</v>
      </c>
      <c r="E2666" s="260" t="s">
        <v>1147</v>
      </c>
      <c r="F2666" s="310">
        <v>20600</v>
      </c>
      <c r="G2666" s="311">
        <v>1905</v>
      </c>
      <c r="H2666" s="340" t="s">
        <v>2658</v>
      </c>
      <c r="I2666" s="313">
        <v>1080</v>
      </c>
      <c r="J2666" s="314">
        <v>0.7</v>
      </c>
      <c r="K2666" s="314">
        <v>0.2</v>
      </c>
      <c r="L2666" s="336">
        <f t="shared" si="19"/>
        <v>0.49999999999999994</v>
      </c>
      <c r="M2666" s="337"/>
    </row>
    <row r="2667" spans="1:13" s="71" customFormat="1" ht="26.4">
      <c r="A2667" s="282">
        <v>366</v>
      </c>
      <c r="B2667" s="533"/>
      <c r="C2667" s="333" t="s">
        <v>3049</v>
      </c>
      <c r="D2667" s="333" t="s">
        <v>3074</v>
      </c>
      <c r="E2667" s="260" t="s">
        <v>3142</v>
      </c>
      <c r="F2667" s="310">
        <v>20601</v>
      </c>
      <c r="G2667" s="311">
        <v>1905</v>
      </c>
      <c r="H2667" s="340" t="s">
        <v>3</v>
      </c>
      <c r="I2667" s="313" t="s">
        <v>3</v>
      </c>
      <c r="J2667" s="314">
        <v>0.4</v>
      </c>
      <c r="K2667" s="314">
        <v>0.1</v>
      </c>
      <c r="L2667" s="336">
        <f t="shared" si="19"/>
        <v>0.30000000000000004</v>
      </c>
      <c r="M2667" s="337"/>
    </row>
    <row r="2668" spans="1:13" s="71" customFormat="1" ht="26.4">
      <c r="A2668" s="282">
        <v>367</v>
      </c>
      <c r="B2668" s="533"/>
      <c r="C2668" s="333" t="s">
        <v>3049</v>
      </c>
      <c r="D2668" s="333" t="s">
        <v>3074</v>
      </c>
      <c r="E2668" s="260" t="s">
        <v>3143</v>
      </c>
      <c r="F2668" s="310">
        <v>20602</v>
      </c>
      <c r="G2668" s="311">
        <v>1905</v>
      </c>
      <c r="H2668" s="340" t="s">
        <v>2658</v>
      </c>
      <c r="I2668" s="313">
        <v>70</v>
      </c>
      <c r="J2668" s="314">
        <v>0.3</v>
      </c>
      <c r="K2668" s="314">
        <v>0.1</v>
      </c>
      <c r="L2668" s="336">
        <f t="shared" si="19"/>
        <v>0.19999999999999998</v>
      </c>
      <c r="M2668" s="337"/>
    </row>
    <row r="2669" spans="1:13" s="71" customFormat="1" ht="26.4">
      <c r="A2669" s="282">
        <v>368</v>
      </c>
      <c r="B2669" s="533"/>
      <c r="C2669" s="333" t="s">
        <v>3049</v>
      </c>
      <c r="D2669" s="333" t="s">
        <v>3074</v>
      </c>
      <c r="E2669" s="260" t="s">
        <v>3144</v>
      </c>
      <c r="F2669" s="310">
        <v>20603</v>
      </c>
      <c r="G2669" s="311">
        <v>1905</v>
      </c>
      <c r="H2669" s="340" t="s">
        <v>2658</v>
      </c>
      <c r="I2669" s="313">
        <v>100</v>
      </c>
      <c r="J2669" s="314">
        <v>0.3</v>
      </c>
      <c r="K2669" s="314">
        <v>0.1</v>
      </c>
      <c r="L2669" s="336">
        <f t="shared" si="19"/>
        <v>0.19999999999999998</v>
      </c>
      <c r="M2669" s="337"/>
    </row>
    <row r="2670" spans="1:13" s="71" customFormat="1" ht="26.4">
      <c r="A2670" s="282">
        <v>369</v>
      </c>
      <c r="B2670" s="533"/>
      <c r="C2670" s="333" t="s">
        <v>3049</v>
      </c>
      <c r="D2670" s="333" t="s">
        <v>3074</v>
      </c>
      <c r="E2670" s="260" t="s">
        <v>3145</v>
      </c>
      <c r="F2670" s="310">
        <v>2510</v>
      </c>
      <c r="G2670" s="311">
        <v>1905</v>
      </c>
      <c r="H2670" s="340" t="s">
        <v>1149</v>
      </c>
      <c r="I2670" s="313">
        <v>551</v>
      </c>
      <c r="J2670" s="314">
        <v>421.5</v>
      </c>
      <c r="K2670" s="314">
        <v>36</v>
      </c>
      <c r="L2670" s="336">
        <f t="shared" si="19"/>
        <v>385.5</v>
      </c>
      <c r="M2670" s="337"/>
    </row>
    <row r="2671" spans="1:13" s="71" customFormat="1" ht="26.4">
      <c r="A2671" s="282">
        <v>370</v>
      </c>
      <c r="B2671" s="533"/>
      <c r="C2671" s="333" t="s">
        <v>3049</v>
      </c>
      <c r="D2671" s="333" t="s">
        <v>3074</v>
      </c>
      <c r="E2671" s="260" t="s">
        <v>3146</v>
      </c>
      <c r="F2671" s="310">
        <v>2520</v>
      </c>
      <c r="G2671" s="311">
        <v>1905</v>
      </c>
      <c r="H2671" s="340" t="s">
        <v>1149</v>
      </c>
      <c r="I2671" s="313">
        <v>32</v>
      </c>
      <c r="J2671" s="314">
        <v>5.7</v>
      </c>
      <c r="K2671" s="314">
        <v>0.5</v>
      </c>
      <c r="L2671" s="336">
        <f t="shared" si="19"/>
        <v>5.2</v>
      </c>
      <c r="M2671" s="337"/>
    </row>
    <row r="2672" spans="1:13" s="71" customFormat="1" ht="26.4">
      <c r="A2672" s="282">
        <v>371</v>
      </c>
      <c r="B2672" s="533"/>
      <c r="C2672" s="333" t="s">
        <v>3049</v>
      </c>
      <c r="D2672" s="333" t="s">
        <v>3074</v>
      </c>
      <c r="E2672" s="260" t="s">
        <v>627</v>
      </c>
      <c r="F2672" s="310">
        <v>253</v>
      </c>
      <c r="G2672" s="311">
        <v>1905</v>
      </c>
      <c r="H2672" s="340" t="s">
        <v>1149</v>
      </c>
      <c r="I2672" s="313">
        <v>4.5999999999999996</v>
      </c>
      <c r="J2672" s="314">
        <v>14.6</v>
      </c>
      <c r="K2672" s="314">
        <v>1.3</v>
      </c>
      <c r="L2672" s="336">
        <f t="shared" si="19"/>
        <v>13.299999999999999</v>
      </c>
      <c r="M2672" s="337"/>
    </row>
    <row r="2673" spans="1:13" s="71" customFormat="1" ht="26.4">
      <c r="A2673" s="282">
        <v>372</v>
      </c>
      <c r="B2673" s="533"/>
      <c r="C2673" s="333" t="s">
        <v>3049</v>
      </c>
      <c r="D2673" s="333" t="s">
        <v>3074</v>
      </c>
      <c r="E2673" s="260" t="s">
        <v>3147</v>
      </c>
      <c r="F2673" s="310">
        <v>106120</v>
      </c>
      <c r="G2673" s="311">
        <v>1905</v>
      </c>
      <c r="H2673" s="340" t="s">
        <v>3</v>
      </c>
      <c r="I2673" s="330" t="s">
        <v>3</v>
      </c>
      <c r="J2673" s="314">
        <v>44.8</v>
      </c>
      <c r="K2673" s="314">
        <v>5.6</v>
      </c>
      <c r="L2673" s="336">
        <f t="shared" si="19"/>
        <v>39.199999999999996</v>
      </c>
      <c r="M2673" s="337"/>
    </row>
    <row r="2674" spans="1:13" s="71" customFormat="1" ht="26.4">
      <c r="A2674" s="282">
        <v>373</v>
      </c>
      <c r="B2674" s="533"/>
      <c r="C2674" s="333" t="s">
        <v>3049</v>
      </c>
      <c r="D2674" s="333" t="s">
        <v>3074</v>
      </c>
      <c r="E2674" s="260" t="s">
        <v>3148</v>
      </c>
      <c r="F2674" s="310">
        <v>106130</v>
      </c>
      <c r="G2674" s="311">
        <v>1905</v>
      </c>
      <c r="H2674" s="340" t="s">
        <v>3</v>
      </c>
      <c r="I2674" s="330" t="s">
        <v>3</v>
      </c>
      <c r="J2674" s="314">
        <v>3.8</v>
      </c>
      <c r="K2674" s="314">
        <v>0.5</v>
      </c>
      <c r="L2674" s="336">
        <f t="shared" si="19"/>
        <v>3.3</v>
      </c>
      <c r="M2674" s="337"/>
    </row>
    <row r="2675" spans="1:13" s="71" customFormat="1" ht="26.4">
      <c r="A2675" s="282">
        <v>374</v>
      </c>
      <c r="B2675" s="533"/>
      <c r="C2675" s="333" t="s">
        <v>3049</v>
      </c>
      <c r="D2675" s="333" t="s">
        <v>3074</v>
      </c>
      <c r="E2675" s="260" t="s">
        <v>3149</v>
      </c>
      <c r="F2675" s="310">
        <v>106140</v>
      </c>
      <c r="G2675" s="311">
        <v>1905</v>
      </c>
      <c r="H2675" s="340" t="s">
        <v>3</v>
      </c>
      <c r="I2675" s="330" t="s">
        <v>3</v>
      </c>
      <c r="J2675" s="314">
        <v>5.8</v>
      </c>
      <c r="K2675" s="314">
        <v>0.7</v>
      </c>
      <c r="L2675" s="336">
        <f t="shared" si="19"/>
        <v>5.0999999999999996</v>
      </c>
      <c r="M2675" s="337"/>
    </row>
    <row r="2676" spans="1:13" s="71" customFormat="1" ht="26.4">
      <c r="A2676" s="282">
        <v>375</v>
      </c>
      <c r="B2676" s="533"/>
      <c r="C2676" s="333" t="s">
        <v>3049</v>
      </c>
      <c r="D2676" s="333" t="s">
        <v>3074</v>
      </c>
      <c r="E2676" s="260" t="s">
        <v>3150</v>
      </c>
      <c r="F2676" s="310">
        <v>106150</v>
      </c>
      <c r="G2676" s="311">
        <v>1905</v>
      </c>
      <c r="H2676" s="340" t="s">
        <v>2658</v>
      </c>
      <c r="I2676" s="313">
        <v>60</v>
      </c>
      <c r="J2676" s="314">
        <v>29</v>
      </c>
      <c r="K2676" s="314">
        <v>3.6</v>
      </c>
      <c r="L2676" s="336">
        <f t="shared" si="19"/>
        <v>25.4</v>
      </c>
      <c r="M2676" s="337"/>
    </row>
    <row r="2677" spans="1:13" s="71" customFormat="1" ht="26.4">
      <c r="A2677" s="282">
        <v>376</v>
      </c>
      <c r="B2677" s="533"/>
      <c r="C2677" s="333" t="s">
        <v>3049</v>
      </c>
      <c r="D2677" s="333" t="s">
        <v>3074</v>
      </c>
      <c r="E2677" s="260" t="s">
        <v>3151</v>
      </c>
      <c r="F2677" s="310">
        <v>10631</v>
      </c>
      <c r="G2677" s="311">
        <v>1905</v>
      </c>
      <c r="H2677" s="340" t="s">
        <v>1136</v>
      </c>
      <c r="I2677" s="313">
        <v>15</v>
      </c>
      <c r="J2677" s="314">
        <v>11.1</v>
      </c>
      <c r="K2677" s="314">
        <v>2.2999999999999998</v>
      </c>
      <c r="L2677" s="336">
        <f t="shared" si="19"/>
        <v>8.8000000000000007</v>
      </c>
      <c r="M2677" s="337"/>
    </row>
    <row r="2678" spans="1:13" s="71" customFormat="1" ht="26.4">
      <c r="A2678" s="282">
        <v>377</v>
      </c>
      <c r="B2678" s="533"/>
      <c r="C2678" s="333" t="s">
        <v>3049</v>
      </c>
      <c r="D2678" s="333" t="s">
        <v>3074</v>
      </c>
      <c r="E2678" s="260" t="s">
        <v>3151</v>
      </c>
      <c r="F2678" s="310">
        <v>10632</v>
      </c>
      <c r="G2678" s="311">
        <v>1905</v>
      </c>
      <c r="H2678" s="340" t="s">
        <v>1136</v>
      </c>
      <c r="I2678" s="313">
        <v>15</v>
      </c>
      <c r="J2678" s="314">
        <v>11.1</v>
      </c>
      <c r="K2678" s="314">
        <v>2.2999999999999998</v>
      </c>
      <c r="L2678" s="336">
        <f t="shared" si="19"/>
        <v>8.8000000000000007</v>
      </c>
      <c r="M2678" s="337"/>
    </row>
    <row r="2679" spans="1:13" s="71" customFormat="1" ht="26.4">
      <c r="A2679" s="282">
        <v>378</v>
      </c>
      <c r="B2679" s="533"/>
      <c r="C2679" s="333" t="s">
        <v>3049</v>
      </c>
      <c r="D2679" s="333" t="s">
        <v>3074</v>
      </c>
      <c r="E2679" s="260" t="s">
        <v>3152</v>
      </c>
      <c r="F2679" s="310">
        <v>20661</v>
      </c>
      <c r="G2679" s="311">
        <v>1905</v>
      </c>
      <c r="H2679" s="340" t="s">
        <v>3</v>
      </c>
      <c r="I2679" s="330" t="s">
        <v>3</v>
      </c>
      <c r="J2679" s="314">
        <v>29.7</v>
      </c>
      <c r="K2679" s="314">
        <v>5.5</v>
      </c>
      <c r="L2679" s="336">
        <f t="shared" si="19"/>
        <v>24.2</v>
      </c>
      <c r="M2679" s="337"/>
    </row>
    <row r="2680" spans="1:13" s="71" customFormat="1" ht="26.4">
      <c r="A2680" s="282">
        <v>379</v>
      </c>
      <c r="B2680" s="533"/>
      <c r="C2680" s="333" t="s">
        <v>3049</v>
      </c>
      <c r="D2680" s="333" t="s">
        <v>3074</v>
      </c>
      <c r="E2680" s="260" t="s">
        <v>3153</v>
      </c>
      <c r="F2680" s="310">
        <v>206620</v>
      </c>
      <c r="G2680" s="311">
        <v>1905</v>
      </c>
      <c r="H2680" s="340" t="s">
        <v>3</v>
      </c>
      <c r="I2680" s="330" t="s">
        <v>3</v>
      </c>
      <c r="J2680" s="314">
        <v>19.399999999999999</v>
      </c>
      <c r="K2680" s="314">
        <v>3.6</v>
      </c>
      <c r="L2680" s="336">
        <f t="shared" si="19"/>
        <v>15.799999999999999</v>
      </c>
      <c r="M2680" s="337"/>
    </row>
    <row r="2681" spans="1:13" s="71" customFormat="1" ht="26.4">
      <c r="A2681" s="282">
        <v>380</v>
      </c>
      <c r="B2681" s="533"/>
      <c r="C2681" s="333" t="s">
        <v>3049</v>
      </c>
      <c r="D2681" s="333" t="s">
        <v>3074</v>
      </c>
      <c r="E2681" s="441" t="s">
        <v>3154</v>
      </c>
      <c r="F2681" s="334">
        <v>206630</v>
      </c>
      <c r="G2681" s="311">
        <v>1905</v>
      </c>
      <c r="H2681" s="340" t="s">
        <v>2658</v>
      </c>
      <c r="I2681" s="313">
        <v>1273</v>
      </c>
      <c r="J2681" s="336">
        <v>111</v>
      </c>
      <c r="K2681" s="336">
        <v>23.5</v>
      </c>
      <c r="L2681" s="336">
        <f t="shared" si="19"/>
        <v>87.5</v>
      </c>
      <c r="M2681" s="337"/>
    </row>
    <row r="2682" spans="1:13" s="71" customFormat="1" ht="26.4">
      <c r="A2682" s="282">
        <v>381</v>
      </c>
      <c r="B2682" s="533"/>
      <c r="C2682" s="333" t="s">
        <v>3049</v>
      </c>
      <c r="D2682" s="333" t="s">
        <v>3074</v>
      </c>
      <c r="E2682" s="441" t="s">
        <v>3155</v>
      </c>
      <c r="F2682" s="334">
        <v>20664</v>
      </c>
      <c r="G2682" s="311">
        <v>1905</v>
      </c>
      <c r="H2682" s="340" t="s">
        <v>2658</v>
      </c>
      <c r="I2682" s="313">
        <v>85</v>
      </c>
      <c r="J2682" s="336">
        <v>6.2</v>
      </c>
      <c r="K2682" s="336">
        <v>1.5</v>
      </c>
      <c r="L2682" s="336">
        <f t="shared" si="19"/>
        <v>4.7</v>
      </c>
      <c r="M2682" s="337"/>
    </row>
    <row r="2683" spans="1:13" s="71" customFormat="1" ht="26.4">
      <c r="A2683" s="282">
        <v>382</v>
      </c>
      <c r="B2683" s="533"/>
      <c r="C2683" s="333" t="s">
        <v>3049</v>
      </c>
      <c r="D2683" s="333" t="s">
        <v>3074</v>
      </c>
      <c r="E2683" s="441" t="s">
        <v>3156</v>
      </c>
      <c r="F2683" s="334">
        <v>20665</v>
      </c>
      <c r="G2683" s="311">
        <v>1905</v>
      </c>
      <c r="H2683" s="340" t="s">
        <v>2658</v>
      </c>
      <c r="I2683" s="313">
        <v>863</v>
      </c>
      <c r="J2683" s="336">
        <v>302.89999999999998</v>
      </c>
      <c r="K2683" s="336">
        <v>65.5</v>
      </c>
      <c r="L2683" s="336">
        <f t="shared" si="19"/>
        <v>237.39999999999998</v>
      </c>
      <c r="M2683" s="337"/>
    </row>
    <row r="2684" spans="1:13" s="71" customFormat="1" ht="39.6">
      <c r="A2684" s="282">
        <v>383</v>
      </c>
      <c r="B2684" s="533"/>
      <c r="C2684" s="333" t="s">
        <v>2669</v>
      </c>
      <c r="D2684" s="307" t="s">
        <v>3157</v>
      </c>
      <c r="E2684" s="441" t="s">
        <v>12662</v>
      </c>
      <c r="F2684" s="334">
        <v>104222</v>
      </c>
      <c r="G2684" s="311">
        <v>1905</v>
      </c>
      <c r="H2684" s="340" t="s">
        <v>3</v>
      </c>
      <c r="I2684" s="330" t="s">
        <v>3</v>
      </c>
      <c r="J2684" s="336">
        <v>44.1</v>
      </c>
      <c r="K2684" s="336">
        <v>17.7</v>
      </c>
      <c r="L2684" s="336">
        <f t="shared" si="19"/>
        <v>26.400000000000002</v>
      </c>
      <c r="M2684" s="337"/>
    </row>
    <row r="2685" spans="1:13" s="71" customFormat="1" ht="26.4">
      <c r="A2685" s="282">
        <v>384</v>
      </c>
      <c r="B2685" s="533"/>
      <c r="C2685" s="307" t="s">
        <v>2757</v>
      </c>
      <c r="D2685" s="307" t="s">
        <v>3158</v>
      </c>
      <c r="E2685" s="441" t="s">
        <v>3159</v>
      </c>
      <c r="F2685" s="334">
        <v>6729</v>
      </c>
      <c r="G2685" s="311">
        <v>1905</v>
      </c>
      <c r="H2685" s="340" t="s">
        <v>3</v>
      </c>
      <c r="I2685" s="330" t="s">
        <v>3</v>
      </c>
      <c r="J2685" s="336">
        <v>33.799999999999997</v>
      </c>
      <c r="K2685" s="336">
        <v>18.2</v>
      </c>
      <c r="L2685" s="336">
        <f t="shared" si="19"/>
        <v>15.599999999999998</v>
      </c>
      <c r="M2685" s="337"/>
    </row>
    <row r="2686" spans="1:13" s="71" customFormat="1" ht="26.4">
      <c r="A2686" s="282">
        <v>385</v>
      </c>
      <c r="B2686" s="533"/>
      <c r="C2686" s="307" t="s">
        <v>2757</v>
      </c>
      <c r="D2686" s="307" t="s">
        <v>3158</v>
      </c>
      <c r="E2686" s="441" t="s">
        <v>3160</v>
      </c>
      <c r="F2686" s="334">
        <v>6733</v>
      </c>
      <c r="G2686" s="311">
        <v>1905</v>
      </c>
      <c r="H2686" s="340" t="s">
        <v>3</v>
      </c>
      <c r="I2686" s="330" t="s">
        <v>3</v>
      </c>
      <c r="J2686" s="336">
        <v>101</v>
      </c>
      <c r="K2686" s="336">
        <v>54.3</v>
      </c>
      <c r="L2686" s="336">
        <f>J2686-K2686</f>
        <v>46.7</v>
      </c>
      <c r="M2686" s="337"/>
    </row>
    <row r="2687" spans="1:13" s="71" customFormat="1" ht="39.6">
      <c r="A2687" s="282">
        <v>386</v>
      </c>
      <c r="B2687" s="533"/>
      <c r="C2687" s="307" t="s">
        <v>3161</v>
      </c>
      <c r="D2687" s="307" t="s">
        <v>12966</v>
      </c>
      <c r="E2687" s="441" t="s">
        <v>3162</v>
      </c>
      <c r="F2687" s="334">
        <v>103017</v>
      </c>
      <c r="G2687" s="311">
        <v>1905</v>
      </c>
      <c r="H2687" s="340" t="s">
        <v>2658</v>
      </c>
      <c r="I2687" s="313">
        <v>2570</v>
      </c>
      <c r="J2687" s="336">
        <v>793.3</v>
      </c>
      <c r="K2687" s="336">
        <v>4.4000000000000004</v>
      </c>
      <c r="L2687" s="336">
        <f>J2687-K2687</f>
        <v>788.9</v>
      </c>
      <c r="M2687" s="337"/>
    </row>
    <row r="2688" spans="1:13" s="71" customFormat="1" ht="26.4" customHeight="1">
      <c r="A2688" s="324" t="s">
        <v>3</v>
      </c>
      <c r="B2688" s="341" t="s">
        <v>4</v>
      </c>
      <c r="C2688" s="342" t="s">
        <v>3</v>
      </c>
      <c r="D2688" s="342" t="s">
        <v>3</v>
      </c>
      <c r="E2688" s="343" t="s">
        <v>3</v>
      </c>
      <c r="F2688" s="344" t="s">
        <v>3</v>
      </c>
      <c r="G2688" s="345" t="s">
        <v>3</v>
      </c>
      <c r="H2688" s="423" t="s">
        <v>3</v>
      </c>
      <c r="I2688" s="343" t="s">
        <v>3</v>
      </c>
      <c r="J2688" s="346">
        <f>SUM(J2302:J2687)</f>
        <v>29385.9</v>
      </c>
      <c r="K2688" s="346">
        <f>SUM(K2302:K2687)</f>
        <v>20737.599999999984</v>
      </c>
      <c r="L2688" s="346">
        <f>SUM(L2302:L2687)</f>
        <v>8648.3000000000084</v>
      </c>
      <c r="M2688" s="337"/>
    </row>
    <row r="2689" spans="1:13" s="71" customFormat="1" ht="26.4">
      <c r="A2689" s="282">
        <v>1</v>
      </c>
      <c r="B2689" s="534" t="s">
        <v>3163</v>
      </c>
      <c r="C2689" s="333" t="s">
        <v>1169</v>
      </c>
      <c r="D2689" s="333" t="s">
        <v>3164</v>
      </c>
      <c r="E2689" s="236" t="s">
        <v>3165</v>
      </c>
      <c r="F2689" s="347" t="s">
        <v>3166</v>
      </c>
      <c r="G2689" s="311">
        <v>1968</v>
      </c>
      <c r="H2689" s="348" t="s">
        <v>1149</v>
      </c>
      <c r="I2689" s="349" t="s">
        <v>3167</v>
      </c>
      <c r="J2689" s="336">
        <v>107.7</v>
      </c>
      <c r="K2689" s="336">
        <v>101.8</v>
      </c>
      <c r="L2689" s="314">
        <f t="shared" ref="L2689:L2752" si="20">J2689-K2689</f>
        <v>5.9000000000000057</v>
      </c>
      <c r="M2689" s="337"/>
    </row>
    <row r="2690" spans="1:13" s="71" customFormat="1" ht="26.4">
      <c r="A2690" s="282">
        <v>2</v>
      </c>
      <c r="B2690" s="534"/>
      <c r="C2690" s="333" t="s">
        <v>1169</v>
      </c>
      <c r="D2690" s="308" t="s">
        <v>3168</v>
      </c>
      <c r="E2690" s="236" t="s">
        <v>3169</v>
      </c>
      <c r="F2690" s="347" t="s">
        <v>3170</v>
      </c>
      <c r="G2690" s="311">
        <v>1966</v>
      </c>
      <c r="H2690" s="348" t="s">
        <v>1149</v>
      </c>
      <c r="I2690" s="349" t="s">
        <v>3171</v>
      </c>
      <c r="J2690" s="336">
        <v>10.1</v>
      </c>
      <c r="K2690" s="336">
        <v>9.1999999999999993</v>
      </c>
      <c r="L2690" s="314">
        <f t="shared" si="20"/>
        <v>0.90000000000000036</v>
      </c>
      <c r="M2690" s="337"/>
    </row>
    <row r="2691" spans="1:13" s="71" customFormat="1" ht="26.4">
      <c r="A2691" s="282">
        <v>3</v>
      </c>
      <c r="B2691" s="534"/>
      <c r="C2691" s="333" t="s">
        <v>1169</v>
      </c>
      <c r="D2691" s="308" t="s">
        <v>3168</v>
      </c>
      <c r="E2691" s="236" t="s">
        <v>3172</v>
      </c>
      <c r="F2691" s="347" t="s">
        <v>3173</v>
      </c>
      <c r="G2691" s="311">
        <v>1975</v>
      </c>
      <c r="H2691" s="348" t="s">
        <v>1149</v>
      </c>
      <c r="I2691" s="349" t="s">
        <v>3174</v>
      </c>
      <c r="J2691" s="336">
        <v>67.5</v>
      </c>
      <c r="K2691" s="336">
        <v>55.6</v>
      </c>
      <c r="L2691" s="314">
        <f t="shared" si="20"/>
        <v>11.899999999999999</v>
      </c>
      <c r="M2691" s="337"/>
    </row>
    <row r="2692" spans="1:13" s="71" customFormat="1" ht="26.4">
      <c r="A2692" s="282">
        <v>4</v>
      </c>
      <c r="B2692" s="534"/>
      <c r="C2692" s="333" t="s">
        <v>1169</v>
      </c>
      <c r="D2692" s="333" t="s">
        <v>3175</v>
      </c>
      <c r="E2692" s="236" t="s">
        <v>12665</v>
      </c>
      <c r="F2692" s="347" t="s">
        <v>3176</v>
      </c>
      <c r="G2692" s="311">
        <v>1981</v>
      </c>
      <c r="H2692" s="348" t="s">
        <v>1149</v>
      </c>
      <c r="I2692" s="349" t="s">
        <v>3177</v>
      </c>
      <c r="J2692" s="336">
        <v>38.4</v>
      </c>
      <c r="K2692" s="336">
        <v>36.6</v>
      </c>
      <c r="L2692" s="314">
        <f t="shared" si="20"/>
        <v>1.7999999999999972</v>
      </c>
      <c r="M2692" s="337"/>
    </row>
    <row r="2693" spans="1:13" s="71" customFormat="1" ht="26.4">
      <c r="A2693" s="282">
        <v>5</v>
      </c>
      <c r="B2693" s="534"/>
      <c r="C2693" s="333" t="s">
        <v>1169</v>
      </c>
      <c r="D2693" s="333" t="s">
        <v>3178</v>
      </c>
      <c r="E2693" s="236" t="s">
        <v>13030</v>
      </c>
      <c r="F2693" s="347" t="s">
        <v>3179</v>
      </c>
      <c r="G2693" s="311">
        <v>1981</v>
      </c>
      <c r="H2693" s="348" t="s">
        <v>1149</v>
      </c>
      <c r="I2693" s="349" t="s">
        <v>3180</v>
      </c>
      <c r="J2693" s="336">
        <v>27.3</v>
      </c>
      <c r="K2693" s="336">
        <v>26.3</v>
      </c>
      <c r="L2693" s="314">
        <f t="shared" si="20"/>
        <v>1</v>
      </c>
      <c r="M2693" s="337"/>
    </row>
    <row r="2694" spans="1:13" s="71" customFormat="1" ht="26.4">
      <c r="A2694" s="282">
        <v>6</v>
      </c>
      <c r="B2694" s="534"/>
      <c r="C2694" s="333" t="s">
        <v>1169</v>
      </c>
      <c r="D2694" s="333" t="s">
        <v>3181</v>
      </c>
      <c r="E2694" s="236" t="s">
        <v>3182</v>
      </c>
      <c r="F2694" s="347" t="s">
        <v>3183</v>
      </c>
      <c r="G2694" s="311">
        <v>1981</v>
      </c>
      <c r="H2694" s="348" t="s">
        <v>1149</v>
      </c>
      <c r="I2694" s="349" t="s">
        <v>3184</v>
      </c>
      <c r="J2694" s="350">
        <v>185.9</v>
      </c>
      <c r="K2694" s="350">
        <v>154</v>
      </c>
      <c r="L2694" s="314">
        <f t="shared" si="20"/>
        <v>31.900000000000006</v>
      </c>
      <c r="M2694" s="337"/>
    </row>
    <row r="2695" spans="1:13" s="71" customFormat="1" ht="26.4">
      <c r="A2695" s="282">
        <v>7</v>
      </c>
      <c r="B2695" s="534"/>
      <c r="C2695" s="333" t="s">
        <v>1169</v>
      </c>
      <c r="D2695" s="307" t="s">
        <v>3185</v>
      </c>
      <c r="E2695" s="236" t="s">
        <v>3186</v>
      </c>
      <c r="F2695" s="347" t="s">
        <v>3187</v>
      </c>
      <c r="G2695" s="311">
        <v>1987</v>
      </c>
      <c r="H2695" s="348" t="s">
        <v>1149</v>
      </c>
      <c r="I2695" s="349" t="s">
        <v>3188</v>
      </c>
      <c r="J2695" s="350">
        <v>14.8</v>
      </c>
      <c r="K2695" s="350">
        <v>14</v>
      </c>
      <c r="L2695" s="314">
        <f t="shared" si="20"/>
        <v>0.80000000000000071</v>
      </c>
      <c r="M2695" s="337"/>
    </row>
    <row r="2696" spans="1:13" s="71" customFormat="1" ht="26.4">
      <c r="A2696" s="282">
        <v>8</v>
      </c>
      <c r="B2696" s="534"/>
      <c r="C2696" s="333" t="s">
        <v>1169</v>
      </c>
      <c r="D2696" s="307" t="s">
        <v>3185</v>
      </c>
      <c r="E2696" s="236" t="s">
        <v>3189</v>
      </c>
      <c r="F2696" s="347" t="s">
        <v>3187</v>
      </c>
      <c r="G2696" s="311">
        <v>1987</v>
      </c>
      <c r="H2696" s="348" t="s">
        <v>1149</v>
      </c>
      <c r="I2696" s="349" t="s">
        <v>3188</v>
      </c>
      <c r="J2696" s="336">
        <v>14.8</v>
      </c>
      <c r="K2696" s="336">
        <v>14</v>
      </c>
      <c r="L2696" s="314">
        <f t="shared" si="20"/>
        <v>0.80000000000000071</v>
      </c>
      <c r="M2696" s="337"/>
    </row>
    <row r="2697" spans="1:13" s="71" customFormat="1" ht="26.4">
      <c r="A2697" s="282">
        <v>9</v>
      </c>
      <c r="B2697" s="534"/>
      <c r="C2697" s="333" t="s">
        <v>1169</v>
      </c>
      <c r="D2697" s="307" t="s">
        <v>3185</v>
      </c>
      <c r="E2697" s="236" t="s">
        <v>12666</v>
      </c>
      <c r="F2697" s="347" t="s">
        <v>3190</v>
      </c>
      <c r="G2697" s="311">
        <v>1987</v>
      </c>
      <c r="H2697" s="348" t="s">
        <v>1149</v>
      </c>
      <c r="I2697" s="349" t="s">
        <v>3191</v>
      </c>
      <c r="J2697" s="336">
        <v>458.9</v>
      </c>
      <c r="K2697" s="336">
        <v>428.6</v>
      </c>
      <c r="L2697" s="314">
        <f t="shared" si="20"/>
        <v>30.299999999999955</v>
      </c>
      <c r="M2697" s="337"/>
    </row>
    <row r="2698" spans="1:13" s="71" customFormat="1" ht="26.4">
      <c r="A2698" s="282">
        <v>10</v>
      </c>
      <c r="B2698" s="534"/>
      <c r="C2698" s="333" t="s">
        <v>1169</v>
      </c>
      <c r="D2698" s="307" t="s">
        <v>3185</v>
      </c>
      <c r="E2698" s="236" t="s">
        <v>12667</v>
      </c>
      <c r="F2698" s="347" t="s">
        <v>3190</v>
      </c>
      <c r="G2698" s="311">
        <v>1987</v>
      </c>
      <c r="H2698" s="348" t="s">
        <v>1149</v>
      </c>
      <c r="I2698" s="349" t="s">
        <v>3191</v>
      </c>
      <c r="J2698" s="350">
        <v>229.5</v>
      </c>
      <c r="K2698" s="350">
        <v>210.5</v>
      </c>
      <c r="L2698" s="314">
        <f t="shared" si="20"/>
        <v>19</v>
      </c>
      <c r="M2698" s="337"/>
    </row>
    <row r="2699" spans="1:13" s="71" customFormat="1" ht="26.4">
      <c r="A2699" s="282">
        <v>11</v>
      </c>
      <c r="B2699" s="534"/>
      <c r="C2699" s="333" t="s">
        <v>1169</v>
      </c>
      <c r="D2699" s="307" t="s">
        <v>3185</v>
      </c>
      <c r="E2699" s="236" t="s">
        <v>12668</v>
      </c>
      <c r="F2699" s="347" t="s">
        <v>3190</v>
      </c>
      <c r="G2699" s="311">
        <v>1987</v>
      </c>
      <c r="H2699" s="348" t="s">
        <v>1149</v>
      </c>
      <c r="I2699" s="349" t="s">
        <v>3192</v>
      </c>
      <c r="J2699" s="350">
        <v>229.5</v>
      </c>
      <c r="K2699" s="350">
        <v>210.5</v>
      </c>
      <c r="L2699" s="314">
        <f t="shared" si="20"/>
        <v>19</v>
      </c>
      <c r="M2699" s="337"/>
    </row>
    <row r="2700" spans="1:13" s="71" customFormat="1" ht="26.4">
      <c r="A2700" s="282">
        <v>12</v>
      </c>
      <c r="B2700" s="534"/>
      <c r="C2700" s="333" t="s">
        <v>1169</v>
      </c>
      <c r="D2700" s="307" t="s">
        <v>3185</v>
      </c>
      <c r="E2700" s="236" t="s">
        <v>12663</v>
      </c>
      <c r="F2700" s="347" t="s">
        <v>3193</v>
      </c>
      <c r="G2700" s="311">
        <v>1987</v>
      </c>
      <c r="H2700" s="348" t="s">
        <v>1149</v>
      </c>
      <c r="I2700" s="349" t="s">
        <v>3194</v>
      </c>
      <c r="J2700" s="336">
        <v>58.2</v>
      </c>
      <c r="K2700" s="336">
        <v>54</v>
      </c>
      <c r="L2700" s="314">
        <f t="shared" si="20"/>
        <v>4.2000000000000028</v>
      </c>
      <c r="M2700" s="337"/>
    </row>
    <row r="2701" spans="1:13" s="71" customFormat="1" ht="26.4">
      <c r="A2701" s="282">
        <v>13</v>
      </c>
      <c r="B2701" s="534"/>
      <c r="C2701" s="333" t="s">
        <v>1169</v>
      </c>
      <c r="D2701" s="307" t="s">
        <v>3185</v>
      </c>
      <c r="E2701" s="236" t="s">
        <v>12664</v>
      </c>
      <c r="F2701" s="347" t="s">
        <v>3193</v>
      </c>
      <c r="G2701" s="311">
        <v>1987</v>
      </c>
      <c r="H2701" s="348" t="s">
        <v>1149</v>
      </c>
      <c r="I2701" s="349" t="s">
        <v>3194</v>
      </c>
      <c r="J2701" s="350">
        <v>58.2</v>
      </c>
      <c r="K2701" s="350">
        <v>54</v>
      </c>
      <c r="L2701" s="314">
        <f t="shared" si="20"/>
        <v>4.2000000000000028</v>
      </c>
      <c r="M2701" s="337"/>
    </row>
    <row r="2702" spans="1:13" s="71" customFormat="1" ht="26.4">
      <c r="A2702" s="282">
        <v>14</v>
      </c>
      <c r="B2702" s="534"/>
      <c r="C2702" s="333" t="s">
        <v>1169</v>
      </c>
      <c r="D2702" s="307" t="s">
        <v>3185</v>
      </c>
      <c r="E2702" s="236" t="s">
        <v>3195</v>
      </c>
      <c r="F2702" s="347" t="s">
        <v>3196</v>
      </c>
      <c r="G2702" s="311">
        <v>1987</v>
      </c>
      <c r="H2702" s="348" t="s">
        <v>1149</v>
      </c>
      <c r="I2702" s="349" t="s">
        <v>3197</v>
      </c>
      <c r="J2702" s="350">
        <v>226.2</v>
      </c>
      <c r="K2702" s="350">
        <v>205.4</v>
      </c>
      <c r="L2702" s="314">
        <f t="shared" si="20"/>
        <v>20.799999999999983</v>
      </c>
      <c r="M2702" s="337"/>
    </row>
    <row r="2703" spans="1:13" s="71" customFormat="1" ht="26.4">
      <c r="A2703" s="282">
        <v>15</v>
      </c>
      <c r="B2703" s="534"/>
      <c r="C2703" s="333" t="s">
        <v>1169</v>
      </c>
      <c r="D2703" s="307" t="s">
        <v>3185</v>
      </c>
      <c r="E2703" s="236" t="s">
        <v>3198</v>
      </c>
      <c r="F2703" s="347" t="s">
        <v>3196</v>
      </c>
      <c r="G2703" s="311">
        <v>1987</v>
      </c>
      <c r="H2703" s="348" t="s">
        <v>1149</v>
      </c>
      <c r="I2703" s="349" t="s">
        <v>3199</v>
      </c>
      <c r="J2703" s="350">
        <v>226.2</v>
      </c>
      <c r="K2703" s="350">
        <v>205.4</v>
      </c>
      <c r="L2703" s="314">
        <f t="shared" si="20"/>
        <v>20.799999999999983</v>
      </c>
      <c r="M2703" s="337"/>
    </row>
    <row r="2704" spans="1:13" s="71" customFormat="1" ht="26.4">
      <c r="A2704" s="282">
        <v>16</v>
      </c>
      <c r="B2704" s="534"/>
      <c r="C2704" s="333" t="s">
        <v>1169</v>
      </c>
      <c r="D2704" s="307" t="s">
        <v>3185</v>
      </c>
      <c r="E2704" s="236" t="s">
        <v>3200</v>
      </c>
      <c r="F2704" s="347" t="s">
        <v>3196</v>
      </c>
      <c r="G2704" s="311">
        <v>1987</v>
      </c>
      <c r="H2704" s="348" t="s">
        <v>1149</v>
      </c>
      <c r="I2704" s="349" t="s">
        <v>3201</v>
      </c>
      <c r="J2704" s="350">
        <v>226.2</v>
      </c>
      <c r="K2704" s="350">
        <v>205.4</v>
      </c>
      <c r="L2704" s="314">
        <f t="shared" si="20"/>
        <v>20.799999999999983</v>
      </c>
      <c r="M2704" s="337"/>
    </row>
    <row r="2705" spans="1:13" s="71" customFormat="1" ht="26.4">
      <c r="A2705" s="282">
        <v>17</v>
      </c>
      <c r="B2705" s="534"/>
      <c r="C2705" s="333" t="s">
        <v>1169</v>
      </c>
      <c r="D2705" s="307" t="s">
        <v>3185</v>
      </c>
      <c r="E2705" s="236" t="s">
        <v>13031</v>
      </c>
      <c r="F2705" s="347" t="s">
        <v>3202</v>
      </c>
      <c r="G2705" s="311">
        <v>1987</v>
      </c>
      <c r="H2705" s="348" t="s">
        <v>1149</v>
      </c>
      <c r="I2705" s="349" t="s">
        <v>3192</v>
      </c>
      <c r="J2705" s="350">
        <v>657.7</v>
      </c>
      <c r="K2705" s="350">
        <v>618.6</v>
      </c>
      <c r="L2705" s="314">
        <f t="shared" si="20"/>
        <v>39.100000000000023</v>
      </c>
      <c r="M2705" s="337"/>
    </row>
    <row r="2706" spans="1:13" s="71" customFormat="1" ht="26.4">
      <c r="A2706" s="282">
        <v>18</v>
      </c>
      <c r="B2706" s="534"/>
      <c r="C2706" s="333" t="s">
        <v>1169</v>
      </c>
      <c r="D2706" s="307" t="s">
        <v>3185</v>
      </c>
      <c r="E2706" s="236" t="s">
        <v>13032</v>
      </c>
      <c r="F2706" s="347" t="s">
        <v>3202</v>
      </c>
      <c r="G2706" s="311">
        <v>1987</v>
      </c>
      <c r="H2706" s="348" t="s">
        <v>1149</v>
      </c>
      <c r="I2706" s="349" t="s">
        <v>3192</v>
      </c>
      <c r="J2706" s="350">
        <v>164.4</v>
      </c>
      <c r="K2706" s="350">
        <v>152.19999999999999</v>
      </c>
      <c r="L2706" s="314">
        <f t="shared" si="20"/>
        <v>12.200000000000017</v>
      </c>
      <c r="M2706" s="337"/>
    </row>
    <row r="2707" spans="1:13" s="71" customFormat="1" ht="26.4">
      <c r="A2707" s="282">
        <v>19</v>
      </c>
      <c r="B2707" s="534"/>
      <c r="C2707" s="333" t="s">
        <v>1169</v>
      </c>
      <c r="D2707" s="307" t="s">
        <v>3185</v>
      </c>
      <c r="E2707" s="236" t="s">
        <v>13033</v>
      </c>
      <c r="F2707" s="347" t="s">
        <v>3202</v>
      </c>
      <c r="G2707" s="311">
        <v>1987</v>
      </c>
      <c r="H2707" s="348" t="s">
        <v>1149</v>
      </c>
      <c r="I2707" s="349" t="s">
        <v>3192</v>
      </c>
      <c r="J2707" s="350">
        <v>164.4</v>
      </c>
      <c r="K2707" s="350">
        <v>152.19999999999999</v>
      </c>
      <c r="L2707" s="314">
        <f t="shared" si="20"/>
        <v>12.200000000000017</v>
      </c>
      <c r="M2707" s="337"/>
    </row>
    <row r="2708" spans="1:13" s="71" customFormat="1" ht="26.4">
      <c r="A2708" s="282">
        <v>20</v>
      </c>
      <c r="B2708" s="534"/>
      <c r="C2708" s="333" t="s">
        <v>1169</v>
      </c>
      <c r="D2708" s="307" t="s">
        <v>3185</v>
      </c>
      <c r="E2708" s="236" t="s">
        <v>13034</v>
      </c>
      <c r="F2708" s="347" t="s">
        <v>3202</v>
      </c>
      <c r="G2708" s="311">
        <v>1987</v>
      </c>
      <c r="H2708" s="348" t="s">
        <v>1149</v>
      </c>
      <c r="I2708" s="349" t="s">
        <v>3192</v>
      </c>
      <c r="J2708" s="350">
        <v>164.4</v>
      </c>
      <c r="K2708" s="350">
        <v>152.19999999999999</v>
      </c>
      <c r="L2708" s="314">
        <f t="shared" si="20"/>
        <v>12.200000000000017</v>
      </c>
      <c r="M2708" s="337"/>
    </row>
    <row r="2709" spans="1:13" s="71" customFormat="1" ht="26.4">
      <c r="A2709" s="282">
        <v>21</v>
      </c>
      <c r="B2709" s="534"/>
      <c r="C2709" s="333" t="s">
        <v>1169</v>
      </c>
      <c r="D2709" s="307" t="s">
        <v>3185</v>
      </c>
      <c r="E2709" s="236" t="s">
        <v>3203</v>
      </c>
      <c r="F2709" s="347" t="s">
        <v>3204</v>
      </c>
      <c r="G2709" s="311">
        <v>1987</v>
      </c>
      <c r="H2709" s="348" t="s">
        <v>1149</v>
      </c>
      <c r="I2709" s="349" t="s">
        <v>3205</v>
      </c>
      <c r="J2709" s="350">
        <v>584.1</v>
      </c>
      <c r="K2709" s="350">
        <v>421.2</v>
      </c>
      <c r="L2709" s="314">
        <f t="shared" si="20"/>
        <v>162.90000000000003</v>
      </c>
      <c r="M2709" s="337"/>
    </row>
    <row r="2710" spans="1:13" s="71" customFormat="1" ht="26.4">
      <c r="A2710" s="282">
        <v>22</v>
      </c>
      <c r="B2710" s="534"/>
      <c r="C2710" s="333" t="s">
        <v>1169</v>
      </c>
      <c r="D2710" s="307" t="s">
        <v>3185</v>
      </c>
      <c r="E2710" s="236" t="s">
        <v>3206</v>
      </c>
      <c r="F2710" s="347" t="s">
        <v>3207</v>
      </c>
      <c r="G2710" s="311">
        <v>1987</v>
      </c>
      <c r="H2710" s="348" t="s">
        <v>1149</v>
      </c>
      <c r="I2710" s="349" t="s">
        <v>3208</v>
      </c>
      <c r="J2710" s="350">
        <v>41.9</v>
      </c>
      <c r="K2710" s="350">
        <v>27.8</v>
      </c>
      <c r="L2710" s="314">
        <f t="shared" si="20"/>
        <v>14.099999999999998</v>
      </c>
      <c r="M2710" s="337"/>
    </row>
    <row r="2711" spans="1:13" s="71" customFormat="1" ht="26.4">
      <c r="A2711" s="282">
        <v>23</v>
      </c>
      <c r="B2711" s="534"/>
      <c r="C2711" s="333" t="s">
        <v>1169</v>
      </c>
      <c r="D2711" s="307" t="s">
        <v>3185</v>
      </c>
      <c r="E2711" s="236" t="s">
        <v>3209</v>
      </c>
      <c r="F2711" s="347" t="s">
        <v>3207</v>
      </c>
      <c r="G2711" s="311">
        <v>1987</v>
      </c>
      <c r="H2711" s="348" t="s">
        <v>1149</v>
      </c>
      <c r="I2711" s="349" t="s">
        <v>3208</v>
      </c>
      <c r="J2711" s="350">
        <v>41.9</v>
      </c>
      <c r="K2711" s="350">
        <v>27.8</v>
      </c>
      <c r="L2711" s="314">
        <f t="shared" si="20"/>
        <v>14.099999999999998</v>
      </c>
      <c r="M2711" s="337"/>
    </row>
    <row r="2712" spans="1:13" s="71" customFormat="1" ht="26.4">
      <c r="A2712" s="282">
        <v>24</v>
      </c>
      <c r="B2712" s="534"/>
      <c r="C2712" s="333" t="s">
        <v>1169</v>
      </c>
      <c r="D2712" s="307" t="s">
        <v>3185</v>
      </c>
      <c r="E2712" s="236" t="s">
        <v>3210</v>
      </c>
      <c r="F2712" s="347" t="s">
        <v>3207</v>
      </c>
      <c r="G2712" s="311">
        <v>1987</v>
      </c>
      <c r="H2712" s="348" t="s">
        <v>1149</v>
      </c>
      <c r="I2712" s="349" t="s">
        <v>3208</v>
      </c>
      <c r="J2712" s="350">
        <v>41.9</v>
      </c>
      <c r="K2712" s="350">
        <v>27.8</v>
      </c>
      <c r="L2712" s="314">
        <f t="shared" si="20"/>
        <v>14.099999999999998</v>
      </c>
      <c r="M2712" s="337"/>
    </row>
    <row r="2713" spans="1:13" s="71" customFormat="1" ht="26.4">
      <c r="A2713" s="282">
        <v>25</v>
      </c>
      <c r="B2713" s="534"/>
      <c r="C2713" s="333" t="s">
        <v>1169</v>
      </c>
      <c r="D2713" s="307" t="s">
        <v>3185</v>
      </c>
      <c r="E2713" s="236" t="s">
        <v>3211</v>
      </c>
      <c r="F2713" s="347" t="s">
        <v>3207</v>
      </c>
      <c r="G2713" s="311">
        <v>1987</v>
      </c>
      <c r="H2713" s="348" t="s">
        <v>1149</v>
      </c>
      <c r="I2713" s="349" t="s">
        <v>3208</v>
      </c>
      <c r="J2713" s="350">
        <v>41.9</v>
      </c>
      <c r="K2713" s="350">
        <v>27.8</v>
      </c>
      <c r="L2713" s="314">
        <f t="shared" si="20"/>
        <v>14.099999999999998</v>
      </c>
      <c r="M2713" s="337"/>
    </row>
    <row r="2714" spans="1:13" s="71" customFormat="1" ht="26.4">
      <c r="A2714" s="282">
        <v>26</v>
      </c>
      <c r="B2714" s="534"/>
      <c r="C2714" s="333" t="s">
        <v>1169</v>
      </c>
      <c r="D2714" s="307" t="s">
        <v>3185</v>
      </c>
      <c r="E2714" s="236" t="s">
        <v>13264</v>
      </c>
      <c r="F2714" s="347" t="s">
        <v>3212</v>
      </c>
      <c r="G2714" s="311">
        <v>1987</v>
      </c>
      <c r="H2714" s="348" t="s">
        <v>1149</v>
      </c>
      <c r="I2714" s="349" t="s">
        <v>3192</v>
      </c>
      <c r="J2714" s="350">
        <v>87.2</v>
      </c>
      <c r="K2714" s="350">
        <v>72.2</v>
      </c>
      <c r="L2714" s="314">
        <f t="shared" si="20"/>
        <v>15</v>
      </c>
      <c r="M2714" s="337"/>
    </row>
    <row r="2715" spans="1:13" s="71" customFormat="1" ht="26.4">
      <c r="A2715" s="282">
        <v>27</v>
      </c>
      <c r="B2715" s="534"/>
      <c r="C2715" s="333" t="s">
        <v>1169</v>
      </c>
      <c r="D2715" s="307" t="s">
        <v>3185</v>
      </c>
      <c r="E2715" s="236" t="s">
        <v>13265</v>
      </c>
      <c r="F2715" s="347" t="s">
        <v>3212</v>
      </c>
      <c r="G2715" s="311">
        <v>1987</v>
      </c>
      <c r="H2715" s="348" t="s">
        <v>1149</v>
      </c>
      <c r="I2715" s="349" t="s">
        <v>3192</v>
      </c>
      <c r="J2715" s="350">
        <v>87.2</v>
      </c>
      <c r="K2715" s="350">
        <v>72.2</v>
      </c>
      <c r="L2715" s="314">
        <f t="shared" si="20"/>
        <v>15</v>
      </c>
      <c r="M2715" s="337"/>
    </row>
    <row r="2716" spans="1:13" s="71" customFormat="1" ht="26.4">
      <c r="A2716" s="282">
        <v>28</v>
      </c>
      <c r="B2716" s="534"/>
      <c r="C2716" s="333" t="s">
        <v>1169</v>
      </c>
      <c r="D2716" s="307" t="s">
        <v>3185</v>
      </c>
      <c r="E2716" s="236" t="s">
        <v>12669</v>
      </c>
      <c r="F2716" s="347" t="s">
        <v>3213</v>
      </c>
      <c r="G2716" s="311">
        <v>1987</v>
      </c>
      <c r="H2716" s="348" t="s">
        <v>1149</v>
      </c>
      <c r="I2716" s="349" t="s">
        <v>3214</v>
      </c>
      <c r="J2716" s="350">
        <v>22.7</v>
      </c>
      <c r="K2716" s="350">
        <v>19.2</v>
      </c>
      <c r="L2716" s="314">
        <f t="shared" si="20"/>
        <v>3.5</v>
      </c>
      <c r="M2716" s="337"/>
    </row>
    <row r="2717" spans="1:13" s="71" customFormat="1" ht="26.4">
      <c r="A2717" s="282">
        <v>29</v>
      </c>
      <c r="B2717" s="534"/>
      <c r="C2717" s="333" t="s">
        <v>1169</v>
      </c>
      <c r="D2717" s="307" t="s">
        <v>3185</v>
      </c>
      <c r="E2717" s="236" t="s">
        <v>3215</v>
      </c>
      <c r="F2717" s="347" t="s">
        <v>3216</v>
      </c>
      <c r="G2717" s="311">
        <v>1987</v>
      </c>
      <c r="H2717" s="348" t="s">
        <v>1149</v>
      </c>
      <c r="I2717" s="349" t="s">
        <v>3217</v>
      </c>
      <c r="J2717" s="350">
        <v>81.599999999999994</v>
      </c>
      <c r="K2717" s="350">
        <v>77.7</v>
      </c>
      <c r="L2717" s="314">
        <f t="shared" si="20"/>
        <v>3.8999999999999915</v>
      </c>
      <c r="M2717" s="337"/>
    </row>
    <row r="2718" spans="1:13" s="71" customFormat="1" ht="26.4">
      <c r="A2718" s="282">
        <v>30</v>
      </c>
      <c r="B2718" s="534"/>
      <c r="C2718" s="333" t="s">
        <v>1169</v>
      </c>
      <c r="D2718" s="307" t="s">
        <v>3185</v>
      </c>
      <c r="E2718" s="236" t="s">
        <v>3218</v>
      </c>
      <c r="F2718" s="347" t="s">
        <v>3219</v>
      </c>
      <c r="G2718" s="311">
        <v>1987</v>
      </c>
      <c r="H2718" s="348" t="s">
        <v>1149</v>
      </c>
      <c r="I2718" s="349" t="s">
        <v>3220</v>
      </c>
      <c r="J2718" s="350">
        <v>210.3</v>
      </c>
      <c r="K2718" s="350">
        <v>104.9</v>
      </c>
      <c r="L2718" s="314">
        <f t="shared" si="20"/>
        <v>105.4</v>
      </c>
      <c r="M2718" s="337"/>
    </row>
    <row r="2719" spans="1:13" s="71" customFormat="1" ht="26.4">
      <c r="A2719" s="282">
        <v>31</v>
      </c>
      <c r="B2719" s="534"/>
      <c r="C2719" s="333" t="s">
        <v>1169</v>
      </c>
      <c r="D2719" s="307" t="s">
        <v>3185</v>
      </c>
      <c r="E2719" s="236" t="s">
        <v>3221</v>
      </c>
      <c r="F2719" s="347" t="s">
        <v>3222</v>
      </c>
      <c r="G2719" s="311">
        <v>1987</v>
      </c>
      <c r="H2719" s="348" t="s">
        <v>1149</v>
      </c>
      <c r="I2719" s="349" t="s">
        <v>3223</v>
      </c>
      <c r="J2719" s="350">
        <v>276.39999999999998</v>
      </c>
      <c r="K2719" s="350">
        <v>177.5</v>
      </c>
      <c r="L2719" s="314">
        <f t="shared" si="20"/>
        <v>98.899999999999977</v>
      </c>
      <c r="M2719" s="337"/>
    </row>
    <row r="2720" spans="1:13" s="71" customFormat="1" ht="26.4">
      <c r="A2720" s="282">
        <v>32</v>
      </c>
      <c r="B2720" s="534"/>
      <c r="C2720" s="333" t="s">
        <v>1169</v>
      </c>
      <c r="D2720" s="307" t="s">
        <v>3185</v>
      </c>
      <c r="E2720" s="236" t="s">
        <v>3224</v>
      </c>
      <c r="F2720" s="347" t="s">
        <v>3225</v>
      </c>
      <c r="G2720" s="311">
        <v>1987</v>
      </c>
      <c r="H2720" s="348" t="s">
        <v>1149</v>
      </c>
      <c r="I2720" s="349" t="s">
        <v>3226</v>
      </c>
      <c r="J2720" s="350">
        <v>70</v>
      </c>
      <c r="K2720" s="350">
        <v>58.3</v>
      </c>
      <c r="L2720" s="314">
        <f t="shared" si="20"/>
        <v>11.700000000000003</v>
      </c>
      <c r="M2720" s="337"/>
    </row>
    <row r="2721" spans="1:13" s="71" customFormat="1" ht="26.4">
      <c r="A2721" s="282">
        <v>33</v>
      </c>
      <c r="B2721" s="534"/>
      <c r="C2721" s="333" t="s">
        <v>1169</v>
      </c>
      <c r="D2721" s="307" t="s">
        <v>3185</v>
      </c>
      <c r="E2721" s="236" t="s">
        <v>3227</v>
      </c>
      <c r="F2721" s="347" t="s">
        <v>3228</v>
      </c>
      <c r="G2721" s="311">
        <v>1987</v>
      </c>
      <c r="H2721" s="348" t="s">
        <v>1149</v>
      </c>
      <c r="I2721" s="349" t="s">
        <v>3229</v>
      </c>
      <c r="J2721" s="350">
        <v>116.1</v>
      </c>
      <c r="K2721" s="350">
        <v>111.2</v>
      </c>
      <c r="L2721" s="314">
        <f t="shared" si="20"/>
        <v>4.8999999999999915</v>
      </c>
      <c r="M2721" s="337"/>
    </row>
    <row r="2722" spans="1:13" s="71" customFormat="1" ht="26.4">
      <c r="A2722" s="282">
        <v>34</v>
      </c>
      <c r="B2722" s="534"/>
      <c r="C2722" s="333" t="s">
        <v>1169</v>
      </c>
      <c r="D2722" s="307" t="s">
        <v>3185</v>
      </c>
      <c r="E2722" s="236" t="s">
        <v>3230</v>
      </c>
      <c r="F2722" s="347" t="s">
        <v>3231</v>
      </c>
      <c r="G2722" s="311">
        <v>1987</v>
      </c>
      <c r="H2722" s="348" t="s">
        <v>1149</v>
      </c>
      <c r="I2722" s="349" t="s">
        <v>3232</v>
      </c>
      <c r="J2722" s="350">
        <v>213.4</v>
      </c>
      <c r="K2722" s="350">
        <v>188.1</v>
      </c>
      <c r="L2722" s="314">
        <f t="shared" si="20"/>
        <v>25.300000000000011</v>
      </c>
      <c r="M2722" s="337"/>
    </row>
    <row r="2723" spans="1:13" s="71" customFormat="1" ht="26.4">
      <c r="A2723" s="282">
        <v>35</v>
      </c>
      <c r="B2723" s="534"/>
      <c r="C2723" s="333" t="s">
        <v>1169</v>
      </c>
      <c r="D2723" s="307" t="s">
        <v>3185</v>
      </c>
      <c r="E2723" s="236" t="s">
        <v>2336</v>
      </c>
      <c r="F2723" s="347" t="s">
        <v>3233</v>
      </c>
      <c r="G2723" s="311">
        <v>1987</v>
      </c>
      <c r="H2723" s="348" t="s">
        <v>1149</v>
      </c>
      <c r="I2723" s="349" t="s">
        <v>3234</v>
      </c>
      <c r="J2723" s="350">
        <v>20.9</v>
      </c>
      <c r="K2723" s="350">
        <v>19.899999999999999</v>
      </c>
      <c r="L2723" s="314">
        <f t="shared" si="20"/>
        <v>1</v>
      </c>
      <c r="M2723" s="337"/>
    </row>
    <row r="2724" spans="1:13" s="71" customFormat="1" ht="26.4">
      <c r="A2724" s="282">
        <v>36</v>
      </c>
      <c r="B2724" s="534"/>
      <c r="C2724" s="333" t="s">
        <v>1169</v>
      </c>
      <c r="D2724" s="307" t="s">
        <v>3185</v>
      </c>
      <c r="E2724" s="236" t="s">
        <v>3235</v>
      </c>
      <c r="F2724" s="347" t="s">
        <v>3233</v>
      </c>
      <c r="G2724" s="311">
        <v>1987</v>
      </c>
      <c r="H2724" s="348" t="s">
        <v>1149</v>
      </c>
      <c r="I2724" s="349" t="s">
        <v>3236</v>
      </c>
      <c r="J2724" s="350">
        <v>20.9</v>
      </c>
      <c r="K2724" s="350">
        <v>19.899999999999999</v>
      </c>
      <c r="L2724" s="314">
        <f t="shared" si="20"/>
        <v>1</v>
      </c>
      <c r="M2724" s="337"/>
    </row>
    <row r="2725" spans="1:13" s="71" customFormat="1" ht="26.4">
      <c r="A2725" s="282">
        <v>37</v>
      </c>
      <c r="B2725" s="534"/>
      <c r="C2725" s="333" t="s">
        <v>1169</v>
      </c>
      <c r="D2725" s="307" t="s">
        <v>3185</v>
      </c>
      <c r="E2725" s="236" t="s">
        <v>3237</v>
      </c>
      <c r="F2725" s="347" t="s">
        <v>3238</v>
      </c>
      <c r="G2725" s="311">
        <v>1987</v>
      </c>
      <c r="H2725" s="348" t="s">
        <v>1149</v>
      </c>
      <c r="I2725" s="349" t="s">
        <v>3239</v>
      </c>
      <c r="J2725" s="350">
        <v>99.2</v>
      </c>
      <c r="K2725" s="350">
        <v>77.400000000000006</v>
      </c>
      <c r="L2725" s="314">
        <f t="shared" si="20"/>
        <v>21.799999999999997</v>
      </c>
      <c r="M2725" s="337"/>
    </row>
    <row r="2726" spans="1:13" s="71" customFormat="1" ht="26.4">
      <c r="A2726" s="282">
        <v>38</v>
      </c>
      <c r="B2726" s="534"/>
      <c r="C2726" s="333" t="s">
        <v>1169</v>
      </c>
      <c r="D2726" s="307" t="s">
        <v>3240</v>
      </c>
      <c r="E2726" s="236" t="s">
        <v>3241</v>
      </c>
      <c r="F2726" s="347" t="s">
        <v>3242</v>
      </c>
      <c r="G2726" s="311">
        <v>1998</v>
      </c>
      <c r="H2726" s="348" t="s">
        <v>1149</v>
      </c>
      <c r="I2726" s="349">
        <v>17685</v>
      </c>
      <c r="J2726" s="350">
        <v>3.4</v>
      </c>
      <c r="K2726" s="350">
        <v>3.2</v>
      </c>
      <c r="L2726" s="314">
        <f t="shared" si="20"/>
        <v>0.19999999999999973</v>
      </c>
      <c r="M2726" s="337"/>
    </row>
    <row r="2727" spans="1:13" s="71" customFormat="1" ht="26.4">
      <c r="A2727" s="282">
        <v>39</v>
      </c>
      <c r="B2727" s="534"/>
      <c r="C2727" s="333" t="s">
        <v>1169</v>
      </c>
      <c r="D2727" s="307" t="s">
        <v>3240</v>
      </c>
      <c r="E2727" s="236" t="s">
        <v>3244</v>
      </c>
      <c r="F2727" s="347" t="s">
        <v>3245</v>
      </c>
      <c r="G2727" s="311">
        <v>1998</v>
      </c>
      <c r="H2727" s="348" t="s">
        <v>1149</v>
      </c>
      <c r="I2727" s="349">
        <v>18445</v>
      </c>
      <c r="J2727" s="350">
        <v>3.4</v>
      </c>
      <c r="K2727" s="350">
        <v>3.1</v>
      </c>
      <c r="L2727" s="314">
        <f t="shared" si="20"/>
        <v>0.29999999999999982</v>
      </c>
      <c r="M2727" s="337"/>
    </row>
    <row r="2728" spans="1:13" s="71" customFormat="1" ht="39.6">
      <c r="A2728" s="282">
        <v>40</v>
      </c>
      <c r="B2728" s="534"/>
      <c r="C2728" s="333" t="s">
        <v>1169</v>
      </c>
      <c r="D2728" s="307" t="s">
        <v>3240</v>
      </c>
      <c r="E2728" s="236" t="s">
        <v>3246</v>
      </c>
      <c r="F2728" s="347" t="s">
        <v>3247</v>
      </c>
      <c r="G2728" s="311">
        <v>1998</v>
      </c>
      <c r="H2728" s="348" t="s">
        <v>1149</v>
      </c>
      <c r="I2728" s="349">
        <v>18445</v>
      </c>
      <c r="J2728" s="350">
        <v>3.2</v>
      </c>
      <c r="K2728" s="350">
        <v>3.1</v>
      </c>
      <c r="L2728" s="314">
        <f t="shared" si="20"/>
        <v>0.10000000000000009</v>
      </c>
      <c r="M2728" s="337"/>
    </row>
    <row r="2729" spans="1:13" s="71" customFormat="1" ht="39.6">
      <c r="A2729" s="282">
        <v>41</v>
      </c>
      <c r="B2729" s="534"/>
      <c r="C2729" s="333" t="s">
        <v>1169</v>
      </c>
      <c r="D2729" s="307" t="s">
        <v>3240</v>
      </c>
      <c r="E2729" s="236" t="s">
        <v>3246</v>
      </c>
      <c r="F2729" s="347" t="s">
        <v>3248</v>
      </c>
      <c r="G2729" s="311">
        <v>1998</v>
      </c>
      <c r="H2729" s="348" t="s">
        <v>1149</v>
      </c>
      <c r="I2729" s="349">
        <v>17685</v>
      </c>
      <c r="J2729" s="350">
        <v>3.2</v>
      </c>
      <c r="K2729" s="350">
        <v>3.1</v>
      </c>
      <c r="L2729" s="314">
        <f t="shared" si="20"/>
        <v>0.10000000000000009</v>
      </c>
      <c r="M2729" s="337"/>
    </row>
    <row r="2730" spans="1:13" s="71" customFormat="1" ht="26.4">
      <c r="A2730" s="282">
        <v>42</v>
      </c>
      <c r="B2730" s="534"/>
      <c r="C2730" s="333" t="s">
        <v>1169</v>
      </c>
      <c r="D2730" s="307" t="s">
        <v>3249</v>
      </c>
      <c r="E2730" s="236" t="s">
        <v>3241</v>
      </c>
      <c r="F2730" s="347" t="s">
        <v>3250</v>
      </c>
      <c r="G2730" s="311">
        <v>1998</v>
      </c>
      <c r="H2730" s="348" t="s">
        <v>1149</v>
      </c>
      <c r="I2730" s="349">
        <v>17685</v>
      </c>
      <c r="J2730" s="350">
        <v>3.2</v>
      </c>
      <c r="K2730" s="350">
        <v>3.1</v>
      </c>
      <c r="L2730" s="314">
        <f t="shared" si="20"/>
        <v>0.10000000000000009</v>
      </c>
      <c r="M2730" s="337"/>
    </row>
    <row r="2731" spans="1:13" s="71" customFormat="1" ht="26.4">
      <c r="A2731" s="282">
        <v>43</v>
      </c>
      <c r="B2731" s="534"/>
      <c r="C2731" s="333" t="s">
        <v>1169</v>
      </c>
      <c r="D2731" s="307" t="s">
        <v>3251</v>
      </c>
      <c r="E2731" s="236" t="s">
        <v>3241</v>
      </c>
      <c r="F2731" s="347" t="s">
        <v>3252</v>
      </c>
      <c r="G2731" s="311">
        <v>1998</v>
      </c>
      <c r="H2731" s="348" t="s">
        <v>1149</v>
      </c>
      <c r="I2731" s="349">
        <v>17685</v>
      </c>
      <c r="J2731" s="350">
        <v>3.2</v>
      </c>
      <c r="K2731" s="350">
        <v>3.1</v>
      </c>
      <c r="L2731" s="314">
        <f t="shared" si="20"/>
        <v>0.10000000000000009</v>
      </c>
      <c r="M2731" s="337"/>
    </row>
    <row r="2732" spans="1:13" s="71" customFormat="1" ht="26.4">
      <c r="A2732" s="282">
        <v>44</v>
      </c>
      <c r="B2732" s="534"/>
      <c r="C2732" s="333" t="s">
        <v>1169</v>
      </c>
      <c r="D2732" s="307" t="s">
        <v>3240</v>
      </c>
      <c r="E2732" s="236" t="s">
        <v>3241</v>
      </c>
      <c r="F2732" s="347" t="s">
        <v>3253</v>
      </c>
      <c r="G2732" s="311">
        <v>1998</v>
      </c>
      <c r="H2732" s="348" t="s">
        <v>1149</v>
      </c>
      <c r="I2732" s="349">
        <v>17685</v>
      </c>
      <c r="J2732" s="350">
        <v>3.4</v>
      </c>
      <c r="K2732" s="350">
        <v>3.1</v>
      </c>
      <c r="L2732" s="314">
        <f t="shared" si="20"/>
        <v>0.29999999999999982</v>
      </c>
      <c r="M2732" s="337"/>
    </row>
    <row r="2733" spans="1:13" s="71" customFormat="1" ht="26.4">
      <c r="A2733" s="282">
        <v>45</v>
      </c>
      <c r="B2733" s="534"/>
      <c r="C2733" s="333" t="s">
        <v>1169</v>
      </c>
      <c r="D2733" s="307" t="s">
        <v>3240</v>
      </c>
      <c r="E2733" s="236" t="s">
        <v>3241</v>
      </c>
      <c r="F2733" s="347" t="s">
        <v>3254</v>
      </c>
      <c r="G2733" s="311">
        <v>1998</v>
      </c>
      <c r="H2733" s="348" t="s">
        <v>1149</v>
      </c>
      <c r="I2733" s="349">
        <v>17685</v>
      </c>
      <c r="J2733" s="350">
        <v>3.4</v>
      </c>
      <c r="K2733" s="350">
        <v>3.1</v>
      </c>
      <c r="L2733" s="314">
        <f t="shared" si="20"/>
        <v>0.29999999999999982</v>
      </c>
      <c r="M2733" s="337"/>
    </row>
    <row r="2734" spans="1:13" s="71" customFormat="1" ht="26.4">
      <c r="A2734" s="282">
        <v>46</v>
      </c>
      <c r="B2734" s="534"/>
      <c r="C2734" s="333" t="s">
        <v>1169</v>
      </c>
      <c r="D2734" s="307" t="s">
        <v>3251</v>
      </c>
      <c r="E2734" s="236" t="s">
        <v>3241</v>
      </c>
      <c r="F2734" s="347" t="s">
        <v>3255</v>
      </c>
      <c r="G2734" s="311">
        <v>1998</v>
      </c>
      <c r="H2734" s="348" t="s">
        <v>1149</v>
      </c>
      <c r="I2734" s="349">
        <v>17685</v>
      </c>
      <c r="J2734" s="350">
        <v>3.4</v>
      </c>
      <c r="K2734" s="350">
        <v>3.1</v>
      </c>
      <c r="L2734" s="314">
        <f t="shared" si="20"/>
        <v>0.29999999999999982</v>
      </c>
      <c r="M2734" s="337"/>
    </row>
    <row r="2735" spans="1:13" s="71" customFormat="1" ht="26.4">
      <c r="A2735" s="282">
        <v>47</v>
      </c>
      <c r="B2735" s="534"/>
      <c r="C2735" s="333" t="s">
        <v>1169</v>
      </c>
      <c r="D2735" s="307" t="s">
        <v>3240</v>
      </c>
      <c r="E2735" s="236" t="s">
        <v>3241</v>
      </c>
      <c r="F2735" s="347" t="s">
        <v>3256</v>
      </c>
      <c r="G2735" s="311">
        <v>1998</v>
      </c>
      <c r="H2735" s="348" t="s">
        <v>1149</v>
      </c>
      <c r="I2735" s="349">
        <v>17685</v>
      </c>
      <c r="J2735" s="350">
        <v>3.4</v>
      </c>
      <c r="K2735" s="350">
        <v>3.1</v>
      </c>
      <c r="L2735" s="314">
        <f t="shared" si="20"/>
        <v>0.29999999999999982</v>
      </c>
      <c r="M2735" s="337"/>
    </row>
    <row r="2736" spans="1:13" s="71" customFormat="1" ht="26.4">
      <c r="A2736" s="282">
        <v>48</v>
      </c>
      <c r="B2736" s="534"/>
      <c r="C2736" s="333" t="s">
        <v>1169</v>
      </c>
      <c r="D2736" s="307" t="s">
        <v>3251</v>
      </c>
      <c r="E2736" s="236" t="s">
        <v>3257</v>
      </c>
      <c r="F2736" s="347" t="s">
        <v>3258</v>
      </c>
      <c r="G2736" s="311">
        <v>1985</v>
      </c>
      <c r="H2736" s="348" t="s">
        <v>1149</v>
      </c>
      <c r="I2736" s="349" t="s">
        <v>3259</v>
      </c>
      <c r="J2736" s="350">
        <v>340.2</v>
      </c>
      <c r="K2736" s="350">
        <v>216.6</v>
      </c>
      <c r="L2736" s="314">
        <f t="shared" si="20"/>
        <v>123.6</v>
      </c>
      <c r="M2736" s="337"/>
    </row>
    <row r="2737" spans="1:13" s="71" customFormat="1" ht="26.4">
      <c r="A2737" s="282">
        <v>49</v>
      </c>
      <c r="B2737" s="534"/>
      <c r="C2737" s="333" t="s">
        <v>1169</v>
      </c>
      <c r="D2737" s="307" t="s">
        <v>3240</v>
      </c>
      <c r="E2737" s="236" t="s">
        <v>3260</v>
      </c>
      <c r="F2737" s="347" t="s">
        <v>3261</v>
      </c>
      <c r="G2737" s="311">
        <v>1985</v>
      </c>
      <c r="H2737" s="348" t="s">
        <v>1149</v>
      </c>
      <c r="I2737" s="349" t="s">
        <v>3262</v>
      </c>
      <c r="J2737" s="350">
        <v>224.7</v>
      </c>
      <c r="K2737" s="350">
        <v>158.30000000000001</v>
      </c>
      <c r="L2737" s="314">
        <f t="shared" si="20"/>
        <v>66.399999999999977</v>
      </c>
      <c r="M2737" s="337"/>
    </row>
    <row r="2738" spans="1:13" s="71" customFormat="1" ht="26.4">
      <c r="A2738" s="282">
        <v>50</v>
      </c>
      <c r="B2738" s="534"/>
      <c r="C2738" s="333" t="s">
        <v>1169</v>
      </c>
      <c r="D2738" s="307" t="s">
        <v>3251</v>
      </c>
      <c r="E2738" s="236" t="s">
        <v>3263</v>
      </c>
      <c r="F2738" s="347" t="s">
        <v>3264</v>
      </c>
      <c r="G2738" s="311">
        <v>1985</v>
      </c>
      <c r="H2738" s="348" t="s">
        <v>1149</v>
      </c>
      <c r="I2738" s="349" t="s">
        <v>3265</v>
      </c>
      <c r="J2738" s="350">
        <v>135</v>
      </c>
      <c r="K2738" s="350">
        <v>127.4</v>
      </c>
      <c r="L2738" s="314">
        <f t="shared" si="20"/>
        <v>7.5999999999999943</v>
      </c>
      <c r="M2738" s="337"/>
    </row>
    <row r="2739" spans="1:13" s="71" customFormat="1" ht="26.4">
      <c r="A2739" s="282">
        <v>51</v>
      </c>
      <c r="B2739" s="534"/>
      <c r="C2739" s="333" t="s">
        <v>1169</v>
      </c>
      <c r="D2739" s="307" t="s">
        <v>3249</v>
      </c>
      <c r="E2739" s="236" t="s">
        <v>3266</v>
      </c>
      <c r="F2739" s="347" t="s">
        <v>3267</v>
      </c>
      <c r="G2739" s="311">
        <v>1985</v>
      </c>
      <c r="H2739" s="348" t="s">
        <v>1149</v>
      </c>
      <c r="I2739" s="349" t="s">
        <v>3268</v>
      </c>
      <c r="J2739" s="350">
        <v>74.2</v>
      </c>
      <c r="K2739" s="350">
        <v>70.400000000000006</v>
      </c>
      <c r="L2739" s="314">
        <f t="shared" si="20"/>
        <v>3.7999999999999972</v>
      </c>
      <c r="M2739" s="337"/>
    </row>
    <row r="2740" spans="1:13" s="71" customFormat="1" ht="26.4">
      <c r="A2740" s="282">
        <v>52</v>
      </c>
      <c r="B2740" s="534"/>
      <c r="C2740" s="333" t="s">
        <v>1169</v>
      </c>
      <c r="D2740" s="307" t="s">
        <v>3269</v>
      </c>
      <c r="E2740" s="236" t="s">
        <v>3270</v>
      </c>
      <c r="F2740" s="347" t="s">
        <v>3271</v>
      </c>
      <c r="G2740" s="311">
        <v>1985</v>
      </c>
      <c r="H2740" s="348" t="s">
        <v>1149</v>
      </c>
      <c r="I2740" s="349" t="s">
        <v>3272</v>
      </c>
      <c r="J2740" s="350">
        <v>30.7</v>
      </c>
      <c r="K2740" s="350">
        <v>24.4</v>
      </c>
      <c r="L2740" s="314">
        <f t="shared" si="20"/>
        <v>6.3000000000000007</v>
      </c>
      <c r="M2740" s="337"/>
    </row>
    <row r="2741" spans="1:13" s="71" customFormat="1" ht="26.4">
      <c r="A2741" s="282">
        <v>53</v>
      </c>
      <c r="B2741" s="534"/>
      <c r="C2741" s="333" t="s">
        <v>1169</v>
      </c>
      <c r="D2741" s="307" t="s">
        <v>3273</v>
      </c>
      <c r="E2741" s="236" t="s">
        <v>3274</v>
      </c>
      <c r="F2741" s="347" t="s">
        <v>3275</v>
      </c>
      <c r="G2741" s="311">
        <v>1988</v>
      </c>
      <c r="H2741" s="348" t="s">
        <v>3</v>
      </c>
      <c r="I2741" s="349" t="s">
        <v>3</v>
      </c>
      <c r="J2741" s="350">
        <v>34.200000000000003</v>
      </c>
      <c r="K2741" s="350">
        <v>32.6</v>
      </c>
      <c r="L2741" s="314">
        <f t="shared" si="20"/>
        <v>1.6000000000000014</v>
      </c>
      <c r="M2741" s="337"/>
    </row>
    <row r="2742" spans="1:13" s="71" customFormat="1" ht="26.4">
      <c r="A2742" s="282">
        <v>54</v>
      </c>
      <c r="B2742" s="534"/>
      <c r="C2742" s="351" t="s">
        <v>3276</v>
      </c>
      <c r="D2742" s="307" t="s">
        <v>3277</v>
      </c>
      <c r="E2742" s="236" t="s">
        <v>3278</v>
      </c>
      <c r="F2742" s="347" t="s">
        <v>3279</v>
      </c>
      <c r="G2742" s="311">
        <v>1989</v>
      </c>
      <c r="H2742" s="348" t="s">
        <v>1149</v>
      </c>
      <c r="I2742" s="349" t="s">
        <v>3280</v>
      </c>
      <c r="J2742" s="350">
        <v>311.89999999999998</v>
      </c>
      <c r="K2742" s="350">
        <v>229.6</v>
      </c>
      <c r="L2742" s="314">
        <f t="shared" si="20"/>
        <v>82.299999999999983</v>
      </c>
      <c r="M2742" s="337"/>
    </row>
    <row r="2743" spans="1:13" s="71" customFormat="1" ht="26.4">
      <c r="A2743" s="282">
        <v>55</v>
      </c>
      <c r="B2743" s="534"/>
      <c r="C2743" s="351" t="s">
        <v>3276</v>
      </c>
      <c r="D2743" s="307" t="s">
        <v>3281</v>
      </c>
      <c r="E2743" s="236" t="s">
        <v>3282</v>
      </c>
      <c r="F2743" s="347" t="s">
        <v>3283</v>
      </c>
      <c r="G2743" s="311">
        <v>1989</v>
      </c>
      <c r="H2743" s="348" t="s">
        <v>1149</v>
      </c>
      <c r="I2743" s="349" t="s">
        <v>3284</v>
      </c>
      <c r="J2743" s="350">
        <v>30.6</v>
      </c>
      <c r="K2743" s="350">
        <v>29.2</v>
      </c>
      <c r="L2743" s="314">
        <f t="shared" si="20"/>
        <v>1.4000000000000021</v>
      </c>
      <c r="M2743" s="337"/>
    </row>
    <row r="2744" spans="1:13" s="71" customFormat="1" ht="26.4">
      <c r="A2744" s="282">
        <v>56</v>
      </c>
      <c r="B2744" s="534"/>
      <c r="C2744" s="351" t="s">
        <v>3276</v>
      </c>
      <c r="D2744" s="307" t="s">
        <v>3281</v>
      </c>
      <c r="E2744" s="236" t="s">
        <v>3286</v>
      </c>
      <c r="F2744" s="347" t="s">
        <v>3287</v>
      </c>
      <c r="G2744" s="311">
        <v>1977</v>
      </c>
      <c r="H2744" s="348" t="s">
        <v>1149</v>
      </c>
      <c r="I2744" s="349" t="s">
        <v>3288</v>
      </c>
      <c r="J2744" s="350">
        <v>669.2</v>
      </c>
      <c r="K2744" s="350">
        <v>589.5</v>
      </c>
      <c r="L2744" s="314">
        <f t="shared" si="20"/>
        <v>79.700000000000045</v>
      </c>
      <c r="M2744" s="337"/>
    </row>
    <row r="2745" spans="1:13" s="71" customFormat="1" ht="26.4">
      <c r="A2745" s="282">
        <v>57</v>
      </c>
      <c r="B2745" s="534"/>
      <c r="C2745" s="351" t="s">
        <v>3276</v>
      </c>
      <c r="D2745" s="307" t="s">
        <v>3281</v>
      </c>
      <c r="E2745" s="236" t="s">
        <v>3289</v>
      </c>
      <c r="F2745" s="347" t="s">
        <v>3290</v>
      </c>
      <c r="G2745" s="311">
        <v>1977</v>
      </c>
      <c r="H2745" s="348" t="s">
        <v>1149</v>
      </c>
      <c r="I2745" s="349" t="s">
        <v>3291</v>
      </c>
      <c r="J2745" s="350">
        <v>149.80000000000001</v>
      </c>
      <c r="K2745" s="350">
        <v>130.19999999999999</v>
      </c>
      <c r="L2745" s="314">
        <f t="shared" si="20"/>
        <v>19.600000000000023</v>
      </c>
      <c r="M2745" s="337"/>
    </row>
    <row r="2746" spans="1:13" s="71" customFormat="1" ht="26.4">
      <c r="A2746" s="282">
        <v>58</v>
      </c>
      <c r="B2746" s="534"/>
      <c r="C2746" s="351" t="s">
        <v>3276</v>
      </c>
      <c r="D2746" s="307" t="s">
        <v>3292</v>
      </c>
      <c r="E2746" s="236" t="s">
        <v>3293</v>
      </c>
      <c r="F2746" s="347" t="s">
        <v>3294</v>
      </c>
      <c r="G2746" s="311">
        <v>1989</v>
      </c>
      <c r="H2746" s="348" t="s">
        <v>1149</v>
      </c>
      <c r="I2746" s="314">
        <v>27.1</v>
      </c>
      <c r="J2746" s="350">
        <v>36.6</v>
      </c>
      <c r="K2746" s="350">
        <v>34.799999999999997</v>
      </c>
      <c r="L2746" s="314">
        <f t="shared" si="20"/>
        <v>1.8000000000000043</v>
      </c>
      <c r="M2746" s="337"/>
    </row>
    <row r="2747" spans="1:13" s="71" customFormat="1" ht="26.4">
      <c r="A2747" s="282">
        <v>59</v>
      </c>
      <c r="B2747" s="534"/>
      <c r="C2747" s="307" t="s">
        <v>1169</v>
      </c>
      <c r="D2747" s="307" t="s">
        <v>13267</v>
      </c>
      <c r="E2747" s="260" t="s">
        <v>3295</v>
      </c>
      <c r="F2747" s="352">
        <v>20159</v>
      </c>
      <c r="G2747" s="311">
        <v>1977</v>
      </c>
      <c r="H2747" s="340" t="s">
        <v>2658</v>
      </c>
      <c r="I2747" s="313">
        <v>13</v>
      </c>
      <c r="J2747" s="350">
        <v>1.5</v>
      </c>
      <c r="K2747" s="350">
        <v>1.4</v>
      </c>
      <c r="L2747" s="314">
        <f t="shared" si="20"/>
        <v>0.10000000000000009</v>
      </c>
      <c r="M2747" s="337"/>
    </row>
    <row r="2748" spans="1:13" s="71" customFormat="1" ht="26.4">
      <c r="A2748" s="282">
        <v>60</v>
      </c>
      <c r="B2748" s="534"/>
      <c r="C2748" s="307" t="s">
        <v>1169</v>
      </c>
      <c r="D2748" s="307" t="s">
        <v>3296</v>
      </c>
      <c r="E2748" s="260" t="s">
        <v>3297</v>
      </c>
      <c r="F2748" s="352">
        <v>20335</v>
      </c>
      <c r="G2748" s="311">
        <v>1976</v>
      </c>
      <c r="H2748" s="340" t="s">
        <v>2658</v>
      </c>
      <c r="I2748" s="313">
        <v>160</v>
      </c>
      <c r="J2748" s="350">
        <v>0.4</v>
      </c>
      <c r="K2748" s="350">
        <v>0.4</v>
      </c>
      <c r="L2748" s="314">
        <f t="shared" si="20"/>
        <v>0</v>
      </c>
      <c r="M2748" s="337"/>
    </row>
    <row r="2749" spans="1:13" s="71" customFormat="1" ht="26.4">
      <c r="A2749" s="282">
        <v>61</v>
      </c>
      <c r="B2749" s="534"/>
      <c r="C2749" s="307" t="s">
        <v>1169</v>
      </c>
      <c r="D2749" s="307" t="s">
        <v>3298</v>
      </c>
      <c r="E2749" s="260" t="s">
        <v>3299</v>
      </c>
      <c r="F2749" s="352">
        <v>20284</v>
      </c>
      <c r="G2749" s="311">
        <v>1976</v>
      </c>
      <c r="H2749" s="340" t="s">
        <v>2658</v>
      </c>
      <c r="I2749" s="313">
        <v>280</v>
      </c>
      <c r="J2749" s="350">
        <v>0.7</v>
      </c>
      <c r="K2749" s="350">
        <v>0.6</v>
      </c>
      <c r="L2749" s="314">
        <f t="shared" si="20"/>
        <v>9.9999999999999978E-2</v>
      </c>
      <c r="M2749" s="337"/>
    </row>
    <row r="2750" spans="1:13" s="71" customFormat="1" ht="26.4">
      <c r="A2750" s="282">
        <v>62</v>
      </c>
      <c r="B2750" s="534"/>
      <c r="C2750" s="307" t="s">
        <v>1169</v>
      </c>
      <c r="D2750" s="307" t="s">
        <v>3300</v>
      </c>
      <c r="E2750" s="260" t="s">
        <v>3301</v>
      </c>
      <c r="F2750" s="352">
        <v>20320</v>
      </c>
      <c r="G2750" s="311">
        <v>1976</v>
      </c>
      <c r="H2750" s="340" t="s">
        <v>2658</v>
      </c>
      <c r="I2750" s="313">
        <v>240</v>
      </c>
      <c r="J2750" s="350">
        <v>0.6</v>
      </c>
      <c r="K2750" s="350">
        <v>0.6</v>
      </c>
      <c r="L2750" s="314">
        <f t="shared" si="20"/>
        <v>0</v>
      </c>
      <c r="M2750" s="337"/>
    </row>
    <row r="2751" spans="1:13" s="71" customFormat="1" ht="26.4">
      <c r="A2751" s="282">
        <v>63</v>
      </c>
      <c r="B2751" s="534"/>
      <c r="C2751" s="307" t="s">
        <v>1169</v>
      </c>
      <c r="D2751" s="307" t="s">
        <v>3302</v>
      </c>
      <c r="E2751" s="260" t="s">
        <v>3303</v>
      </c>
      <c r="F2751" s="352">
        <v>20317</v>
      </c>
      <c r="G2751" s="311">
        <v>1976</v>
      </c>
      <c r="H2751" s="340" t="s">
        <v>2658</v>
      </c>
      <c r="I2751" s="313">
        <v>350</v>
      </c>
      <c r="J2751" s="350">
        <v>0.8</v>
      </c>
      <c r="K2751" s="350">
        <v>0.7</v>
      </c>
      <c r="L2751" s="314">
        <f t="shared" si="20"/>
        <v>0.10000000000000009</v>
      </c>
      <c r="M2751" s="337"/>
    </row>
    <row r="2752" spans="1:13" s="71" customFormat="1" ht="26.4">
      <c r="A2752" s="282">
        <v>64</v>
      </c>
      <c r="B2752" s="534"/>
      <c r="C2752" s="307" t="s">
        <v>3304</v>
      </c>
      <c r="D2752" s="307" t="s">
        <v>3305</v>
      </c>
      <c r="E2752" s="260" t="s">
        <v>3306</v>
      </c>
      <c r="F2752" s="352">
        <v>20071</v>
      </c>
      <c r="G2752" s="311">
        <v>1967</v>
      </c>
      <c r="H2752" s="340" t="s">
        <v>2658</v>
      </c>
      <c r="I2752" s="313">
        <v>250</v>
      </c>
      <c r="J2752" s="350">
        <v>4</v>
      </c>
      <c r="K2752" s="350">
        <v>3.1</v>
      </c>
      <c r="L2752" s="314">
        <f t="shared" si="20"/>
        <v>0.89999999999999991</v>
      </c>
      <c r="M2752" s="337"/>
    </row>
    <row r="2753" spans="1:13" s="71" customFormat="1" ht="26.4">
      <c r="A2753" s="282">
        <v>65</v>
      </c>
      <c r="B2753" s="534"/>
      <c r="C2753" s="307" t="s">
        <v>3304</v>
      </c>
      <c r="D2753" s="307" t="s">
        <v>3307</v>
      </c>
      <c r="E2753" s="260" t="s">
        <v>3308</v>
      </c>
      <c r="F2753" s="352">
        <v>20476</v>
      </c>
      <c r="G2753" s="311">
        <v>1976</v>
      </c>
      <c r="H2753" s="340" t="s">
        <v>2658</v>
      </c>
      <c r="I2753" s="313">
        <v>650</v>
      </c>
      <c r="J2753" s="350">
        <v>1.9</v>
      </c>
      <c r="K2753" s="350">
        <v>1.5</v>
      </c>
      <c r="L2753" s="314">
        <f t="shared" ref="L2753:L2816" si="21">J2753-K2753</f>
        <v>0.39999999999999991</v>
      </c>
      <c r="M2753" s="337"/>
    </row>
    <row r="2754" spans="1:13" s="71" customFormat="1" ht="26.4">
      <c r="A2754" s="282">
        <v>66</v>
      </c>
      <c r="B2754" s="534"/>
      <c r="C2754" s="307" t="s">
        <v>3309</v>
      </c>
      <c r="D2754" s="307" t="s">
        <v>3310</v>
      </c>
      <c r="E2754" s="260" t="s">
        <v>3311</v>
      </c>
      <c r="F2754" s="352">
        <v>20632</v>
      </c>
      <c r="G2754" s="311">
        <v>1985</v>
      </c>
      <c r="H2754" s="340" t="s">
        <v>2658</v>
      </c>
      <c r="I2754" s="313">
        <v>538</v>
      </c>
      <c r="J2754" s="350">
        <v>5</v>
      </c>
      <c r="K2754" s="350">
        <v>4.4000000000000004</v>
      </c>
      <c r="L2754" s="314">
        <f t="shared" si="21"/>
        <v>0.59999999999999964</v>
      </c>
      <c r="M2754" s="337"/>
    </row>
    <row r="2755" spans="1:13" s="71" customFormat="1" ht="26.4">
      <c r="A2755" s="282">
        <v>67</v>
      </c>
      <c r="B2755" s="534"/>
      <c r="C2755" s="307" t="s">
        <v>3312</v>
      </c>
      <c r="D2755" s="307" t="s">
        <v>3</v>
      </c>
      <c r="E2755" s="260" t="s">
        <v>12670</v>
      </c>
      <c r="F2755" s="352">
        <v>20085</v>
      </c>
      <c r="G2755" s="311">
        <v>1972</v>
      </c>
      <c r="H2755" s="340" t="s">
        <v>2658</v>
      </c>
      <c r="I2755" s="313">
        <v>5625</v>
      </c>
      <c r="J2755" s="350">
        <v>153.69999999999999</v>
      </c>
      <c r="K2755" s="350">
        <v>130.19999999999999</v>
      </c>
      <c r="L2755" s="314">
        <f t="shared" si="21"/>
        <v>23.5</v>
      </c>
      <c r="M2755" s="337"/>
    </row>
    <row r="2756" spans="1:13" s="71" customFormat="1" ht="26.4">
      <c r="A2756" s="282">
        <v>68</v>
      </c>
      <c r="B2756" s="534"/>
      <c r="C2756" s="307" t="s">
        <v>3304</v>
      </c>
      <c r="D2756" s="307" t="s">
        <v>3313</v>
      </c>
      <c r="E2756" s="260" t="s">
        <v>3314</v>
      </c>
      <c r="F2756" s="352">
        <v>20488</v>
      </c>
      <c r="G2756" s="311">
        <v>1976</v>
      </c>
      <c r="H2756" s="340" t="s">
        <v>2658</v>
      </c>
      <c r="I2756" s="313">
        <v>250</v>
      </c>
      <c r="J2756" s="350">
        <v>0.6</v>
      </c>
      <c r="K2756" s="350">
        <v>0.5</v>
      </c>
      <c r="L2756" s="314">
        <f t="shared" si="21"/>
        <v>9.9999999999999978E-2</v>
      </c>
      <c r="M2756" s="337"/>
    </row>
    <row r="2757" spans="1:13" s="71" customFormat="1" ht="26.4">
      <c r="A2757" s="282">
        <v>69</v>
      </c>
      <c r="B2757" s="534"/>
      <c r="C2757" s="307" t="s">
        <v>3304</v>
      </c>
      <c r="D2757" s="307" t="s">
        <v>3315</v>
      </c>
      <c r="E2757" s="260" t="s">
        <v>3316</v>
      </c>
      <c r="F2757" s="352">
        <v>20478</v>
      </c>
      <c r="G2757" s="311">
        <v>1976</v>
      </c>
      <c r="H2757" s="340" t="s">
        <v>2658</v>
      </c>
      <c r="I2757" s="313">
        <v>270</v>
      </c>
      <c r="J2757" s="350">
        <v>0.7</v>
      </c>
      <c r="K2757" s="350">
        <v>0.6</v>
      </c>
      <c r="L2757" s="314">
        <f t="shared" si="21"/>
        <v>9.9999999999999978E-2</v>
      </c>
      <c r="M2757" s="337"/>
    </row>
    <row r="2758" spans="1:13" s="71" customFormat="1" ht="26.4">
      <c r="A2758" s="282">
        <v>70</v>
      </c>
      <c r="B2758" s="534"/>
      <c r="C2758" s="307" t="s">
        <v>3317</v>
      </c>
      <c r="D2758" s="307" t="s">
        <v>3318</v>
      </c>
      <c r="E2758" s="260" t="s">
        <v>3319</v>
      </c>
      <c r="F2758" s="352">
        <v>20481</v>
      </c>
      <c r="G2758" s="311">
        <v>1976</v>
      </c>
      <c r="H2758" s="340" t="s">
        <v>2658</v>
      </c>
      <c r="I2758" s="313">
        <v>350</v>
      </c>
      <c r="J2758" s="350">
        <v>1</v>
      </c>
      <c r="K2758" s="350">
        <v>0.8</v>
      </c>
      <c r="L2758" s="314">
        <f t="shared" si="21"/>
        <v>0.19999999999999996</v>
      </c>
      <c r="M2758" s="337"/>
    </row>
    <row r="2759" spans="1:13" s="71" customFormat="1" ht="26.4">
      <c r="A2759" s="282">
        <v>71</v>
      </c>
      <c r="B2759" s="534"/>
      <c r="C2759" s="307" t="s">
        <v>3320</v>
      </c>
      <c r="D2759" s="307" t="s">
        <v>3321</v>
      </c>
      <c r="E2759" s="260" t="s">
        <v>3322</v>
      </c>
      <c r="F2759" s="352">
        <v>20486</v>
      </c>
      <c r="G2759" s="311">
        <v>1976</v>
      </c>
      <c r="H2759" s="340" t="s">
        <v>2658</v>
      </c>
      <c r="I2759" s="313">
        <v>830</v>
      </c>
      <c r="J2759" s="350">
        <v>2.4</v>
      </c>
      <c r="K2759" s="350">
        <v>1.9</v>
      </c>
      <c r="L2759" s="314">
        <f t="shared" si="21"/>
        <v>0.5</v>
      </c>
      <c r="M2759" s="337"/>
    </row>
    <row r="2760" spans="1:13" s="71" customFormat="1" ht="26.4">
      <c r="A2760" s="282">
        <v>72</v>
      </c>
      <c r="B2760" s="534"/>
      <c r="C2760" s="307" t="s">
        <v>3323</v>
      </c>
      <c r="D2760" s="307" t="s">
        <v>3324</v>
      </c>
      <c r="E2760" s="260" t="s">
        <v>3325</v>
      </c>
      <c r="F2760" s="352">
        <v>20506</v>
      </c>
      <c r="G2760" s="311">
        <v>1976</v>
      </c>
      <c r="H2760" s="340" t="s">
        <v>2658</v>
      </c>
      <c r="I2760" s="313">
        <v>1100</v>
      </c>
      <c r="J2760" s="350">
        <v>2.8</v>
      </c>
      <c r="K2760" s="350">
        <v>2.6</v>
      </c>
      <c r="L2760" s="314">
        <f t="shared" si="21"/>
        <v>0.19999999999999973</v>
      </c>
      <c r="M2760" s="337"/>
    </row>
    <row r="2761" spans="1:13" s="71" customFormat="1" ht="26.4">
      <c r="A2761" s="282">
        <v>73</v>
      </c>
      <c r="B2761" s="534"/>
      <c r="C2761" s="307" t="s">
        <v>3326</v>
      </c>
      <c r="D2761" s="307" t="s">
        <v>3327</v>
      </c>
      <c r="E2761" s="260" t="s">
        <v>3328</v>
      </c>
      <c r="F2761" s="352">
        <v>20511</v>
      </c>
      <c r="G2761" s="311">
        <v>1976</v>
      </c>
      <c r="H2761" s="340" t="s">
        <v>2658</v>
      </c>
      <c r="I2761" s="313">
        <v>1200</v>
      </c>
      <c r="J2761" s="350">
        <v>7.2</v>
      </c>
      <c r="K2761" s="350">
        <v>6.4</v>
      </c>
      <c r="L2761" s="314">
        <f t="shared" si="21"/>
        <v>0.79999999999999982</v>
      </c>
      <c r="M2761" s="337"/>
    </row>
    <row r="2762" spans="1:13" s="71" customFormat="1" ht="26.4">
      <c r="A2762" s="282">
        <v>74</v>
      </c>
      <c r="B2762" s="534"/>
      <c r="C2762" s="353" t="s">
        <v>3329</v>
      </c>
      <c r="D2762" s="353" t="s">
        <v>3330</v>
      </c>
      <c r="E2762" s="260" t="s">
        <v>3331</v>
      </c>
      <c r="F2762" s="352">
        <v>20490</v>
      </c>
      <c r="G2762" s="311">
        <v>1976</v>
      </c>
      <c r="H2762" s="340" t="s">
        <v>2658</v>
      </c>
      <c r="I2762" s="313">
        <v>800</v>
      </c>
      <c r="J2762" s="350">
        <v>2</v>
      </c>
      <c r="K2762" s="350">
        <v>1.9</v>
      </c>
      <c r="L2762" s="314">
        <f t="shared" si="21"/>
        <v>0.10000000000000009</v>
      </c>
      <c r="M2762" s="337"/>
    </row>
    <row r="2763" spans="1:13" s="71" customFormat="1" ht="26.4">
      <c r="A2763" s="282">
        <v>75</v>
      </c>
      <c r="B2763" s="534"/>
      <c r="C2763" s="353" t="s">
        <v>3329</v>
      </c>
      <c r="D2763" s="353" t="s">
        <v>3332</v>
      </c>
      <c r="E2763" s="260" t="s">
        <v>3333</v>
      </c>
      <c r="F2763" s="352">
        <v>20499</v>
      </c>
      <c r="G2763" s="311">
        <v>1976</v>
      </c>
      <c r="H2763" s="340" t="s">
        <v>2658</v>
      </c>
      <c r="I2763" s="313">
        <v>800</v>
      </c>
      <c r="J2763" s="350">
        <v>0.8</v>
      </c>
      <c r="K2763" s="350">
        <v>0.6</v>
      </c>
      <c r="L2763" s="314">
        <f t="shared" si="21"/>
        <v>0.20000000000000007</v>
      </c>
      <c r="M2763" s="337"/>
    </row>
    <row r="2764" spans="1:13" s="71" customFormat="1" ht="26.4">
      <c r="A2764" s="282">
        <v>76</v>
      </c>
      <c r="B2764" s="534"/>
      <c r="C2764" s="354" t="s">
        <v>1169</v>
      </c>
      <c r="D2764" s="353" t="s">
        <v>3334</v>
      </c>
      <c r="E2764" s="260" t="s">
        <v>3335</v>
      </c>
      <c r="F2764" s="352">
        <v>20356</v>
      </c>
      <c r="G2764" s="311">
        <v>1976</v>
      </c>
      <c r="H2764" s="340" t="s">
        <v>2658</v>
      </c>
      <c r="I2764" s="313">
        <v>240</v>
      </c>
      <c r="J2764" s="350">
        <v>0.7</v>
      </c>
      <c r="K2764" s="350">
        <v>0.6</v>
      </c>
      <c r="L2764" s="314">
        <f t="shared" si="21"/>
        <v>9.9999999999999978E-2</v>
      </c>
      <c r="M2764" s="337"/>
    </row>
    <row r="2765" spans="1:13" s="71" customFormat="1" ht="26.4">
      <c r="A2765" s="282">
        <v>77</v>
      </c>
      <c r="B2765" s="534"/>
      <c r="C2765" s="353" t="s">
        <v>3336</v>
      </c>
      <c r="D2765" s="353" t="s">
        <v>3337</v>
      </c>
      <c r="E2765" s="260" t="s">
        <v>3338</v>
      </c>
      <c r="F2765" s="352">
        <v>20425</v>
      </c>
      <c r="G2765" s="311">
        <v>1976</v>
      </c>
      <c r="H2765" s="340" t="s">
        <v>2658</v>
      </c>
      <c r="I2765" s="313">
        <v>330</v>
      </c>
      <c r="J2765" s="350">
        <v>1</v>
      </c>
      <c r="K2765" s="350">
        <v>0.8</v>
      </c>
      <c r="L2765" s="314">
        <f t="shared" si="21"/>
        <v>0.19999999999999996</v>
      </c>
      <c r="M2765" s="337"/>
    </row>
    <row r="2766" spans="1:13" s="71" customFormat="1" ht="26.4">
      <c r="A2766" s="282">
        <v>78</v>
      </c>
      <c r="B2766" s="534"/>
      <c r="C2766" s="353" t="s">
        <v>3336</v>
      </c>
      <c r="D2766" s="353" t="s">
        <v>3339</v>
      </c>
      <c r="E2766" s="260" t="s">
        <v>3340</v>
      </c>
      <c r="F2766" s="352">
        <v>20480</v>
      </c>
      <c r="G2766" s="311">
        <v>1976</v>
      </c>
      <c r="H2766" s="340" t="s">
        <v>2658</v>
      </c>
      <c r="I2766" s="313">
        <v>230</v>
      </c>
      <c r="J2766" s="350">
        <v>0.7</v>
      </c>
      <c r="K2766" s="350">
        <v>0.5</v>
      </c>
      <c r="L2766" s="314">
        <f t="shared" si="21"/>
        <v>0.19999999999999996</v>
      </c>
      <c r="M2766" s="337"/>
    </row>
    <row r="2767" spans="1:13" s="71" customFormat="1" ht="26.4">
      <c r="A2767" s="282">
        <v>79</v>
      </c>
      <c r="B2767" s="534"/>
      <c r="C2767" s="353" t="s">
        <v>1790</v>
      </c>
      <c r="D2767" s="353" t="s">
        <v>3341</v>
      </c>
      <c r="E2767" s="260" t="s">
        <v>3342</v>
      </c>
      <c r="F2767" s="352">
        <v>20409</v>
      </c>
      <c r="G2767" s="311">
        <v>1976</v>
      </c>
      <c r="H2767" s="340" t="s">
        <v>2658</v>
      </c>
      <c r="I2767" s="313">
        <v>1200</v>
      </c>
      <c r="J2767" s="350">
        <v>5.2</v>
      </c>
      <c r="K2767" s="350">
        <v>4.8</v>
      </c>
      <c r="L2767" s="314">
        <f t="shared" si="21"/>
        <v>0.40000000000000036</v>
      </c>
      <c r="M2767" s="337"/>
    </row>
    <row r="2768" spans="1:13" s="71" customFormat="1" ht="26.4">
      <c r="A2768" s="282">
        <v>80</v>
      </c>
      <c r="B2768" s="534"/>
      <c r="C2768" s="353" t="s">
        <v>1790</v>
      </c>
      <c r="D2768" s="353" t="s">
        <v>3343</v>
      </c>
      <c r="E2768" s="260" t="s">
        <v>3344</v>
      </c>
      <c r="F2768" s="352">
        <v>20414</v>
      </c>
      <c r="G2768" s="311">
        <v>1976</v>
      </c>
      <c r="H2768" s="340" t="s">
        <v>2658</v>
      </c>
      <c r="I2768" s="313">
        <v>300</v>
      </c>
      <c r="J2768" s="350">
        <v>0.8</v>
      </c>
      <c r="K2768" s="350">
        <v>0.7</v>
      </c>
      <c r="L2768" s="314">
        <f t="shared" si="21"/>
        <v>0.10000000000000009</v>
      </c>
      <c r="M2768" s="337"/>
    </row>
    <row r="2769" spans="1:13" s="71" customFormat="1" ht="26.4">
      <c r="A2769" s="282">
        <v>81</v>
      </c>
      <c r="B2769" s="534"/>
      <c r="C2769" s="354" t="s">
        <v>1169</v>
      </c>
      <c r="D2769" s="353" t="s">
        <v>3345</v>
      </c>
      <c r="E2769" s="260" t="s">
        <v>3346</v>
      </c>
      <c r="F2769" s="352">
        <v>20140</v>
      </c>
      <c r="G2769" s="311">
        <v>1973</v>
      </c>
      <c r="H2769" s="340" t="s">
        <v>2658</v>
      </c>
      <c r="I2769" s="313">
        <v>73.5</v>
      </c>
      <c r="J2769" s="350">
        <v>2.8</v>
      </c>
      <c r="K2769" s="350">
        <v>2.6</v>
      </c>
      <c r="L2769" s="314">
        <f t="shared" si="21"/>
        <v>0.19999999999999973</v>
      </c>
      <c r="M2769" s="337"/>
    </row>
    <row r="2770" spans="1:13" s="71" customFormat="1" ht="26.4">
      <c r="A2770" s="282">
        <v>82</v>
      </c>
      <c r="B2770" s="534"/>
      <c r="C2770" s="354" t="s">
        <v>1169</v>
      </c>
      <c r="D2770" s="353" t="s">
        <v>3347</v>
      </c>
      <c r="E2770" s="260" t="s">
        <v>3348</v>
      </c>
      <c r="F2770" s="352">
        <v>20202</v>
      </c>
      <c r="G2770" s="311">
        <v>1976</v>
      </c>
      <c r="H2770" s="340" t="s">
        <v>2658</v>
      </c>
      <c r="I2770" s="313">
        <v>225</v>
      </c>
      <c r="J2770" s="350">
        <v>1.5</v>
      </c>
      <c r="K2770" s="350">
        <v>1.2</v>
      </c>
      <c r="L2770" s="314">
        <f t="shared" si="21"/>
        <v>0.30000000000000004</v>
      </c>
      <c r="M2770" s="337"/>
    </row>
    <row r="2771" spans="1:13" s="71" customFormat="1" ht="26.4">
      <c r="A2771" s="282">
        <v>83</v>
      </c>
      <c r="B2771" s="534"/>
      <c r="C2771" s="354" t="s">
        <v>1169</v>
      </c>
      <c r="D2771" s="353" t="s">
        <v>3349</v>
      </c>
      <c r="E2771" s="260" t="s">
        <v>3350</v>
      </c>
      <c r="F2771" s="352">
        <v>20129</v>
      </c>
      <c r="G2771" s="311">
        <v>1968</v>
      </c>
      <c r="H2771" s="340" t="s">
        <v>2658</v>
      </c>
      <c r="I2771" s="313">
        <v>1050</v>
      </c>
      <c r="J2771" s="350">
        <v>17.7</v>
      </c>
      <c r="K2771" s="350">
        <v>15.8</v>
      </c>
      <c r="L2771" s="314">
        <f t="shared" si="21"/>
        <v>1.8999999999999986</v>
      </c>
      <c r="M2771" s="337"/>
    </row>
    <row r="2772" spans="1:13" s="71" customFormat="1" ht="26.4">
      <c r="A2772" s="282">
        <v>84</v>
      </c>
      <c r="B2772" s="534"/>
      <c r="C2772" s="353" t="s">
        <v>3329</v>
      </c>
      <c r="D2772" s="353" t="s">
        <v>3351</v>
      </c>
      <c r="E2772" s="260" t="s">
        <v>3352</v>
      </c>
      <c r="F2772" s="352">
        <v>200201</v>
      </c>
      <c r="G2772" s="311">
        <v>1967</v>
      </c>
      <c r="H2772" s="340" t="s">
        <v>2658</v>
      </c>
      <c r="I2772" s="313">
        <v>720</v>
      </c>
      <c r="J2772" s="350">
        <v>15</v>
      </c>
      <c r="K2772" s="350">
        <v>13.4</v>
      </c>
      <c r="L2772" s="314">
        <f t="shared" si="21"/>
        <v>1.5999999999999996</v>
      </c>
      <c r="M2772" s="337"/>
    </row>
    <row r="2773" spans="1:13" s="71" customFormat="1" ht="26.4">
      <c r="A2773" s="282">
        <v>85</v>
      </c>
      <c r="B2773" s="534"/>
      <c r="C2773" s="354" t="s">
        <v>1169</v>
      </c>
      <c r="D2773" s="353" t="s">
        <v>3353</v>
      </c>
      <c r="E2773" s="260" t="s">
        <v>3354</v>
      </c>
      <c r="F2773" s="352">
        <v>20138</v>
      </c>
      <c r="G2773" s="311">
        <v>1970</v>
      </c>
      <c r="H2773" s="340" t="s">
        <v>2658</v>
      </c>
      <c r="I2773" s="313">
        <v>1900</v>
      </c>
      <c r="J2773" s="350">
        <v>24</v>
      </c>
      <c r="K2773" s="350">
        <v>18.8</v>
      </c>
      <c r="L2773" s="314">
        <f t="shared" si="21"/>
        <v>5.1999999999999993</v>
      </c>
      <c r="M2773" s="337"/>
    </row>
    <row r="2774" spans="1:13" s="71" customFormat="1" ht="26.4">
      <c r="A2774" s="282">
        <v>86</v>
      </c>
      <c r="B2774" s="534"/>
      <c r="C2774" s="354" t="s">
        <v>1169</v>
      </c>
      <c r="D2774" s="353" t="s">
        <v>3355</v>
      </c>
      <c r="E2774" s="260" t="s">
        <v>3356</v>
      </c>
      <c r="F2774" s="352">
        <v>20143</v>
      </c>
      <c r="G2774" s="311">
        <v>1971</v>
      </c>
      <c r="H2774" s="340" t="s">
        <v>2658</v>
      </c>
      <c r="I2774" s="313">
        <v>3318</v>
      </c>
      <c r="J2774" s="350">
        <v>57.4</v>
      </c>
      <c r="K2774" s="350">
        <v>53.4</v>
      </c>
      <c r="L2774" s="314">
        <f t="shared" si="21"/>
        <v>4</v>
      </c>
      <c r="M2774" s="337"/>
    </row>
    <row r="2775" spans="1:13" s="71" customFormat="1" ht="26.4">
      <c r="A2775" s="282">
        <v>87</v>
      </c>
      <c r="B2775" s="534"/>
      <c r="C2775" s="354" t="s">
        <v>1169</v>
      </c>
      <c r="D2775" s="353" t="s">
        <v>3357</v>
      </c>
      <c r="E2775" s="260" t="s">
        <v>3358</v>
      </c>
      <c r="F2775" s="352">
        <v>20314</v>
      </c>
      <c r="G2775" s="311">
        <v>1976</v>
      </c>
      <c r="H2775" s="340" t="s">
        <v>2658</v>
      </c>
      <c r="I2775" s="313">
        <v>230</v>
      </c>
      <c r="J2775" s="350">
        <v>0.6</v>
      </c>
      <c r="K2775" s="350">
        <v>0.5</v>
      </c>
      <c r="L2775" s="314">
        <f t="shared" si="21"/>
        <v>9.9999999999999978E-2</v>
      </c>
      <c r="M2775" s="337"/>
    </row>
    <row r="2776" spans="1:13" s="71" customFormat="1" ht="26.4">
      <c r="A2776" s="282">
        <v>88</v>
      </c>
      <c r="B2776" s="534"/>
      <c r="C2776" s="355" t="s">
        <v>1169</v>
      </c>
      <c r="D2776" s="307" t="s">
        <v>3359</v>
      </c>
      <c r="E2776" s="260" t="s">
        <v>3360</v>
      </c>
      <c r="F2776" s="352">
        <v>20315</v>
      </c>
      <c r="G2776" s="311">
        <v>1976</v>
      </c>
      <c r="H2776" s="340" t="s">
        <v>2658</v>
      </c>
      <c r="I2776" s="313">
        <v>380</v>
      </c>
      <c r="J2776" s="350">
        <v>1.1000000000000001</v>
      </c>
      <c r="K2776" s="350">
        <v>0.9</v>
      </c>
      <c r="L2776" s="314">
        <f t="shared" si="21"/>
        <v>0.20000000000000007</v>
      </c>
      <c r="M2776" s="337"/>
    </row>
    <row r="2777" spans="1:13" s="71" customFormat="1" ht="26.4">
      <c r="A2777" s="282">
        <v>89</v>
      </c>
      <c r="B2777" s="534"/>
      <c r="C2777" s="355" t="s">
        <v>1169</v>
      </c>
      <c r="D2777" s="307" t="s">
        <v>3361</v>
      </c>
      <c r="E2777" s="260" t="s">
        <v>3362</v>
      </c>
      <c r="F2777" s="352">
        <v>20326</v>
      </c>
      <c r="G2777" s="311">
        <v>1976</v>
      </c>
      <c r="H2777" s="340" t="s">
        <v>2658</v>
      </c>
      <c r="I2777" s="313">
        <v>200</v>
      </c>
      <c r="J2777" s="350">
        <v>0.5</v>
      </c>
      <c r="K2777" s="350">
        <v>0.5</v>
      </c>
      <c r="L2777" s="314">
        <f t="shared" si="21"/>
        <v>0</v>
      </c>
      <c r="M2777" s="337"/>
    </row>
    <row r="2778" spans="1:13" s="71" customFormat="1" ht="26.4">
      <c r="A2778" s="282">
        <v>90</v>
      </c>
      <c r="B2778" s="534"/>
      <c r="C2778" s="355" t="s">
        <v>1169</v>
      </c>
      <c r="D2778" s="307" t="s">
        <v>3363</v>
      </c>
      <c r="E2778" s="260" t="s">
        <v>3364</v>
      </c>
      <c r="F2778" s="352">
        <v>20322</v>
      </c>
      <c r="G2778" s="311">
        <v>1976</v>
      </c>
      <c r="H2778" s="340" t="s">
        <v>2658</v>
      </c>
      <c r="I2778" s="313">
        <v>280</v>
      </c>
      <c r="J2778" s="350">
        <v>0.7</v>
      </c>
      <c r="K2778" s="350">
        <v>0.6</v>
      </c>
      <c r="L2778" s="314">
        <f t="shared" si="21"/>
        <v>9.9999999999999978E-2</v>
      </c>
      <c r="M2778" s="337"/>
    </row>
    <row r="2779" spans="1:13" s="71" customFormat="1" ht="39.6">
      <c r="A2779" s="282">
        <v>91</v>
      </c>
      <c r="B2779" s="534"/>
      <c r="C2779" s="355" t="s">
        <v>1169</v>
      </c>
      <c r="D2779" s="307" t="s">
        <v>3365</v>
      </c>
      <c r="E2779" s="260" t="s">
        <v>12671</v>
      </c>
      <c r="F2779" s="352">
        <v>20170</v>
      </c>
      <c r="G2779" s="311">
        <v>1976</v>
      </c>
      <c r="H2779" s="340" t="s">
        <v>2658</v>
      </c>
      <c r="I2779" s="313">
        <v>1000</v>
      </c>
      <c r="J2779" s="350">
        <v>5.4</v>
      </c>
      <c r="K2779" s="350">
        <v>4.2</v>
      </c>
      <c r="L2779" s="314">
        <f t="shared" si="21"/>
        <v>1.2000000000000002</v>
      </c>
      <c r="M2779" s="337"/>
    </row>
    <row r="2780" spans="1:13" s="71" customFormat="1" ht="26.4">
      <c r="A2780" s="282">
        <v>92</v>
      </c>
      <c r="B2780" s="534"/>
      <c r="C2780" s="355" t="s">
        <v>1169</v>
      </c>
      <c r="D2780" s="307" t="s">
        <v>3366</v>
      </c>
      <c r="E2780" s="260" t="s">
        <v>13035</v>
      </c>
      <c r="F2780" s="352">
        <v>20169</v>
      </c>
      <c r="G2780" s="311">
        <v>1976</v>
      </c>
      <c r="H2780" s="340" t="s">
        <v>2658</v>
      </c>
      <c r="I2780" s="313">
        <v>350</v>
      </c>
      <c r="J2780" s="350">
        <v>1.5</v>
      </c>
      <c r="K2780" s="350">
        <v>1.4</v>
      </c>
      <c r="L2780" s="314">
        <f t="shared" si="21"/>
        <v>0.10000000000000009</v>
      </c>
      <c r="M2780" s="337"/>
    </row>
    <row r="2781" spans="1:13" s="71" customFormat="1" ht="26.4">
      <c r="A2781" s="282">
        <v>93</v>
      </c>
      <c r="B2781" s="534"/>
      <c r="C2781" s="355" t="s">
        <v>1169</v>
      </c>
      <c r="D2781" s="307" t="s">
        <v>3367</v>
      </c>
      <c r="E2781" s="260" t="s">
        <v>3368</v>
      </c>
      <c r="F2781" s="352">
        <v>20312</v>
      </c>
      <c r="G2781" s="311">
        <v>1976</v>
      </c>
      <c r="H2781" s="340" t="s">
        <v>2658</v>
      </c>
      <c r="I2781" s="313">
        <v>400</v>
      </c>
      <c r="J2781" s="350">
        <v>1.2</v>
      </c>
      <c r="K2781" s="350">
        <v>0.9</v>
      </c>
      <c r="L2781" s="314">
        <f t="shared" si="21"/>
        <v>0.29999999999999993</v>
      </c>
      <c r="M2781" s="337"/>
    </row>
    <row r="2782" spans="1:13" s="71" customFormat="1" ht="26.4">
      <c r="A2782" s="282">
        <v>94</v>
      </c>
      <c r="B2782" s="534"/>
      <c r="C2782" s="355" t="s">
        <v>1169</v>
      </c>
      <c r="D2782" s="307" t="s">
        <v>3369</v>
      </c>
      <c r="E2782" s="260" t="s">
        <v>3370</v>
      </c>
      <c r="F2782" s="352">
        <v>20321</v>
      </c>
      <c r="G2782" s="311">
        <v>1976</v>
      </c>
      <c r="H2782" s="340" t="s">
        <v>2658</v>
      </c>
      <c r="I2782" s="313">
        <v>100</v>
      </c>
      <c r="J2782" s="350">
        <v>0.3</v>
      </c>
      <c r="K2782" s="350">
        <v>0.2</v>
      </c>
      <c r="L2782" s="314">
        <f t="shared" si="21"/>
        <v>9.9999999999999978E-2</v>
      </c>
      <c r="M2782" s="337"/>
    </row>
    <row r="2783" spans="1:13" s="71" customFormat="1" ht="26.4">
      <c r="A2783" s="282">
        <v>95</v>
      </c>
      <c r="B2783" s="534"/>
      <c r="C2783" s="355" t="s">
        <v>1169</v>
      </c>
      <c r="D2783" s="307" t="s">
        <v>3371</v>
      </c>
      <c r="E2783" s="260" t="s">
        <v>3372</v>
      </c>
      <c r="F2783" s="352">
        <v>20324</v>
      </c>
      <c r="G2783" s="311">
        <v>1976</v>
      </c>
      <c r="H2783" s="340" t="s">
        <v>2658</v>
      </c>
      <c r="I2783" s="313">
        <v>290</v>
      </c>
      <c r="J2783" s="350">
        <v>0.7</v>
      </c>
      <c r="K2783" s="350">
        <v>0.6</v>
      </c>
      <c r="L2783" s="314">
        <f t="shared" si="21"/>
        <v>9.9999999999999978E-2</v>
      </c>
      <c r="M2783" s="337"/>
    </row>
    <row r="2784" spans="1:13" s="71" customFormat="1" ht="26.4">
      <c r="A2784" s="282">
        <v>96</v>
      </c>
      <c r="B2784" s="534"/>
      <c r="C2784" s="355" t="s">
        <v>1169</v>
      </c>
      <c r="D2784" s="307" t="s">
        <v>3373</v>
      </c>
      <c r="E2784" s="260" t="s">
        <v>3374</v>
      </c>
      <c r="F2784" s="352">
        <v>20316</v>
      </c>
      <c r="G2784" s="311">
        <v>1976</v>
      </c>
      <c r="H2784" s="340" t="s">
        <v>2658</v>
      </c>
      <c r="I2784" s="313">
        <v>400</v>
      </c>
      <c r="J2784" s="350">
        <v>1.2</v>
      </c>
      <c r="K2784" s="350">
        <v>0.9</v>
      </c>
      <c r="L2784" s="314">
        <f t="shared" si="21"/>
        <v>0.29999999999999993</v>
      </c>
      <c r="M2784" s="337"/>
    </row>
    <row r="2785" spans="1:13" s="71" customFormat="1" ht="26.4">
      <c r="A2785" s="282">
        <v>97</v>
      </c>
      <c r="B2785" s="534"/>
      <c r="C2785" s="355" t="s">
        <v>1169</v>
      </c>
      <c r="D2785" s="307" t="s">
        <v>3375</v>
      </c>
      <c r="E2785" s="260" t="s">
        <v>3376</v>
      </c>
      <c r="F2785" s="352">
        <v>20657</v>
      </c>
      <c r="G2785" s="311">
        <v>2005</v>
      </c>
      <c r="H2785" s="340" t="s">
        <v>2658</v>
      </c>
      <c r="I2785" s="313">
        <v>3300</v>
      </c>
      <c r="J2785" s="350">
        <v>19</v>
      </c>
      <c r="K2785" s="350">
        <v>6.9</v>
      </c>
      <c r="L2785" s="314">
        <f t="shared" si="21"/>
        <v>12.1</v>
      </c>
      <c r="M2785" s="337"/>
    </row>
    <row r="2786" spans="1:13" s="71" customFormat="1" ht="26.4">
      <c r="A2786" s="282">
        <v>98</v>
      </c>
      <c r="B2786" s="534"/>
      <c r="C2786" s="355" t="s">
        <v>1169</v>
      </c>
      <c r="D2786" s="307" t="s">
        <v>3377</v>
      </c>
      <c r="E2786" s="260" t="s">
        <v>3378</v>
      </c>
      <c r="F2786" s="352">
        <v>20382</v>
      </c>
      <c r="G2786" s="311">
        <v>1976</v>
      </c>
      <c r="H2786" s="340" t="s">
        <v>2658</v>
      </c>
      <c r="I2786" s="313">
        <v>260</v>
      </c>
      <c r="J2786" s="350">
        <v>0.7</v>
      </c>
      <c r="K2786" s="350">
        <v>0.6</v>
      </c>
      <c r="L2786" s="314">
        <f t="shared" si="21"/>
        <v>9.9999999999999978E-2</v>
      </c>
      <c r="M2786" s="337"/>
    </row>
    <row r="2787" spans="1:13" s="71" customFormat="1" ht="39.6">
      <c r="A2787" s="282">
        <v>99</v>
      </c>
      <c r="B2787" s="534"/>
      <c r="C2787" s="355" t="s">
        <v>1169</v>
      </c>
      <c r="D2787" s="307" t="s">
        <v>3379</v>
      </c>
      <c r="E2787" s="260" t="s">
        <v>3380</v>
      </c>
      <c r="F2787" s="352">
        <v>20168</v>
      </c>
      <c r="G2787" s="311">
        <v>1976</v>
      </c>
      <c r="H2787" s="340" t="s">
        <v>2658</v>
      </c>
      <c r="I2787" s="313">
        <v>550</v>
      </c>
      <c r="J2787" s="350">
        <v>3.6</v>
      </c>
      <c r="K2787" s="350">
        <v>3.3</v>
      </c>
      <c r="L2787" s="314">
        <f t="shared" si="21"/>
        <v>0.30000000000000027</v>
      </c>
      <c r="M2787" s="337"/>
    </row>
    <row r="2788" spans="1:13" s="71" customFormat="1" ht="26.4">
      <c r="A2788" s="282">
        <v>100</v>
      </c>
      <c r="B2788" s="534"/>
      <c r="C2788" s="307" t="s">
        <v>3276</v>
      </c>
      <c r="D2788" s="307" t="s">
        <v>3381</v>
      </c>
      <c r="E2788" s="260" t="s">
        <v>3382</v>
      </c>
      <c r="F2788" s="352">
        <v>20443</v>
      </c>
      <c r="G2788" s="311">
        <v>1976</v>
      </c>
      <c r="H2788" s="340" t="s">
        <v>2658</v>
      </c>
      <c r="I2788" s="313">
        <v>700</v>
      </c>
      <c r="J2788" s="350">
        <v>2</v>
      </c>
      <c r="K2788" s="350">
        <v>1.6</v>
      </c>
      <c r="L2788" s="314">
        <f t="shared" si="21"/>
        <v>0.39999999999999991</v>
      </c>
      <c r="M2788" s="337"/>
    </row>
    <row r="2789" spans="1:13" s="71" customFormat="1" ht="26.4">
      <c r="A2789" s="282">
        <v>101</v>
      </c>
      <c r="B2789" s="534"/>
      <c r="C2789" s="355" t="s">
        <v>1169</v>
      </c>
      <c r="D2789" s="307" t="s">
        <v>3383</v>
      </c>
      <c r="E2789" s="260" t="s">
        <v>3384</v>
      </c>
      <c r="F2789" s="352">
        <v>20131</v>
      </c>
      <c r="G2789" s="311">
        <v>1969</v>
      </c>
      <c r="H2789" s="340" t="s">
        <v>2658</v>
      </c>
      <c r="I2789" s="313">
        <v>240</v>
      </c>
      <c r="J2789" s="350">
        <v>2.7</v>
      </c>
      <c r="K2789" s="350">
        <v>2.5</v>
      </c>
      <c r="L2789" s="314">
        <f t="shared" si="21"/>
        <v>0.20000000000000018</v>
      </c>
      <c r="M2789" s="337"/>
    </row>
    <row r="2790" spans="1:13" s="71" customFormat="1" ht="26.4">
      <c r="A2790" s="282">
        <v>102</v>
      </c>
      <c r="B2790" s="534"/>
      <c r="C2790" s="355" t="s">
        <v>1169</v>
      </c>
      <c r="D2790" s="307" t="s">
        <v>3385</v>
      </c>
      <c r="E2790" s="260" t="s">
        <v>3386</v>
      </c>
      <c r="F2790" s="352">
        <v>20044</v>
      </c>
      <c r="G2790" s="311">
        <v>1967</v>
      </c>
      <c r="H2790" s="340" t="s">
        <v>2658</v>
      </c>
      <c r="I2790" s="313">
        <v>346</v>
      </c>
      <c r="J2790" s="350">
        <v>3.2</v>
      </c>
      <c r="K2790" s="350">
        <v>2.9</v>
      </c>
      <c r="L2790" s="314">
        <f t="shared" si="21"/>
        <v>0.30000000000000027</v>
      </c>
      <c r="M2790" s="337"/>
    </row>
    <row r="2791" spans="1:13" s="71" customFormat="1" ht="26.4">
      <c r="A2791" s="282">
        <v>103</v>
      </c>
      <c r="B2791" s="534"/>
      <c r="C2791" s="355" t="s">
        <v>1169</v>
      </c>
      <c r="D2791" s="307" t="s">
        <v>3387</v>
      </c>
      <c r="E2791" s="260" t="s">
        <v>3388</v>
      </c>
      <c r="F2791" s="352">
        <v>20288</v>
      </c>
      <c r="G2791" s="311">
        <v>1976</v>
      </c>
      <c r="H2791" s="340" t="s">
        <v>2658</v>
      </c>
      <c r="I2791" s="313">
        <v>400</v>
      </c>
      <c r="J2791" s="350">
        <v>1.2</v>
      </c>
      <c r="K2791" s="350">
        <v>0.9</v>
      </c>
      <c r="L2791" s="314">
        <f t="shared" si="21"/>
        <v>0.29999999999999993</v>
      </c>
      <c r="M2791" s="337"/>
    </row>
    <row r="2792" spans="1:13" s="71" customFormat="1" ht="26.4">
      <c r="A2792" s="282">
        <v>104</v>
      </c>
      <c r="B2792" s="534"/>
      <c r="C2792" s="355" t="s">
        <v>1169</v>
      </c>
      <c r="D2792" s="307" t="s">
        <v>3389</v>
      </c>
      <c r="E2792" s="260" t="s">
        <v>3390</v>
      </c>
      <c r="F2792" s="352">
        <v>20311</v>
      </c>
      <c r="G2792" s="311">
        <v>1976</v>
      </c>
      <c r="H2792" s="340" t="s">
        <v>2658</v>
      </c>
      <c r="I2792" s="313">
        <v>560</v>
      </c>
      <c r="J2792" s="350">
        <v>1.4</v>
      </c>
      <c r="K2792" s="350">
        <v>1.3</v>
      </c>
      <c r="L2792" s="314">
        <f t="shared" si="21"/>
        <v>9.9999999999999867E-2</v>
      </c>
      <c r="M2792" s="337"/>
    </row>
    <row r="2793" spans="1:13" s="71" customFormat="1" ht="26.4" customHeight="1">
      <c r="A2793" s="282">
        <v>105</v>
      </c>
      <c r="B2793" s="534"/>
      <c r="C2793" s="355" t="s">
        <v>1169</v>
      </c>
      <c r="D2793" s="307" t="s">
        <v>3</v>
      </c>
      <c r="E2793" s="260" t="s">
        <v>3391</v>
      </c>
      <c r="F2793" s="352">
        <v>20223</v>
      </c>
      <c r="G2793" s="311">
        <v>1976</v>
      </c>
      <c r="H2793" s="340" t="s">
        <v>2658</v>
      </c>
      <c r="I2793" s="313">
        <v>17600</v>
      </c>
      <c r="J2793" s="350">
        <v>9.4</v>
      </c>
      <c r="K2793" s="350">
        <v>8.6</v>
      </c>
      <c r="L2793" s="314">
        <f t="shared" si="21"/>
        <v>0.80000000000000071</v>
      </c>
      <c r="M2793" s="337"/>
    </row>
    <row r="2794" spans="1:13" s="71" customFormat="1" ht="39.6">
      <c r="A2794" s="282">
        <v>106</v>
      </c>
      <c r="B2794" s="534"/>
      <c r="C2794" s="307" t="s">
        <v>3392</v>
      </c>
      <c r="D2794" s="307" t="s">
        <v>3393</v>
      </c>
      <c r="E2794" s="260" t="s">
        <v>3394</v>
      </c>
      <c r="F2794" s="352">
        <v>20069</v>
      </c>
      <c r="G2794" s="311">
        <v>1967</v>
      </c>
      <c r="H2794" s="340" t="s">
        <v>2658</v>
      </c>
      <c r="I2794" s="313">
        <v>10080</v>
      </c>
      <c r="J2794" s="350">
        <v>13.8</v>
      </c>
      <c r="K2794" s="350">
        <v>12.3</v>
      </c>
      <c r="L2794" s="314">
        <f t="shared" si="21"/>
        <v>1.5</v>
      </c>
      <c r="M2794" s="337"/>
    </row>
    <row r="2795" spans="1:13" s="71" customFormat="1" ht="26.4">
      <c r="A2795" s="282">
        <v>107</v>
      </c>
      <c r="B2795" s="534"/>
      <c r="C2795" s="307" t="s">
        <v>1790</v>
      </c>
      <c r="D2795" s="307" t="s">
        <v>3</v>
      </c>
      <c r="E2795" s="260" t="s">
        <v>3395</v>
      </c>
      <c r="F2795" s="352">
        <v>200281</v>
      </c>
      <c r="G2795" s="311">
        <v>1973</v>
      </c>
      <c r="H2795" s="340" t="s">
        <v>2658</v>
      </c>
      <c r="I2795" s="313">
        <v>1305</v>
      </c>
      <c r="J2795" s="350">
        <v>3.2</v>
      </c>
      <c r="K2795" s="350">
        <v>3</v>
      </c>
      <c r="L2795" s="314">
        <f t="shared" si="21"/>
        <v>0.20000000000000018</v>
      </c>
      <c r="M2795" s="337"/>
    </row>
    <row r="2796" spans="1:13" s="71" customFormat="1" ht="26.4">
      <c r="A2796" s="282">
        <v>108</v>
      </c>
      <c r="B2796" s="534"/>
      <c r="C2796" s="355" t="s">
        <v>1169</v>
      </c>
      <c r="D2796" s="307" t="s">
        <v>3396</v>
      </c>
      <c r="E2796" s="260" t="s">
        <v>3397</v>
      </c>
      <c r="F2796" s="352">
        <v>20650</v>
      </c>
      <c r="G2796" s="311">
        <v>1998</v>
      </c>
      <c r="H2796" s="340" t="s">
        <v>2658</v>
      </c>
      <c r="I2796" s="313">
        <v>14.5</v>
      </c>
      <c r="J2796" s="350">
        <v>4</v>
      </c>
      <c r="K2796" s="350">
        <v>3.4</v>
      </c>
      <c r="L2796" s="314">
        <f t="shared" si="21"/>
        <v>0.60000000000000009</v>
      </c>
      <c r="M2796" s="337"/>
    </row>
    <row r="2797" spans="1:13" s="71" customFormat="1" ht="26.4">
      <c r="A2797" s="282">
        <v>109</v>
      </c>
      <c r="B2797" s="534"/>
      <c r="C2797" s="307" t="s">
        <v>3317</v>
      </c>
      <c r="D2797" s="307" t="s">
        <v>3398</v>
      </c>
      <c r="E2797" s="260" t="s">
        <v>3399</v>
      </c>
      <c r="F2797" s="352">
        <v>200161</v>
      </c>
      <c r="G2797" s="311">
        <v>1968</v>
      </c>
      <c r="H2797" s="340" t="s">
        <v>2658</v>
      </c>
      <c r="I2797" s="313">
        <v>475</v>
      </c>
      <c r="J2797" s="350">
        <v>5.7</v>
      </c>
      <c r="K2797" s="350">
        <v>5.0999999999999996</v>
      </c>
      <c r="L2797" s="314">
        <f t="shared" si="21"/>
        <v>0.60000000000000053</v>
      </c>
      <c r="M2797" s="337"/>
    </row>
    <row r="2798" spans="1:13" s="71" customFormat="1" ht="26.4">
      <c r="A2798" s="282">
        <v>110</v>
      </c>
      <c r="B2798" s="534"/>
      <c r="C2798" s="355" t="s">
        <v>1169</v>
      </c>
      <c r="D2798" s="307" t="s">
        <v>3400</v>
      </c>
      <c r="E2798" s="260" t="s">
        <v>13036</v>
      </c>
      <c r="F2798" s="352">
        <v>20080</v>
      </c>
      <c r="G2798" s="311">
        <v>1973</v>
      </c>
      <c r="H2798" s="340" t="s">
        <v>2658</v>
      </c>
      <c r="I2798" s="313">
        <v>105</v>
      </c>
      <c r="J2798" s="350">
        <v>1.5</v>
      </c>
      <c r="K2798" s="350">
        <v>1.4</v>
      </c>
      <c r="L2798" s="314">
        <f t="shared" si="21"/>
        <v>0.10000000000000009</v>
      </c>
      <c r="M2798" s="337"/>
    </row>
    <row r="2799" spans="1:13" s="71" customFormat="1" ht="26.4">
      <c r="A2799" s="282">
        <v>111</v>
      </c>
      <c r="B2799" s="534"/>
      <c r="C2799" s="355" t="s">
        <v>1169</v>
      </c>
      <c r="D2799" s="307" t="s">
        <v>3401</v>
      </c>
      <c r="E2799" s="260" t="s">
        <v>3402</v>
      </c>
      <c r="F2799" s="352">
        <v>20076</v>
      </c>
      <c r="G2799" s="311">
        <v>1972</v>
      </c>
      <c r="H2799" s="340" t="s">
        <v>2658</v>
      </c>
      <c r="I2799" s="313">
        <v>168</v>
      </c>
      <c r="J2799" s="350">
        <v>5.3</v>
      </c>
      <c r="K2799" s="350">
        <v>4.0999999999999996</v>
      </c>
      <c r="L2799" s="314">
        <f t="shared" si="21"/>
        <v>1.2000000000000002</v>
      </c>
      <c r="M2799" s="337"/>
    </row>
    <row r="2800" spans="1:13" s="71" customFormat="1" ht="26.4">
      <c r="A2800" s="282">
        <v>112</v>
      </c>
      <c r="B2800" s="534"/>
      <c r="C2800" s="307" t="s">
        <v>3403</v>
      </c>
      <c r="D2800" s="307" t="s">
        <v>3404</v>
      </c>
      <c r="E2800" s="260" t="s">
        <v>3405</v>
      </c>
      <c r="F2800" s="352">
        <v>20517</v>
      </c>
      <c r="G2800" s="311">
        <v>1976</v>
      </c>
      <c r="H2800" s="340" t="s">
        <v>2658</v>
      </c>
      <c r="I2800" s="313">
        <v>1300</v>
      </c>
      <c r="J2800" s="350">
        <v>3.8</v>
      </c>
      <c r="K2800" s="350">
        <v>2.9</v>
      </c>
      <c r="L2800" s="314">
        <f t="shared" si="21"/>
        <v>0.89999999999999991</v>
      </c>
      <c r="M2800" s="337"/>
    </row>
    <row r="2801" spans="1:13" s="71" customFormat="1" ht="26.4">
      <c r="A2801" s="282">
        <v>113</v>
      </c>
      <c r="B2801" s="534"/>
      <c r="C2801" s="355" t="s">
        <v>1169</v>
      </c>
      <c r="D2801" s="307" t="s">
        <v>3406</v>
      </c>
      <c r="E2801" s="260" t="s">
        <v>3407</v>
      </c>
      <c r="F2801" s="352">
        <v>20057</v>
      </c>
      <c r="G2801" s="311">
        <v>1969</v>
      </c>
      <c r="H2801" s="340" t="s">
        <v>2658</v>
      </c>
      <c r="I2801" s="313">
        <v>9320</v>
      </c>
      <c r="J2801" s="350">
        <v>21.7</v>
      </c>
      <c r="K2801" s="350">
        <v>21.1</v>
      </c>
      <c r="L2801" s="314">
        <f t="shared" si="21"/>
        <v>0.59999999999999787</v>
      </c>
      <c r="M2801" s="337"/>
    </row>
    <row r="2802" spans="1:13" s="71" customFormat="1" ht="37.5" customHeight="1">
      <c r="A2802" s="282">
        <v>114</v>
      </c>
      <c r="B2802" s="534"/>
      <c r="C2802" s="307" t="s">
        <v>3392</v>
      </c>
      <c r="D2802" s="307" t="s">
        <v>3408</v>
      </c>
      <c r="E2802" s="514" t="s">
        <v>13266</v>
      </c>
      <c r="F2802" s="352">
        <v>20091</v>
      </c>
      <c r="G2802" s="311">
        <v>1967</v>
      </c>
      <c r="H2802" s="340" t="s">
        <v>2658</v>
      </c>
      <c r="I2802" s="313">
        <v>1160</v>
      </c>
      <c r="J2802" s="350">
        <v>16.3</v>
      </c>
      <c r="K2802" s="350">
        <v>14.6</v>
      </c>
      <c r="L2802" s="314">
        <f t="shared" si="21"/>
        <v>1.7000000000000011</v>
      </c>
      <c r="M2802" s="337"/>
    </row>
    <row r="2803" spans="1:13" s="71" customFormat="1" ht="26.4">
      <c r="A2803" s="282">
        <v>115</v>
      </c>
      <c r="B2803" s="534"/>
      <c r="C2803" s="307" t="s">
        <v>3276</v>
      </c>
      <c r="D2803" s="307" t="s">
        <v>3409</v>
      </c>
      <c r="E2803" s="260" t="s">
        <v>3410</v>
      </c>
      <c r="F2803" s="352">
        <v>20601</v>
      </c>
      <c r="G2803" s="311">
        <v>1989</v>
      </c>
      <c r="H2803" s="340" t="s">
        <v>2658</v>
      </c>
      <c r="I2803" s="313">
        <v>4325</v>
      </c>
      <c r="J2803" s="350">
        <v>523.20000000000005</v>
      </c>
      <c r="K2803" s="350">
        <v>508.7</v>
      </c>
      <c r="L2803" s="314">
        <f t="shared" si="21"/>
        <v>14.500000000000057</v>
      </c>
      <c r="M2803" s="337"/>
    </row>
    <row r="2804" spans="1:13" s="71" customFormat="1" ht="26.4" customHeight="1">
      <c r="A2804" s="282">
        <v>116</v>
      </c>
      <c r="B2804" s="534"/>
      <c r="C2804" s="355" t="s">
        <v>1169</v>
      </c>
      <c r="D2804" s="307" t="s">
        <v>3411</v>
      </c>
      <c r="E2804" s="260" t="s">
        <v>13037</v>
      </c>
      <c r="F2804" s="352">
        <v>20600</v>
      </c>
      <c r="G2804" s="311">
        <v>1989</v>
      </c>
      <c r="H2804" s="340" t="s">
        <v>2658</v>
      </c>
      <c r="I2804" s="313">
        <v>4177</v>
      </c>
      <c r="J2804" s="350">
        <v>616.6</v>
      </c>
      <c r="K2804" s="350">
        <v>522.4</v>
      </c>
      <c r="L2804" s="314">
        <f t="shared" si="21"/>
        <v>94.200000000000045</v>
      </c>
      <c r="M2804" s="337"/>
    </row>
    <row r="2805" spans="1:13" s="71" customFormat="1" ht="26.4" customHeight="1">
      <c r="A2805" s="282">
        <v>117</v>
      </c>
      <c r="B2805" s="534"/>
      <c r="C2805" s="307" t="s">
        <v>3412</v>
      </c>
      <c r="D2805" s="307" t="s">
        <v>3413</v>
      </c>
      <c r="E2805" s="260" t="s">
        <v>3414</v>
      </c>
      <c r="F2805" s="352">
        <v>20105</v>
      </c>
      <c r="G2805" s="311">
        <v>1967</v>
      </c>
      <c r="H2805" s="340" t="s">
        <v>2658</v>
      </c>
      <c r="I2805" s="313">
        <v>695</v>
      </c>
      <c r="J2805" s="350">
        <v>9.6999999999999993</v>
      </c>
      <c r="K2805" s="350">
        <v>7.6</v>
      </c>
      <c r="L2805" s="314">
        <f t="shared" si="21"/>
        <v>2.0999999999999996</v>
      </c>
      <c r="M2805" s="337"/>
    </row>
    <row r="2806" spans="1:13" s="71" customFormat="1" ht="26.4" customHeight="1">
      <c r="A2806" s="282">
        <v>118</v>
      </c>
      <c r="B2806" s="534"/>
      <c r="C2806" s="355" t="s">
        <v>1169</v>
      </c>
      <c r="D2806" s="307" t="s">
        <v>3</v>
      </c>
      <c r="E2806" s="260" t="s">
        <v>3415</v>
      </c>
      <c r="F2806" s="352">
        <v>20656</v>
      </c>
      <c r="G2806" s="311">
        <v>2001</v>
      </c>
      <c r="H2806" s="340" t="s">
        <v>3</v>
      </c>
      <c r="I2806" s="313" t="s">
        <v>3</v>
      </c>
      <c r="J2806" s="350">
        <v>2963.8</v>
      </c>
      <c r="K2806" s="350">
        <v>1170.4000000000001</v>
      </c>
      <c r="L2806" s="314">
        <f t="shared" si="21"/>
        <v>1793.4</v>
      </c>
      <c r="M2806" s="337"/>
    </row>
    <row r="2807" spans="1:13" s="71" customFormat="1" ht="26.4" customHeight="1">
      <c r="A2807" s="282">
        <v>119</v>
      </c>
      <c r="B2807" s="534"/>
      <c r="C2807" s="355" t="s">
        <v>1169</v>
      </c>
      <c r="D2807" s="307" t="s">
        <v>3</v>
      </c>
      <c r="E2807" s="260" t="s">
        <v>3416</v>
      </c>
      <c r="F2807" s="352">
        <v>20651</v>
      </c>
      <c r="G2807" s="311">
        <v>1998</v>
      </c>
      <c r="H2807" s="340" t="s">
        <v>2658</v>
      </c>
      <c r="I2807" s="313">
        <v>200</v>
      </c>
      <c r="J2807" s="350">
        <v>14.2</v>
      </c>
      <c r="K2807" s="350">
        <v>12</v>
      </c>
      <c r="L2807" s="314">
        <f t="shared" si="21"/>
        <v>2.1999999999999993</v>
      </c>
      <c r="M2807" s="337"/>
    </row>
    <row r="2808" spans="1:13" s="71" customFormat="1" ht="26.4" customHeight="1">
      <c r="A2808" s="282">
        <v>120</v>
      </c>
      <c r="B2808" s="534"/>
      <c r="C2808" s="307" t="s">
        <v>3320</v>
      </c>
      <c r="D2808" s="307" t="s">
        <v>3417</v>
      </c>
      <c r="E2808" s="260" t="s">
        <v>3418</v>
      </c>
      <c r="F2808" s="352">
        <v>20373</v>
      </c>
      <c r="G2808" s="311">
        <v>1976</v>
      </c>
      <c r="H2808" s="340" t="s">
        <v>2658</v>
      </c>
      <c r="I2808" s="313">
        <v>470</v>
      </c>
      <c r="J2808" s="350">
        <v>2.8</v>
      </c>
      <c r="K2808" s="350">
        <v>2</v>
      </c>
      <c r="L2808" s="314">
        <f t="shared" si="21"/>
        <v>0.79999999999999982</v>
      </c>
      <c r="M2808" s="337"/>
    </row>
    <row r="2809" spans="1:13" s="71" customFormat="1" ht="26.4" customHeight="1">
      <c r="A2809" s="282">
        <v>121</v>
      </c>
      <c r="B2809" s="534"/>
      <c r="C2809" s="355" t="s">
        <v>1169</v>
      </c>
      <c r="D2809" s="307" t="s">
        <v>13268</v>
      </c>
      <c r="E2809" s="260" t="s">
        <v>3419</v>
      </c>
      <c r="F2809" s="352">
        <v>20139</v>
      </c>
      <c r="G2809" s="311">
        <v>1973</v>
      </c>
      <c r="H2809" s="340" t="s">
        <v>2658</v>
      </c>
      <c r="I2809" s="313">
        <v>200</v>
      </c>
      <c r="J2809" s="350">
        <v>3.9</v>
      </c>
      <c r="K2809" s="350">
        <v>3.6</v>
      </c>
      <c r="L2809" s="314">
        <f t="shared" si="21"/>
        <v>0.29999999999999982</v>
      </c>
      <c r="M2809" s="337"/>
    </row>
    <row r="2810" spans="1:13" s="71" customFormat="1" ht="26.4" customHeight="1">
      <c r="A2810" s="282">
        <v>122</v>
      </c>
      <c r="B2810" s="534"/>
      <c r="C2810" s="355" t="s">
        <v>1169</v>
      </c>
      <c r="D2810" s="307" t="s">
        <v>3646</v>
      </c>
      <c r="E2810" s="260" t="s">
        <v>3420</v>
      </c>
      <c r="F2810" s="352">
        <v>20349</v>
      </c>
      <c r="G2810" s="311">
        <v>1976</v>
      </c>
      <c r="H2810" s="340" t="s">
        <v>2658</v>
      </c>
      <c r="I2810" s="313">
        <v>250</v>
      </c>
      <c r="J2810" s="350">
        <v>1.5</v>
      </c>
      <c r="K2810" s="350">
        <v>1.4</v>
      </c>
      <c r="L2810" s="314">
        <f t="shared" si="21"/>
        <v>0.10000000000000009</v>
      </c>
      <c r="M2810" s="337"/>
    </row>
    <row r="2811" spans="1:13" s="71" customFormat="1" ht="26.4" customHeight="1">
      <c r="A2811" s="282">
        <v>123</v>
      </c>
      <c r="B2811" s="534"/>
      <c r="C2811" s="307" t="s">
        <v>3329</v>
      </c>
      <c r="D2811" s="307" t="s">
        <v>3351</v>
      </c>
      <c r="E2811" s="260" t="s">
        <v>3421</v>
      </c>
      <c r="F2811" s="352">
        <v>20613</v>
      </c>
      <c r="G2811" s="311">
        <v>1990</v>
      </c>
      <c r="H2811" s="340" t="s">
        <v>2658</v>
      </c>
      <c r="I2811" s="313">
        <v>195</v>
      </c>
      <c r="J2811" s="350">
        <v>3.4</v>
      </c>
      <c r="K2811" s="350">
        <v>3.1</v>
      </c>
      <c r="L2811" s="314">
        <f t="shared" si="21"/>
        <v>0.29999999999999982</v>
      </c>
      <c r="M2811" s="337"/>
    </row>
    <row r="2812" spans="1:13" s="71" customFormat="1" ht="26.4" customHeight="1">
      <c r="A2812" s="282">
        <v>124</v>
      </c>
      <c r="B2812" s="534"/>
      <c r="C2812" s="355" t="s">
        <v>1169</v>
      </c>
      <c r="D2812" s="307" t="s">
        <v>3</v>
      </c>
      <c r="E2812" s="260" t="s">
        <v>3422</v>
      </c>
      <c r="F2812" s="352">
        <v>20163</v>
      </c>
      <c r="G2812" s="311">
        <v>1977</v>
      </c>
      <c r="H2812" s="340" t="s">
        <v>2658</v>
      </c>
      <c r="I2812" s="313">
        <v>507</v>
      </c>
      <c r="J2812" s="350">
        <v>15.9</v>
      </c>
      <c r="K2812" s="350">
        <v>12.4</v>
      </c>
      <c r="L2812" s="314">
        <f t="shared" si="21"/>
        <v>3.5</v>
      </c>
      <c r="M2812" s="337"/>
    </row>
    <row r="2813" spans="1:13" s="71" customFormat="1" ht="26.4" customHeight="1">
      <c r="A2813" s="282">
        <v>125</v>
      </c>
      <c r="B2813" s="534"/>
      <c r="C2813" s="355" t="s">
        <v>1169</v>
      </c>
      <c r="D2813" s="307" t="s">
        <v>3353</v>
      </c>
      <c r="E2813" s="260" t="s">
        <v>13038</v>
      </c>
      <c r="F2813" s="352">
        <v>20152</v>
      </c>
      <c r="G2813" s="311">
        <v>1975</v>
      </c>
      <c r="H2813" s="340" t="s">
        <v>2658</v>
      </c>
      <c r="I2813" s="313">
        <v>120</v>
      </c>
      <c r="J2813" s="350">
        <v>6.9</v>
      </c>
      <c r="K2813" s="350">
        <v>6.4</v>
      </c>
      <c r="L2813" s="314">
        <f t="shared" si="21"/>
        <v>0.5</v>
      </c>
      <c r="M2813" s="337"/>
    </row>
    <row r="2814" spans="1:13" s="71" customFormat="1" ht="26.4" customHeight="1">
      <c r="A2814" s="282">
        <v>126</v>
      </c>
      <c r="B2814" s="534"/>
      <c r="C2814" s="355" t="s">
        <v>1169</v>
      </c>
      <c r="D2814" s="307" t="s">
        <v>3423</v>
      </c>
      <c r="E2814" s="260" t="s">
        <v>3424</v>
      </c>
      <c r="F2814" s="352">
        <v>20082</v>
      </c>
      <c r="G2814" s="311">
        <v>1973</v>
      </c>
      <c r="H2814" s="340" t="s">
        <v>2658</v>
      </c>
      <c r="I2814" s="313">
        <v>104</v>
      </c>
      <c r="J2814" s="350">
        <v>5.7</v>
      </c>
      <c r="K2814" s="350">
        <v>5.3</v>
      </c>
      <c r="L2814" s="314">
        <f t="shared" si="21"/>
        <v>0.40000000000000036</v>
      </c>
      <c r="M2814" s="337"/>
    </row>
    <row r="2815" spans="1:13" s="71" customFormat="1" ht="26.4" customHeight="1">
      <c r="A2815" s="282">
        <v>127</v>
      </c>
      <c r="B2815" s="534"/>
      <c r="C2815" s="355" t="s">
        <v>1169</v>
      </c>
      <c r="D2815" s="307" t="s">
        <v>3425</v>
      </c>
      <c r="E2815" s="260" t="s">
        <v>3426</v>
      </c>
      <c r="F2815" s="352">
        <v>20154</v>
      </c>
      <c r="G2815" s="311">
        <v>1976</v>
      </c>
      <c r="H2815" s="340" t="s">
        <v>2658</v>
      </c>
      <c r="I2815" s="313">
        <v>140</v>
      </c>
      <c r="J2815" s="350">
        <v>4.4000000000000004</v>
      </c>
      <c r="K2815" s="350">
        <v>4.0999999999999996</v>
      </c>
      <c r="L2815" s="314">
        <f t="shared" si="21"/>
        <v>0.30000000000000071</v>
      </c>
      <c r="M2815" s="337"/>
    </row>
    <row r="2816" spans="1:13" s="71" customFormat="1" ht="26.4" customHeight="1">
      <c r="A2816" s="282">
        <v>128</v>
      </c>
      <c r="B2816" s="534"/>
      <c r="C2816" s="355" t="s">
        <v>1169</v>
      </c>
      <c r="D2816" s="307" t="s">
        <v>3</v>
      </c>
      <c r="E2816" s="260" t="s">
        <v>3427</v>
      </c>
      <c r="F2816" s="352">
        <v>20167</v>
      </c>
      <c r="G2816" s="311">
        <v>1977</v>
      </c>
      <c r="H2816" s="340" t="s">
        <v>2658</v>
      </c>
      <c r="I2816" s="313">
        <v>85</v>
      </c>
      <c r="J2816" s="350">
        <v>2.1</v>
      </c>
      <c r="K2816" s="350">
        <v>1.6</v>
      </c>
      <c r="L2816" s="314">
        <f t="shared" si="21"/>
        <v>0.5</v>
      </c>
      <c r="M2816" s="337"/>
    </row>
    <row r="2817" spans="1:13" s="71" customFormat="1" ht="26.4" customHeight="1">
      <c r="A2817" s="282">
        <v>129</v>
      </c>
      <c r="B2817" s="534"/>
      <c r="C2817" s="355" t="s">
        <v>1169</v>
      </c>
      <c r="D2817" s="307" t="s">
        <v>3</v>
      </c>
      <c r="E2817" s="260" t="s">
        <v>3428</v>
      </c>
      <c r="F2817" s="352">
        <v>20166</v>
      </c>
      <c r="G2817" s="311">
        <v>1977</v>
      </c>
      <c r="H2817" s="340" t="s">
        <v>2658</v>
      </c>
      <c r="I2817" s="313">
        <v>17</v>
      </c>
      <c r="J2817" s="350">
        <v>0.7</v>
      </c>
      <c r="K2817" s="350">
        <v>0.6</v>
      </c>
      <c r="L2817" s="314">
        <f t="shared" ref="L2817:L2880" si="22">J2817-K2817</f>
        <v>9.9999999999999978E-2</v>
      </c>
      <c r="M2817" s="337"/>
    </row>
    <row r="2818" spans="1:13" s="71" customFormat="1" ht="26.4" customHeight="1">
      <c r="A2818" s="282">
        <v>130</v>
      </c>
      <c r="B2818" s="534"/>
      <c r="C2818" s="355" t="s">
        <v>1169</v>
      </c>
      <c r="D2818" s="307" t="s">
        <v>3429</v>
      </c>
      <c r="E2818" s="260" t="s">
        <v>3430</v>
      </c>
      <c r="F2818" s="352">
        <v>20081</v>
      </c>
      <c r="G2818" s="311">
        <v>1973</v>
      </c>
      <c r="H2818" s="340" t="s">
        <v>2658</v>
      </c>
      <c r="I2818" s="313">
        <v>30</v>
      </c>
      <c r="J2818" s="350">
        <v>1.2</v>
      </c>
      <c r="K2818" s="350">
        <v>1.1000000000000001</v>
      </c>
      <c r="L2818" s="314">
        <f t="shared" si="22"/>
        <v>9.9999999999999867E-2</v>
      </c>
      <c r="M2818" s="337"/>
    </row>
    <row r="2819" spans="1:13" s="71" customFormat="1" ht="26.4" customHeight="1">
      <c r="A2819" s="282">
        <v>131</v>
      </c>
      <c r="B2819" s="534"/>
      <c r="C2819" s="355" t="s">
        <v>1169</v>
      </c>
      <c r="D2819" s="307"/>
      <c r="E2819" s="260" t="s">
        <v>3431</v>
      </c>
      <c r="F2819" s="352">
        <v>20162</v>
      </c>
      <c r="G2819" s="311">
        <v>1977</v>
      </c>
      <c r="H2819" s="340" t="s">
        <v>2658</v>
      </c>
      <c r="I2819" s="313">
        <v>56</v>
      </c>
      <c r="J2819" s="350">
        <v>5.7</v>
      </c>
      <c r="K2819" s="350">
        <v>5.3</v>
      </c>
      <c r="L2819" s="314">
        <f t="shared" si="22"/>
        <v>0.40000000000000036</v>
      </c>
      <c r="M2819" s="337"/>
    </row>
    <row r="2820" spans="1:13" s="71" customFormat="1" ht="26.4" customHeight="1">
      <c r="A2820" s="282">
        <v>132</v>
      </c>
      <c r="B2820" s="534"/>
      <c r="C2820" s="355" t="s">
        <v>1169</v>
      </c>
      <c r="D2820" s="307" t="s">
        <v>3429</v>
      </c>
      <c r="E2820" s="260" t="s">
        <v>3432</v>
      </c>
      <c r="F2820" s="352">
        <v>20083</v>
      </c>
      <c r="G2820" s="311">
        <v>1973</v>
      </c>
      <c r="H2820" s="340" t="s">
        <v>2658</v>
      </c>
      <c r="I2820" s="313">
        <v>27</v>
      </c>
      <c r="J2820" s="350">
        <v>1.8</v>
      </c>
      <c r="K2820" s="350">
        <v>1.4</v>
      </c>
      <c r="L2820" s="314">
        <f t="shared" si="22"/>
        <v>0.40000000000000013</v>
      </c>
      <c r="M2820" s="337"/>
    </row>
    <row r="2821" spans="1:13" s="71" customFormat="1" ht="26.4" customHeight="1">
      <c r="A2821" s="282">
        <v>133</v>
      </c>
      <c r="B2821" s="534"/>
      <c r="C2821" s="355" t="s">
        <v>1169</v>
      </c>
      <c r="D2821" s="307" t="s">
        <v>3429</v>
      </c>
      <c r="E2821" s="260" t="s">
        <v>3433</v>
      </c>
      <c r="F2821" s="352">
        <v>20077</v>
      </c>
      <c r="G2821" s="311">
        <v>1974</v>
      </c>
      <c r="H2821" s="340" t="s">
        <v>2658</v>
      </c>
      <c r="I2821" s="313">
        <v>35</v>
      </c>
      <c r="J2821" s="350">
        <v>0.7</v>
      </c>
      <c r="K2821" s="350">
        <v>0.6</v>
      </c>
      <c r="L2821" s="314">
        <f t="shared" si="22"/>
        <v>9.9999999999999978E-2</v>
      </c>
      <c r="M2821" s="337"/>
    </row>
    <row r="2822" spans="1:13" s="71" customFormat="1" ht="26.4" customHeight="1">
      <c r="A2822" s="282">
        <v>134</v>
      </c>
      <c r="B2822" s="534"/>
      <c r="C2822" s="355" t="s">
        <v>1169</v>
      </c>
      <c r="D2822" s="307" t="s">
        <v>3</v>
      </c>
      <c r="E2822" s="260" t="s">
        <v>3434</v>
      </c>
      <c r="F2822" s="352">
        <v>20160</v>
      </c>
      <c r="G2822" s="311">
        <v>1977</v>
      </c>
      <c r="H2822" s="340" t="s">
        <v>2658</v>
      </c>
      <c r="I2822" s="313">
        <v>56</v>
      </c>
      <c r="J2822" s="350">
        <v>7</v>
      </c>
      <c r="K2822" s="350">
        <v>5.4</v>
      </c>
      <c r="L2822" s="314">
        <f t="shared" si="22"/>
        <v>1.5999999999999996</v>
      </c>
      <c r="M2822" s="337"/>
    </row>
    <row r="2823" spans="1:13" s="71" customFormat="1" ht="26.4" customHeight="1">
      <c r="A2823" s="282">
        <v>135</v>
      </c>
      <c r="B2823" s="534"/>
      <c r="C2823" s="355" t="s">
        <v>1169</v>
      </c>
      <c r="D2823" s="307" t="s">
        <v>3</v>
      </c>
      <c r="E2823" s="260" t="s">
        <v>3435</v>
      </c>
      <c r="F2823" s="352">
        <v>20165</v>
      </c>
      <c r="G2823" s="311">
        <v>1977</v>
      </c>
      <c r="H2823" s="340" t="s">
        <v>2658</v>
      </c>
      <c r="I2823" s="313">
        <v>152</v>
      </c>
      <c r="J2823" s="350">
        <v>1.8</v>
      </c>
      <c r="K2823" s="350">
        <v>1.4</v>
      </c>
      <c r="L2823" s="314">
        <f t="shared" si="22"/>
        <v>0.40000000000000013</v>
      </c>
      <c r="M2823" s="337"/>
    </row>
    <row r="2824" spans="1:13" s="71" customFormat="1" ht="26.4" customHeight="1">
      <c r="A2824" s="282">
        <v>136</v>
      </c>
      <c r="B2824" s="534"/>
      <c r="C2824" s="355" t="s">
        <v>1169</v>
      </c>
      <c r="D2824" s="307" t="s">
        <v>3436</v>
      </c>
      <c r="E2824" s="260" t="s">
        <v>3437</v>
      </c>
      <c r="F2824" s="352">
        <v>20150</v>
      </c>
      <c r="G2824" s="311">
        <v>1975</v>
      </c>
      <c r="H2824" s="340" t="s">
        <v>2658</v>
      </c>
      <c r="I2824" s="313">
        <v>40</v>
      </c>
      <c r="J2824" s="350">
        <v>2.4</v>
      </c>
      <c r="K2824" s="350">
        <v>2.2000000000000002</v>
      </c>
      <c r="L2824" s="314">
        <f t="shared" si="22"/>
        <v>0.19999999999999973</v>
      </c>
      <c r="M2824" s="337"/>
    </row>
    <row r="2825" spans="1:13" s="71" customFormat="1" ht="26.4" customHeight="1">
      <c r="A2825" s="282">
        <v>137</v>
      </c>
      <c r="B2825" s="534"/>
      <c r="C2825" s="355" t="s">
        <v>1169</v>
      </c>
      <c r="D2825" s="307" t="s">
        <v>3438</v>
      </c>
      <c r="E2825" s="260" t="s">
        <v>3439</v>
      </c>
      <c r="F2825" s="352">
        <v>20653</v>
      </c>
      <c r="G2825" s="311">
        <v>2000</v>
      </c>
      <c r="H2825" s="340" t="s">
        <v>2658</v>
      </c>
      <c r="I2825" s="313">
        <v>105</v>
      </c>
      <c r="J2825" s="350">
        <v>2.1</v>
      </c>
      <c r="K2825" s="350">
        <v>1.9</v>
      </c>
      <c r="L2825" s="314">
        <f t="shared" si="22"/>
        <v>0.20000000000000018</v>
      </c>
      <c r="M2825" s="337"/>
    </row>
    <row r="2826" spans="1:13" s="71" customFormat="1" ht="26.4" customHeight="1">
      <c r="A2826" s="282">
        <v>138</v>
      </c>
      <c r="B2826" s="534"/>
      <c r="C2826" s="355" t="s">
        <v>1169</v>
      </c>
      <c r="D2826" s="307" t="s">
        <v>3436</v>
      </c>
      <c r="E2826" s="260" t="s">
        <v>3440</v>
      </c>
      <c r="F2826" s="352">
        <v>20079</v>
      </c>
      <c r="G2826" s="311">
        <v>1974</v>
      </c>
      <c r="H2826" s="340" t="s">
        <v>2658</v>
      </c>
      <c r="I2826" s="313">
        <v>10</v>
      </c>
      <c r="J2826" s="350">
        <v>2.1</v>
      </c>
      <c r="K2826" s="350">
        <v>1.5</v>
      </c>
      <c r="L2826" s="314">
        <f t="shared" si="22"/>
        <v>0.60000000000000009</v>
      </c>
      <c r="M2826" s="337"/>
    </row>
    <row r="2827" spans="1:13" s="71" customFormat="1" ht="26.4" customHeight="1">
      <c r="A2827" s="282">
        <v>139</v>
      </c>
      <c r="B2827" s="534"/>
      <c r="C2827" s="355" t="s">
        <v>1169</v>
      </c>
      <c r="D2827" s="307" t="s">
        <v>3</v>
      </c>
      <c r="E2827" s="260" t="s">
        <v>3441</v>
      </c>
      <c r="F2827" s="352">
        <v>20161</v>
      </c>
      <c r="G2827" s="311">
        <v>1977</v>
      </c>
      <c r="H2827" s="340" t="s">
        <v>2658</v>
      </c>
      <c r="I2827" s="313">
        <v>122</v>
      </c>
      <c r="J2827" s="350">
        <v>3.4</v>
      </c>
      <c r="K2827" s="350">
        <v>3.1</v>
      </c>
      <c r="L2827" s="314">
        <f t="shared" si="22"/>
        <v>0.29999999999999982</v>
      </c>
      <c r="M2827" s="337"/>
    </row>
    <row r="2828" spans="1:13" s="71" customFormat="1" ht="26.4" customHeight="1">
      <c r="A2828" s="282">
        <v>140</v>
      </c>
      <c r="B2828" s="534"/>
      <c r="C2828" s="355" t="s">
        <v>1169</v>
      </c>
      <c r="D2828" s="307" t="s">
        <v>3442</v>
      </c>
      <c r="E2828" s="260" t="s">
        <v>3443</v>
      </c>
      <c r="F2828" s="352">
        <v>20149</v>
      </c>
      <c r="G2828" s="311">
        <v>1975</v>
      </c>
      <c r="H2828" s="340" t="s">
        <v>2658</v>
      </c>
      <c r="I2828" s="313">
        <v>20</v>
      </c>
      <c r="J2828" s="350">
        <v>1.8</v>
      </c>
      <c r="K2828" s="350">
        <v>1.4</v>
      </c>
      <c r="L2828" s="314">
        <f t="shared" si="22"/>
        <v>0.40000000000000013</v>
      </c>
      <c r="M2828" s="337"/>
    </row>
    <row r="2829" spans="1:13" s="71" customFormat="1" ht="26.4" customHeight="1">
      <c r="A2829" s="282">
        <v>141</v>
      </c>
      <c r="B2829" s="534"/>
      <c r="C2829" s="355" t="s">
        <v>1169</v>
      </c>
      <c r="D2829" s="307" t="s">
        <v>3429</v>
      </c>
      <c r="E2829" s="441" t="s">
        <v>3444</v>
      </c>
      <c r="F2829" s="352">
        <v>20073</v>
      </c>
      <c r="G2829" s="311">
        <v>1968</v>
      </c>
      <c r="H2829" s="340" t="s">
        <v>2658</v>
      </c>
      <c r="I2829" s="313">
        <v>10</v>
      </c>
      <c r="J2829" s="350">
        <v>1.7</v>
      </c>
      <c r="K2829" s="350">
        <v>1.2</v>
      </c>
      <c r="L2829" s="314">
        <f t="shared" si="22"/>
        <v>0.5</v>
      </c>
      <c r="M2829" s="337"/>
    </row>
    <row r="2830" spans="1:13" s="71" customFormat="1" ht="26.4" customHeight="1">
      <c r="A2830" s="282">
        <v>142</v>
      </c>
      <c r="B2830" s="534"/>
      <c r="C2830" s="355" t="s">
        <v>1169</v>
      </c>
      <c r="D2830" s="307" t="s">
        <v>3</v>
      </c>
      <c r="E2830" s="260" t="s">
        <v>3445</v>
      </c>
      <c r="F2830" s="352">
        <v>20532</v>
      </c>
      <c r="G2830" s="311">
        <v>1978</v>
      </c>
      <c r="H2830" s="340" t="s">
        <v>2658</v>
      </c>
      <c r="I2830" s="313">
        <v>15</v>
      </c>
      <c r="J2830" s="350">
        <v>0.7</v>
      </c>
      <c r="K2830" s="350">
        <v>0.5</v>
      </c>
      <c r="L2830" s="314">
        <f t="shared" si="22"/>
        <v>0.19999999999999996</v>
      </c>
      <c r="M2830" s="337"/>
    </row>
    <row r="2831" spans="1:13" s="71" customFormat="1" ht="26.4" customHeight="1">
      <c r="A2831" s="282">
        <v>143</v>
      </c>
      <c r="B2831" s="534"/>
      <c r="C2831" s="355" t="s">
        <v>1169</v>
      </c>
      <c r="D2831" s="307" t="s">
        <v>3</v>
      </c>
      <c r="E2831" s="260" t="s">
        <v>3446</v>
      </c>
      <c r="F2831" s="352">
        <v>20078</v>
      </c>
      <c r="G2831" s="311">
        <v>1974</v>
      </c>
      <c r="H2831" s="340" t="s">
        <v>2658</v>
      </c>
      <c r="I2831" s="313">
        <v>10</v>
      </c>
      <c r="J2831" s="350">
        <v>1.6</v>
      </c>
      <c r="K2831" s="350">
        <v>1.1000000000000001</v>
      </c>
      <c r="L2831" s="314">
        <f t="shared" si="22"/>
        <v>0.5</v>
      </c>
      <c r="M2831" s="337"/>
    </row>
    <row r="2832" spans="1:13" s="71" customFormat="1" ht="26.4" customHeight="1">
      <c r="A2832" s="282">
        <v>144</v>
      </c>
      <c r="B2832" s="534"/>
      <c r="C2832" s="355" t="s">
        <v>1169</v>
      </c>
      <c r="D2832" s="307" t="s">
        <v>3411</v>
      </c>
      <c r="E2832" s="260" t="s">
        <v>3447</v>
      </c>
      <c r="F2832" s="352">
        <v>20647</v>
      </c>
      <c r="G2832" s="311">
        <v>1997</v>
      </c>
      <c r="H2832" s="340" t="s">
        <v>2658</v>
      </c>
      <c r="I2832" s="313">
        <v>110</v>
      </c>
      <c r="J2832" s="350">
        <v>1.6</v>
      </c>
      <c r="K2832" s="350">
        <v>1.5</v>
      </c>
      <c r="L2832" s="314">
        <f t="shared" si="22"/>
        <v>0.10000000000000009</v>
      </c>
      <c r="M2832" s="337"/>
    </row>
    <row r="2833" spans="1:13" s="71" customFormat="1" ht="26.4" customHeight="1">
      <c r="A2833" s="282">
        <v>145</v>
      </c>
      <c r="B2833" s="534"/>
      <c r="C2833" s="355" t="s">
        <v>1169</v>
      </c>
      <c r="D2833" s="307" t="s">
        <v>3411</v>
      </c>
      <c r="E2833" s="260" t="s">
        <v>3448</v>
      </c>
      <c r="F2833" s="352">
        <v>20646</v>
      </c>
      <c r="G2833" s="311">
        <v>1997</v>
      </c>
      <c r="H2833" s="340" t="s">
        <v>2658</v>
      </c>
      <c r="I2833" s="313">
        <v>138</v>
      </c>
      <c r="J2833" s="350">
        <v>2</v>
      </c>
      <c r="K2833" s="350">
        <v>1.9</v>
      </c>
      <c r="L2833" s="314">
        <f t="shared" si="22"/>
        <v>0.10000000000000009</v>
      </c>
      <c r="M2833" s="337"/>
    </row>
    <row r="2834" spans="1:13" s="71" customFormat="1" ht="26.4" customHeight="1">
      <c r="A2834" s="282">
        <v>146</v>
      </c>
      <c r="B2834" s="534"/>
      <c r="C2834" s="355" t="s">
        <v>1169</v>
      </c>
      <c r="D2834" s="307" t="s">
        <v>3</v>
      </c>
      <c r="E2834" s="260" t="s">
        <v>3449</v>
      </c>
      <c r="F2834" s="352">
        <v>20050</v>
      </c>
      <c r="G2834" s="311">
        <v>1968</v>
      </c>
      <c r="H2834" s="340" t="s">
        <v>2658</v>
      </c>
      <c r="I2834" s="313">
        <v>2244</v>
      </c>
      <c r="J2834" s="350">
        <v>48.2</v>
      </c>
      <c r="K2834" s="350">
        <v>40.799999999999997</v>
      </c>
      <c r="L2834" s="314">
        <f t="shared" si="22"/>
        <v>7.4000000000000057</v>
      </c>
      <c r="M2834" s="337"/>
    </row>
    <row r="2835" spans="1:13" s="71" customFormat="1" ht="26.4" customHeight="1">
      <c r="A2835" s="282">
        <v>147</v>
      </c>
      <c r="B2835" s="534"/>
      <c r="C2835" s="355" t="s">
        <v>1169</v>
      </c>
      <c r="D2835" s="307" t="s">
        <v>3450</v>
      </c>
      <c r="E2835" s="260" t="s">
        <v>3451</v>
      </c>
      <c r="F2835" s="352">
        <v>20157</v>
      </c>
      <c r="G2835" s="311">
        <v>1977</v>
      </c>
      <c r="H2835" s="340" t="s">
        <v>2658</v>
      </c>
      <c r="I2835" s="313">
        <v>10.3</v>
      </c>
      <c r="J2835" s="350">
        <v>0.9</v>
      </c>
      <c r="K2835" s="350">
        <v>0.8</v>
      </c>
      <c r="L2835" s="314">
        <f t="shared" si="22"/>
        <v>9.9999999999999978E-2</v>
      </c>
      <c r="M2835" s="337"/>
    </row>
    <row r="2836" spans="1:13" s="71" customFormat="1" ht="26.4" customHeight="1">
      <c r="A2836" s="282">
        <v>148</v>
      </c>
      <c r="B2836" s="534"/>
      <c r="C2836" s="355" t="s">
        <v>1169</v>
      </c>
      <c r="D2836" s="307" t="s">
        <v>3452</v>
      </c>
      <c r="E2836" s="260" t="s">
        <v>3453</v>
      </c>
      <c r="F2836" s="352">
        <v>20226</v>
      </c>
      <c r="G2836" s="311">
        <v>1976</v>
      </c>
      <c r="H2836" s="340" t="s">
        <v>2658</v>
      </c>
      <c r="I2836" s="313">
        <v>350</v>
      </c>
      <c r="J2836" s="350">
        <v>1.9</v>
      </c>
      <c r="K2836" s="350">
        <v>1.4</v>
      </c>
      <c r="L2836" s="314">
        <f t="shared" si="22"/>
        <v>0.5</v>
      </c>
      <c r="M2836" s="337"/>
    </row>
    <row r="2837" spans="1:13" s="71" customFormat="1" ht="26.4" customHeight="1">
      <c r="A2837" s="282">
        <v>149</v>
      </c>
      <c r="B2837" s="534"/>
      <c r="C2837" s="307" t="s">
        <v>3329</v>
      </c>
      <c r="D2837" s="307" t="s">
        <v>3454</v>
      </c>
      <c r="E2837" s="260" t="s">
        <v>3455</v>
      </c>
      <c r="F2837" s="352">
        <v>20597</v>
      </c>
      <c r="G2837" s="311">
        <v>1989</v>
      </c>
      <c r="H2837" s="340" t="s">
        <v>2658</v>
      </c>
      <c r="I2837" s="313">
        <v>1188</v>
      </c>
      <c r="J2837" s="350">
        <v>63.6</v>
      </c>
      <c r="K2837" s="350">
        <v>59.1</v>
      </c>
      <c r="L2837" s="314">
        <f t="shared" si="22"/>
        <v>4.5</v>
      </c>
      <c r="M2837" s="337"/>
    </row>
    <row r="2838" spans="1:13" s="71" customFormat="1" ht="26.4" customHeight="1">
      <c r="A2838" s="282">
        <v>150</v>
      </c>
      <c r="B2838" s="534"/>
      <c r="C2838" s="355" t="s">
        <v>1169</v>
      </c>
      <c r="D2838" s="307" t="s">
        <v>3452</v>
      </c>
      <c r="E2838" s="260" t="s">
        <v>3456</v>
      </c>
      <c r="F2838" s="352">
        <v>20225</v>
      </c>
      <c r="G2838" s="311">
        <v>1976</v>
      </c>
      <c r="H2838" s="340" t="s">
        <v>2658</v>
      </c>
      <c r="I2838" s="313">
        <v>900</v>
      </c>
      <c r="J2838" s="350">
        <v>3.1</v>
      </c>
      <c r="K2838" s="350">
        <v>2.4</v>
      </c>
      <c r="L2838" s="314">
        <f t="shared" si="22"/>
        <v>0.70000000000000018</v>
      </c>
      <c r="M2838" s="337"/>
    </row>
    <row r="2839" spans="1:13" s="71" customFormat="1" ht="26.4" customHeight="1">
      <c r="A2839" s="282">
        <v>151</v>
      </c>
      <c r="B2839" s="534"/>
      <c r="C2839" s="355" t="s">
        <v>1169</v>
      </c>
      <c r="D2839" s="307" t="s">
        <v>3452</v>
      </c>
      <c r="E2839" s="260" t="s">
        <v>3457</v>
      </c>
      <c r="F2839" s="352">
        <v>20227</v>
      </c>
      <c r="G2839" s="311">
        <v>1976</v>
      </c>
      <c r="H2839" s="340" t="s">
        <v>2658</v>
      </c>
      <c r="I2839" s="313">
        <v>430</v>
      </c>
      <c r="J2839" s="350">
        <v>2</v>
      </c>
      <c r="K2839" s="350">
        <v>1.8</v>
      </c>
      <c r="L2839" s="314">
        <f t="shared" si="22"/>
        <v>0.19999999999999996</v>
      </c>
      <c r="M2839" s="337"/>
    </row>
    <row r="2840" spans="1:13" s="71" customFormat="1" ht="26.4" customHeight="1">
      <c r="A2840" s="282">
        <v>152</v>
      </c>
      <c r="B2840" s="534"/>
      <c r="C2840" s="355" t="s">
        <v>1169</v>
      </c>
      <c r="D2840" s="307" t="s">
        <v>12774</v>
      </c>
      <c r="E2840" s="260" t="s">
        <v>3458</v>
      </c>
      <c r="F2840" s="352">
        <v>20350</v>
      </c>
      <c r="G2840" s="311">
        <v>1976</v>
      </c>
      <c r="H2840" s="340" t="s">
        <v>2658</v>
      </c>
      <c r="I2840" s="313">
        <v>140</v>
      </c>
      <c r="J2840" s="350">
        <v>0.8</v>
      </c>
      <c r="K2840" s="350">
        <v>0.7</v>
      </c>
      <c r="L2840" s="314">
        <f t="shared" si="22"/>
        <v>0.10000000000000009</v>
      </c>
      <c r="M2840" s="337"/>
    </row>
    <row r="2841" spans="1:13" s="71" customFormat="1" ht="26.4">
      <c r="A2841" s="282">
        <v>153</v>
      </c>
      <c r="B2841" s="534"/>
      <c r="C2841" s="355" t="s">
        <v>1169</v>
      </c>
      <c r="D2841" s="307" t="s">
        <v>3438</v>
      </c>
      <c r="E2841" s="260" t="s">
        <v>3459</v>
      </c>
      <c r="F2841" s="352">
        <v>20652</v>
      </c>
      <c r="G2841" s="311">
        <v>2000</v>
      </c>
      <c r="H2841" s="340" t="s">
        <v>2658</v>
      </c>
      <c r="I2841" s="313" t="s">
        <v>3194</v>
      </c>
      <c r="J2841" s="350">
        <v>2.6</v>
      </c>
      <c r="K2841" s="350">
        <v>2.4</v>
      </c>
      <c r="L2841" s="314">
        <f t="shared" si="22"/>
        <v>0.20000000000000018</v>
      </c>
      <c r="M2841" s="337"/>
    </row>
    <row r="2842" spans="1:13" s="71" customFormat="1" ht="39.6">
      <c r="A2842" s="282">
        <v>154</v>
      </c>
      <c r="B2842" s="534"/>
      <c r="C2842" s="355" t="s">
        <v>1169</v>
      </c>
      <c r="D2842" s="307" t="s">
        <v>13269</v>
      </c>
      <c r="E2842" s="260" t="s">
        <v>3460</v>
      </c>
      <c r="F2842" s="352">
        <v>20135</v>
      </c>
      <c r="G2842" s="311">
        <v>1969</v>
      </c>
      <c r="H2842" s="340" t="s">
        <v>2658</v>
      </c>
      <c r="I2842" s="313">
        <v>128.80000000000001</v>
      </c>
      <c r="J2842" s="350">
        <v>6.7</v>
      </c>
      <c r="K2842" s="350">
        <v>5.2</v>
      </c>
      <c r="L2842" s="314">
        <f t="shared" si="22"/>
        <v>1.5</v>
      </c>
      <c r="M2842" s="337"/>
    </row>
    <row r="2843" spans="1:13" s="71" customFormat="1" ht="26.4" customHeight="1">
      <c r="A2843" s="282">
        <v>155</v>
      </c>
      <c r="B2843" s="534"/>
      <c r="C2843" s="355" t="s">
        <v>1169</v>
      </c>
      <c r="D2843" s="307" t="s">
        <v>3</v>
      </c>
      <c r="E2843" s="260" t="s">
        <v>3461</v>
      </c>
      <c r="F2843" s="352">
        <v>20146</v>
      </c>
      <c r="G2843" s="311">
        <v>1968</v>
      </c>
      <c r="H2843" s="340" t="s">
        <v>2658</v>
      </c>
      <c r="I2843" s="313">
        <v>3600</v>
      </c>
      <c r="J2843" s="350">
        <v>202.5</v>
      </c>
      <c r="K2843" s="350">
        <v>188.4</v>
      </c>
      <c r="L2843" s="314">
        <f t="shared" si="22"/>
        <v>14.099999999999994</v>
      </c>
      <c r="M2843" s="337"/>
    </row>
    <row r="2844" spans="1:13" s="71" customFormat="1" ht="26.4" customHeight="1">
      <c r="A2844" s="282">
        <v>156</v>
      </c>
      <c r="B2844" s="534"/>
      <c r="C2844" s="355" t="s">
        <v>1169</v>
      </c>
      <c r="D2844" s="307" t="s">
        <v>3462</v>
      </c>
      <c r="E2844" s="260" t="s">
        <v>3463</v>
      </c>
      <c r="F2844" s="352">
        <v>20049</v>
      </c>
      <c r="G2844" s="311">
        <v>1970</v>
      </c>
      <c r="H2844" s="340" t="s">
        <v>2658</v>
      </c>
      <c r="I2844" s="313">
        <v>1800</v>
      </c>
      <c r="J2844" s="350">
        <v>13.4</v>
      </c>
      <c r="K2844" s="350">
        <v>12.3</v>
      </c>
      <c r="L2844" s="314">
        <f t="shared" si="22"/>
        <v>1.0999999999999996</v>
      </c>
      <c r="M2844" s="337"/>
    </row>
    <row r="2845" spans="1:13" s="71" customFormat="1" ht="26.4" customHeight="1">
      <c r="A2845" s="282">
        <v>157</v>
      </c>
      <c r="B2845" s="534"/>
      <c r="C2845" s="355" t="s">
        <v>1169</v>
      </c>
      <c r="D2845" s="307" t="s">
        <v>3</v>
      </c>
      <c r="E2845" s="260" t="s">
        <v>13039</v>
      </c>
      <c r="F2845" s="352">
        <v>20351</v>
      </c>
      <c r="G2845" s="311">
        <v>1976</v>
      </c>
      <c r="H2845" s="340" t="s">
        <v>2658</v>
      </c>
      <c r="I2845" s="313">
        <v>480</v>
      </c>
      <c r="J2845" s="350">
        <v>3.2</v>
      </c>
      <c r="K2845" s="350">
        <v>2.5</v>
      </c>
      <c r="L2845" s="314">
        <f t="shared" si="22"/>
        <v>0.70000000000000018</v>
      </c>
      <c r="M2845" s="337"/>
    </row>
    <row r="2846" spans="1:13" s="71" customFormat="1" ht="26.4" customHeight="1">
      <c r="A2846" s="282">
        <v>158</v>
      </c>
      <c r="B2846" s="534"/>
      <c r="C2846" s="307" t="s">
        <v>3276</v>
      </c>
      <c r="D2846" s="307" t="s">
        <v>3464</v>
      </c>
      <c r="E2846" s="260" t="s">
        <v>3465</v>
      </c>
      <c r="F2846" s="352">
        <v>20453</v>
      </c>
      <c r="G2846" s="311">
        <v>1976</v>
      </c>
      <c r="H2846" s="340" t="s">
        <v>2658</v>
      </c>
      <c r="I2846" s="313">
        <v>550</v>
      </c>
      <c r="J2846" s="350">
        <v>3.6</v>
      </c>
      <c r="K2846" s="350">
        <v>3.2</v>
      </c>
      <c r="L2846" s="314">
        <f t="shared" si="22"/>
        <v>0.39999999999999991</v>
      </c>
      <c r="M2846" s="337"/>
    </row>
    <row r="2847" spans="1:13" s="71" customFormat="1" ht="26.4" customHeight="1">
      <c r="A2847" s="282">
        <v>159</v>
      </c>
      <c r="B2847" s="534"/>
      <c r="C2847" s="307" t="s">
        <v>3276</v>
      </c>
      <c r="D2847" s="307" t="s">
        <v>3466</v>
      </c>
      <c r="E2847" s="260" t="s">
        <v>13040</v>
      </c>
      <c r="F2847" s="352">
        <v>20238</v>
      </c>
      <c r="G2847" s="311">
        <v>1976</v>
      </c>
      <c r="H2847" s="340" t="s">
        <v>2658</v>
      </c>
      <c r="I2847" s="313">
        <v>2200</v>
      </c>
      <c r="J2847" s="350">
        <v>13.9</v>
      </c>
      <c r="K2847" s="350">
        <v>12.3</v>
      </c>
      <c r="L2847" s="314">
        <f t="shared" si="22"/>
        <v>1.5999999999999996</v>
      </c>
      <c r="M2847" s="337"/>
    </row>
    <row r="2848" spans="1:13" s="71" customFormat="1" ht="26.4" customHeight="1">
      <c r="A2848" s="282">
        <v>160</v>
      </c>
      <c r="B2848" s="534"/>
      <c r="C2848" s="307" t="s">
        <v>3276</v>
      </c>
      <c r="D2848" s="307" t="s">
        <v>3409</v>
      </c>
      <c r="E2848" s="260" t="s">
        <v>3467</v>
      </c>
      <c r="F2848" s="352">
        <v>20109</v>
      </c>
      <c r="G2848" s="311">
        <v>1967</v>
      </c>
      <c r="H2848" s="340" t="s">
        <v>2658</v>
      </c>
      <c r="I2848" s="313">
        <v>730</v>
      </c>
      <c r="J2848" s="350">
        <v>10.199999999999999</v>
      </c>
      <c r="K2848" s="350">
        <v>9.5</v>
      </c>
      <c r="L2848" s="314">
        <f t="shared" si="22"/>
        <v>0.69999999999999929</v>
      </c>
      <c r="M2848" s="337"/>
    </row>
    <row r="2849" spans="1:13" s="71" customFormat="1" ht="26.4" customHeight="1">
      <c r="A2849" s="282">
        <v>161</v>
      </c>
      <c r="B2849" s="534"/>
      <c r="C2849" s="307" t="s">
        <v>3403</v>
      </c>
      <c r="D2849" s="307" t="s">
        <v>3468</v>
      </c>
      <c r="E2849" s="260" t="s">
        <v>12775</v>
      </c>
      <c r="F2849" s="352">
        <v>20005</v>
      </c>
      <c r="G2849" s="311">
        <v>1970</v>
      </c>
      <c r="H2849" s="340" t="s">
        <v>2658</v>
      </c>
      <c r="I2849" s="313">
        <v>1570</v>
      </c>
      <c r="J2849" s="350">
        <v>17.600000000000001</v>
      </c>
      <c r="K2849" s="350">
        <v>15.7</v>
      </c>
      <c r="L2849" s="314">
        <f t="shared" si="22"/>
        <v>1.9000000000000021</v>
      </c>
      <c r="M2849" s="337"/>
    </row>
    <row r="2850" spans="1:13" s="71" customFormat="1" ht="26.4" customHeight="1">
      <c r="A2850" s="282">
        <v>162</v>
      </c>
      <c r="B2850" s="534"/>
      <c r="C2850" s="355" t="s">
        <v>1169</v>
      </c>
      <c r="D2850" s="307" t="s">
        <v>3469</v>
      </c>
      <c r="E2850" s="260" t="s">
        <v>3470</v>
      </c>
      <c r="F2850" s="352">
        <v>20137</v>
      </c>
      <c r="G2850" s="311">
        <v>1968</v>
      </c>
      <c r="H2850" s="340" t="s">
        <v>2658</v>
      </c>
      <c r="I2850" s="313">
        <v>280</v>
      </c>
      <c r="J2850" s="350">
        <v>3.5</v>
      </c>
      <c r="K2850" s="350">
        <v>2.8</v>
      </c>
      <c r="L2850" s="314">
        <f t="shared" si="22"/>
        <v>0.70000000000000018</v>
      </c>
      <c r="M2850" s="337"/>
    </row>
    <row r="2851" spans="1:13" s="71" customFormat="1" ht="26.4" customHeight="1">
      <c r="A2851" s="282">
        <v>163</v>
      </c>
      <c r="B2851" s="534"/>
      <c r="C2851" s="307" t="s">
        <v>3471</v>
      </c>
      <c r="D2851" s="307" t="s">
        <v>3472</v>
      </c>
      <c r="E2851" s="260" t="s">
        <v>3473</v>
      </c>
      <c r="F2851" s="352">
        <v>20096</v>
      </c>
      <c r="G2851" s="311">
        <v>1967</v>
      </c>
      <c r="H2851" s="340" t="s">
        <v>2658</v>
      </c>
      <c r="I2851" s="313">
        <v>360</v>
      </c>
      <c r="J2851" s="350">
        <v>5</v>
      </c>
      <c r="K2851" s="350">
        <v>4.5999999999999996</v>
      </c>
      <c r="L2851" s="314">
        <f t="shared" si="22"/>
        <v>0.40000000000000036</v>
      </c>
      <c r="M2851" s="337"/>
    </row>
    <row r="2852" spans="1:13" s="71" customFormat="1" ht="26.4" customHeight="1">
      <c r="A2852" s="282">
        <v>164</v>
      </c>
      <c r="B2852" s="534"/>
      <c r="C2852" s="307" t="s">
        <v>3336</v>
      </c>
      <c r="D2852" s="307" t="s">
        <v>3474</v>
      </c>
      <c r="E2852" s="260" t="s">
        <v>3475</v>
      </c>
      <c r="F2852" s="352">
        <v>20093</v>
      </c>
      <c r="G2852" s="311">
        <v>1967</v>
      </c>
      <c r="H2852" s="340" t="s">
        <v>2658</v>
      </c>
      <c r="I2852" s="313">
        <v>130</v>
      </c>
      <c r="J2852" s="350">
        <v>2.1</v>
      </c>
      <c r="K2852" s="350">
        <v>1.6</v>
      </c>
      <c r="L2852" s="314">
        <f t="shared" si="22"/>
        <v>0.5</v>
      </c>
      <c r="M2852" s="337"/>
    </row>
    <row r="2853" spans="1:13" s="71" customFormat="1" ht="26.4" customHeight="1">
      <c r="A2853" s="282">
        <v>165</v>
      </c>
      <c r="B2853" s="534"/>
      <c r="C2853" s="307" t="s">
        <v>3336</v>
      </c>
      <c r="D2853" s="307" t="s">
        <v>3476</v>
      </c>
      <c r="E2853" s="260" t="s">
        <v>3477</v>
      </c>
      <c r="F2853" s="352">
        <v>20094</v>
      </c>
      <c r="G2853" s="311">
        <v>1967</v>
      </c>
      <c r="H2853" s="340" t="s">
        <v>2658</v>
      </c>
      <c r="I2853" s="313">
        <v>310</v>
      </c>
      <c r="J2853" s="350">
        <v>7.3</v>
      </c>
      <c r="K2853" s="350">
        <v>5.7</v>
      </c>
      <c r="L2853" s="314">
        <f t="shared" si="22"/>
        <v>1.5999999999999996</v>
      </c>
      <c r="M2853" s="337"/>
    </row>
    <row r="2854" spans="1:13" s="71" customFormat="1" ht="26.4" customHeight="1">
      <c r="A2854" s="282">
        <v>166</v>
      </c>
      <c r="B2854" s="534"/>
      <c r="C2854" s="307" t="s">
        <v>3336</v>
      </c>
      <c r="D2854" s="307" t="s">
        <v>3474</v>
      </c>
      <c r="E2854" s="260" t="s">
        <v>3475</v>
      </c>
      <c r="F2854" s="352">
        <v>20107</v>
      </c>
      <c r="G2854" s="311">
        <v>1967</v>
      </c>
      <c r="H2854" s="340" t="s">
        <v>2658</v>
      </c>
      <c r="I2854" s="313">
        <v>130</v>
      </c>
      <c r="J2854" s="350">
        <v>2.4</v>
      </c>
      <c r="K2854" s="350">
        <v>2.2000000000000002</v>
      </c>
      <c r="L2854" s="314">
        <f t="shared" si="22"/>
        <v>0.19999999999999973</v>
      </c>
      <c r="M2854" s="337"/>
    </row>
    <row r="2855" spans="1:13" s="71" customFormat="1" ht="26.4" customHeight="1">
      <c r="A2855" s="282">
        <v>167</v>
      </c>
      <c r="B2855" s="534"/>
      <c r="C2855" s="307" t="s">
        <v>3478</v>
      </c>
      <c r="D2855" s="307" t="s">
        <v>3355</v>
      </c>
      <c r="E2855" s="260" t="s">
        <v>3479</v>
      </c>
      <c r="F2855" s="352">
        <v>20117</v>
      </c>
      <c r="G2855" s="311">
        <v>1967</v>
      </c>
      <c r="H2855" s="340" t="s">
        <v>2658</v>
      </c>
      <c r="I2855" s="313">
        <v>130</v>
      </c>
      <c r="J2855" s="350">
        <v>2.2000000000000002</v>
      </c>
      <c r="K2855" s="350">
        <v>2</v>
      </c>
      <c r="L2855" s="314">
        <f t="shared" si="22"/>
        <v>0.20000000000000018</v>
      </c>
      <c r="M2855" s="337"/>
    </row>
    <row r="2856" spans="1:13" s="71" customFormat="1" ht="26.4" customHeight="1">
      <c r="A2856" s="282">
        <v>168</v>
      </c>
      <c r="B2856" s="534"/>
      <c r="C2856" s="307" t="s">
        <v>3471</v>
      </c>
      <c r="D2856" s="307" t="s">
        <v>3480</v>
      </c>
      <c r="E2856" s="260" t="s">
        <v>3481</v>
      </c>
      <c r="F2856" s="352">
        <v>20118</v>
      </c>
      <c r="G2856" s="311">
        <v>1967</v>
      </c>
      <c r="H2856" s="340" t="s">
        <v>2658</v>
      </c>
      <c r="I2856" s="313">
        <v>710</v>
      </c>
      <c r="J2856" s="350">
        <v>13.1</v>
      </c>
      <c r="K2856" s="350">
        <v>11.7</v>
      </c>
      <c r="L2856" s="314">
        <f t="shared" si="22"/>
        <v>1.4000000000000004</v>
      </c>
      <c r="M2856" s="337"/>
    </row>
    <row r="2857" spans="1:13" s="71" customFormat="1" ht="26.4" customHeight="1">
      <c r="A2857" s="282">
        <v>169</v>
      </c>
      <c r="B2857" s="534"/>
      <c r="C2857" s="307" t="s">
        <v>3471</v>
      </c>
      <c r="D2857" s="307" t="s">
        <v>3482</v>
      </c>
      <c r="E2857" s="260" t="s">
        <v>3483</v>
      </c>
      <c r="F2857" s="352">
        <v>20097</v>
      </c>
      <c r="G2857" s="311">
        <v>1967</v>
      </c>
      <c r="H2857" s="340" t="s">
        <v>2658</v>
      </c>
      <c r="I2857" s="313">
        <v>400</v>
      </c>
      <c r="J2857" s="350">
        <v>8.4</v>
      </c>
      <c r="K2857" s="350">
        <v>6.6</v>
      </c>
      <c r="L2857" s="314">
        <f t="shared" si="22"/>
        <v>1.8000000000000007</v>
      </c>
      <c r="M2857" s="337"/>
    </row>
    <row r="2858" spans="1:13" s="71" customFormat="1" ht="26.4">
      <c r="A2858" s="282">
        <v>170</v>
      </c>
      <c r="B2858" s="534"/>
      <c r="C2858" s="307" t="s">
        <v>3320</v>
      </c>
      <c r="D2858" s="307" t="s">
        <v>3484</v>
      </c>
      <c r="E2858" s="260" t="s">
        <v>3485</v>
      </c>
      <c r="F2858" s="352">
        <v>20164</v>
      </c>
      <c r="G2858" s="311">
        <v>1977</v>
      </c>
      <c r="H2858" s="340" t="s">
        <v>2658</v>
      </c>
      <c r="I2858" s="313">
        <v>2610</v>
      </c>
      <c r="J2858" s="350">
        <v>128.69999999999999</v>
      </c>
      <c r="K2858" s="350">
        <v>125.1</v>
      </c>
      <c r="L2858" s="314">
        <f t="shared" si="22"/>
        <v>3.5999999999999943</v>
      </c>
      <c r="M2858" s="337"/>
    </row>
    <row r="2859" spans="1:13" s="71" customFormat="1" ht="26.4" customHeight="1">
      <c r="A2859" s="282">
        <v>171</v>
      </c>
      <c r="B2859" s="534"/>
      <c r="C2859" s="355" t="s">
        <v>1169</v>
      </c>
      <c r="D2859" s="307" t="s">
        <v>3</v>
      </c>
      <c r="E2859" s="260" t="s">
        <v>13041</v>
      </c>
      <c r="F2859" s="352">
        <v>20522</v>
      </c>
      <c r="G2859" s="311">
        <v>1977</v>
      </c>
      <c r="H2859" s="340" t="s">
        <v>3</v>
      </c>
      <c r="I2859" s="313" t="s">
        <v>3</v>
      </c>
      <c r="J2859" s="350">
        <v>11.5</v>
      </c>
      <c r="K2859" s="350">
        <v>10.3</v>
      </c>
      <c r="L2859" s="314">
        <f t="shared" si="22"/>
        <v>1.1999999999999993</v>
      </c>
      <c r="M2859" s="337"/>
    </row>
    <row r="2860" spans="1:13" s="71" customFormat="1" ht="26.4" customHeight="1">
      <c r="A2860" s="282">
        <v>172</v>
      </c>
      <c r="B2860" s="534"/>
      <c r="C2860" s="307" t="s">
        <v>3276</v>
      </c>
      <c r="D2860" s="307" t="s">
        <v>3486</v>
      </c>
      <c r="E2860" s="260" t="s">
        <v>3487</v>
      </c>
      <c r="F2860" s="352">
        <v>200131</v>
      </c>
      <c r="G2860" s="311">
        <v>1968</v>
      </c>
      <c r="H2860" s="340" t="s">
        <v>2658</v>
      </c>
      <c r="I2860" s="313">
        <v>470</v>
      </c>
      <c r="J2860" s="350">
        <v>5.3</v>
      </c>
      <c r="K2860" s="350">
        <v>4.9000000000000004</v>
      </c>
      <c r="L2860" s="314">
        <f t="shared" si="22"/>
        <v>0.39999999999999947</v>
      </c>
      <c r="M2860" s="337"/>
    </row>
    <row r="2861" spans="1:13" s="71" customFormat="1" ht="26.4" customHeight="1">
      <c r="A2861" s="282">
        <v>173</v>
      </c>
      <c r="B2861" s="534"/>
      <c r="C2861" s="355" t="s">
        <v>1169</v>
      </c>
      <c r="D2861" s="307" t="s">
        <v>3</v>
      </c>
      <c r="E2861" s="260" t="s">
        <v>3488</v>
      </c>
      <c r="F2861" s="352">
        <v>200211</v>
      </c>
      <c r="G2861" s="311">
        <v>1968</v>
      </c>
      <c r="H2861" s="340" t="s">
        <v>2658</v>
      </c>
      <c r="I2861" s="313">
        <v>980</v>
      </c>
      <c r="J2861" s="350">
        <v>17.600000000000001</v>
      </c>
      <c r="K2861" s="350">
        <v>15.6</v>
      </c>
      <c r="L2861" s="314">
        <f t="shared" si="22"/>
        <v>2.0000000000000018</v>
      </c>
      <c r="M2861" s="337"/>
    </row>
    <row r="2862" spans="1:13" s="71" customFormat="1" ht="26.4" customHeight="1">
      <c r="A2862" s="282">
        <v>174</v>
      </c>
      <c r="B2862" s="534"/>
      <c r="C2862" s="355" t="s">
        <v>1169</v>
      </c>
      <c r="D2862" s="307" t="s">
        <v>3</v>
      </c>
      <c r="E2862" s="260" t="s">
        <v>3489</v>
      </c>
      <c r="F2862" s="352">
        <v>200241</v>
      </c>
      <c r="G2862" s="311">
        <v>1968</v>
      </c>
      <c r="H2862" s="340" t="s">
        <v>2658</v>
      </c>
      <c r="I2862" s="313">
        <v>980</v>
      </c>
      <c r="J2862" s="350">
        <v>20.399999999999999</v>
      </c>
      <c r="K2862" s="350">
        <v>18.2</v>
      </c>
      <c r="L2862" s="314">
        <f t="shared" si="22"/>
        <v>2.1999999999999993</v>
      </c>
      <c r="M2862" s="337"/>
    </row>
    <row r="2863" spans="1:13" s="71" customFormat="1" ht="26.4" customHeight="1">
      <c r="A2863" s="282">
        <v>175</v>
      </c>
      <c r="B2863" s="534"/>
      <c r="C2863" s="355" t="s">
        <v>1169</v>
      </c>
      <c r="D2863" s="307" t="s">
        <v>3</v>
      </c>
      <c r="E2863" s="260" t="s">
        <v>3490</v>
      </c>
      <c r="F2863" s="352">
        <v>20120</v>
      </c>
      <c r="G2863" s="311">
        <v>1968</v>
      </c>
      <c r="H2863" s="340" t="s">
        <v>2658</v>
      </c>
      <c r="I2863" s="313">
        <v>2350</v>
      </c>
      <c r="J2863" s="350">
        <v>53.6</v>
      </c>
      <c r="K2863" s="350">
        <v>45.4</v>
      </c>
      <c r="L2863" s="314">
        <f t="shared" si="22"/>
        <v>8.2000000000000028</v>
      </c>
      <c r="M2863" s="337"/>
    </row>
    <row r="2864" spans="1:13" s="71" customFormat="1" ht="26.4" customHeight="1">
      <c r="A2864" s="282">
        <v>176</v>
      </c>
      <c r="B2864" s="534"/>
      <c r="C2864" s="307" t="s">
        <v>3336</v>
      </c>
      <c r="D2864" s="307" t="s">
        <v>3491</v>
      </c>
      <c r="E2864" s="260" t="s">
        <v>3492</v>
      </c>
      <c r="F2864" s="352">
        <v>20121</v>
      </c>
      <c r="G2864" s="311">
        <v>1968</v>
      </c>
      <c r="H2864" s="340" t="s">
        <v>2658</v>
      </c>
      <c r="I2864" s="313">
        <v>2200</v>
      </c>
      <c r="J2864" s="350">
        <v>29</v>
      </c>
      <c r="K2864" s="350">
        <v>27</v>
      </c>
      <c r="L2864" s="314">
        <f t="shared" si="22"/>
        <v>2</v>
      </c>
      <c r="M2864" s="337"/>
    </row>
    <row r="2865" spans="1:13" s="71" customFormat="1" ht="26.4" customHeight="1">
      <c r="A2865" s="282">
        <v>177</v>
      </c>
      <c r="B2865" s="534"/>
      <c r="C2865" s="307" t="s">
        <v>3336</v>
      </c>
      <c r="D2865" s="307" t="s">
        <v>3493</v>
      </c>
      <c r="E2865" s="260" t="s">
        <v>12672</v>
      </c>
      <c r="F2865" s="352">
        <v>20098</v>
      </c>
      <c r="G2865" s="311">
        <v>1967</v>
      </c>
      <c r="H2865" s="340" t="s">
        <v>2658</v>
      </c>
      <c r="I2865" s="313">
        <v>190</v>
      </c>
      <c r="J2865" s="350">
        <v>4.5</v>
      </c>
      <c r="K2865" s="350">
        <v>3.5</v>
      </c>
      <c r="L2865" s="314">
        <f t="shared" si="22"/>
        <v>1</v>
      </c>
      <c r="M2865" s="337"/>
    </row>
    <row r="2866" spans="1:13" s="71" customFormat="1" ht="26.4" customHeight="1">
      <c r="A2866" s="282">
        <v>178</v>
      </c>
      <c r="B2866" s="534"/>
      <c r="C2866" s="355" t="s">
        <v>1169</v>
      </c>
      <c r="D2866" s="307" t="s">
        <v>3494</v>
      </c>
      <c r="E2866" s="260" t="s">
        <v>13042</v>
      </c>
      <c r="F2866" s="352">
        <v>20346</v>
      </c>
      <c r="G2866" s="311">
        <v>1976</v>
      </c>
      <c r="H2866" s="340" t="s">
        <v>2658</v>
      </c>
      <c r="I2866" s="313">
        <v>840</v>
      </c>
      <c r="J2866" s="350">
        <v>8</v>
      </c>
      <c r="K2866" s="350">
        <v>6.3</v>
      </c>
      <c r="L2866" s="314">
        <f t="shared" si="22"/>
        <v>1.7000000000000002</v>
      </c>
      <c r="M2866" s="337"/>
    </row>
    <row r="2867" spans="1:13" s="71" customFormat="1" ht="26.4" customHeight="1">
      <c r="A2867" s="282">
        <v>179</v>
      </c>
      <c r="B2867" s="534"/>
      <c r="C2867" s="307" t="s">
        <v>3495</v>
      </c>
      <c r="D2867" s="307" t="s">
        <v>3496</v>
      </c>
      <c r="E2867" s="260" t="s">
        <v>3497</v>
      </c>
      <c r="F2867" s="352">
        <v>20100</v>
      </c>
      <c r="G2867" s="311">
        <v>1967</v>
      </c>
      <c r="H2867" s="340" t="s">
        <v>2658</v>
      </c>
      <c r="I2867" s="313">
        <v>110</v>
      </c>
      <c r="J2867" s="350">
        <v>2.6</v>
      </c>
      <c r="K2867" s="350">
        <v>2</v>
      </c>
      <c r="L2867" s="314">
        <f t="shared" si="22"/>
        <v>0.60000000000000009</v>
      </c>
      <c r="M2867" s="337"/>
    </row>
    <row r="2868" spans="1:13" s="71" customFormat="1" ht="26.4" customHeight="1">
      <c r="A2868" s="282">
        <v>180</v>
      </c>
      <c r="B2868" s="534"/>
      <c r="C2868" s="307" t="s">
        <v>3336</v>
      </c>
      <c r="D2868" s="307" t="s">
        <v>3</v>
      </c>
      <c r="E2868" s="260" t="s">
        <v>13043</v>
      </c>
      <c r="F2868" s="352">
        <v>20099</v>
      </c>
      <c r="G2868" s="311">
        <v>1967</v>
      </c>
      <c r="H2868" s="340" t="s">
        <v>2658</v>
      </c>
      <c r="I2868" s="313">
        <v>24000</v>
      </c>
      <c r="J2868" s="350">
        <v>5.3</v>
      </c>
      <c r="K2868" s="350">
        <v>4.7</v>
      </c>
      <c r="L2868" s="314">
        <f t="shared" si="22"/>
        <v>0.59999999999999964</v>
      </c>
      <c r="M2868" s="337"/>
    </row>
    <row r="2869" spans="1:13" s="71" customFormat="1" ht="26.4" customHeight="1">
      <c r="A2869" s="282">
        <v>181</v>
      </c>
      <c r="B2869" s="534"/>
      <c r="C2869" s="355" t="s">
        <v>1169</v>
      </c>
      <c r="D2869" s="307" t="s">
        <v>3</v>
      </c>
      <c r="E2869" s="260" t="s">
        <v>3498</v>
      </c>
      <c r="F2869" s="352">
        <v>20142</v>
      </c>
      <c r="G2869" s="311">
        <v>1970</v>
      </c>
      <c r="H2869" s="340" t="s">
        <v>2658</v>
      </c>
      <c r="I2869" s="313">
        <v>2700</v>
      </c>
      <c r="J2869" s="350">
        <v>73.3</v>
      </c>
      <c r="K2869" s="350">
        <v>68.2</v>
      </c>
      <c r="L2869" s="314">
        <f t="shared" si="22"/>
        <v>5.0999999999999943</v>
      </c>
      <c r="M2869" s="337"/>
    </row>
    <row r="2870" spans="1:13" s="71" customFormat="1" ht="38.25" customHeight="1">
      <c r="A2870" s="282">
        <v>182</v>
      </c>
      <c r="B2870" s="534"/>
      <c r="C2870" s="307" t="s">
        <v>3336</v>
      </c>
      <c r="D2870" s="307" t="s">
        <v>3499</v>
      </c>
      <c r="E2870" s="260" t="s">
        <v>13044</v>
      </c>
      <c r="F2870" s="352">
        <v>20019</v>
      </c>
      <c r="G2870" s="311">
        <v>1968</v>
      </c>
      <c r="H2870" s="340" t="s">
        <v>2658</v>
      </c>
      <c r="I2870" s="313">
        <v>1900</v>
      </c>
      <c r="J2870" s="350">
        <v>37.799999999999997</v>
      </c>
      <c r="K2870" s="350">
        <v>37.799999999999997</v>
      </c>
      <c r="L2870" s="314">
        <f t="shared" si="22"/>
        <v>0</v>
      </c>
      <c r="M2870" s="337"/>
    </row>
    <row r="2871" spans="1:13" s="71" customFormat="1" ht="26.4" customHeight="1">
      <c r="A2871" s="282">
        <v>183</v>
      </c>
      <c r="B2871" s="534"/>
      <c r="C2871" s="355" t="s">
        <v>1169</v>
      </c>
      <c r="D2871" s="307" t="s">
        <v>3500</v>
      </c>
      <c r="E2871" s="260" t="s">
        <v>3501</v>
      </c>
      <c r="F2871" s="352">
        <v>20251</v>
      </c>
      <c r="G2871" s="311">
        <v>1976</v>
      </c>
      <c r="H2871" s="340" t="s">
        <v>2658</v>
      </c>
      <c r="I2871" s="313">
        <v>240</v>
      </c>
      <c r="J2871" s="350">
        <v>0.7</v>
      </c>
      <c r="K2871" s="350">
        <v>0.5</v>
      </c>
      <c r="L2871" s="314">
        <f t="shared" si="22"/>
        <v>0.19999999999999996</v>
      </c>
      <c r="M2871" s="337"/>
    </row>
    <row r="2872" spans="1:13" s="71" customFormat="1" ht="26.4" customHeight="1">
      <c r="A2872" s="282">
        <v>184</v>
      </c>
      <c r="B2872" s="534"/>
      <c r="C2872" s="355" t="s">
        <v>1169</v>
      </c>
      <c r="D2872" s="307" t="s">
        <v>3502</v>
      </c>
      <c r="E2872" s="260" t="s">
        <v>3503</v>
      </c>
      <c r="F2872" s="352">
        <v>200151</v>
      </c>
      <c r="G2872" s="311">
        <v>1968</v>
      </c>
      <c r="H2872" s="340" t="s">
        <v>2658</v>
      </c>
      <c r="I2872" s="313">
        <v>340</v>
      </c>
      <c r="J2872" s="350">
        <v>3.8</v>
      </c>
      <c r="K2872" s="350">
        <v>3.5</v>
      </c>
      <c r="L2872" s="314">
        <f t="shared" si="22"/>
        <v>0.29999999999999982</v>
      </c>
      <c r="M2872" s="337"/>
    </row>
    <row r="2873" spans="1:13" s="71" customFormat="1" ht="39.6">
      <c r="A2873" s="282">
        <v>185</v>
      </c>
      <c r="B2873" s="534"/>
      <c r="C2873" s="355" t="s">
        <v>1169</v>
      </c>
      <c r="D2873" s="307" t="s">
        <v>3</v>
      </c>
      <c r="E2873" s="260" t="s">
        <v>3504</v>
      </c>
      <c r="F2873" s="352">
        <v>20155</v>
      </c>
      <c r="G2873" s="311">
        <v>1976</v>
      </c>
      <c r="H2873" s="340" t="s">
        <v>2658</v>
      </c>
      <c r="I2873" s="313">
        <v>930</v>
      </c>
      <c r="J2873" s="350">
        <v>112.4</v>
      </c>
      <c r="K2873" s="350">
        <v>104.6</v>
      </c>
      <c r="L2873" s="314">
        <f t="shared" si="22"/>
        <v>7.8000000000000114</v>
      </c>
      <c r="M2873" s="337"/>
    </row>
    <row r="2874" spans="1:13" s="71" customFormat="1" ht="26.4" customHeight="1">
      <c r="A2874" s="282">
        <v>186</v>
      </c>
      <c r="B2874" s="534"/>
      <c r="C2874" s="355" t="s">
        <v>1169</v>
      </c>
      <c r="D2874" s="307" t="s">
        <v>3</v>
      </c>
      <c r="E2874" s="260" t="s">
        <v>13045</v>
      </c>
      <c r="F2874" s="352">
        <v>20538</v>
      </c>
      <c r="G2874" s="311">
        <v>1979</v>
      </c>
      <c r="H2874" s="340" t="s">
        <v>2658</v>
      </c>
      <c r="I2874" s="313">
        <v>2600</v>
      </c>
      <c r="J2874" s="350">
        <v>297.5</v>
      </c>
      <c r="K2874" s="350">
        <v>252</v>
      </c>
      <c r="L2874" s="314">
        <f t="shared" si="22"/>
        <v>45.5</v>
      </c>
      <c r="M2874" s="337"/>
    </row>
    <row r="2875" spans="1:13" s="71" customFormat="1" ht="26.4" customHeight="1">
      <c r="A2875" s="282">
        <v>187</v>
      </c>
      <c r="B2875" s="534"/>
      <c r="C2875" s="355" t="s">
        <v>1169</v>
      </c>
      <c r="D2875" s="307" t="s">
        <v>3</v>
      </c>
      <c r="E2875" s="260" t="s">
        <v>3505</v>
      </c>
      <c r="F2875" s="352">
        <v>20030</v>
      </c>
      <c r="G2875" s="311">
        <v>1967</v>
      </c>
      <c r="H2875" s="340" t="s">
        <v>2658</v>
      </c>
      <c r="I2875" s="313">
        <v>1050</v>
      </c>
      <c r="J2875" s="350">
        <v>35.799999999999997</v>
      </c>
      <c r="K2875" s="350">
        <v>28.1</v>
      </c>
      <c r="L2875" s="314">
        <f t="shared" si="22"/>
        <v>7.6999999999999957</v>
      </c>
      <c r="M2875" s="337"/>
    </row>
    <row r="2876" spans="1:13" s="71" customFormat="1" ht="26.4" customHeight="1">
      <c r="A2876" s="282">
        <v>188</v>
      </c>
      <c r="B2876" s="534"/>
      <c r="C2876" s="307" t="s">
        <v>3495</v>
      </c>
      <c r="D2876" s="307" t="s">
        <v>3</v>
      </c>
      <c r="E2876" s="260" t="s">
        <v>3506</v>
      </c>
      <c r="F2876" s="352">
        <v>20088</v>
      </c>
      <c r="G2876" s="311">
        <v>1967</v>
      </c>
      <c r="H2876" s="340" t="s">
        <v>2658</v>
      </c>
      <c r="I2876" s="313">
        <v>1300</v>
      </c>
      <c r="J2876" s="350">
        <v>31.3</v>
      </c>
      <c r="K2876" s="350">
        <v>24.7</v>
      </c>
      <c r="L2876" s="314">
        <f t="shared" si="22"/>
        <v>6.6000000000000014</v>
      </c>
      <c r="M2876" s="337"/>
    </row>
    <row r="2877" spans="1:13" s="71" customFormat="1" ht="39.6">
      <c r="A2877" s="282">
        <v>189</v>
      </c>
      <c r="B2877" s="534"/>
      <c r="C2877" s="355" t="s">
        <v>1169</v>
      </c>
      <c r="D2877" s="307" t="s">
        <v>3507</v>
      </c>
      <c r="E2877" s="260" t="s">
        <v>3508</v>
      </c>
      <c r="F2877" s="352">
        <v>20198</v>
      </c>
      <c r="G2877" s="311">
        <v>1976</v>
      </c>
      <c r="H2877" s="340" t="s">
        <v>2658</v>
      </c>
      <c r="I2877" s="313">
        <v>300</v>
      </c>
      <c r="J2877" s="350">
        <v>1.4</v>
      </c>
      <c r="K2877" s="350">
        <v>1.3</v>
      </c>
      <c r="L2877" s="314">
        <f t="shared" si="22"/>
        <v>9.9999999999999867E-2</v>
      </c>
      <c r="M2877" s="337"/>
    </row>
    <row r="2878" spans="1:13" s="71" customFormat="1" ht="26.4" customHeight="1">
      <c r="A2878" s="282">
        <v>190</v>
      </c>
      <c r="B2878" s="534"/>
      <c r="C2878" s="307" t="s">
        <v>3276</v>
      </c>
      <c r="D2878" s="307" t="s">
        <v>3509</v>
      </c>
      <c r="E2878" s="260" t="s">
        <v>12673</v>
      </c>
      <c r="F2878" s="352">
        <v>20114</v>
      </c>
      <c r="G2878" s="311">
        <v>1967</v>
      </c>
      <c r="H2878" s="340" t="s">
        <v>2658</v>
      </c>
      <c r="I2878" s="313">
        <v>630</v>
      </c>
      <c r="J2878" s="350">
        <v>11.6</v>
      </c>
      <c r="K2878" s="350">
        <v>10.3</v>
      </c>
      <c r="L2878" s="314">
        <f t="shared" si="22"/>
        <v>1.2999999999999989</v>
      </c>
      <c r="M2878" s="337"/>
    </row>
    <row r="2879" spans="1:13" s="71" customFormat="1" ht="26.4" customHeight="1">
      <c r="A2879" s="282">
        <v>191</v>
      </c>
      <c r="B2879" s="534"/>
      <c r="C2879" s="307" t="s">
        <v>3276</v>
      </c>
      <c r="D2879" s="307" t="s">
        <v>3510</v>
      </c>
      <c r="E2879" s="260" t="s">
        <v>3511</v>
      </c>
      <c r="F2879" s="352">
        <v>200291</v>
      </c>
      <c r="G2879" s="311">
        <v>1967</v>
      </c>
      <c r="H2879" s="340" t="s">
        <v>2658</v>
      </c>
      <c r="I2879" s="313">
        <v>250</v>
      </c>
      <c r="J2879" s="350">
        <v>1.6</v>
      </c>
      <c r="K2879" s="350">
        <v>1.3</v>
      </c>
      <c r="L2879" s="314">
        <f t="shared" si="22"/>
        <v>0.30000000000000004</v>
      </c>
      <c r="M2879" s="337"/>
    </row>
    <row r="2880" spans="1:13" s="71" customFormat="1" ht="26.4" customHeight="1">
      <c r="A2880" s="282">
        <v>192</v>
      </c>
      <c r="B2880" s="534"/>
      <c r="C2880" s="355" t="s">
        <v>1169</v>
      </c>
      <c r="D2880" s="307" t="s">
        <v>3512</v>
      </c>
      <c r="E2880" s="260" t="s">
        <v>3513</v>
      </c>
      <c r="F2880" s="352">
        <v>200221</v>
      </c>
      <c r="G2880" s="311">
        <v>1968</v>
      </c>
      <c r="H2880" s="340" t="s">
        <v>2658</v>
      </c>
      <c r="I2880" s="313">
        <v>1100</v>
      </c>
      <c r="J2880" s="350">
        <v>29.4</v>
      </c>
      <c r="K2880" s="350">
        <v>24.9</v>
      </c>
      <c r="L2880" s="314">
        <f t="shared" si="22"/>
        <v>4.5</v>
      </c>
      <c r="M2880" s="337"/>
    </row>
    <row r="2881" spans="1:13" s="71" customFormat="1" ht="26.4" customHeight="1">
      <c r="A2881" s="282">
        <v>193</v>
      </c>
      <c r="B2881" s="534"/>
      <c r="C2881" s="307" t="s">
        <v>3276</v>
      </c>
      <c r="D2881" s="307" t="s">
        <v>3514</v>
      </c>
      <c r="E2881" s="260" t="s">
        <v>3515</v>
      </c>
      <c r="F2881" s="352">
        <v>20428</v>
      </c>
      <c r="G2881" s="311">
        <v>1976</v>
      </c>
      <c r="H2881" s="340" t="s">
        <v>2658</v>
      </c>
      <c r="I2881" s="313">
        <v>380</v>
      </c>
      <c r="J2881" s="350">
        <v>1.1000000000000001</v>
      </c>
      <c r="K2881" s="350">
        <v>0.9</v>
      </c>
      <c r="L2881" s="314">
        <f t="shared" ref="L2881:L2944" si="23">J2881-K2881</f>
        <v>0.20000000000000007</v>
      </c>
      <c r="M2881" s="337"/>
    </row>
    <row r="2882" spans="1:13" s="71" customFormat="1" ht="26.4" customHeight="1">
      <c r="A2882" s="282">
        <v>194</v>
      </c>
      <c r="B2882" s="534"/>
      <c r="C2882" s="307" t="s">
        <v>3336</v>
      </c>
      <c r="D2882" s="307" t="s">
        <v>3516</v>
      </c>
      <c r="E2882" s="260" t="s">
        <v>3517</v>
      </c>
      <c r="F2882" s="352">
        <v>20087</v>
      </c>
      <c r="G2882" s="311">
        <v>1967</v>
      </c>
      <c r="H2882" s="340" t="s">
        <v>2658</v>
      </c>
      <c r="I2882" s="313">
        <v>2350</v>
      </c>
      <c r="J2882" s="350">
        <v>87.6</v>
      </c>
      <c r="K2882" s="350">
        <v>85.1</v>
      </c>
      <c r="L2882" s="314">
        <f t="shared" si="23"/>
        <v>2.5</v>
      </c>
      <c r="M2882" s="337"/>
    </row>
    <row r="2883" spans="1:13" s="71" customFormat="1" ht="26.4" customHeight="1">
      <c r="A2883" s="282">
        <v>195</v>
      </c>
      <c r="B2883" s="534"/>
      <c r="C2883" s="355" t="s">
        <v>1169</v>
      </c>
      <c r="D2883" s="307" t="s">
        <v>3518</v>
      </c>
      <c r="E2883" s="260" t="s">
        <v>3519</v>
      </c>
      <c r="F2883" s="352">
        <v>20348</v>
      </c>
      <c r="G2883" s="311">
        <v>1976</v>
      </c>
      <c r="H2883" s="340" t="s">
        <v>2658</v>
      </c>
      <c r="I2883" s="313">
        <v>280</v>
      </c>
      <c r="J2883" s="350">
        <v>1.9</v>
      </c>
      <c r="K2883" s="350">
        <v>1.5</v>
      </c>
      <c r="L2883" s="314">
        <f t="shared" si="23"/>
        <v>0.39999999999999991</v>
      </c>
      <c r="M2883" s="337"/>
    </row>
    <row r="2884" spans="1:13" s="71" customFormat="1" ht="26.4" customHeight="1">
      <c r="A2884" s="282">
        <v>196</v>
      </c>
      <c r="B2884" s="534"/>
      <c r="C2884" s="355" t="s">
        <v>1169</v>
      </c>
      <c r="D2884" s="307" t="s">
        <v>3520</v>
      </c>
      <c r="E2884" s="260" t="s">
        <v>3521</v>
      </c>
      <c r="F2884" s="352">
        <v>20347</v>
      </c>
      <c r="G2884" s="311">
        <v>1976</v>
      </c>
      <c r="H2884" s="340" t="s">
        <v>2658</v>
      </c>
      <c r="I2884" s="313">
        <v>430</v>
      </c>
      <c r="J2884" s="350">
        <v>1.5</v>
      </c>
      <c r="K2884" s="350">
        <v>1.4</v>
      </c>
      <c r="L2884" s="314">
        <f t="shared" si="23"/>
        <v>0.10000000000000009</v>
      </c>
      <c r="M2884" s="337"/>
    </row>
    <row r="2885" spans="1:13" s="71" customFormat="1" ht="26.4" customHeight="1">
      <c r="A2885" s="282">
        <v>197</v>
      </c>
      <c r="B2885" s="534"/>
      <c r="C2885" s="307" t="s">
        <v>3336</v>
      </c>
      <c r="D2885" s="307" t="s">
        <v>3522</v>
      </c>
      <c r="E2885" s="260" t="s">
        <v>12674</v>
      </c>
      <c r="F2885" s="352">
        <v>20116</v>
      </c>
      <c r="G2885" s="311">
        <v>1967</v>
      </c>
      <c r="H2885" s="340" t="s">
        <v>2658</v>
      </c>
      <c r="I2885" s="313">
        <v>95</v>
      </c>
      <c r="J2885" s="350">
        <v>3.4</v>
      </c>
      <c r="K2885" s="350">
        <v>2.7</v>
      </c>
      <c r="L2885" s="314">
        <f t="shared" si="23"/>
        <v>0.69999999999999973</v>
      </c>
      <c r="M2885" s="337"/>
    </row>
    <row r="2886" spans="1:13" s="71" customFormat="1" ht="39.6">
      <c r="A2886" s="282">
        <v>198</v>
      </c>
      <c r="B2886" s="534"/>
      <c r="C2886" s="355" t="s">
        <v>1169</v>
      </c>
      <c r="D2886" s="307" t="s">
        <v>3523</v>
      </c>
      <c r="E2886" s="260" t="s">
        <v>3524</v>
      </c>
      <c r="F2886" s="352">
        <v>20339</v>
      </c>
      <c r="G2886" s="311">
        <v>1976</v>
      </c>
      <c r="H2886" s="340" t="s">
        <v>2658</v>
      </c>
      <c r="I2886" s="313">
        <v>430</v>
      </c>
      <c r="J2886" s="350">
        <v>1.5</v>
      </c>
      <c r="K2886" s="350">
        <v>1.4</v>
      </c>
      <c r="L2886" s="314">
        <f t="shared" si="23"/>
        <v>0.10000000000000009</v>
      </c>
      <c r="M2886" s="337"/>
    </row>
    <row r="2887" spans="1:13" s="71" customFormat="1" ht="26.4">
      <c r="A2887" s="282">
        <v>199</v>
      </c>
      <c r="B2887" s="534"/>
      <c r="C2887" s="307" t="s">
        <v>3412</v>
      </c>
      <c r="D2887" s="307" t="s">
        <v>3525</v>
      </c>
      <c r="E2887" s="260" t="s">
        <v>3526</v>
      </c>
      <c r="F2887" s="352">
        <v>20404</v>
      </c>
      <c r="G2887" s="311">
        <v>1976</v>
      </c>
      <c r="H2887" s="340" t="s">
        <v>2658</v>
      </c>
      <c r="I2887" s="313">
        <v>850</v>
      </c>
      <c r="J2887" s="350">
        <v>1.5</v>
      </c>
      <c r="K2887" s="350">
        <v>1.4</v>
      </c>
      <c r="L2887" s="314">
        <f t="shared" si="23"/>
        <v>0.10000000000000009</v>
      </c>
      <c r="M2887" s="337"/>
    </row>
    <row r="2888" spans="1:13" s="71" customFormat="1" ht="39.6">
      <c r="A2888" s="282">
        <v>200</v>
      </c>
      <c r="B2888" s="534"/>
      <c r="C2888" s="355" t="s">
        <v>1169</v>
      </c>
      <c r="D2888" s="307" t="s">
        <v>12849</v>
      </c>
      <c r="E2888" s="260" t="s">
        <v>12675</v>
      </c>
      <c r="F2888" s="352">
        <v>200251</v>
      </c>
      <c r="G2888" s="311">
        <v>1968</v>
      </c>
      <c r="H2888" s="340" t="s">
        <v>2658</v>
      </c>
      <c r="I2888" s="313">
        <v>150</v>
      </c>
      <c r="J2888" s="350">
        <v>2.4</v>
      </c>
      <c r="K2888" s="350">
        <v>1.9</v>
      </c>
      <c r="L2888" s="314">
        <f t="shared" si="23"/>
        <v>0.5</v>
      </c>
      <c r="M2888" s="337"/>
    </row>
    <row r="2889" spans="1:13" s="71" customFormat="1" ht="39.6">
      <c r="A2889" s="282">
        <v>201</v>
      </c>
      <c r="B2889" s="534"/>
      <c r="C2889" s="355" t="s">
        <v>1169</v>
      </c>
      <c r="D2889" s="307" t="s">
        <v>3527</v>
      </c>
      <c r="E2889" s="260" t="s">
        <v>12676</v>
      </c>
      <c r="F2889" s="352">
        <v>20343</v>
      </c>
      <c r="G2889" s="311">
        <v>1976</v>
      </c>
      <c r="H2889" s="340" t="s">
        <v>2658</v>
      </c>
      <c r="I2889" s="313">
        <v>530</v>
      </c>
      <c r="J2889" s="350">
        <v>1.1000000000000001</v>
      </c>
      <c r="K2889" s="350">
        <v>0.9</v>
      </c>
      <c r="L2889" s="314">
        <f t="shared" si="23"/>
        <v>0.20000000000000007</v>
      </c>
      <c r="M2889" s="337"/>
    </row>
    <row r="2890" spans="1:13" s="71" customFormat="1" ht="39.6">
      <c r="A2890" s="282">
        <v>202</v>
      </c>
      <c r="B2890" s="534"/>
      <c r="C2890" s="355" t="s">
        <v>1169</v>
      </c>
      <c r="D2890" s="307" t="s">
        <v>3528</v>
      </c>
      <c r="E2890" s="260" t="s">
        <v>3529</v>
      </c>
      <c r="F2890" s="352">
        <v>20344</v>
      </c>
      <c r="G2890" s="311">
        <v>1976</v>
      </c>
      <c r="H2890" s="340" t="s">
        <v>2658</v>
      </c>
      <c r="I2890" s="313">
        <v>130</v>
      </c>
      <c r="J2890" s="350">
        <v>0.3</v>
      </c>
      <c r="K2890" s="350">
        <v>0.3</v>
      </c>
      <c r="L2890" s="314">
        <f t="shared" si="23"/>
        <v>0</v>
      </c>
      <c r="M2890" s="337"/>
    </row>
    <row r="2891" spans="1:13" s="71" customFormat="1" ht="26.4" customHeight="1">
      <c r="A2891" s="282">
        <v>203</v>
      </c>
      <c r="B2891" s="534"/>
      <c r="C2891" s="355" t="s">
        <v>1169</v>
      </c>
      <c r="D2891" s="307" t="s">
        <v>3530</v>
      </c>
      <c r="E2891" s="260" t="s">
        <v>13046</v>
      </c>
      <c r="F2891" s="352">
        <v>20250</v>
      </c>
      <c r="G2891" s="311">
        <v>1976</v>
      </c>
      <c r="H2891" s="340" t="s">
        <v>2658</v>
      </c>
      <c r="I2891" s="313">
        <v>400</v>
      </c>
      <c r="J2891" s="350">
        <v>2.2000000000000002</v>
      </c>
      <c r="K2891" s="350">
        <v>1.7</v>
      </c>
      <c r="L2891" s="314">
        <f t="shared" si="23"/>
        <v>0.50000000000000022</v>
      </c>
      <c r="M2891" s="337"/>
    </row>
    <row r="2892" spans="1:13" s="71" customFormat="1" ht="26.4" customHeight="1">
      <c r="A2892" s="282">
        <v>204</v>
      </c>
      <c r="B2892" s="534"/>
      <c r="C2892" s="307" t="s">
        <v>3495</v>
      </c>
      <c r="D2892" s="307" t="s">
        <v>3531</v>
      </c>
      <c r="E2892" s="260" t="s">
        <v>13047</v>
      </c>
      <c r="F2892" s="352">
        <v>20108</v>
      </c>
      <c r="G2892" s="311">
        <v>1967</v>
      </c>
      <c r="H2892" s="340" t="s">
        <v>2658</v>
      </c>
      <c r="I2892" s="313">
        <v>428</v>
      </c>
      <c r="J2892" s="350">
        <v>6.8</v>
      </c>
      <c r="K2892" s="350">
        <v>5.3</v>
      </c>
      <c r="L2892" s="314">
        <f t="shared" si="23"/>
        <v>1.5</v>
      </c>
      <c r="M2892" s="337"/>
    </row>
    <row r="2893" spans="1:13" s="71" customFormat="1" ht="26.4" customHeight="1">
      <c r="A2893" s="282">
        <v>205</v>
      </c>
      <c r="B2893" s="534"/>
      <c r="C2893" s="307" t="s">
        <v>3412</v>
      </c>
      <c r="D2893" s="307" t="s">
        <v>3532</v>
      </c>
      <c r="E2893" s="260" t="s">
        <v>13048</v>
      </c>
      <c r="F2893" s="352">
        <v>20115</v>
      </c>
      <c r="G2893" s="311">
        <v>1967</v>
      </c>
      <c r="H2893" s="340" t="s">
        <v>2658</v>
      </c>
      <c r="I2893" s="313">
        <v>290</v>
      </c>
      <c r="J2893" s="350">
        <v>6.1</v>
      </c>
      <c r="K2893" s="350">
        <v>5.6</v>
      </c>
      <c r="L2893" s="314">
        <f t="shared" si="23"/>
        <v>0.5</v>
      </c>
      <c r="M2893" s="337"/>
    </row>
    <row r="2894" spans="1:13" s="71" customFormat="1" ht="26.4">
      <c r="A2894" s="282">
        <v>206</v>
      </c>
      <c r="B2894" s="534"/>
      <c r="C2894" s="355" t="s">
        <v>1169</v>
      </c>
      <c r="D2894" s="307" t="s">
        <v>3533</v>
      </c>
      <c r="E2894" s="260" t="s">
        <v>13049</v>
      </c>
      <c r="F2894" s="352">
        <v>20354</v>
      </c>
      <c r="G2894" s="311">
        <v>1976</v>
      </c>
      <c r="H2894" s="340" t="s">
        <v>2658</v>
      </c>
      <c r="I2894" s="313">
        <v>350</v>
      </c>
      <c r="J2894" s="350">
        <v>1.8</v>
      </c>
      <c r="K2894" s="350">
        <v>1.4</v>
      </c>
      <c r="L2894" s="314">
        <f t="shared" si="23"/>
        <v>0.40000000000000013</v>
      </c>
      <c r="M2894" s="337"/>
    </row>
    <row r="2895" spans="1:13" s="71" customFormat="1" ht="26.4" customHeight="1">
      <c r="A2895" s="282">
        <v>207</v>
      </c>
      <c r="B2895" s="534"/>
      <c r="C2895" s="355" t="s">
        <v>1169</v>
      </c>
      <c r="D2895" s="307" t="s">
        <v>3534</v>
      </c>
      <c r="E2895" s="260" t="s">
        <v>3535</v>
      </c>
      <c r="F2895" s="352">
        <v>20383</v>
      </c>
      <c r="G2895" s="311">
        <v>1976</v>
      </c>
      <c r="H2895" s="340" t="s">
        <v>2658</v>
      </c>
      <c r="I2895" s="313">
        <v>550</v>
      </c>
      <c r="J2895" s="350">
        <v>1.1000000000000001</v>
      </c>
      <c r="K2895" s="350">
        <v>0.9</v>
      </c>
      <c r="L2895" s="314">
        <f t="shared" si="23"/>
        <v>0.20000000000000007</v>
      </c>
      <c r="M2895" s="337"/>
    </row>
    <row r="2896" spans="1:13" s="71" customFormat="1" ht="26.4" customHeight="1">
      <c r="A2896" s="282">
        <v>208</v>
      </c>
      <c r="B2896" s="534"/>
      <c r="C2896" s="307" t="s">
        <v>3471</v>
      </c>
      <c r="D2896" s="307" t="s">
        <v>3536</v>
      </c>
      <c r="E2896" s="260" t="s">
        <v>3537</v>
      </c>
      <c r="F2896" s="352">
        <v>20113</v>
      </c>
      <c r="G2896" s="311">
        <v>1967</v>
      </c>
      <c r="H2896" s="340" t="s">
        <v>2658</v>
      </c>
      <c r="I2896" s="313">
        <v>380</v>
      </c>
      <c r="J2896" s="350">
        <v>2.6</v>
      </c>
      <c r="K2896" s="350">
        <v>2.4</v>
      </c>
      <c r="L2896" s="314">
        <f t="shared" si="23"/>
        <v>0.20000000000000018</v>
      </c>
      <c r="M2896" s="337"/>
    </row>
    <row r="2897" spans="1:13" s="71" customFormat="1" ht="26.4" customHeight="1">
      <c r="A2897" s="282">
        <v>209</v>
      </c>
      <c r="B2897" s="534"/>
      <c r="C2897" s="307" t="s">
        <v>3329</v>
      </c>
      <c r="D2897" s="307" t="s">
        <v>3538</v>
      </c>
      <c r="E2897" s="260" t="s">
        <v>3539</v>
      </c>
      <c r="F2897" s="352">
        <v>20494</v>
      </c>
      <c r="G2897" s="311">
        <v>1976</v>
      </c>
      <c r="H2897" s="340" t="s">
        <v>2658</v>
      </c>
      <c r="I2897" s="313">
        <v>600</v>
      </c>
      <c r="J2897" s="350">
        <v>2.7</v>
      </c>
      <c r="K2897" s="350">
        <v>2.5</v>
      </c>
      <c r="L2897" s="314">
        <f t="shared" si="23"/>
        <v>0.20000000000000018</v>
      </c>
      <c r="M2897" s="337"/>
    </row>
    <row r="2898" spans="1:13" s="71" customFormat="1" ht="26.4">
      <c r="A2898" s="282">
        <v>210</v>
      </c>
      <c r="B2898" s="534"/>
      <c r="C2898" s="307" t="s">
        <v>3495</v>
      </c>
      <c r="D2898" s="307" t="s">
        <v>3540</v>
      </c>
      <c r="E2898" s="260" t="s">
        <v>3541</v>
      </c>
      <c r="F2898" s="352">
        <v>20110</v>
      </c>
      <c r="G2898" s="311">
        <v>1967</v>
      </c>
      <c r="H2898" s="340" t="s">
        <v>2658</v>
      </c>
      <c r="I2898" s="313">
        <v>270</v>
      </c>
      <c r="J2898" s="350">
        <v>4.0999999999999996</v>
      </c>
      <c r="K2898" s="350">
        <v>3.2</v>
      </c>
      <c r="L2898" s="314">
        <f t="shared" si="23"/>
        <v>0.89999999999999947</v>
      </c>
      <c r="M2898" s="337"/>
    </row>
    <row r="2899" spans="1:13" s="71" customFormat="1" ht="26.4" customHeight="1">
      <c r="A2899" s="282">
        <v>211</v>
      </c>
      <c r="B2899" s="534"/>
      <c r="C2899" s="307" t="s">
        <v>3495</v>
      </c>
      <c r="D2899" s="307" t="s">
        <v>3542</v>
      </c>
      <c r="E2899" s="260" t="s">
        <v>3543</v>
      </c>
      <c r="F2899" s="352">
        <v>20092</v>
      </c>
      <c r="G2899" s="311">
        <v>1967</v>
      </c>
      <c r="H2899" s="340" t="s">
        <v>2658</v>
      </c>
      <c r="I2899" s="313">
        <v>500</v>
      </c>
      <c r="J2899" s="350">
        <v>12.8</v>
      </c>
      <c r="K2899" s="350">
        <v>11.4</v>
      </c>
      <c r="L2899" s="314">
        <f t="shared" si="23"/>
        <v>1.4000000000000004</v>
      </c>
      <c r="M2899" s="337"/>
    </row>
    <row r="2900" spans="1:13" s="71" customFormat="1" ht="26.4" customHeight="1">
      <c r="A2900" s="282">
        <v>212</v>
      </c>
      <c r="B2900" s="534"/>
      <c r="C2900" s="307" t="s">
        <v>3495</v>
      </c>
      <c r="D2900" s="307" t="s">
        <v>3544</v>
      </c>
      <c r="E2900" s="260" t="s">
        <v>3545</v>
      </c>
      <c r="F2900" s="352">
        <v>20104</v>
      </c>
      <c r="G2900" s="311">
        <v>1967</v>
      </c>
      <c r="H2900" s="340" t="s">
        <v>2658</v>
      </c>
      <c r="I2900" s="313">
        <v>160</v>
      </c>
      <c r="J2900" s="350">
        <v>4.3</v>
      </c>
      <c r="K2900" s="350">
        <v>4</v>
      </c>
      <c r="L2900" s="314">
        <f t="shared" si="23"/>
        <v>0.29999999999999982</v>
      </c>
      <c r="M2900" s="337"/>
    </row>
    <row r="2901" spans="1:13" s="71" customFormat="1" ht="26.4" customHeight="1">
      <c r="A2901" s="282">
        <v>213</v>
      </c>
      <c r="B2901" s="534"/>
      <c r="C2901" s="307" t="s">
        <v>3495</v>
      </c>
      <c r="D2901" s="307" t="s">
        <v>3546</v>
      </c>
      <c r="E2901" s="260" t="s">
        <v>3547</v>
      </c>
      <c r="F2901" s="352">
        <v>20112</v>
      </c>
      <c r="G2901" s="311">
        <v>1967</v>
      </c>
      <c r="H2901" s="340" t="s">
        <v>2658</v>
      </c>
      <c r="I2901" s="313">
        <v>120</v>
      </c>
      <c r="J2901" s="350">
        <v>2.5</v>
      </c>
      <c r="K2901" s="350">
        <v>2.2999999999999998</v>
      </c>
      <c r="L2901" s="314">
        <f t="shared" si="23"/>
        <v>0.20000000000000018</v>
      </c>
      <c r="M2901" s="337"/>
    </row>
    <row r="2902" spans="1:13" s="71" customFormat="1" ht="26.4" customHeight="1">
      <c r="A2902" s="282">
        <v>214</v>
      </c>
      <c r="B2902" s="534"/>
      <c r="C2902" s="307" t="s">
        <v>3495</v>
      </c>
      <c r="D2902" s="307" t="s">
        <v>3548</v>
      </c>
      <c r="E2902" s="260" t="s">
        <v>3549</v>
      </c>
      <c r="F2902" s="352">
        <v>20111</v>
      </c>
      <c r="G2902" s="311">
        <v>1967</v>
      </c>
      <c r="H2902" s="340" t="s">
        <v>2658</v>
      </c>
      <c r="I2902" s="313">
        <v>300</v>
      </c>
      <c r="J2902" s="350">
        <v>2.2999999999999998</v>
      </c>
      <c r="K2902" s="350">
        <v>1.7</v>
      </c>
      <c r="L2902" s="314">
        <f t="shared" si="23"/>
        <v>0.59999999999999987</v>
      </c>
      <c r="M2902" s="337"/>
    </row>
    <row r="2903" spans="1:13" s="71" customFormat="1" ht="26.4" customHeight="1">
      <c r="A2903" s="282">
        <v>215</v>
      </c>
      <c r="B2903" s="534"/>
      <c r="C2903" s="307" t="s">
        <v>3329</v>
      </c>
      <c r="D2903" s="307" t="s">
        <v>3550</v>
      </c>
      <c r="E2903" s="260" t="s">
        <v>3551</v>
      </c>
      <c r="F2903" s="352">
        <v>200261</v>
      </c>
      <c r="G2903" s="311">
        <v>1968</v>
      </c>
      <c r="H2903" s="340" t="s">
        <v>2658</v>
      </c>
      <c r="I2903" s="313">
        <v>840</v>
      </c>
      <c r="J2903" s="350">
        <v>7.2</v>
      </c>
      <c r="K2903" s="350">
        <v>6.6</v>
      </c>
      <c r="L2903" s="314">
        <f t="shared" si="23"/>
        <v>0.60000000000000053</v>
      </c>
      <c r="M2903" s="337"/>
    </row>
    <row r="2904" spans="1:13" s="71" customFormat="1" ht="26.4" customHeight="1">
      <c r="A2904" s="282">
        <v>216</v>
      </c>
      <c r="B2904" s="534"/>
      <c r="C2904" s="307" t="s">
        <v>3336</v>
      </c>
      <c r="D2904" s="307" t="s">
        <v>3552</v>
      </c>
      <c r="E2904" s="260" t="s">
        <v>13050</v>
      </c>
      <c r="F2904" s="352">
        <v>20095</v>
      </c>
      <c r="G2904" s="311">
        <v>1967</v>
      </c>
      <c r="H2904" s="340" t="s">
        <v>2658</v>
      </c>
      <c r="I2904" s="313">
        <v>400</v>
      </c>
      <c r="J2904" s="350">
        <v>6.4</v>
      </c>
      <c r="K2904" s="350">
        <v>5</v>
      </c>
      <c r="L2904" s="314">
        <f t="shared" si="23"/>
        <v>1.4000000000000004</v>
      </c>
      <c r="M2904" s="337"/>
    </row>
    <row r="2905" spans="1:13" s="332" customFormat="1" ht="26.4" customHeight="1">
      <c r="A2905" s="282">
        <v>217</v>
      </c>
      <c r="B2905" s="534"/>
      <c r="C2905" s="313" t="s">
        <v>3276</v>
      </c>
      <c r="D2905" s="313" t="s">
        <v>3553</v>
      </c>
      <c r="E2905" s="444" t="s">
        <v>3554</v>
      </c>
      <c r="F2905" s="352">
        <v>20398</v>
      </c>
      <c r="G2905" s="311">
        <v>1976</v>
      </c>
      <c r="H2905" s="340" t="s">
        <v>2658</v>
      </c>
      <c r="I2905" s="313">
        <v>220</v>
      </c>
      <c r="J2905" s="350">
        <v>2.5</v>
      </c>
      <c r="K2905" s="350">
        <v>1.8</v>
      </c>
      <c r="L2905" s="314">
        <f t="shared" si="23"/>
        <v>0.7</v>
      </c>
      <c r="M2905" s="331"/>
    </row>
    <row r="2906" spans="1:13" s="71" customFormat="1" ht="26.4" customHeight="1">
      <c r="A2906" s="282">
        <v>218</v>
      </c>
      <c r="B2906" s="534"/>
      <c r="C2906" s="355" t="s">
        <v>1169</v>
      </c>
      <c r="D2906" s="307" t="s">
        <v>3555</v>
      </c>
      <c r="E2906" s="260" t="s">
        <v>3556</v>
      </c>
      <c r="F2906" s="352">
        <v>20004</v>
      </c>
      <c r="G2906" s="311">
        <v>1967</v>
      </c>
      <c r="H2906" s="340" t="s">
        <v>2658</v>
      </c>
      <c r="I2906" s="313">
        <v>1450</v>
      </c>
      <c r="J2906" s="350">
        <v>54.8</v>
      </c>
      <c r="K2906" s="350">
        <v>46.4</v>
      </c>
      <c r="L2906" s="314">
        <f t="shared" si="23"/>
        <v>8.3999999999999986</v>
      </c>
      <c r="M2906" s="337"/>
    </row>
    <row r="2907" spans="1:13" s="71" customFormat="1" ht="26.4">
      <c r="A2907" s="282">
        <v>219</v>
      </c>
      <c r="B2907" s="534"/>
      <c r="C2907" s="355" t="s">
        <v>1169</v>
      </c>
      <c r="D2907" s="307" t="s">
        <v>12850</v>
      </c>
      <c r="E2907" s="260" t="s">
        <v>3557</v>
      </c>
      <c r="F2907" s="352">
        <v>20297</v>
      </c>
      <c r="G2907" s="311">
        <v>1976</v>
      </c>
      <c r="H2907" s="340" t="s">
        <v>2658</v>
      </c>
      <c r="I2907" s="313">
        <v>1800</v>
      </c>
      <c r="J2907" s="350">
        <v>1</v>
      </c>
      <c r="K2907" s="350">
        <v>0.7</v>
      </c>
      <c r="L2907" s="314">
        <f t="shared" si="23"/>
        <v>0.30000000000000004</v>
      </c>
      <c r="M2907" s="337"/>
    </row>
    <row r="2908" spans="1:13" s="71" customFormat="1" ht="36.75" customHeight="1">
      <c r="A2908" s="282">
        <v>220</v>
      </c>
      <c r="B2908" s="534"/>
      <c r="C2908" s="355" t="s">
        <v>1169</v>
      </c>
      <c r="D2908" s="307" t="s">
        <v>3558</v>
      </c>
      <c r="E2908" s="260" t="s">
        <v>3559</v>
      </c>
      <c r="F2908" s="352">
        <v>200401</v>
      </c>
      <c r="G2908" s="311">
        <v>1967</v>
      </c>
      <c r="H2908" s="340" t="s">
        <v>2658</v>
      </c>
      <c r="I2908" s="313">
        <v>832</v>
      </c>
      <c r="J2908" s="350">
        <v>12.2</v>
      </c>
      <c r="K2908" s="350">
        <v>10.9</v>
      </c>
      <c r="L2908" s="314">
        <f t="shared" si="23"/>
        <v>1.2999999999999989</v>
      </c>
      <c r="M2908" s="337"/>
    </row>
    <row r="2909" spans="1:13" s="71" customFormat="1" ht="26.4">
      <c r="A2909" s="282">
        <v>221</v>
      </c>
      <c r="B2909" s="534"/>
      <c r="C2909" s="355" t="s">
        <v>1169</v>
      </c>
      <c r="D2909" s="307" t="s">
        <v>12851</v>
      </c>
      <c r="E2909" s="260" t="s">
        <v>13051</v>
      </c>
      <c r="F2909" s="352">
        <v>20197</v>
      </c>
      <c r="G2909" s="311">
        <v>1976</v>
      </c>
      <c r="H2909" s="340" t="s">
        <v>2658</v>
      </c>
      <c r="I2909" s="313">
        <v>400</v>
      </c>
      <c r="J2909" s="350">
        <v>2</v>
      </c>
      <c r="K2909" s="350">
        <v>1.6</v>
      </c>
      <c r="L2909" s="314">
        <f t="shared" si="23"/>
        <v>0.39999999999999991</v>
      </c>
      <c r="M2909" s="337"/>
    </row>
    <row r="2910" spans="1:13" s="71" customFormat="1" ht="26.4" customHeight="1">
      <c r="A2910" s="282">
        <v>222</v>
      </c>
      <c r="B2910" s="534"/>
      <c r="C2910" s="307" t="s">
        <v>3412</v>
      </c>
      <c r="D2910" s="307" t="s">
        <v>3560</v>
      </c>
      <c r="E2910" s="260" t="s">
        <v>3561</v>
      </c>
      <c r="F2910" s="352">
        <v>20101</v>
      </c>
      <c r="G2910" s="311">
        <v>1967</v>
      </c>
      <c r="H2910" s="340" t="s">
        <v>2658</v>
      </c>
      <c r="I2910" s="313">
        <v>780</v>
      </c>
      <c r="J2910" s="350">
        <v>16.2</v>
      </c>
      <c r="K2910" s="350">
        <v>14.5</v>
      </c>
      <c r="L2910" s="314">
        <f t="shared" si="23"/>
        <v>1.6999999999999993</v>
      </c>
      <c r="M2910" s="337"/>
    </row>
    <row r="2911" spans="1:13" s="71" customFormat="1" ht="39.6">
      <c r="A2911" s="282">
        <v>223</v>
      </c>
      <c r="B2911" s="534"/>
      <c r="C2911" s="307" t="s">
        <v>3336</v>
      </c>
      <c r="D2911" s="307" t="s">
        <v>3562</v>
      </c>
      <c r="E2911" s="260" t="s">
        <v>3563</v>
      </c>
      <c r="F2911" s="352">
        <v>20106</v>
      </c>
      <c r="G2911" s="311">
        <v>1967</v>
      </c>
      <c r="H2911" s="340" t="s">
        <v>2658</v>
      </c>
      <c r="I2911" s="313">
        <v>350</v>
      </c>
      <c r="J2911" s="350">
        <v>1.9</v>
      </c>
      <c r="K2911" s="350">
        <v>1.8</v>
      </c>
      <c r="L2911" s="314">
        <f t="shared" si="23"/>
        <v>9.9999999999999867E-2</v>
      </c>
      <c r="M2911" s="337"/>
    </row>
    <row r="2912" spans="1:13" s="71" customFormat="1" ht="26.4" customHeight="1">
      <c r="A2912" s="282">
        <v>224</v>
      </c>
      <c r="B2912" s="534"/>
      <c r="C2912" s="307" t="s">
        <v>3495</v>
      </c>
      <c r="D2912" s="307" t="s">
        <v>3564</v>
      </c>
      <c r="E2912" s="260" t="s">
        <v>13052</v>
      </c>
      <c r="F2912" s="352">
        <v>20103</v>
      </c>
      <c r="G2912" s="311">
        <v>1967</v>
      </c>
      <c r="H2912" s="340" t="s">
        <v>2658</v>
      </c>
      <c r="I2912" s="313">
        <v>400</v>
      </c>
      <c r="J2912" s="350">
        <v>4.8</v>
      </c>
      <c r="K2912" s="350">
        <v>3.8</v>
      </c>
      <c r="L2912" s="314">
        <f t="shared" si="23"/>
        <v>1</v>
      </c>
      <c r="M2912" s="337"/>
    </row>
    <row r="2913" spans="1:13" s="71" customFormat="1" ht="26.4" customHeight="1">
      <c r="A2913" s="282">
        <v>225</v>
      </c>
      <c r="B2913" s="534"/>
      <c r="C2913" s="307" t="s">
        <v>3336</v>
      </c>
      <c r="D2913" s="307" t="s">
        <v>3565</v>
      </c>
      <c r="E2913" s="260" t="s">
        <v>13053</v>
      </c>
      <c r="F2913" s="352">
        <v>20102</v>
      </c>
      <c r="G2913" s="311">
        <v>1967</v>
      </c>
      <c r="H2913" s="340" t="s">
        <v>2658</v>
      </c>
      <c r="I2913" s="313">
        <v>360</v>
      </c>
      <c r="J2913" s="350">
        <v>5</v>
      </c>
      <c r="K2913" s="350">
        <v>4.5999999999999996</v>
      </c>
      <c r="L2913" s="314">
        <f t="shared" si="23"/>
        <v>0.40000000000000036</v>
      </c>
      <c r="M2913" s="337"/>
    </row>
    <row r="2914" spans="1:13" s="71" customFormat="1" ht="26.4" customHeight="1">
      <c r="A2914" s="282">
        <v>226</v>
      </c>
      <c r="B2914" s="534"/>
      <c r="C2914" s="355" t="s">
        <v>1169</v>
      </c>
      <c r="D2914" s="307" t="s">
        <v>3566</v>
      </c>
      <c r="E2914" s="260" t="s">
        <v>3567</v>
      </c>
      <c r="F2914" s="352">
        <v>20308</v>
      </c>
      <c r="G2914" s="311">
        <v>1976</v>
      </c>
      <c r="H2914" s="340" t="s">
        <v>2658</v>
      </c>
      <c r="I2914" s="313">
        <v>380</v>
      </c>
      <c r="J2914" s="350">
        <v>0.2</v>
      </c>
      <c r="K2914" s="350">
        <v>0.2</v>
      </c>
      <c r="L2914" s="314">
        <f t="shared" si="23"/>
        <v>0</v>
      </c>
      <c r="M2914" s="337"/>
    </row>
    <row r="2915" spans="1:13" s="71" customFormat="1" ht="26.4" customHeight="1">
      <c r="A2915" s="282">
        <v>227</v>
      </c>
      <c r="B2915" s="534"/>
      <c r="C2915" s="355" t="s">
        <v>1169</v>
      </c>
      <c r="D2915" s="307" t="s">
        <v>3</v>
      </c>
      <c r="E2915" s="260" t="s">
        <v>3568</v>
      </c>
      <c r="F2915" s="352">
        <v>20144</v>
      </c>
      <c r="G2915" s="311">
        <v>1971</v>
      </c>
      <c r="H2915" s="340" t="s">
        <v>2658</v>
      </c>
      <c r="I2915" s="313">
        <v>1013</v>
      </c>
      <c r="J2915" s="350">
        <v>52.4</v>
      </c>
      <c r="K2915" s="350">
        <v>51</v>
      </c>
      <c r="L2915" s="314">
        <f t="shared" si="23"/>
        <v>1.3999999999999986</v>
      </c>
      <c r="M2915" s="337"/>
    </row>
    <row r="2916" spans="1:13" s="71" customFormat="1" ht="26.4" customHeight="1">
      <c r="A2916" s="282">
        <v>228</v>
      </c>
      <c r="B2916" s="534"/>
      <c r="C2916" s="307" t="s">
        <v>3320</v>
      </c>
      <c r="D2916" s="307" t="s">
        <v>3</v>
      </c>
      <c r="E2916" s="260" t="s">
        <v>3569</v>
      </c>
      <c r="F2916" s="352">
        <v>20067</v>
      </c>
      <c r="G2916" s="311">
        <v>1968</v>
      </c>
      <c r="H2916" s="340" t="s">
        <v>2658</v>
      </c>
      <c r="I2916" s="313">
        <v>470</v>
      </c>
      <c r="J2916" s="350">
        <v>15.9</v>
      </c>
      <c r="K2916" s="350">
        <v>12.4</v>
      </c>
      <c r="L2916" s="314">
        <f t="shared" si="23"/>
        <v>3.5</v>
      </c>
      <c r="M2916" s="337"/>
    </row>
    <row r="2917" spans="1:13" s="71" customFormat="1" ht="26.4" customHeight="1">
      <c r="A2917" s="282">
        <v>229</v>
      </c>
      <c r="B2917" s="534"/>
      <c r="C2917" s="355" t="s">
        <v>1169</v>
      </c>
      <c r="D2917" s="307" t="s">
        <v>3570</v>
      </c>
      <c r="E2917" s="260" t="s">
        <v>3571</v>
      </c>
      <c r="F2917" s="352">
        <v>20012</v>
      </c>
      <c r="G2917" s="311">
        <v>1968</v>
      </c>
      <c r="H2917" s="340" t="s">
        <v>2658</v>
      </c>
      <c r="I2917" s="313">
        <v>680</v>
      </c>
      <c r="J2917" s="350">
        <v>10.8</v>
      </c>
      <c r="K2917" s="350">
        <v>8.5</v>
      </c>
      <c r="L2917" s="314">
        <f t="shared" si="23"/>
        <v>2.3000000000000007</v>
      </c>
      <c r="M2917" s="337"/>
    </row>
    <row r="2918" spans="1:13" s="71" customFormat="1" ht="26.4" customHeight="1">
      <c r="A2918" s="282">
        <v>230</v>
      </c>
      <c r="B2918" s="534"/>
      <c r="C2918" s="307" t="s">
        <v>3572</v>
      </c>
      <c r="D2918" s="307" t="s">
        <v>3</v>
      </c>
      <c r="E2918" s="260" t="s">
        <v>3573</v>
      </c>
      <c r="F2918" s="352">
        <v>20493</v>
      </c>
      <c r="G2918" s="311">
        <v>1976</v>
      </c>
      <c r="H2918" s="340" t="s">
        <v>2658</v>
      </c>
      <c r="I2918" s="313">
        <v>2000</v>
      </c>
      <c r="J2918" s="350">
        <v>1.2</v>
      </c>
      <c r="K2918" s="350">
        <v>1.1000000000000001</v>
      </c>
      <c r="L2918" s="314">
        <f t="shared" si="23"/>
        <v>9.9999999999999867E-2</v>
      </c>
      <c r="M2918" s="337"/>
    </row>
    <row r="2919" spans="1:13" s="71" customFormat="1" ht="37.5" customHeight="1">
      <c r="A2919" s="282">
        <v>231</v>
      </c>
      <c r="B2919" s="534"/>
      <c r="C2919" s="307" t="s">
        <v>3329</v>
      </c>
      <c r="D2919" s="307" t="s">
        <v>3574</v>
      </c>
      <c r="E2919" s="260" t="s">
        <v>3575</v>
      </c>
      <c r="F2919" s="352">
        <v>200181</v>
      </c>
      <c r="G2919" s="311">
        <v>1968</v>
      </c>
      <c r="H2919" s="340" t="s">
        <v>2658</v>
      </c>
      <c r="I2919" s="313">
        <v>450</v>
      </c>
      <c r="J2919" s="350">
        <v>9.3000000000000007</v>
      </c>
      <c r="K2919" s="350">
        <v>8.3000000000000007</v>
      </c>
      <c r="L2919" s="314">
        <f t="shared" si="23"/>
        <v>1</v>
      </c>
      <c r="M2919" s="337"/>
    </row>
    <row r="2920" spans="1:13" s="71" customFormat="1" ht="26.4" customHeight="1">
      <c r="A2920" s="282">
        <v>232</v>
      </c>
      <c r="B2920" s="534"/>
      <c r="C2920" s="307" t="s">
        <v>3329</v>
      </c>
      <c r="D2920" s="307" t="s">
        <v>3576</v>
      </c>
      <c r="E2920" s="260" t="s">
        <v>3577</v>
      </c>
      <c r="F2920" s="352">
        <v>200311</v>
      </c>
      <c r="G2920" s="311">
        <v>1967</v>
      </c>
      <c r="H2920" s="340" t="s">
        <v>2658</v>
      </c>
      <c r="I2920" s="313">
        <v>450</v>
      </c>
      <c r="J2920" s="350">
        <v>10.6</v>
      </c>
      <c r="K2920" s="350">
        <v>8.3000000000000007</v>
      </c>
      <c r="L2920" s="314">
        <f t="shared" si="23"/>
        <v>2.2999999999999989</v>
      </c>
      <c r="M2920" s="337"/>
    </row>
    <row r="2921" spans="1:13" s="71" customFormat="1" ht="26.4" customHeight="1">
      <c r="A2921" s="282">
        <v>233</v>
      </c>
      <c r="B2921" s="534"/>
      <c r="C2921" s="307" t="s">
        <v>3309</v>
      </c>
      <c r="D2921" s="307" t="s">
        <v>3</v>
      </c>
      <c r="E2921" s="260" t="s">
        <v>3578</v>
      </c>
      <c r="F2921" s="352">
        <v>20086</v>
      </c>
      <c r="G2921" s="311">
        <v>1974</v>
      </c>
      <c r="H2921" s="340" t="s">
        <v>2658</v>
      </c>
      <c r="I2921" s="313">
        <v>2000</v>
      </c>
      <c r="J2921" s="350">
        <v>39.799999999999997</v>
      </c>
      <c r="K2921" s="350">
        <v>37</v>
      </c>
      <c r="L2921" s="314">
        <f t="shared" si="23"/>
        <v>2.7999999999999972</v>
      </c>
      <c r="M2921" s="337"/>
    </row>
    <row r="2922" spans="1:13" s="71" customFormat="1" ht="26.4" customHeight="1">
      <c r="A2922" s="282">
        <v>234</v>
      </c>
      <c r="B2922" s="534"/>
      <c r="C2922" s="355" t="s">
        <v>1169</v>
      </c>
      <c r="D2922" s="307" t="s">
        <v>3579</v>
      </c>
      <c r="E2922" s="260" t="s">
        <v>3580</v>
      </c>
      <c r="F2922" s="352">
        <v>20259</v>
      </c>
      <c r="G2922" s="311">
        <v>1976</v>
      </c>
      <c r="H2922" s="340" t="s">
        <v>2658</v>
      </c>
      <c r="I2922" s="313">
        <v>200</v>
      </c>
      <c r="J2922" s="350">
        <v>0.6</v>
      </c>
      <c r="K2922" s="350">
        <v>0.5</v>
      </c>
      <c r="L2922" s="314">
        <f t="shared" si="23"/>
        <v>9.9999999999999978E-2</v>
      </c>
      <c r="M2922" s="337"/>
    </row>
    <row r="2923" spans="1:13" s="71" customFormat="1" ht="39.6">
      <c r="A2923" s="282">
        <v>235</v>
      </c>
      <c r="B2923" s="534"/>
      <c r="C2923" s="355" t="s">
        <v>1169</v>
      </c>
      <c r="D2923" s="307" t="s">
        <v>4296</v>
      </c>
      <c r="E2923" s="260" t="s">
        <v>12677</v>
      </c>
      <c r="F2923" s="352">
        <v>200231</v>
      </c>
      <c r="G2923" s="311">
        <v>1968</v>
      </c>
      <c r="H2923" s="340" t="s">
        <v>2658</v>
      </c>
      <c r="I2923" s="313">
        <v>1120</v>
      </c>
      <c r="J2923" s="350">
        <v>31.6</v>
      </c>
      <c r="K2923" s="350">
        <v>26.8</v>
      </c>
      <c r="L2923" s="314">
        <f t="shared" si="23"/>
        <v>4.8000000000000007</v>
      </c>
      <c r="M2923" s="337"/>
    </row>
    <row r="2924" spans="1:13" s="71" customFormat="1" ht="26.4" customHeight="1">
      <c r="A2924" s="282">
        <v>236</v>
      </c>
      <c r="B2924" s="534"/>
      <c r="C2924" s="355" t="s">
        <v>1169</v>
      </c>
      <c r="D2924" s="307" t="s">
        <v>3581</v>
      </c>
      <c r="E2924" s="260" t="s">
        <v>3582</v>
      </c>
      <c r="F2924" s="352">
        <v>20654</v>
      </c>
      <c r="G2924" s="311">
        <v>2000</v>
      </c>
      <c r="H2924" s="340" t="s">
        <v>2658</v>
      </c>
      <c r="I2924" s="313">
        <v>95</v>
      </c>
      <c r="J2924" s="350">
        <v>1.9</v>
      </c>
      <c r="K2924" s="350">
        <v>1.8</v>
      </c>
      <c r="L2924" s="314">
        <f t="shared" si="23"/>
        <v>9.9999999999999867E-2</v>
      </c>
      <c r="M2924" s="337"/>
    </row>
    <row r="2925" spans="1:13" s="71" customFormat="1" ht="26.4" customHeight="1">
      <c r="A2925" s="282">
        <v>237</v>
      </c>
      <c r="B2925" s="534"/>
      <c r="C2925" s="355" t="s">
        <v>1169</v>
      </c>
      <c r="D2925" s="307" t="s">
        <v>3583</v>
      </c>
      <c r="E2925" s="260" t="s">
        <v>3584</v>
      </c>
      <c r="F2925" s="352">
        <v>20369</v>
      </c>
      <c r="G2925" s="311">
        <v>1976</v>
      </c>
      <c r="H2925" s="340" t="s">
        <v>2658</v>
      </c>
      <c r="I2925" s="313">
        <v>230</v>
      </c>
      <c r="J2925" s="350">
        <v>0.7</v>
      </c>
      <c r="K2925" s="350">
        <v>0.6</v>
      </c>
      <c r="L2925" s="314">
        <f t="shared" si="23"/>
        <v>9.9999999999999978E-2</v>
      </c>
      <c r="M2925" s="337"/>
    </row>
    <row r="2926" spans="1:13" s="71" customFormat="1" ht="26.4" customHeight="1">
      <c r="A2926" s="282">
        <v>238</v>
      </c>
      <c r="B2926" s="534"/>
      <c r="C2926" s="355" t="s">
        <v>1169</v>
      </c>
      <c r="D2926" s="307" t="s">
        <v>3585</v>
      </c>
      <c r="E2926" s="260" t="s">
        <v>3586</v>
      </c>
      <c r="F2926" s="352">
        <v>20282</v>
      </c>
      <c r="G2926" s="311">
        <v>1976</v>
      </c>
      <c r="H2926" s="340" t="s">
        <v>2658</v>
      </c>
      <c r="I2926" s="313">
        <v>400</v>
      </c>
      <c r="J2926" s="350">
        <v>1</v>
      </c>
      <c r="K2926" s="350">
        <v>0.9</v>
      </c>
      <c r="L2926" s="314">
        <f t="shared" si="23"/>
        <v>9.9999999999999978E-2</v>
      </c>
      <c r="M2926" s="337"/>
    </row>
    <row r="2927" spans="1:13" s="71" customFormat="1" ht="26.4" customHeight="1">
      <c r="A2927" s="282">
        <v>239</v>
      </c>
      <c r="B2927" s="534"/>
      <c r="C2927" s="355" t="s">
        <v>1169</v>
      </c>
      <c r="D2927" s="307" t="s">
        <v>3587</v>
      </c>
      <c r="E2927" s="260" t="s">
        <v>3588</v>
      </c>
      <c r="F2927" s="352">
        <v>20333</v>
      </c>
      <c r="G2927" s="311">
        <v>1976</v>
      </c>
      <c r="H2927" s="340" t="s">
        <v>2658</v>
      </c>
      <c r="I2927" s="313">
        <v>100</v>
      </c>
      <c r="J2927" s="350">
        <v>0.3</v>
      </c>
      <c r="K2927" s="350">
        <v>0.2</v>
      </c>
      <c r="L2927" s="314">
        <f t="shared" si="23"/>
        <v>9.9999999999999978E-2</v>
      </c>
      <c r="M2927" s="337"/>
    </row>
    <row r="2928" spans="1:13" s="71" customFormat="1" ht="26.4" customHeight="1">
      <c r="A2928" s="282">
        <v>240</v>
      </c>
      <c r="B2928" s="534"/>
      <c r="C2928" s="355" t="s">
        <v>1169</v>
      </c>
      <c r="D2928" s="307" t="s">
        <v>12776</v>
      </c>
      <c r="E2928" s="260" t="s">
        <v>3589</v>
      </c>
      <c r="F2928" s="352">
        <v>20334</v>
      </c>
      <c r="G2928" s="311">
        <v>1976</v>
      </c>
      <c r="H2928" s="340" t="s">
        <v>2658</v>
      </c>
      <c r="I2928" s="313">
        <v>170</v>
      </c>
      <c r="J2928" s="350">
        <v>0.4</v>
      </c>
      <c r="K2928" s="350">
        <v>0.4</v>
      </c>
      <c r="L2928" s="314">
        <f t="shared" si="23"/>
        <v>0</v>
      </c>
      <c r="M2928" s="337"/>
    </row>
    <row r="2929" spans="1:13" s="71" customFormat="1" ht="26.4" customHeight="1">
      <c r="A2929" s="282">
        <v>241</v>
      </c>
      <c r="B2929" s="534"/>
      <c r="C2929" s="355" t="s">
        <v>1169</v>
      </c>
      <c r="D2929" s="307" t="s">
        <v>3590</v>
      </c>
      <c r="E2929" s="260" t="s">
        <v>3591</v>
      </c>
      <c r="F2929" s="352">
        <v>20336</v>
      </c>
      <c r="G2929" s="311">
        <v>1976</v>
      </c>
      <c r="H2929" s="340" t="s">
        <v>2658</v>
      </c>
      <c r="I2929" s="313">
        <v>200</v>
      </c>
      <c r="J2929" s="350">
        <v>0.5</v>
      </c>
      <c r="K2929" s="350">
        <v>0.5</v>
      </c>
      <c r="L2929" s="314">
        <f t="shared" si="23"/>
        <v>0</v>
      </c>
      <c r="M2929" s="337"/>
    </row>
    <row r="2930" spans="1:13" s="71" customFormat="1" ht="26.4" customHeight="1">
      <c r="A2930" s="282">
        <v>242</v>
      </c>
      <c r="B2930" s="534"/>
      <c r="C2930" s="355" t="s">
        <v>1169</v>
      </c>
      <c r="D2930" s="307" t="s">
        <v>3592</v>
      </c>
      <c r="E2930" s="260" t="s">
        <v>3593</v>
      </c>
      <c r="F2930" s="352">
        <v>20220</v>
      </c>
      <c r="G2930" s="311">
        <v>1976</v>
      </c>
      <c r="H2930" s="340" t="s">
        <v>2658</v>
      </c>
      <c r="I2930" s="313">
        <v>120</v>
      </c>
      <c r="J2930" s="350">
        <v>0.3</v>
      </c>
      <c r="K2930" s="350">
        <v>0.3</v>
      </c>
      <c r="L2930" s="314">
        <f t="shared" si="23"/>
        <v>0</v>
      </c>
      <c r="M2930" s="337"/>
    </row>
    <row r="2931" spans="1:13" s="71" customFormat="1" ht="26.4" customHeight="1">
      <c r="A2931" s="282">
        <v>243</v>
      </c>
      <c r="B2931" s="534"/>
      <c r="C2931" s="355" t="s">
        <v>1169</v>
      </c>
      <c r="D2931" s="307" t="s">
        <v>3594</v>
      </c>
      <c r="E2931" s="260" t="s">
        <v>3595</v>
      </c>
      <c r="F2931" s="352">
        <v>20256</v>
      </c>
      <c r="G2931" s="311">
        <v>1976</v>
      </c>
      <c r="H2931" s="340" t="s">
        <v>2658</v>
      </c>
      <c r="I2931" s="313">
        <v>300</v>
      </c>
      <c r="J2931" s="350">
        <v>0.9</v>
      </c>
      <c r="K2931" s="350">
        <v>0.7</v>
      </c>
      <c r="L2931" s="314">
        <f t="shared" si="23"/>
        <v>0.20000000000000007</v>
      </c>
      <c r="M2931" s="337"/>
    </row>
    <row r="2932" spans="1:13" s="71" customFormat="1" ht="26.4" customHeight="1">
      <c r="A2932" s="282">
        <v>244</v>
      </c>
      <c r="B2932" s="534"/>
      <c r="C2932" s="307" t="s">
        <v>3596</v>
      </c>
      <c r="D2932" s="307" t="s">
        <v>3597</v>
      </c>
      <c r="E2932" s="260" t="s">
        <v>3598</v>
      </c>
      <c r="F2932" s="352">
        <v>20512</v>
      </c>
      <c r="G2932" s="311">
        <v>1976</v>
      </c>
      <c r="H2932" s="340" t="s">
        <v>2658</v>
      </c>
      <c r="I2932" s="313">
        <v>250</v>
      </c>
      <c r="J2932" s="350">
        <v>0.6</v>
      </c>
      <c r="K2932" s="350">
        <v>0.5</v>
      </c>
      <c r="L2932" s="314">
        <f t="shared" si="23"/>
        <v>9.9999999999999978E-2</v>
      </c>
      <c r="M2932" s="337"/>
    </row>
    <row r="2933" spans="1:13" s="71" customFormat="1" ht="26.4" customHeight="1">
      <c r="A2933" s="282">
        <v>245</v>
      </c>
      <c r="B2933" s="534"/>
      <c r="C2933" s="355" t="s">
        <v>1169</v>
      </c>
      <c r="D2933" s="307" t="s">
        <v>3599</v>
      </c>
      <c r="E2933" s="260" t="s">
        <v>3600</v>
      </c>
      <c r="F2933" s="352">
        <v>20281</v>
      </c>
      <c r="G2933" s="311">
        <v>1976</v>
      </c>
      <c r="H2933" s="340" t="s">
        <v>2658</v>
      </c>
      <c r="I2933" s="313">
        <v>280</v>
      </c>
      <c r="J2933" s="350">
        <v>0.8</v>
      </c>
      <c r="K2933" s="350">
        <v>0.6</v>
      </c>
      <c r="L2933" s="314">
        <f t="shared" si="23"/>
        <v>0.20000000000000007</v>
      </c>
      <c r="M2933" s="337"/>
    </row>
    <row r="2934" spans="1:13" s="71" customFormat="1" ht="26.4" customHeight="1">
      <c r="A2934" s="282">
        <v>246</v>
      </c>
      <c r="B2934" s="534"/>
      <c r="C2934" s="355" t="s">
        <v>1169</v>
      </c>
      <c r="D2934" s="307" t="s">
        <v>3601</v>
      </c>
      <c r="E2934" s="260" t="s">
        <v>3602</v>
      </c>
      <c r="F2934" s="352">
        <v>20283</v>
      </c>
      <c r="G2934" s="311">
        <v>1976</v>
      </c>
      <c r="H2934" s="340" t="s">
        <v>2658</v>
      </c>
      <c r="I2934" s="313">
        <v>520</v>
      </c>
      <c r="J2934" s="350">
        <v>1.3</v>
      </c>
      <c r="K2934" s="350">
        <v>1.2</v>
      </c>
      <c r="L2934" s="314">
        <f t="shared" si="23"/>
        <v>0.10000000000000009</v>
      </c>
      <c r="M2934" s="337"/>
    </row>
    <row r="2935" spans="1:13" s="71" customFormat="1" ht="26.4" customHeight="1">
      <c r="A2935" s="282">
        <v>247</v>
      </c>
      <c r="B2935" s="534"/>
      <c r="C2935" s="307" t="s">
        <v>3326</v>
      </c>
      <c r="D2935" s="307" t="s">
        <v>3603</v>
      </c>
      <c r="E2935" s="260" t="s">
        <v>3604</v>
      </c>
      <c r="F2935" s="352">
        <v>20513</v>
      </c>
      <c r="G2935" s="311">
        <v>1976</v>
      </c>
      <c r="H2935" s="340" t="s">
        <v>2658</v>
      </c>
      <c r="I2935" s="313">
        <v>300</v>
      </c>
      <c r="J2935" s="350">
        <v>0.9</v>
      </c>
      <c r="K2935" s="350">
        <v>0.7</v>
      </c>
      <c r="L2935" s="314">
        <f t="shared" si="23"/>
        <v>0.20000000000000007</v>
      </c>
      <c r="M2935" s="337"/>
    </row>
    <row r="2936" spans="1:13" s="71" customFormat="1" ht="26.4" customHeight="1">
      <c r="A2936" s="282">
        <v>248</v>
      </c>
      <c r="B2936" s="534"/>
      <c r="C2936" s="355" t="s">
        <v>1169</v>
      </c>
      <c r="D2936" s="307" t="s">
        <v>3605</v>
      </c>
      <c r="E2936" s="260" t="s">
        <v>3606</v>
      </c>
      <c r="F2936" s="352">
        <v>20500</v>
      </c>
      <c r="G2936" s="311">
        <v>1976</v>
      </c>
      <c r="H2936" s="340" t="s">
        <v>2658</v>
      </c>
      <c r="I2936" s="313">
        <v>220</v>
      </c>
      <c r="J2936" s="350">
        <v>0.6</v>
      </c>
      <c r="K2936" s="350">
        <v>0.6</v>
      </c>
      <c r="L2936" s="314">
        <f t="shared" si="23"/>
        <v>0</v>
      </c>
      <c r="M2936" s="337"/>
    </row>
    <row r="2937" spans="1:13" s="71" customFormat="1" ht="26.4" customHeight="1">
      <c r="A2937" s="282">
        <v>249</v>
      </c>
      <c r="B2937" s="534"/>
      <c r="C2937" s="355" t="s">
        <v>1169</v>
      </c>
      <c r="D2937" s="307" t="s">
        <v>3607</v>
      </c>
      <c r="E2937" s="260" t="s">
        <v>3608</v>
      </c>
      <c r="F2937" s="352">
        <v>20332</v>
      </c>
      <c r="G2937" s="311">
        <v>1976</v>
      </c>
      <c r="H2937" s="340" t="s">
        <v>2658</v>
      </c>
      <c r="I2937" s="313">
        <v>180</v>
      </c>
      <c r="J2937" s="350">
        <v>0.5</v>
      </c>
      <c r="K2937" s="350">
        <v>0.4</v>
      </c>
      <c r="L2937" s="314">
        <f t="shared" si="23"/>
        <v>9.9999999999999978E-2</v>
      </c>
      <c r="M2937" s="337"/>
    </row>
    <row r="2938" spans="1:13" s="71" customFormat="1" ht="26.4" customHeight="1">
      <c r="A2938" s="282">
        <v>250</v>
      </c>
      <c r="B2938" s="534"/>
      <c r="C2938" s="355" t="s">
        <v>1169</v>
      </c>
      <c r="D2938" s="307" t="s">
        <v>3609</v>
      </c>
      <c r="E2938" s="260" t="s">
        <v>3610</v>
      </c>
      <c r="F2938" s="352">
        <v>20279</v>
      </c>
      <c r="G2938" s="311">
        <v>1976</v>
      </c>
      <c r="H2938" s="340" t="s">
        <v>2658</v>
      </c>
      <c r="I2938" s="313">
        <v>180</v>
      </c>
      <c r="J2938" s="350">
        <v>0.5</v>
      </c>
      <c r="K2938" s="350">
        <v>0.4</v>
      </c>
      <c r="L2938" s="314">
        <f t="shared" si="23"/>
        <v>9.9999999999999978E-2</v>
      </c>
      <c r="M2938" s="337"/>
    </row>
    <row r="2939" spans="1:13" s="71" customFormat="1" ht="26.4" customHeight="1">
      <c r="A2939" s="282">
        <v>251</v>
      </c>
      <c r="B2939" s="534"/>
      <c r="C2939" s="355" t="s">
        <v>1169</v>
      </c>
      <c r="D2939" s="307" t="s">
        <v>3611</v>
      </c>
      <c r="E2939" s="260" t="s">
        <v>3612</v>
      </c>
      <c r="F2939" s="352">
        <v>20174</v>
      </c>
      <c r="G2939" s="311">
        <v>1976</v>
      </c>
      <c r="H2939" s="340" t="s">
        <v>2658</v>
      </c>
      <c r="I2939" s="313">
        <v>280</v>
      </c>
      <c r="J2939" s="350">
        <v>0.9</v>
      </c>
      <c r="K2939" s="350">
        <v>0.7</v>
      </c>
      <c r="L2939" s="314">
        <f t="shared" si="23"/>
        <v>0.20000000000000007</v>
      </c>
      <c r="M2939" s="337"/>
    </row>
    <row r="2940" spans="1:13" s="71" customFormat="1" ht="26.4">
      <c r="A2940" s="282">
        <v>252</v>
      </c>
      <c r="B2940" s="534"/>
      <c r="C2940" s="355" t="s">
        <v>1169</v>
      </c>
      <c r="D2940" s="307" t="s">
        <v>12678</v>
      </c>
      <c r="E2940" s="260" t="s">
        <v>3613</v>
      </c>
      <c r="F2940" s="352">
        <v>200381</v>
      </c>
      <c r="G2940" s="311">
        <v>1968</v>
      </c>
      <c r="H2940" s="340" t="s">
        <v>2658</v>
      </c>
      <c r="I2940" s="313">
        <v>387</v>
      </c>
      <c r="J2940" s="350">
        <v>3.1</v>
      </c>
      <c r="K2940" s="350">
        <v>2.4</v>
      </c>
      <c r="L2940" s="314">
        <f t="shared" si="23"/>
        <v>0.70000000000000018</v>
      </c>
      <c r="M2940" s="337"/>
    </row>
    <row r="2941" spans="1:13" s="71" customFormat="1" ht="26.4" customHeight="1">
      <c r="A2941" s="282">
        <v>253</v>
      </c>
      <c r="B2941" s="534"/>
      <c r="C2941" s="355" t="s">
        <v>1169</v>
      </c>
      <c r="D2941" s="307" t="s">
        <v>3614</v>
      </c>
      <c r="E2941" s="260" t="s">
        <v>3615</v>
      </c>
      <c r="F2941" s="352">
        <v>20191</v>
      </c>
      <c r="G2941" s="311">
        <v>1976</v>
      </c>
      <c r="H2941" s="340" t="s">
        <v>2658</v>
      </c>
      <c r="I2941" s="313">
        <v>460</v>
      </c>
      <c r="J2941" s="350">
        <v>1.2</v>
      </c>
      <c r="K2941" s="350">
        <v>1.1000000000000001</v>
      </c>
      <c r="L2941" s="314">
        <f t="shared" si="23"/>
        <v>9.9999999999999867E-2</v>
      </c>
      <c r="M2941" s="337"/>
    </row>
    <row r="2942" spans="1:13" s="71" customFormat="1" ht="26.4" customHeight="1">
      <c r="A2942" s="282">
        <v>254</v>
      </c>
      <c r="B2942" s="534"/>
      <c r="C2942" s="307" t="s">
        <v>3471</v>
      </c>
      <c r="D2942" s="307" t="s">
        <v>3616</v>
      </c>
      <c r="E2942" s="260" t="s">
        <v>3617</v>
      </c>
      <c r="F2942" s="352">
        <v>20403</v>
      </c>
      <c r="G2942" s="311">
        <v>1976</v>
      </c>
      <c r="H2942" s="340" t="s">
        <v>2658</v>
      </c>
      <c r="I2942" s="313">
        <v>200</v>
      </c>
      <c r="J2942" s="350">
        <v>0.5</v>
      </c>
      <c r="K2942" s="350">
        <v>0.5</v>
      </c>
      <c r="L2942" s="314">
        <f t="shared" si="23"/>
        <v>0</v>
      </c>
      <c r="M2942" s="337"/>
    </row>
    <row r="2943" spans="1:13" s="71" customFormat="1" ht="26.4" customHeight="1">
      <c r="A2943" s="282">
        <v>255</v>
      </c>
      <c r="B2943" s="534"/>
      <c r="C2943" s="355" t="s">
        <v>1169</v>
      </c>
      <c r="D2943" s="307" t="s">
        <v>3618</v>
      </c>
      <c r="E2943" s="260" t="s">
        <v>3619</v>
      </c>
      <c r="F2943" s="352">
        <v>20211</v>
      </c>
      <c r="G2943" s="311">
        <v>1976</v>
      </c>
      <c r="H2943" s="340" t="s">
        <v>2658</v>
      </c>
      <c r="I2943" s="313">
        <v>360</v>
      </c>
      <c r="J2943" s="350">
        <v>0.9</v>
      </c>
      <c r="K2943" s="350">
        <v>0.8</v>
      </c>
      <c r="L2943" s="314">
        <f t="shared" si="23"/>
        <v>9.9999999999999978E-2</v>
      </c>
      <c r="M2943" s="337"/>
    </row>
    <row r="2944" spans="1:13" s="71" customFormat="1" ht="26.4" customHeight="1">
      <c r="A2944" s="282">
        <v>256</v>
      </c>
      <c r="B2944" s="534"/>
      <c r="C2944" s="355" t="s">
        <v>1169</v>
      </c>
      <c r="D2944" s="307" t="s">
        <v>3620</v>
      </c>
      <c r="E2944" s="260" t="s">
        <v>3621</v>
      </c>
      <c r="F2944" s="352">
        <v>20309</v>
      </c>
      <c r="G2944" s="311">
        <v>1976</v>
      </c>
      <c r="H2944" s="340" t="s">
        <v>2658</v>
      </c>
      <c r="I2944" s="313">
        <v>130</v>
      </c>
      <c r="J2944" s="350">
        <v>0.4</v>
      </c>
      <c r="K2944" s="350">
        <v>0.3</v>
      </c>
      <c r="L2944" s="314">
        <f t="shared" si="23"/>
        <v>0.10000000000000003</v>
      </c>
      <c r="M2944" s="337"/>
    </row>
    <row r="2945" spans="1:13" s="71" customFormat="1" ht="26.4" customHeight="1">
      <c r="A2945" s="282">
        <v>257</v>
      </c>
      <c r="B2945" s="534"/>
      <c r="C2945" s="355" t="s">
        <v>1169</v>
      </c>
      <c r="D2945" s="307" t="s">
        <v>3622</v>
      </c>
      <c r="E2945" s="260" t="s">
        <v>3623</v>
      </c>
      <c r="F2945" s="352">
        <v>20331</v>
      </c>
      <c r="G2945" s="311">
        <v>1976</v>
      </c>
      <c r="H2945" s="340" t="s">
        <v>2658</v>
      </c>
      <c r="I2945" s="313">
        <v>140</v>
      </c>
      <c r="J2945" s="350">
        <v>0.4</v>
      </c>
      <c r="K2945" s="350">
        <v>0.3</v>
      </c>
      <c r="L2945" s="314">
        <f t="shared" ref="L2945:L3008" si="24">J2945-K2945</f>
        <v>0.10000000000000003</v>
      </c>
      <c r="M2945" s="337"/>
    </row>
    <row r="2946" spans="1:13" s="71" customFormat="1" ht="26.4" customHeight="1">
      <c r="A2946" s="282">
        <v>258</v>
      </c>
      <c r="B2946" s="534"/>
      <c r="C2946" s="355" t="s">
        <v>1169</v>
      </c>
      <c r="D2946" s="307" t="s">
        <v>3624</v>
      </c>
      <c r="E2946" s="260" t="s">
        <v>3625</v>
      </c>
      <c r="F2946" s="352">
        <v>20222</v>
      </c>
      <c r="G2946" s="311">
        <v>1976</v>
      </c>
      <c r="H2946" s="340" t="s">
        <v>2658</v>
      </c>
      <c r="I2946" s="313">
        <v>130</v>
      </c>
      <c r="J2946" s="350">
        <v>0.3</v>
      </c>
      <c r="K2946" s="350">
        <v>0.3</v>
      </c>
      <c r="L2946" s="314">
        <f t="shared" si="24"/>
        <v>0</v>
      </c>
      <c r="M2946" s="337"/>
    </row>
    <row r="2947" spans="1:13" s="71" customFormat="1" ht="26.4" customHeight="1">
      <c r="A2947" s="282">
        <v>259</v>
      </c>
      <c r="B2947" s="534"/>
      <c r="C2947" s="355" t="s">
        <v>1169</v>
      </c>
      <c r="D2947" s="307" t="s">
        <v>13275</v>
      </c>
      <c r="E2947" s="260" t="s">
        <v>13274</v>
      </c>
      <c r="F2947" s="352">
        <v>20201</v>
      </c>
      <c r="G2947" s="311">
        <v>1976</v>
      </c>
      <c r="H2947" s="340" t="s">
        <v>2658</v>
      </c>
      <c r="I2947" s="313">
        <v>225</v>
      </c>
      <c r="J2947" s="350">
        <v>1</v>
      </c>
      <c r="K2947" s="350">
        <v>0.9</v>
      </c>
      <c r="L2947" s="314">
        <f t="shared" si="24"/>
        <v>9.9999999999999978E-2</v>
      </c>
      <c r="M2947" s="337"/>
    </row>
    <row r="2948" spans="1:13" s="71" customFormat="1" ht="26.4" customHeight="1">
      <c r="A2948" s="282">
        <v>260</v>
      </c>
      <c r="B2948" s="534"/>
      <c r="C2948" s="355" t="s">
        <v>1169</v>
      </c>
      <c r="D2948" s="307" t="s">
        <v>3626</v>
      </c>
      <c r="E2948" s="260" t="s">
        <v>3627</v>
      </c>
      <c r="F2948" s="352">
        <v>20361</v>
      </c>
      <c r="G2948" s="311">
        <v>1976</v>
      </c>
      <c r="H2948" s="340" t="s">
        <v>2658</v>
      </c>
      <c r="I2948" s="313">
        <v>200</v>
      </c>
      <c r="J2948" s="350">
        <v>0.7</v>
      </c>
      <c r="K2948" s="350">
        <v>0.6</v>
      </c>
      <c r="L2948" s="314">
        <f t="shared" si="24"/>
        <v>9.9999999999999978E-2</v>
      </c>
      <c r="M2948" s="337"/>
    </row>
    <row r="2949" spans="1:13" s="71" customFormat="1" ht="26.4" customHeight="1">
      <c r="A2949" s="282">
        <v>261</v>
      </c>
      <c r="B2949" s="534"/>
      <c r="C2949" s="355" t="s">
        <v>1169</v>
      </c>
      <c r="D2949" s="307" t="s">
        <v>3594</v>
      </c>
      <c r="E2949" s="260" t="s">
        <v>3595</v>
      </c>
      <c r="F2949" s="352">
        <v>20323</v>
      </c>
      <c r="G2949" s="311">
        <v>1976</v>
      </c>
      <c r="H2949" s="340" t="s">
        <v>2658</v>
      </c>
      <c r="I2949" s="313">
        <v>300</v>
      </c>
      <c r="J2949" s="350">
        <v>0.8</v>
      </c>
      <c r="K2949" s="350">
        <v>0.7</v>
      </c>
      <c r="L2949" s="314">
        <f t="shared" si="24"/>
        <v>0.10000000000000009</v>
      </c>
      <c r="M2949" s="337"/>
    </row>
    <row r="2950" spans="1:13" s="71" customFormat="1" ht="26.4" customHeight="1">
      <c r="A2950" s="282">
        <v>262</v>
      </c>
      <c r="B2950" s="534"/>
      <c r="C2950" s="355" t="s">
        <v>1169</v>
      </c>
      <c r="D2950" s="307" t="s">
        <v>3628</v>
      </c>
      <c r="E2950" s="260" t="s">
        <v>13054</v>
      </c>
      <c r="F2950" s="352">
        <v>20192</v>
      </c>
      <c r="G2950" s="311">
        <v>1976</v>
      </c>
      <c r="H2950" s="340" t="s">
        <v>2658</v>
      </c>
      <c r="I2950" s="313">
        <v>1200</v>
      </c>
      <c r="J2950" s="350">
        <v>8.1999999999999993</v>
      </c>
      <c r="K2950" s="350">
        <v>6.4</v>
      </c>
      <c r="L2950" s="314">
        <f t="shared" si="24"/>
        <v>1.7999999999999989</v>
      </c>
      <c r="M2950" s="337"/>
    </row>
    <row r="2951" spans="1:13" s="71" customFormat="1" ht="26.4" customHeight="1">
      <c r="A2951" s="282">
        <v>263</v>
      </c>
      <c r="B2951" s="534"/>
      <c r="C2951" s="355" t="s">
        <v>1169</v>
      </c>
      <c r="D2951" s="307" t="s">
        <v>3629</v>
      </c>
      <c r="E2951" s="260" t="s">
        <v>3630</v>
      </c>
      <c r="F2951" s="352">
        <v>20221</v>
      </c>
      <c r="G2951" s="311">
        <v>1976</v>
      </c>
      <c r="H2951" s="340" t="s">
        <v>2658</v>
      </c>
      <c r="I2951" s="313">
        <v>280</v>
      </c>
      <c r="J2951" s="350">
        <v>0.8</v>
      </c>
      <c r="K2951" s="350">
        <v>0.6</v>
      </c>
      <c r="L2951" s="314">
        <f t="shared" si="24"/>
        <v>0.20000000000000007</v>
      </c>
      <c r="M2951" s="337"/>
    </row>
    <row r="2952" spans="1:13" s="71" customFormat="1" ht="26.4" customHeight="1">
      <c r="A2952" s="282">
        <v>264</v>
      </c>
      <c r="B2952" s="534"/>
      <c r="C2952" s="355" t="s">
        <v>1169</v>
      </c>
      <c r="D2952" s="307" t="s">
        <v>3631</v>
      </c>
      <c r="E2952" s="260" t="s">
        <v>3632</v>
      </c>
      <c r="F2952" s="352">
        <v>20217</v>
      </c>
      <c r="G2952" s="311">
        <v>1976</v>
      </c>
      <c r="H2952" s="340" t="s">
        <v>2658</v>
      </c>
      <c r="I2952" s="313">
        <v>130</v>
      </c>
      <c r="J2952" s="350">
        <v>0.3</v>
      </c>
      <c r="K2952" s="350">
        <v>0.3</v>
      </c>
      <c r="L2952" s="314">
        <f t="shared" si="24"/>
        <v>0</v>
      </c>
      <c r="M2952" s="337"/>
    </row>
    <row r="2953" spans="1:13" s="71" customFormat="1" ht="26.4" customHeight="1">
      <c r="A2953" s="282">
        <v>265</v>
      </c>
      <c r="B2953" s="534"/>
      <c r="C2953" s="355" t="s">
        <v>1169</v>
      </c>
      <c r="D2953" s="307" t="s">
        <v>3633</v>
      </c>
      <c r="E2953" s="260" t="s">
        <v>3634</v>
      </c>
      <c r="F2953" s="352">
        <v>20498</v>
      </c>
      <c r="G2953" s="311">
        <v>1976</v>
      </c>
      <c r="H2953" s="340" t="s">
        <v>2658</v>
      </c>
      <c r="I2953" s="313">
        <v>300</v>
      </c>
      <c r="J2953" s="350">
        <v>0.7</v>
      </c>
      <c r="K2953" s="350">
        <v>0.7</v>
      </c>
      <c r="L2953" s="314">
        <f t="shared" si="24"/>
        <v>0</v>
      </c>
      <c r="M2953" s="337"/>
    </row>
    <row r="2954" spans="1:13" s="71" customFormat="1" ht="26.4" customHeight="1">
      <c r="A2954" s="282">
        <v>266</v>
      </c>
      <c r="B2954" s="534"/>
      <c r="C2954" s="355" t="s">
        <v>1169</v>
      </c>
      <c r="D2954" s="307" t="s">
        <v>3635</v>
      </c>
      <c r="E2954" s="260" t="s">
        <v>3636</v>
      </c>
      <c r="F2954" s="352">
        <v>20280</v>
      </c>
      <c r="G2954" s="311">
        <v>1976</v>
      </c>
      <c r="H2954" s="340" t="s">
        <v>2658</v>
      </c>
      <c r="I2954" s="313">
        <v>300</v>
      </c>
      <c r="J2954" s="350">
        <v>0.9</v>
      </c>
      <c r="K2954" s="350">
        <v>0.7</v>
      </c>
      <c r="L2954" s="314">
        <f t="shared" si="24"/>
        <v>0.20000000000000007</v>
      </c>
      <c r="M2954" s="337"/>
    </row>
    <row r="2955" spans="1:13" s="71" customFormat="1" ht="26.4" customHeight="1">
      <c r="A2955" s="282">
        <v>267</v>
      </c>
      <c r="B2955" s="534"/>
      <c r="C2955" s="355" t="s">
        <v>1169</v>
      </c>
      <c r="D2955" s="307" t="s">
        <v>3628</v>
      </c>
      <c r="E2955" s="260" t="s">
        <v>13055</v>
      </c>
      <c r="F2955" s="352">
        <v>20658</v>
      </c>
      <c r="G2955" s="311">
        <v>2005</v>
      </c>
      <c r="H2955" s="340" t="s">
        <v>2658</v>
      </c>
      <c r="I2955" s="313">
        <v>421</v>
      </c>
      <c r="J2955" s="350">
        <v>67.900000000000006</v>
      </c>
      <c r="K2955" s="350">
        <v>43</v>
      </c>
      <c r="L2955" s="314">
        <f t="shared" si="24"/>
        <v>24.900000000000006</v>
      </c>
      <c r="M2955" s="337"/>
    </row>
    <row r="2956" spans="1:13" s="71" customFormat="1" ht="26.4" customHeight="1">
      <c r="A2956" s="282">
        <v>268</v>
      </c>
      <c r="B2956" s="534"/>
      <c r="C2956" s="307" t="s">
        <v>3336</v>
      </c>
      <c r="D2956" s="307" t="s">
        <v>3637</v>
      </c>
      <c r="E2956" s="260" t="s">
        <v>3638</v>
      </c>
      <c r="F2956" s="352">
        <v>20089</v>
      </c>
      <c r="G2956" s="311">
        <v>1967</v>
      </c>
      <c r="H2956" s="340" t="s">
        <v>2658</v>
      </c>
      <c r="I2956" s="313">
        <v>4860</v>
      </c>
      <c r="J2956" s="350">
        <v>101.7</v>
      </c>
      <c r="K2956" s="350">
        <v>86.2</v>
      </c>
      <c r="L2956" s="314">
        <f t="shared" si="24"/>
        <v>15.5</v>
      </c>
      <c r="M2956" s="337"/>
    </row>
    <row r="2957" spans="1:13" s="71" customFormat="1" ht="26.4" customHeight="1">
      <c r="A2957" s="282">
        <v>269</v>
      </c>
      <c r="B2957" s="534"/>
      <c r="C2957" s="355" t="s">
        <v>1169</v>
      </c>
      <c r="D2957" s="307" t="s">
        <v>3639</v>
      </c>
      <c r="E2957" s="260" t="s">
        <v>3640</v>
      </c>
      <c r="F2957" s="352">
        <v>20412</v>
      </c>
      <c r="G2957" s="311">
        <v>1976</v>
      </c>
      <c r="H2957" s="340" t="s">
        <v>2658</v>
      </c>
      <c r="I2957" s="313">
        <v>380</v>
      </c>
      <c r="J2957" s="350">
        <v>1.1000000000000001</v>
      </c>
      <c r="K2957" s="350">
        <v>0.9</v>
      </c>
      <c r="L2957" s="314">
        <f t="shared" si="24"/>
        <v>0.20000000000000007</v>
      </c>
      <c r="M2957" s="337"/>
    </row>
    <row r="2958" spans="1:13" s="71" customFormat="1" ht="26.4" customHeight="1">
      <c r="A2958" s="282">
        <v>270</v>
      </c>
      <c r="B2958" s="534"/>
      <c r="C2958" s="355" t="s">
        <v>1169</v>
      </c>
      <c r="D2958" s="307" t="s">
        <v>3581</v>
      </c>
      <c r="E2958" s="260" t="s">
        <v>3641</v>
      </c>
      <c r="F2958" s="352">
        <v>20631</v>
      </c>
      <c r="G2958" s="311">
        <v>1995</v>
      </c>
      <c r="H2958" s="340" t="s">
        <v>2658</v>
      </c>
      <c r="I2958" s="313">
        <v>20</v>
      </c>
      <c r="J2958" s="350">
        <v>0.1</v>
      </c>
      <c r="K2958" s="350">
        <v>0.1</v>
      </c>
      <c r="L2958" s="314">
        <f t="shared" si="24"/>
        <v>0</v>
      </c>
      <c r="M2958" s="337"/>
    </row>
    <row r="2959" spans="1:13" s="71" customFormat="1" ht="26.4" customHeight="1">
      <c r="A2959" s="282">
        <v>271</v>
      </c>
      <c r="B2959" s="534"/>
      <c r="C2959" s="355" t="s">
        <v>1169</v>
      </c>
      <c r="D2959" s="307" t="s">
        <v>3642</v>
      </c>
      <c r="E2959" s="260" t="s">
        <v>3643</v>
      </c>
      <c r="F2959" s="352">
        <v>200411</v>
      </c>
      <c r="G2959" s="311">
        <v>1968</v>
      </c>
      <c r="H2959" s="340" t="s">
        <v>2658</v>
      </c>
      <c r="I2959" s="313">
        <v>300</v>
      </c>
      <c r="J2959" s="350">
        <v>4.5</v>
      </c>
      <c r="K2959" s="350">
        <v>4.2</v>
      </c>
      <c r="L2959" s="314">
        <f t="shared" si="24"/>
        <v>0.29999999999999982</v>
      </c>
      <c r="M2959" s="337"/>
    </row>
    <row r="2960" spans="1:13" s="71" customFormat="1" ht="26.4" customHeight="1">
      <c r="A2960" s="282">
        <v>272</v>
      </c>
      <c r="B2960" s="534"/>
      <c r="C2960" s="307" t="s">
        <v>3471</v>
      </c>
      <c r="D2960" s="307" t="s">
        <v>3644</v>
      </c>
      <c r="E2960" s="260" t="s">
        <v>3645</v>
      </c>
      <c r="F2960" s="352">
        <v>20483</v>
      </c>
      <c r="G2960" s="311">
        <v>1976</v>
      </c>
      <c r="H2960" s="340" t="s">
        <v>2658</v>
      </c>
      <c r="I2960" s="313">
        <v>300</v>
      </c>
      <c r="J2960" s="350">
        <v>0.9</v>
      </c>
      <c r="K2960" s="350">
        <v>0.7</v>
      </c>
      <c r="L2960" s="314">
        <f t="shared" si="24"/>
        <v>0.20000000000000007</v>
      </c>
      <c r="M2960" s="337"/>
    </row>
    <row r="2961" spans="1:13" s="71" customFormat="1" ht="39.6">
      <c r="A2961" s="282">
        <v>273</v>
      </c>
      <c r="B2961" s="534"/>
      <c r="C2961" s="355" t="s">
        <v>1169</v>
      </c>
      <c r="D2961" s="307" t="s">
        <v>3646</v>
      </c>
      <c r="E2961" s="260" t="s">
        <v>3647</v>
      </c>
      <c r="F2961" s="352">
        <v>20134</v>
      </c>
      <c r="G2961" s="311">
        <v>1969</v>
      </c>
      <c r="H2961" s="340" t="s">
        <v>2658</v>
      </c>
      <c r="I2961" s="313">
        <v>765</v>
      </c>
      <c r="J2961" s="350">
        <v>20</v>
      </c>
      <c r="K2961" s="350">
        <v>15.9</v>
      </c>
      <c r="L2961" s="314">
        <f t="shared" si="24"/>
        <v>4.0999999999999996</v>
      </c>
      <c r="M2961" s="337"/>
    </row>
    <row r="2962" spans="1:13" s="71" customFormat="1" ht="26.4" customHeight="1">
      <c r="A2962" s="282">
        <v>274</v>
      </c>
      <c r="B2962" s="534"/>
      <c r="C2962" s="355" t="s">
        <v>1169</v>
      </c>
      <c r="D2962" s="307" t="s">
        <v>3648</v>
      </c>
      <c r="E2962" s="260" t="s">
        <v>3649</v>
      </c>
      <c r="F2962" s="352">
        <v>20061</v>
      </c>
      <c r="G2962" s="311">
        <v>1968</v>
      </c>
      <c r="H2962" s="340" t="s">
        <v>2658</v>
      </c>
      <c r="I2962" s="313">
        <v>780</v>
      </c>
      <c r="J2962" s="350">
        <v>7.2</v>
      </c>
      <c r="K2962" s="350">
        <v>6.6</v>
      </c>
      <c r="L2962" s="314">
        <f t="shared" si="24"/>
        <v>0.60000000000000053</v>
      </c>
      <c r="M2962" s="337"/>
    </row>
    <row r="2963" spans="1:13" s="71" customFormat="1" ht="26.4" customHeight="1">
      <c r="A2963" s="282">
        <v>275</v>
      </c>
      <c r="B2963" s="534"/>
      <c r="C2963" s="355" t="s">
        <v>1169</v>
      </c>
      <c r="D2963" s="307" t="s">
        <v>3650</v>
      </c>
      <c r="E2963" s="260" t="s">
        <v>3651</v>
      </c>
      <c r="F2963" s="352">
        <v>20132</v>
      </c>
      <c r="G2963" s="311">
        <v>1968</v>
      </c>
      <c r="H2963" s="340" t="s">
        <v>2658</v>
      </c>
      <c r="I2963" s="313">
        <v>450</v>
      </c>
      <c r="J2963" s="350">
        <v>0.9</v>
      </c>
      <c r="K2963" s="350">
        <v>0.8</v>
      </c>
      <c r="L2963" s="314">
        <f t="shared" si="24"/>
        <v>9.9999999999999978E-2</v>
      </c>
      <c r="M2963" s="337"/>
    </row>
    <row r="2964" spans="1:13" s="71" customFormat="1" ht="26.4" customHeight="1">
      <c r="A2964" s="282">
        <v>276</v>
      </c>
      <c r="B2964" s="534"/>
      <c r="C2964" s="355" t="s">
        <v>1169</v>
      </c>
      <c r="D2964" s="307" t="s">
        <v>3652</v>
      </c>
      <c r="E2964" s="260" t="s">
        <v>3653</v>
      </c>
      <c r="F2964" s="352">
        <v>20300</v>
      </c>
      <c r="G2964" s="311">
        <v>1976</v>
      </c>
      <c r="H2964" s="340" t="s">
        <v>2658</v>
      </c>
      <c r="I2964" s="313">
        <v>220</v>
      </c>
      <c r="J2964" s="350">
        <v>0.6</v>
      </c>
      <c r="K2964" s="350">
        <v>0.6</v>
      </c>
      <c r="L2964" s="314">
        <f t="shared" si="24"/>
        <v>0</v>
      </c>
      <c r="M2964" s="337"/>
    </row>
    <row r="2965" spans="1:13" s="71" customFormat="1" ht="26.4" customHeight="1">
      <c r="A2965" s="282">
        <v>277</v>
      </c>
      <c r="B2965" s="534"/>
      <c r="C2965" s="307" t="s">
        <v>3471</v>
      </c>
      <c r="D2965" s="307" t="s">
        <v>3654</v>
      </c>
      <c r="E2965" s="260" t="s">
        <v>3655</v>
      </c>
      <c r="F2965" s="352">
        <v>20450</v>
      </c>
      <c r="G2965" s="311">
        <v>1976</v>
      </c>
      <c r="H2965" s="340" t="s">
        <v>2658</v>
      </c>
      <c r="I2965" s="313">
        <v>200</v>
      </c>
      <c r="J2965" s="350">
        <v>0.6</v>
      </c>
      <c r="K2965" s="350">
        <v>0.5</v>
      </c>
      <c r="L2965" s="314">
        <f t="shared" si="24"/>
        <v>9.9999999999999978E-2</v>
      </c>
      <c r="M2965" s="337"/>
    </row>
    <row r="2966" spans="1:13" s="71" customFormat="1" ht="26.4" customHeight="1">
      <c r="A2966" s="282">
        <v>278</v>
      </c>
      <c r="B2966" s="534"/>
      <c r="C2966" s="355" t="s">
        <v>1169</v>
      </c>
      <c r="D2966" s="307" t="s">
        <v>3656</v>
      </c>
      <c r="E2966" s="260" t="s">
        <v>3657</v>
      </c>
      <c r="F2966" s="352">
        <v>20293</v>
      </c>
      <c r="G2966" s="311">
        <v>1976</v>
      </c>
      <c r="H2966" s="340" t="s">
        <v>2658</v>
      </c>
      <c r="I2966" s="313">
        <v>300</v>
      </c>
      <c r="J2966" s="350">
        <v>0.8</v>
      </c>
      <c r="K2966" s="350">
        <v>0.7</v>
      </c>
      <c r="L2966" s="314">
        <f t="shared" si="24"/>
        <v>0.10000000000000009</v>
      </c>
      <c r="M2966" s="337"/>
    </row>
    <row r="2967" spans="1:13" s="71" customFormat="1" ht="26.4" customHeight="1">
      <c r="A2967" s="282">
        <v>279</v>
      </c>
      <c r="B2967" s="534"/>
      <c r="C2967" s="355" t="s">
        <v>1169</v>
      </c>
      <c r="D2967" s="307" t="s">
        <v>3658</v>
      </c>
      <c r="E2967" s="260" t="s">
        <v>3659</v>
      </c>
      <c r="F2967" s="352">
        <v>20180</v>
      </c>
      <c r="G2967" s="311">
        <v>1976</v>
      </c>
      <c r="H2967" s="340" t="s">
        <v>2658</v>
      </c>
      <c r="I2967" s="313">
        <v>260</v>
      </c>
      <c r="J2967" s="350">
        <v>0.8</v>
      </c>
      <c r="K2967" s="350">
        <v>0.6</v>
      </c>
      <c r="L2967" s="314">
        <f t="shared" si="24"/>
        <v>0.20000000000000007</v>
      </c>
      <c r="M2967" s="337"/>
    </row>
    <row r="2968" spans="1:13" s="71" customFormat="1" ht="26.4" customHeight="1">
      <c r="A2968" s="282">
        <v>280</v>
      </c>
      <c r="B2968" s="534"/>
      <c r="C2968" s="355" t="s">
        <v>1169</v>
      </c>
      <c r="D2968" s="307" t="s">
        <v>3660</v>
      </c>
      <c r="E2968" s="260" t="s">
        <v>3661</v>
      </c>
      <c r="F2968" s="352">
        <v>20183</v>
      </c>
      <c r="G2968" s="311">
        <v>1976</v>
      </c>
      <c r="H2968" s="340" t="s">
        <v>2658</v>
      </c>
      <c r="I2968" s="313">
        <v>80</v>
      </c>
      <c r="J2968" s="350">
        <v>0.2</v>
      </c>
      <c r="K2968" s="350">
        <v>0.2</v>
      </c>
      <c r="L2968" s="314">
        <f t="shared" si="24"/>
        <v>0</v>
      </c>
      <c r="M2968" s="337"/>
    </row>
    <row r="2969" spans="1:13" s="71" customFormat="1" ht="26.4" customHeight="1">
      <c r="A2969" s="282">
        <v>281</v>
      </c>
      <c r="B2969" s="534"/>
      <c r="C2969" s="355" t="s">
        <v>1169</v>
      </c>
      <c r="D2969" s="307" t="s">
        <v>3662</v>
      </c>
      <c r="E2969" s="260" t="s">
        <v>3663</v>
      </c>
      <c r="F2969" s="352">
        <v>200361</v>
      </c>
      <c r="G2969" s="311">
        <v>1968</v>
      </c>
      <c r="H2969" s="340" t="s">
        <v>2658</v>
      </c>
      <c r="I2969" s="313">
        <v>280</v>
      </c>
      <c r="J2969" s="350">
        <v>5.5</v>
      </c>
      <c r="K2969" s="350">
        <v>4.3</v>
      </c>
      <c r="L2969" s="314">
        <f t="shared" si="24"/>
        <v>1.2000000000000002</v>
      </c>
      <c r="M2969" s="337"/>
    </row>
    <row r="2970" spans="1:13" s="71" customFormat="1" ht="26.4" customHeight="1">
      <c r="A2970" s="282">
        <v>282</v>
      </c>
      <c r="B2970" s="534"/>
      <c r="C2970" s="355" t="s">
        <v>1169</v>
      </c>
      <c r="D2970" s="307" t="s">
        <v>1382</v>
      </c>
      <c r="E2970" s="260" t="s">
        <v>3664</v>
      </c>
      <c r="F2970" s="352">
        <v>20325</v>
      </c>
      <c r="G2970" s="311">
        <v>1976</v>
      </c>
      <c r="H2970" s="340" t="s">
        <v>2658</v>
      </c>
      <c r="I2970" s="313">
        <v>340</v>
      </c>
      <c r="J2970" s="350">
        <v>1</v>
      </c>
      <c r="K2970" s="350">
        <v>0.8</v>
      </c>
      <c r="L2970" s="314">
        <f t="shared" si="24"/>
        <v>0.19999999999999996</v>
      </c>
      <c r="M2970" s="337"/>
    </row>
    <row r="2971" spans="1:13" s="71" customFormat="1" ht="26.4" customHeight="1">
      <c r="A2971" s="282">
        <v>283</v>
      </c>
      <c r="B2971" s="534"/>
      <c r="C2971" s="307" t="s">
        <v>3326</v>
      </c>
      <c r="D2971" s="307" t="s">
        <v>3665</v>
      </c>
      <c r="E2971" s="260" t="s">
        <v>3666</v>
      </c>
      <c r="F2971" s="352">
        <v>20504</v>
      </c>
      <c r="G2971" s="311">
        <v>1976</v>
      </c>
      <c r="H2971" s="340" t="s">
        <v>2658</v>
      </c>
      <c r="I2971" s="313">
        <v>1900</v>
      </c>
      <c r="J2971" s="350">
        <v>9.6</v>
      </c>
      <c r="K2971" s="350">
        <v>7.5</v>
      </c>
      <c r="L2971" s="314">
        <f t="shared" si="24"/>
        <v>2.0999999999999996</v>
      </c>
      <c r="M2971" s="337"/>
    </row>
    <row r="2972" spans="1:13" s="71" customFormat="1" ht="26.4" customHeight="1">
      <c r="A2972" s="282">
        <v>284</v>
      </c>
      <c r="B2972" s="534"/>
      <c r="C2972" s="307" t="s">
        <v>3329</v>
      </c>
      <c r="D2972" s="307" t="s">
        <v>3667</v>
      </c>
      <c r="E2972" s="260" t="s">
        <v>3668</v>
      </c>
      <c r="F2972" s="352">
        <v>20407</v>
      </c>
      <c r="G2972" s="311">
        <v>1976</v>
      </c>
      <c r="H2972" s="340" t="s">
        <v>2658</v>
      </c>
      <c r="I2972" s="313">
        <v>1300</v>
      </c>
      <c r="J2972" s="350">
        <v>6.3</v>
      </c>
      <c r="K2972" s="350">
        <v>4.9000000000000004</v>
      </c>
      <c r="L2972" s="314">
        <f t="shared" si="24"/>
        <v>1.3999999999999995</v>
      </c>
      <c r="M2972" s="337"/>
    </row>
    <row r="2973" spans="1:13" s="71" customFormat="1" ht="26.4" customHeight="1">
      <c r="A2973" s="282">
        <v>285</v>
      </c>
      <c r="B2973" s="534"/>
      <c r="C2973" s="355" t="s">
        <v>1169</v>
      </c>
      <c r="D2973" s="307" t="s">
        <v>3581</v>
      </c>
      <c r="E2973" s="260" t="s">
        <v>3669</v>
      </c>
      <c r="F2973" s="352">
        <v>20145</v>
      </c>
      <c r="G2973" s="311">
        <v>1968</v>
      </c>
      <c r="H2973" s="340" t="s">
        <v>2658</v>
      </c>
      <c r="I2973" s="313">
        <v>2350</v>
      </c>
      <c r="J2973" s="350">
        <v>88.6</v>
      </c>
      <c r="K2973" s="350">
        <v>82.5</v>
      </c>
      <c r="L2973" s="314">
        <f t="shared" si="24"/>
        <v>6.0999999999999943</v>
      </c>
      <c r="M2973" s="337"/>
    </row>
    <row r="2974" spans="1:13" s="71" customFormat="1" ht="26.4" customHeight="1">
      <c r="A2974" s="282">
        <v>286</v>
      </c>
      <c r="B2974" s="534"/>
      <c r="C2974" s="307" t="s">
        <v>3276</v>
      </c>
      <c r="D2974" s="307" t="s">
        <v>13244</v>
      </c>
      <c r="E2974" s="260" t="s">
        <v>13378</v>
      </c>
      <c r="F2974" s="352">
        <v>20462</v>
      </c>
      <c r="G2974" s="311">
        <v>1976</v>
      </c>
      <c r="H2974" s="340" t="s">
        <v>2658</v>
      </c>
      <c r="I2974" s="313">
        <v>280</v>
      </c>
      <c r="J2974" s="350">
        <v>0.7</v>
      </c>
      <c r="K2974" s="350">
        <v>0.6</v>
      </c>
      <c r="L2974" s="314">
        <f t="shared" si="24"/>
        <v>9.9999999999999978E-2</v>
      </c>
      <c r="M2974" s="337"/>
    </row>
    <row r="2975" spans="1:13" s="71" customFormat="1" ht="26.4" customHeight="1">
      <c r="A2975" s="282">
        <v>287</v>
      </c>
      <c r="B2975" s="534"/>
      <c r="C2975" s="307" t="s">
        <v>3276</v>
      </c>
      <c r="D2975" s="307" t="s">
        <v>3670</v>
      </c>
      <c r="E2975" s="260" t="s">
        <v>3671</v>
      </c>
      <c r="F2975" s="352">
        <v>20452</v>
      </c>
      <c r="G2975" s="311">
        <v>1976</v>
      </c>
      <c r="H2975" s="340" t="s">
        <v>2658</v>
      </c>
      <c r="I2975" s="313">
        <v>250</v>
      </c>
      <c r="J2975" s="350">
        <v>1.5</v>
      </c>
      <c r="K2975" s="350">
        <v>1.4</v>
      </c>
      <c r="L2975" s="314">
        <f t="shared" si="24"/>
        <v>0.10000000000000009</v>
      </c>
      <c r="M2975" s="337"/>
    </row>
    <row r="2976" spans="1:13" s="71" customFormat="1" ht="26.4" customHeight="1">
      <c r="A2976" s="282">
        <v>288</v>
      </c>
      <c r="B2976" s="534"/>
      <c r="C2976" s="355" t="s">
        <v>1169</v>
      </c>
      <c r="D2976" s="307" t="s">
        <v>3672</v>
      </c>
      <c r="E2976" s="260" t="s">
        <v>3673</v>
      </c>
      <c r="F2976" s="352">
        <v>20502</v>
      </c>
      <c r="G2976" s="311">
        <v>1976</v>
      </c>
      <c r="H2976" s="340" t="s">
        <v>2658</v>
      </c>
      <c r="I2976" s="313">
        <v>350</v>
      </c>
      <c r="J2976" s="350">
        <v>0.9</v>
      </c>
      <c r="K2976" s="350">
        <v>0.8</v>
      </c>
      <c r="L2976" s="314">
        <f t="shared" si="24"/>
        <v>9.9999999999999978E-2</v>
      </c>
      <c r="M2976" s="337"/>
    </row>
    <row r="2977" spans="1:13" s="71" customFormat="1" ht="26.4" customHeight="1">
      <c r="A2977" s="282">
        <v>289</v>
      </c>
      <c r="B2977" s="534"/>
      <c r="C2977" s="355" t="s">
        <v>1169</v>
      </c>
      <c r="D2977" s="307" t="s">
        <v>3674</v>
      </c>
      <c r="E2977" s="260" t="s">
        <v>3675</v>
      </c>
      <c r="F2977" s="352">
        <v>20306</v>
      </c>
      <c r="G2977" s="311">
        <v>1976</v>
      </c>
      <c r="H2977" s="340" t="s">
        <v>2658</v>
      </c>
      <c r="I2977" s="313">
        <v>80</v>
      </c>
      <c r="J2977" s="350">
        <v>0.2</v>
      </c>
      <c r="K2977" s="350">
        <v>0.1</v>
      </c>
      <c r="L2977" s="314">
        <f t="shared" si="24"/>
        <v>0.1</v>
      </c>
      <c r="M2977" s="337"/>
    </row>
    <row r="2978" spans="1:13" s="71" customFormat="1" ht="26.4" customHeight="1">
      <c r="A2978" s="282">
        <v>290</v>
      </c>
      <c r="B2978" s="534"/>
      <c r="C2978" s="355" t="s">
        <v>1169</v>
      </c>
      <c r="D2978" s="307" t="s">
        <v>3676</v>
      </c>
      <c r="E2978" s="260" t="s">
        <v>3677</v>
      </c>
      <c r="F2978" s="352">
        <v>20058</v>
      </c>
      <c r="G2978" s="311">
        <v>1969</v>
      </c>
      <c r="H2978" s="340" t="s">
        <v>2658</v>
      </c>
      <c r="I2978" s="313">
        <v>862</v>
      </c>
      <c r="J2978" s="350">
        <v>2.2999999999999998</v>
      </c>
      <c r="K2978" s="350">
        <v>1.8</v>
      </c>
      <c r="L2978" s="314">
        <f t="shared" si="24"/>
        <v>0.49999999999999978</v>
      </c>
      <c r="M2978" s="337"/>
    </row>
    <row r="2979" spans="1:13" s="71" customFormat="1" ht="26.4" customHeight="1">
      <c r="A2979" s="282">
        <v>291</v>
      </c>
      <c r="B2979" s="534"/>
      <c r="C2979" s="307" t="s">
        <v>3329</v>
      </c>
      <c r="D2979" s="307" t="s">
        <v>3678</v>
      </c>
      <c r="E2979" s="260" t="s">
        <v>3679</v>
      </c>
      <c r="F2979" s="352">
        <v>20386</v>
      </c>
      <c r="G2979" s="311">
        <v>1976</v>
      </c>
      <c r="H2979" s="340" t="s">
        <v>2658</v>
      </c>
      <c r="I2979" s="313">
        <v>550</v>
      </c>
      <c r="J2979" s="350">
        <v>2.4</v>
      </c>
      <c r="K2979" s="350">
        <v>2.2000000000000002</v>
      </c>
      <c r="L2979" s="314">
        <f t="shared" si="24"/>
        <v>0.19999999999999973</v>
      </c>
      <c r="M2979" s="337"/>
    </row>
    <row r="2980" spans="1:13" s="71" customFormat="1" ht="26.4" customHeight="1">
      <c r="A2980" s="282">
        <v>292</v>
      </c>
      <c r="B2980" s="534"/>
      <c r="C2980" s="307" t="s">
        <v>3329</v>
      </c>
      <c r="D2980" s="307" t="s">
        <v>3680</v>
      </c>
      <c r="E2980" s="260" t="s">
        <v>3681</v>
      </c>
      <c r="F2980" s="352">
        <v>20402</v>
      </c>
      <c r="G2980" s="311">
        <v>1976</v>
      </c>
      <c r="H2980" s="340" t="s">
        <v>2658</v>
      </c>
      <c r="I2980" s="313">
        <v>200</v>
      </c>
      <c r="J2980" s="350">
        <v>0.5</v>
      </c>
      <c r="K2980" s="350">
        <v>0.5</v>
      </c>
      <c r="L2980" s="314">
        <f t="shared" si="24"/>
        <v>0</v>
      </c>
      <c r="M2980" s="337"/>
    </row>
    <row r="2981" spans="1:13" s="71" customFormat="1" ht="26.4" customHeight="1">
      <c r="A2981" s="282">
        <v>293</v>
      </c>
      <c r="B2981" s="534"/>
      <c r="C2981" s="355" t="s">
        <v>1169</v>
      </c>
      <c r="D2981" s="307" t="s">
        <v>3682</v>
      </c>
      <c r="E2981" s="260" t="s">
        <v>3683</v>
      </c>
      <c r="F2981" s="352">
        <v>200391</v>
      </c>
      <c r="G2981" s="311">
        <v>1974</v>
      </c>
      <c r="H2981" s="340" t="s">
        <v>2658</v>
      </c>
      <c r="I2981" s="313">
        <v>1500</v>
      </c>
      <c r="J2981" s="350">
        <v>41</v>
      </c>
      <c r="K2981" s="350">
        <v>34.700000000000003</v>
      </c>
      <c r="L2981" s="314">
        <f t="shared" si="24"/>
        <v>6.2999999999999972</v>
      </c>
      <c r="M2981" s="337"/>
    </row>
    <row r="2982" spans="1:13" s="71" customFormat="1" ht="26.4" customHeight="1">
      <c r="A2982" s="282">
        <v>294</v>
      </c>
      <c r="B2982" s="534"/>
      <c r="C2982" s="307" t="s">
        <v>3392</v>
      </c>
      <c r="D2982" s="307" t="s">
        <v>3684</v>
      </c>
      <c r="E2982" s="260" t="s">
        <v>3685</v>
      </c>
      <c r="F2982" s="352">
        <v>20475</v>
      </c>
      <c r="G2982" s="311">
        <v>1976</v>
      </c>
      <c r="H2982" s="340" t="s">
        <v>2658</v>
      </c>
      <c r="I2982" s="313">
        <v>280</v>
      </c>
      <c r="J2982" s="350">
        <v>0.7</v>
      </c>
      <c r="K2982" s="350">
        <v>0.6</v>
      </c>
      <c r="L2982" s="314">
        <f t="shared" si="24"/>
        <v>9.9999999999999978E-2</v>
      </c>
      <c r="M2982" s="337"/>
    </row>
    <row r="2983" spans="1:13" s="71" customFormat="1" ht="26.4" customHeight="1">
      <c r="A2983" s="282">
        <v>295</v>
      </c>
      <c r="B2983" s="534"/>
      <c r="C2983" s="355" t="s">
        <v>1169</v>
      </c>
      <c r="D2983" s="307" t="s">
        <v>3686</v>
      </c>
      <c r="E2983" s="260" t="s">
        <v>3685</v>
      </c>
      <c r="F2983" s="352">
        <v>20313</v>
      </c>
      <c r="G2983" s="311">
        <v>1976</v>
      </c>
      <c r="H2983" s="340" t="s">
        <v>2658</v>
      </c>
      <c r="I2983" s="313">
        <v>300</v>
      </c>
      <c r="J2983" s="350">
        <v>0.8</v>
      </c>
      <c r="K2983" s="350">
        <v>0.7</v>
      </c>
      <c r="L2983" s="314">
        <f t="shared" si="24"/>
        <v>0.10000000000000009</v>
      </c>
      <c r="M2983" s="337"/>
    </row>
    <row r="2984" spans="1:13" s="71" customFormat="1" ht="26.4" customHeight="1">
      <c r="A2984" s="282">
        <v>296</v>
      </c>
      <c r="B2984" s="534"/>
      <c r="C2984" s="355" t="s">
        <v>1169</v>
      </c>
      <c r="D2984" s="307" t="s">
        <v>3687</v>
      </c>
      <c r="E2984" s="260" t="s">
        <v>3688</v>
      </c>
      <c r="F2984" s="352">
        <v>20060</v>
      </c>
      <c r="G2984" s="311">
        <v>1968</v>
      </c>
      <c r="H2984" s="340" t="s">
        <v>2658</v>
      </c>
      <c r="I2984" s="313">
        <v>1120</v>
      </c>
      <c r="J2984" s="350">
        <v>9.9</v>
      </c>
      <c r="K2984" s="350">
        <v>9.1999999999999993</v>
      </c>
      <c r="L2984" s="314">
        <f t="shared" si="24"/>
        <v>0.70000000000000107</v>
      </c>
      <c r="M2984" s="337"/>
    </row>
    <row r="2985" spans="1:13" s="71" customFormat="1" ht="26.4" customHeight="1">
      <c r="A2985" s="282">
        <v>297</v>
      </c>
      <c r="B2985" s="534"/>
      <c r="C2985" s="307" t="s">
        <v>3304</v>
      </c>
      <c r="D2985" s="307" t="s">
        <v>3689</v>
      </c>
      <c r="E2985" s="260" t="s">
        <v>3690</v>
      </c>
      <c r="F2985" s="352">
        <v>20068</v>
      </c>
      <c r="G2985" s="311">
        <v>1967</v>
      </c>
      <c r="H2985" s="340" t="s">
        <v>2658</v>
      </c>
      <c r="I2985" s="313">
        <v>800</v>
      </c>
      <c r="J2985" s="350">
        <v>11.2</v>
      </c>
      <c r="K2985" s="350">
        <v>10.4</v>
      </c>
      <c r="L2985" s="314">
        <f t="shared" si="24"/>
        <v>0.79999999999999893</v>
      </c>
      <c r="M2985" s="337"/>
    </row>
    <row r="2986" spans="1:13" s="71" customFormat="1" ht="26.4">
      <c r="A2986" s="282">
        <v>298</v>
      </c>
      <c r="B2986" s="534"/>
      <c r="C2986" s="307" t="s">
        <v>3691</v>
      </c>
      <c r="D2986" s="307" t="s">
        <v>3692</v>
      </c>
      <c r="E2986" s="260" t="s">
        <v>3693</v>
      </c>
      <c r="F2986" s="352">
        <v>20474</v>
      </c>
      <c r="G2986" s="311">
        <v>1976</v>
      </c>
      <c r="H2986" s="340" t="s">
        <v>2658</v>
      </c>
      <c r="I2986" s="313">
        <v>270</v>
      </c>
      <c r="J2986" s="350">
        <v>1.8</v>
      </c>
      <c r="K2986" s="350">
        <v>1.4</v>
      </c>
      <c r="L2986" s="314">
        <f t="shared" si="24"/>
        <v>0.40000000000000013</v>
      </c>
      <c r="M2986" s="337"/>
    </row>
    <row r="2987" spans="1:13" s="71" customFormat="1" ht="26.4" customHeight="1">
      <c r="A2987" s="282">
        <v>299</v>
      </c>
      <c r="B2987" s="534"/>
      <c r="C2987" s="355" t="s">
        <v>1169</v>
      </c>
      <c r="D2987" s="307" t="s">
        <v>3694</v>
      </c>
      <c r="E2987" s="260" t="s">
        <v>3695</v>
      </c>
      <c r="F2987" s="352">
        <v>20271</v>
      </c>
      <c r="G2987" s="311">
        <v>1976</v>
      </c>
      <c r="H2987" s="340" t="s">
        <v>2658</v>
      </c>
      <c r="I2987" s="313">
        <v>600</v>
      </c>
      <c r="J2987" s="350">
        <v>1.5</v>
      </c>
      <c r="K2987" s="350">
        <v>1.4</v>
      </c>
      <c r="L2987" s="314">
        <f t="shared" si="24"/>
        <v>0.10000000000000009</v>
      </c>
      <c r="M2987" s="337"/>
    </row>
    <row r="2988" spans="1:13" s="71" customFormat="1" ht="26.4" customHeight="1">
      <c r="A2988" s="282">
        <v>300</v>
      </c>
      <c r="B2988" s="534"/>
      <c r="C2988" s="355" t="s">
        <v>1169</v>
      </c>
      <c r="D2988" s="307" t="s">
        <v>3696</v>
      </c>
      <c r="E2988" s="260" t="s">
        <v>3697</v>
      </c>
      <c r="F2988" s="352">
        <v>20345</v>
      </c>
      <c r="G2988" s="311">
        <v>1976</v>
      </c>
      <c r="H2988" s="340" t="s">
        <v>2658</v>
      </c>
      <c r="I2988" s="313">
        <v>260</v>
      </c>
      <c r="J2988" s="350">
        <v>0.7</v>
      </c>
      <c r="K2988" s="350">
        <v>0.6</v>
      </c>
      <c r="L2988" s="314">
        <f t="shared" si="24"/>
        <v>9.9999999999999978E-2</v>
      </c>
      <c r="M2988" s="337"/>
    </row>
    <row r="2989" spans="1:13" s="71" customFormat="1" ht="26.4" customHeight="1">
      <c r="A2989" s="282">
        <v>301</v>
      </c>
      <c r="B2989" s="534"/>
      <c r="C2989" s="307" t="s">
        <v>3471</v>
      </c>
      <c r="D2989" s="307" t="s">
        <v>3698</v>
      </c>
      <c r="E2989" s="260" t="s">
        <v>3699</v>
      </c>
      <c r="F2989" s="352">
        <v>20072</v>
      </c>
      <c r="G2989" s="311">
        <v>1968</v>
      </c>
      <c r="H2989" s="340" t="s">
        <v>2658</v>
      </c>
      <c r="I2989" s="313">
        <v>1020</v>
      </c>
      <c r="J2989" s="350">
        <v>16.8</v>
      </c>
      <c r="K2989" s="350">
        <v>15</v>
      </c>
      <c r="L2989" s="314">
        <f t="shared" si="24"/>
        <v>1.8000000000000007</v>
      </c>
      <c r="M2989" s="337"/>
    </row>
    <row r="2990" spans="1:13" s="71" customFormat="1" ht="26.4" customHeight="1">
      <c r="A2990" s="282">
        <v>302</v>
      </c>
      <c r="B2990" s="534"/>
      <c r="C2990" s="355" t="s">
        <v>1169</v>
      </c>
      <c r="D2990" s="307" t="s">
        <v>3700</v>
      </c>
      <c r="E2990" s="260" t="s">
        <v>3319</v>
      </c>
      <c r="F2990" s="352">
        <v>20435</v>
      </c>
      <c r="G2990" s="311">
        <v>1976</v>
      </c>
      <c r="H2990" s="340" t="s">
        <v>2658</v>
      </c>
      <c r="I2990" s="313">
        <v>250</v>
      </c>
      <c r="J2990" s="350">
        <v>0.6</v>
      </c>
      <c r="K2990" s="350">
        <v>0.5</v>
      </c>
      <c r="L2990" s="314">
        <f t="shared" si="24"/>
        <v>9.9999999999999978E-2</v>
      </c>
      <c r="M2990" s="337"/>
    </row>
    <row r="2991" spans="1:13" s="71" customFormat="1" ht="26.4" customHeight="1">
      <c r="A2991" s="282">
        <v>303</v>
      </c>
      <c r="B2991" s="534"/>
      <c r="C2991" s="307" t="s">
        <v>3691</v>
      </c>
      <c r="D2991" s="307" t="s">
        <v>3701</v>
      </c>
      <c r="E2991" s="260" t="s">
        <v>3702</v>
      </c>
      <c r="F2991" s="352">
        <v>20497</v>
      </c>
      <c r="G2991" s="311">
        <v>1976</v>
      </c>
      <c r="H2991" s="340" t="s">
        <v>2658</v>
      </c>
      <c r="I2991" s="313">
        <v>300</v>
      </c>
      <c r="J2991" s="350">
        <v>0.8</v>
      </c>
      <c r="K2991" s="350">
        <v>0.7</v>
      </c>
      <c r="L2991" s="314">
        <f t="shared" si="24"/>
        <v>0.10000000000000009</v>
      </c>
      <c r="M2991" s="337"/>
    </row>
    <row r="2992" spans="1:13" s="71" customFormat="1" ht="26.4" customHeight="1">
      <c r="A2992" s="282">
        <v>304</v>
      </c>
      <c r="B2992" s="534"/>
      <c r="C2992" s="355" t="s">
        <v>1169</v>
      </c>
      <c r="D2992" s="307" t="s">
        <v>3703</v>
      </c>
      <c r="E2992" s="260" t="s">
        <v>3704</v>
      </c>
      <c r="F2992" s="352">
        <v>20264</v>
      </c>
      <c r="G2992" s="311">
        <v>1976</v>
      </c>
      <c r="H2992" s="340" t="s">
        <v>2658</v>
      </c>
      <c r="I2992" s="313">
        <v>380</v>
      </c>
      <c r="J2992" s="350">
        <v>1.1000000000000001</v>
      </c>
      <c r="K2992" s="350">
        <v>0.9</v>
      </c>
      <c r="L2992" s="314">
        <f t="shared" si="24"/>
        <v>0.20000000000000007</v>
      </c>
      <c r="M2992" s="337"/>
    </row>
    <row r="2993" spans="1:13" s="71" customFormat="1" ht="26.4" customHeight="1">
      <c r="A2993" s="282">
        <v>305</v>
      </c>
      <c r="B2993" s="534"/>
      <c r="C2993" s="307" t="s">
        <v>3705</v>
      </c>
      <c r="D2993" s="307" t="s">
        <v>3706</v>
      </c>
      <c r="E2993" s="260" t="s">
        <v>3707</v>
      </c>
      <c r="F2993" s="352">
        <v>20638</v>
      </c>
      <c r="G2993" s="311">
        <v>1996</v>
      </c>
      <c r="H2993" s="340" t="s">
        <v>2658</v>
      </c>
      <c r="I2993" s="313">
        <v>2600</v>
      </c>
      <c r="J2993" s="350">
        <v>60.4</v>
      </c>
      <c r="K2993" s="350">
        <v>51.2</v>
      </c>
      <c r="L2993" s="314">
        <f t="shared" si="24"/>
        <v>9.1999999999999957</v>
      </c>
      <c r="M2993" s="337"/>
    </row>
    <row r="2994" spans="1:13" s="71" customFormat="1" ht="26.4" customHeight="1">
      <c r="A2994" s="282">
        <v>306</v>
      </c>
      <c r="B2994" s="534"/>
      <c r="C2994" s="355" t="s">
        <v>1169</v>
      </c>
      <c r="D2994" s="307" t="s">
        <v>3708</v>
      </c>
      <c r="E2994" s="260" t="s">
        <v>3709</v>
      </c>
      <c r="F2994" s="352">
        <v>20224</v>
      </c>
      <c r="G2994" s="311">
        <v>1976</v>
      </c>
      <c r="H2994" s="340" t="s">
        <v>2658</v>
      </c>
      <c r="I2994" s="313">
        <v>470</v>
      </c>
      <c r="J2994" s="350">
        <v>2.8</v>
      </c>
      <c r="K2994" s="350">
        <v>2.6</v>
      </c>
      <c r="L2994" s="314">
        <f t="shared" si="24"/>
        <v>0.19999999999999973</v>
      </c>
      <c r="M2994" s="337"/>
    </row>
    <row r="2995" spans="1:13" s="71" customFormat="1" ht="26.4" customHeight="1">
      <c r="A2995" s="282">
        <v>307</v>
      </c>
      <c r="B2995" s="534"/>
      <c r="C2995" s="355" t="s">
        <v>1169</v>
      </c>
      <c r="D2995" s="307" t="s">
        <v>3710</v>
      </c>
      <c r="E2995" s="260" t="s">
        <v>3711</v>
      </c>
      <c r="F2995" s="352">
        <v>20236</v>
      </c>
      <c r="G2995" s="311">
        <v>1976</v>
      </c>
      <c r="H2995" s="340" t="s">
        <v>2658</v>
      </c>
      <c r="I2995" s="313">
        <v>130</v>
      </c>
      <c r="J2995" s="350">
        <v>0.3</v>
      </c>
      <c r="K2995" s="350">
        <v>0.3</v>
      </c>
      <c r="L2995" s="314">
        <f t="shared" si="24"/>
        <v>0</v>
      </c>
      <c r="M2995" s="337"/>
    </row>
    <row r="2996" spans="1:13" s="71" customFormat="1" ht="26.4" customHeight="1">
      <c r="A2996" s="282">
        <v>308</v>
      </c>
      <c r="B2996" s="534"/>
      <c r="C2996" s="307" t="s">
        <v>3471</v>
      </c>
      <c r="D2996" s="307" t="s">
        <v>3712</v>
      </c>
      <c r="E2996" s="260" t="s">
        <v>3713</v>
      </c>
      <c r="F2996" s="352">
        <v>20449</v>
      </c>
      <c r="G2996" s="311">
        <v>1976</v>
      </c>
      <c r="H2996" s="340" t="s">
        <v>2658</v>
      </c>
      <c r="I2996" s="313">
        <v>110</v>
      </c>
      <c r="J2996" s="350">
        <v>0.3</v>
      </c>
      <c r="K2996" s="350">
        <v>0.3</v>
      </c>
      <c r="L2996" s="314">
        <f t="shared" si="24"/>
        <v>0</v>
      </c>
      <c r="M2996" s="337"/>
    </row>
    <row r="2997" spans="1:13" s="71" customFormat="1" ht="26.4" customHeight="1">
      <c r="A2997" s="282">
        <v>309</v>
      </c>
      <c r="B2997" s="534"/>
      <c r="C2997" s="355" t="s">
        <v>1169</v>
      </c>
      <c r="D2997" s="307" t="s">
        <v>3714</v>
      </c>
      <c r="E2997" s="260" t="s">
        <v>3715</v>
      </c>
      <c r="F2997" s="352">
        <v>20245</v>
      </c>
      <c r="G2997" s="311">
        <v>1976</v>
      </c>
      <c r="H2997" s="340" t="s">
        <v>2658</v>
      </c>
      <c r="I2997" s="313">
        <v>350</v>
      </c>
      <c r="J2997" s="350">
        <v>0.9</v>
      </c>
      <c r="K2997" s="350">
        <v>0.8</v>
      </c>
      <c r="L2997" s="314">
        <f t="shared" si="24"/>
        <v>9.9999999999999978E-2</v>
      </c>
      <c r="M2997" s="337"/>
    </row>
    <row r="2998" spans="1:13" s="71" customFormat="1" ht="26.4" customHeight="1">
      <c r="A2998" s="282">
        <v>310</v>
      </c>
      <c r="B2998" s="534"/>
      <c r="C2998" s="355" t="s">
        <v>1169</v>
      </c>
      <c r="D2998" s="307" t="s">
        <v>3716</v>
      </c>
      <c r="E2998" s="260" t="s">
        <v>3717</v>
      </c>
      <c r="F2998" s="352">
        <v>20237</v>
      </c>
      <c r="G2998" s="311">
        <v>1976</v>
      </c>
      <c r="H2998" s="340" t="s">
        <v>2658</v>
      </c>
      <c r="I2998" s="313">
        <v>120</v>
      </c>
      <c r="J2998" s="350">
        <v>0.3</v>
      </c>
      <c r="K2998" s="350">
        <v>0.2</v>
      </c>
      <c r="L2998" s="314">
        <f t="shared" si="24"/>
        <v>9.9999999999999978E-2</v>
      </c>
      <c r="M2998" s="337"/>
    </row>
    <row r="2999" spans="1:13" s="71" customFormat="1" ht="26.4" customHeight="1">
      <c r="A2999" s="282">
        <v>311</v>
      </c>
      <c r="B2999" s="534"/>
      <c r="C2999" s="355" t="s">
        <v>1169</v>
      </c>
      <c r="D2999" s="307" t="s">
        <v>3718</v>
      </c>
      <c r="E2999" s="260" t="s">
        <v>3719</v>
      </c>
      <c r="F2999" s="352">
        <v>20370</v>
      </c>
      <c r="G2999" s="311">
        <v>1976</v>
      </c>
      <c r="H2999" s="340" t="s">
        <v>2658</v>
      </c>
      <c r="I2999" s="313">
        <v>380</v>
      </c>
      <c r="J2999" s="350">
        <v>1.8</v>
      </c>
      <c r="K2999" s="350">
        <v>1.6</v>
      </c>
      <c r="L2999" s="314">
        <f t="shared" si="24"/>
        <v>0.19999999999999996</v>
      </c>
      <c r="M2999" s="337"/>
    </row>
    <row r="3000" spans="1:13" s="71" customFormat="1" ht="26.4" customHeight="1">
      <c r="A3000" s="282">
        <v>312</v>
      </c>
      <c r="B3000" s="534"/>
      <c r="C3000" s="355" t="s">
        <v>1169</v>
      </c>
      <c r="D3000" s="307" t="s">
        <v>12777</v>
      </c>
      <c r="E3000" s="260" t="s">
        <v>13056</v>
      </c>
      <c r="F3000" s="352">
        <v>20056</v>
      </c>
      <c r="G3000" s="311">
        <v>1969</v>
      </c>
      <c r="H3000" s="340" t="s">
        <v>2658</v>
      </c>
      <c r="I3000" s="313">
        <v>451</v>
      </c>
      <c r="J3000" s="350">
        <v>4.9000000000000004</v>
      </c>
      <c r="K3000" s="350">
        <v>4.5</v>
      </c>
      <c r="L3000" s="314">
        <f t="shared" si="24"/>
        <v>0.40000000000000036</v>
      </c>
      <c r="M3000" s="337"/>
    </row>
    <row r="3001" spans="1:13" s="71" customFormat="1" ht="26.4" customHeight="1">
      <c r="A3001" s="282">
        <v>313</v>
      </c>
      <c r="B3001" s="534"/>
      <c r="C3001" s="355" t="s">
        <v>1169</v>
      </c>
      <c r="D3001" s="307" t="s">
        <v>3720</v>
      </c>
      <c r="E3001" s="260" t="s">
        <v>3721</v>
      </c>
      <c r="F3001" s="352">
        <v>20053</v>
      </c>
      <c r="G3001" s="311">
        <v>1968</v>
      </c>
      <c r="H3001" s="340" t="s">
        <v>2658</v>
      </c>
      <c r="I3001" s="313">
        <v>800</v>
      </c>
      <c r="J3001" s="350">
        <v>11.5</v>
      </c>
      <c r="K3001" s="350">
        <v>9</v>
      </c>
      <c r="L3001" s="314">
        <f t="shared" si="24"/>
        <v>2.5</v>
      </c>
      <c r="M3001" s="337"/>
    </row>
    <row r="3002" spans="1:13" s="71" customFormat="1" ht="26.4" customHeight="1">
      <c r="A3002" s="282">
        <v>314</v>
      </c>
      <c r="B3002" s="534"/>
      <c r="C3002" s="355" t="s">
        <v>1169</v>
      </c>
      <c r="D3002" s="307" t="s">
        <v>3720</v>
      </c>
      <c r="E3002" s="260" t="s">
        <v>3721</v>
      </c>
      <c r="F3002" s="352">
        <v>20659</v>
      </c>
      <c r="G3002" s="311">
        <v>2005</v>
      </c>
      <c r="H3002" s="340" t="s">
        <v>2658</v>
      </c>
      <c r="I3002" s="313">
        <v>140</v>
      </c>
      <c r="J3002" s="350">
        <v>25.2</v>
      </c>
      <c r="K3002" s="350">
        <v>10.1</v>
      </c>
      <c r="L3002" s="314">
        <f t="shared" si="24"/>
        <v>15.1</v>
      </c>
      <c r="M3002" s="337"/>
    </row>
    <row r="3003" spans="1:13" s="71" customFormat="1" ht="26.4" customHeight="1">
      <c r="A3003" s="282">
        <v>315</v>
      </c>
      <c r="B3003" s="534"/>
      <c r="C3003" s="355" t="s">
        <v>1169</v>
      </c>
      <c r="D3003" s="307" t="s">
        <v>3722</v>
      </c>
      <c r="E3003" s="260" t="s">
        <v>3723</v>
      </c>
      <c r="F3003" s="352">
        <v>20319</v>
      </c>
      <c r="G3003" s="311">
        <v>1976</v>
      </c>
      <c r="H3003" s="340" t="s">
        <v>2658</v>
      </c>
      <c r="I3003" s="313">
        <v>250</v>
      </c>
      <c r="J3003" s="350">
        <v>0.6</v>
      </c>
      <c r="K3003" s="350">
        <v>0.5</v>
      </c>
      <c r="L3003" s="314">
        <f t="shared" si="24"/>
        <v>9.9999999999999978E-2</v>
      </c>
      <c r="M3003" s="337"/>
    </row>
    <row r="3004" spans="1:13" s="71" customFormat="1" ht="26.4" customHeight="1">
      <c r="A3004" s="282">
        <v>316</v>
      </c>
      <c r="B3004" s="534"/>
      <c r="C3004" s="355" t="s">
        <v>1169</v>
      </c>
      <c r="D3004" s="307" t="s">
        <v>3724</v>
      </c>
      <c r="E3004" s="260" t="s">
        <v>3725</v>
      </c>
      <c r="F3004" s="352">
        <v>20305</v>
      </c>
      <c r="G3004" s="311">
        <v>1976</v>
      </c>
      <c r="H3004" s="340" t="s">
        <v>2658</v>
      </c>
      <c r="I3004" s="313">
        <v>230</v>
      </c>
      <c r="J3004" s="350">
        <v>0.6</v>
      </c>
      <c r="K3004" s="350">
        <v>0.5</v>
      </c>
      <c r="L3004" s="314">
        <f t="shared" si="24"/>
        <v>9.9999999999999978E-2</v>
      </c>
      <c r="M3004" s="337"/>
    </row>
    <row r="3005" spans="1:13" s="71" customFormat="1" ht="26.4" customHeight="1">
      <c r="A3005" s="282">
        <v>317</v>
      </c>
      <c r="B3005" s="534"/>
      <c r="C3005" s="355" t="s">
        <v>1169</v>
      </c>
      <c r="D3005" s="307" t="s">
        <v>3726</v>
      </c>
      <c r="E3005" s="260" t="s">
        <v>3727</v>
      </c>
      <c r="F3005" s="352">
        <v>20002</v>
      </c>
      <c r="G3005" s="311">
        <v>1967</v>
      </c>
      <c r="H3005" s="340" t="s">
        <v>2658</v>
      </c>
      <c r="I3005" s="313">
        <v>280</v>
      </c>
      <c r="J3005" s="350">
        <v>3.6</v>
      </c>
      <c r="K3005" s="350">
        <v>2.8</v>
      </c>
      <c r="L3005" s="314">
        <f t="shared" si="24"/>
        <v>0.80000000000000027</v>
      </c>
      <c r="M3005" s="337"/>
    </row>
    <row r="3006" spans="1:13" s="71" customFormat="1" ht="26.4" customHeight="1">
      <c r="A3006" s="282">
        <v>318</v>
      </c>
      <c r="B3006" s="534"/>
      <c r="C3006" s="355" t="s">
        <v>1169</v>
      </c>
      <c r="D3006" s="307" t="s">
        <v>3726</v>
      </c>
      <c r="E3006" s="260" t="s">
        <v>3727</v>
      </c>
      <c r="F3006" s="352">
        <v>20185</v>
      </c>
      <c r="G3006" s="311">
        <v>1976</v>
      </c>
      <c r="H3006" s="340" t="s">
        <v>2658</v>
      </c>
      <c r="I3006" s="313">
        <v>190</v>
      </c>
      <c r="J3006" s="350">
        <v>0.5</v>
      </c>
      <c r="K3006" s="350">
        <v>0.5</v>
      </c>
      <c r="L3006" s="314">
        <f t="shared" si="24"/>
        <v>0</v>
      </c>
      <c r="M3006" s="337"/>
    </row>
    <row r="3007" spans="1:13" s="71" customFormat="1" ht="26.4" customHeight="1">
      <c r="A3007" s="282">
        <v>319</v>
      </c>
      <c r="B3007" s="534"/>
      <c r="C3007" s="355" t="s">
        <v>1169</v>
      </c>
      <c r="D3007" s="307" t="s">
        <v>13276</v>
      </c>
      <c r="E3007" s="260" t="s">
        <v>3728</v>
      </c>
      <c r="F3007" s="352">
        <v>20230</v>
      </c>
      <c r="G3007" s="311">
        <v>1976</v>
      </c>
      <c r="H3007" s="340" t="s">
        <v>2658</v>
      </c>
      <c r="I3007" s="313">
        <v>160</v>
      </c>
      <c r="J3007" s="350">
        <v>0.4</v>
      </c>
      <c r="K3007" s="350">
        <v>0.4</v>
      </c>
      <c r="L3007" s="314">
        <f t="shared" si="24"/>
        <v>0</v>
      </c>
      <c r="M3007" s="337"/>
    </row>
    <row r="3008" spans="1:13" s="71" customFormat="1" ht="26.4" customHeight="1">
      <c r="A3008" s="282">
        <v>320</v>
      </c>
      <c r="B3008" s="534"/>
      <c r="C3008" s="355" t="s">
        <v>1169</v>
      </c>
      <c r="D3008" s="307" t="s">
        <v>3729</v>
      </c>
      <c r="E3008" s="260" t="s">
        <v>3730</v>
      </c>
      <c r="F3008" s="352">
        <v>20318</v>
      </c>
      <c r="G3008" s="311">
        <v>1976</v>
      </c>
      <c r="H3008" s="340" t="s">
        <v>2658</v>
      </c>
      <c r="I3008" s="313">
        <v>300</v>
      </c>
      <c r="J3008" s="350">
        <v>1</v>
      </c>
      <c r="K3008" s="350">
        <v>0.8</v>
      </c>
      <c r="L3008" s="314">
        <f t="shared" si="24"/>
        <v>0.19999999999999996</v>
      </c>
      <c r="M3008" s="337"/>
    </row>
    <row r="3009" spans="1:13" s="71" customFormat="1" ht="26.4" customHeight="1">
      <c r="A3009" s="282">
        <v>321</v>
      </c>
      <c r="B3009" s="534"/>
      <c r="C3009" s="307" t="s">
        <v>3276</v>
      </c>
      <c r="D3009" s="307" t="s">
        <v>3731</v>
      </c>
      <c r="E3009" s="260" t="s">
        <v>3732</v>
      </c>
      <c r="F3009" s="352">
        <v>20469</v>
      </c>
      <c r="G3009" s="311">
        <v>1976</v>
      </c>
      <c r="H3009" s="340" t="s">
        <v>2658</v>
      </c>
      <c r="I3009" s="313">
        <v>530</v>
      </c>
      <c r="J3009" s="350">
        <v>1.4</v>
      </c>
      <c r="K3009" s="350">
        <v>1.3</v>
      </c>
      <c r="L3009" s="314">
        <f t="shared" ref="L3009:L3072" si="25">J3009-K3009</f>
        <v>9.9999999999999867E-2</v>
      </c>
      <c r="M3009" s="337"/>
    </row>
    <row r="3010" spans="1:13" s="71" customFormat="1" ht="26.4" customHeight="1">
      <c r="A3010" s="282">
        <v>322</v>
      </c>
      <c r="B3010" s="534"/>
      <c r="C3010" s="355" t="s">
        <v>1169</v>
      </c>
      <c r="D3010" s="307" t="s">
        <v>3733</v>
      </c>
      <c r="E3010" s="260" t="s">
        <v>3734</v>
      </c>
      <c r="F3010" s="352">
        <v>20342</v>
      </c>
      <c r="G3010" s="311">
        <v>1976</v>
      </c>
      <c r="H3010" s="340" t="s">
        <v>2658</v>
      </c>
      <c r="I3010" s="313">
        <v>380</v>
      </c>
      <c r="J3010" s="350">
        <v>1.6</v>
      </c>
      <c r="K3010" s="350">
        <v>1.5</v>
      </c>
      <c r="L3010" s="314">
        <f t="shared" si="25"/>
        <v>0.10000000000000009</v>
      </c>
      <c r="M3010" s="337"/>
    </row>
    <row r="3011" spans="1:13" s="71" customFormat="1" ht="26.4" customHeight="1">
      <c r="A3011" s="282">
        <v>323</v>
      </c>
      <c r="B3011" s="534"/>
      <c r="C3011" s="355" t="s">
        <v>1169</v>
      </c>
      <c r="D3011" s="307" t="s">
        <v>3735</v>
      </c>
      <c r="E3011" s="260" t="s">
        <v>3736</v>
      </c>
      <c r="F3011" s="352">
        <v>20176</v>
      </c>
      <c r="G3011" s="311">
        <v>1976</v>
      </c>
      <c r="H3011" s="340" t="s">
        <v>2658</v>
      </c>
      <c r="I3011" s="313">
        <v>250</v>
      </c>
      <c r="J3011" s="350">
        <v>0.8</v>
      </c>
      <c r="K3011" s="350">
        <v>0.6</v>
      </c>
      <c r="L3011" s="314">
        <f t="shared" si="25"/>
        <v>0.20000000000000007</v>
      </c>
      <c r="M3011" s="337"/>
    </row>
    <row r="3012" spans="1:13" s="71" customFormat="1" ht="26.4" customHeight="1">
      <c r="A3012" s="282">
        <v>324</v>
      </c>
      <c r="B3012" s="534"/>
      <c r="C3012" s="307" t="s">
        <v>3737</v>
      </c>
      <c r="D3012" s="307" t="s">
        <v>3738</v>
      </c>
      <c r="E3012" s="260" t="s">
        <v>3739</v>
      </c>
      <c r="F3012" s="352">
        <v>20633</v>
      </c>
      <c r="G3012" s="311">
        <v>1985</v>
      </c>
      <c r="H3012" s="340" t="s">
        <v>2658</v>
      </c>
      <c r="I3012" s="313">
        <v>1250</v>
      </c>
      <c r="J3012" s="350">
        <v>12.7</v>
      </c>
      <c r="K3012" s="350">
        <v>11.3</v>
      </c>
      <c r="L3012" s="314">
        <f t="shared" si="25"/>
        <v>1.3999999999999986</v>
      </c>
      <c r="M3012" s="337"/>
    </row>
    <row r="3013" spans="1:13" s="71" customFormat="1" ht="26.4" customHeight="1">
      <c r="A3013" s="282">
        <v>325</v>
      </c>
      <c r="B3013" s="534"/>
      <c r="C3013" s="355" t="s">
        <v>1169</v>
      </c>
      <c r="D3013" s="307" t="s">
        <v>3740</v>
      </c>
      <c r="E3013" s="260" t="s">
        <v>3741</v>
      </c>
      <c r="F3013" s="352">
        <v>20188</v>
      </c>
      <c r="G3013" s="311">
        <v>1976</v>
      </c>
      <c r="H3013" s="340" t="s">
        <v>2658</v>
      </c>
      <c r="I3013" s="313">
        <v>520</v>
      </c>
      <c r="J3013" s="350">
        <v>1.3</v>
      </c>
      <c r="K3013" s="350">
        <v>1.2</v>
      </c>
      <c r="L3013" s="314">
        <f t="shared" si="25"/>
        <v>0.10000000000000009</v>
      </c>
      <c r="M3013" s="337"/>
    </row>
    <row r="3014" spans="1:13" s="71" customFormat="1" ht="26.4" customHeight="1">
      <c r="A3014" s="282">
        <v>326</v>
      </c>
      <c r="B3014" s="534"/>
      <c r="C3014" s="355" t="s">
        <v>1169</v>
      </c>
      <c r="D3014" s="307" t="s">
        <v>3742</v>
      </c>
      <c r="E3014" s="260" t="s">
        <v>3743</v>
      </c>
      <c r="F3014" s="352">
        <v>20054</v>
      </c>
      <c r="G3014" s="311">
        <v>1976</v>
      </c>
      <c r="H3014" s="340" t="s">
        <v>2658</v>
      </c>
      <c r="I3014" s="313">
        <v>750</v>
      </c>
      <c r="J3014" s="350">
        <v>13.5</v>
      </c>
      <c r="K3014" s="350">
        <v>12.1</v>
      </c>
      <c r="L3014" s="314">
        <f t="shared" si="25"/>
        <v>1.4000000000000004</v>
      </c>
      <c r="M3014" s="337"/>
    </row>
    <row r="3015" spans="1:13" s="71" customFormat="1" ht="26.4" customHeight="1">
      <c r="A3015" s="282">
        <v>327</v>
      </c>
      <c r="B3015" s="534"/>
      <c r="C3015" s="355" t="s">
        <v>1169</v>
      </c>
      <c r="D3015" s="307" t="s">
        <v>3744</v>
      </c>
      <c r="E3015" s="260" t="s">
        <v>3745</v>
      </c>
      <c r="F3015" s="352">
        <v>20203</v>
      </c>
      <c r="G3015" s="311">
        <v>1976</v>
      </c>
      <c r="H3015" s="340" t="s">
        <v>2658</v>
      </c>
      <c r="I3015" s="313">
        <v>200</v>
      </c>
      <c r="J3015" s="350">
        <v>0.9</v>
      </c>
      <c r="K3015" s="350">
        <v>0.8</v>
      </c>
      <c r="L3015" s="314">
        <f t="shared" si="25"/>
        <v>9.9999999999999978E-2</v>
      </c>
      <c r="M3015" s="337"/>
    </row>
    <row r="3016" spans="1:13" s="71" customFormat="1" ht="26.4" customHeight="1">
      <c r="A3016" s="282">
        <v>328</v>
      </c>
      <c r="B3016" s="534"/>
      <c r="C3016" s="355" t="s">
        <v>1169</v>
      </c>
      <c r="D3016" s="307" t="s">
        <v>3746</v>
      </c>
      <c r="E3016" s="260" t="s">
        <v>3747</v>
      </c>
      <c r="F3016" s="352">
        <v>20401</v>
      </c>
      <c r="G3016" s="311">
        <v>1976</v>
      </c>
      <c r="H3016" s="340" t="s">
        <v>2658</v>
      </c>
      <c r="I3016" s="313">
        <v>230</v>
      </c>
      <c r="J3016" s="350">
        <v>1.4</v>
      </c>
      <c r="K3016" s="350">
        <v>1.3</v>
      </c>
      <c r="L3016" s="314">
        <f t="shared" si="25"/>
        <v>9.9999999999999867E-2</v>
      </c>
      <c r="M3016" s="337"/>
    </row>
    <row r="3017" spans="1:13" s="71" customFormat="1" ht="26.4" customHeight="1">
      <c r="A3017" s="282">
        <v>329</v>
      </c>
      <c r="B3017" s="534"/>
      <c r="C3017" s="355" t="s">
        <v>1169</v>
      </c>
      <c r="D3017" s="307" t="s">
        <v>3746</v>
      </c>
      <c r="E3017" s="260" t="s">
        <v>3747</v>
      </c>
      <c r="F3017" s="352">
        <v>20424</v>
      </c>
      <c r="G3017" s="311">
        <v>1976</v>
      </c>
      <c r="H3017" s="340" t="s">
        <v>2658</v>
      </c>
      <c r="I3017" s="313">
        <v>370</v>
      </c>
      <c r="J3017" s="350">
        <v>2.2000000000000002</v>
      </c>
      <c r="K3017" s="350">
        <v>2.1</v>
      </c>
      <c r="L3017" s="314">
        <f t="shared" si="25"/>
        <v>0.10000000000000009</v>
      </c>
      <c r="M3017" s="337"/>
    </row>
    <row r="3018" spans="1:13" s="71" customFormat="1" ht="26.4" customHeight="1">
      <c r="A3018" s="282">
        <v>330</v>
      </c>
      <c r="B3018" s="534"/>
      <c r="C3018" s="307" t="s">
        <v>3329</v>
      </c>
      <c r="D3018" s="307" t="s">
        <v>3748</v>
      </c>
      <c r="E3018" s="260" t="s">
        <v>3749</v>
      </c>
      <c r="F3018" s="352">
        <v>20390</v>
      </c>
      <c r="G3018" s="311">
        <v>1976</v>
      </c>
      <c r="H3018" s="340" t="s">
        <v>2658</v>
      </c>
      <c r="I3018" s="313">
        <v>500</v>
      </c>
      <c r="J3018" s="350">
        <v>1.3</v>
      </c>
      <c r="K3018" s="350">
        <v>1.2</v>
      </c>
      <c r="L3018" s="314">
        <f t="shared" si="25"/>
        <v>0.10000000000000009</v>
      </c>
      <c r="M3018" s="337"/>
    </row>
    <row r="3019" spans="1:13" s="71" customFormat="1" ht="26.4" customHeight="1">
      <c r="A3019" s="282">
        <v>331</v>
      </c>
      <c r="B3019" s="534"/>
      <c r="C3019" s="307" t="s">
        <v>3471</v>
      </c>
      <c r="D3019" s="307" t="s">
        <v>3750</v>
      </c>
      <c r="E3019" s="260" t="s">
        <v>3749</v>
      </c>
      <c r="F3019" s="352">
        <v>20423</v>
      </c>
      <c r="G3019" s="311">
        <v>1976</v>
      </c>
      <c r="H3019" s="340" t="s">
        <v>2658</v>
      </c>
      <c r="I3019" s="313">
        <v>280</v>
      </c>
      <c r="J3019" s="350">
        <v>1.9</v>
      </c>
      <c r="K3019" s="350">
        <v>1.5</v>
      </c>
      <c r="L3019" s="314">
        <f t="shared" si="25"/>
        <v>0.39999999999999991</v>
      </c>
      <c r="M3019" s="337"/>
    </row>
    <row r="3020" spans="1:13" s="71" customFormat="1" ht="26.4" customHeight="1">
      <c r="A3020" s="282">
        <v>332</v>
      </c>
      <c r="B3020" s="534"/>
      <c r="C3020" s="355" t="s">
        <v>1169</v>
      </c>
      <c r="D3020" s="307" t="s">
        <v>3750</v>
      </c>
      <c r="E3020" s="260" t="s">
        <v>3749</v>
      </c>
      <c r="F3020" s="352">
        <v>20262</v>
      </c>
      <c r="G3020" s="311">
        <v>1976</v>
      </c>
      <c r="H3020" s="340" t="s">
        <v>2658</v>
      </c>
      <c r="I3020" s="313">
        <v>600</v>
      </c>
      <c r="J3020" s="350">
        <v>1.5</v>
      </c>
      <c r="K3020" s="350">
        <v>1.4</v>
      </c>
      <c r="L3020" s="314">
        <f t="shared" si="25"/>
        <v>0.10000000000000009</v>
      </c>
      <c r="M3020" s="337"/>
    </row>
    <row r="3021" spans="1:13" s="71" customFormat="1" ht="26.4" customHeight="1">
      <c r="A3021" s="282">
        <v>333</v>
      </c>
      <c r="B3021" s="534"/>
      <c r="C3021" s="307" t="s">
        <v>3329</v>
      </c>
      <c r="D3021" s="307" t="s">
        <v>3751</v>
      </c>
      <c r="E3021" s="260" t="s">
        <v>3752</v>
      </c>
      <c r="F3021" s="352">
        <v>20389</v>
      </c>
      <c r="G3021" s="311">
        <v>1976</v>
      </c>
      <c r="H3021" s="340" t="s">
        <v>2658</v>
      </c>
      <c r="I3021" s="313">
        <v>650</v>
      </c>
      <c r="J3021" s="350">
        <v>1.9</v>
      </c>
      <c r="K3021" s="350">
        <v>1.8</v>
      </c>
      <c r="L3021" s="314">
        <f t="shared" si="25"/>
        <v>9.9999999999999867E-2</v>
      </c>
      <c r="M3021" s="337"/>
    </row>
    <row r="3022" spans="1:13" s="71" customFormat="1" ht="26.4" customHeight="1">
      <c r="A3022" s="282">
        <v>334</v>
      </c>
      <c r="B3022" s="534"/>
      <c r="C3022" s="355" t="s">
        <v>1169</v>
      </c>
      <c r="D3022" s="307" t="s">
        <v>3753</v>
      </c>
      <c r="E3022" s="260" t="s">
        <v>3752</v>
      </c>
      <c r="F3022" s="352">
        <v>20136</v>
      </c>
      <c r="G3022" s="311">
        <v>1968</v>
      </c>
      <c r="H3022" s="340" t="s">
        <v>2658</v>
      </c>
      <c r="I3022" s="313">
        <v>2200</v>
      </c>
      <c r="J3022" s="350">
        <v>24.9</v>
      </c>
      <c r="K3022" s="350">
        <v>22.3</v>
      </c>
      <c r="L3022" s="314">
        <f t="shared" si="25"/>
        <v>2.5999999999999979</v>
      </c>
      <c r="M3022" s="337"/>
    </row>
    <row r="3023" spans="1:13" s="71" customFormat="1" ht="26.4" customHeight="1">
      <c r="A3023" s="282">
        <v>335</v>
      </c>
      <c r="B3023" s="534"/>
      <c r="C3023" s="307" t="s">
        <v>3705</v>
      </c>
      <c r="D3023" s="307" t="s">
        <v>3753</v>
      </c>
      <c r="E3023" s="260" t="s">
        <v>3752</v>
      </c>
      <c r="F3023" s="352">
        <v>20639</v>
      </c>
      <c r="G3023" s="311">
        <v>1996</v>
      </c>
      <c r="H3023" s="340" t="s">
        <v>2658</v>
      </c>
      <c r="I3023" s="313">
        <v>1810</v>
      </c>
      <c r="J3023" s="350">
        <v>49.2</v>
      </c>
      <c r="K3023" s="350">
        <v>41.7</v>
      </c>
      <c r="L3023" s="314">
        <f t="shared" si="25"/>
        <v>7.5</v>
      </c>
      <c r="M3023" s="337"/>
    </row>
    <row r="3024" spans="1:13" s="71" customFormat="1" ht="26.4" customHeight="1">
      <c r="A3024" s="282">
        <v>336</v>
      </c>
      <c r="B3024" s="534"/>
      <c r="C3024" s="355" t="s">
        <v>1169</v>
      </c>
      <c r="D3024" s="307" t="s">
        <v>3754</v>
      </c>
      <c r="E3024" s="260" t="s">
        <v>3755</v>
      </c>
      <c r="F3024" s="352">
        <v>20247</v>
      </c>
      <c r="G3024" s="311">
        <v>1976</v>
      </c>
      <c r="H3024" s="340" t="s">
        <v>2658</v>
      </c>
      <c r="I3024" s="313">
        <v>200</v>
      </c>
      <c r="J3024" s="350">
        <v>0.5</v>
      </c>
      <c r="K3024" s="350">
        <v>0.5</v>
      </c>
      <c r="L3024" s="314">
        <f t="shared" si="25"/>
        <v>0</v>
      </c>
      <c r="M3024" s="337"/>
    </row>
    <row r="3025" spans="1:13" s="71" customFormat="1" ht="26.4" customHeight="1">
      <c r="A3025" s="282">
        <v>337</v>
      </c>
      <c r="B3025" s="534"/>
      <c r="C3025" s="307" t="s">
        <v>3471</v>
      </c>
      <c r="D3025" s="307" t="s">
        <v>3756</v>
      </c>
      <c r="E3025" s="260" t="s">
        <v>3757</v>
      </c>
      <c r="F3025" s="352">
        <v>20447</v>
      </c>
      <c r="G3025" s="311">
        <v>1976</v>
      </c>
      <c r="H3025" s="340" t="s">
        <v>2658</v>
      </c>
      <c r="I3025" s="313">
        <v>160</v>
      </c>
      <c r="J3025" s="350">
        <v>0.4</v>
      </c>
      <c r="K3025" s="350">
        <v>0.4</v>
      </c>
      <c r="L3025" s="314">
        <f t="shared" si="25"/>
        <v>0</v>
      </c>
      <c r="M3025" s="337"/>
    </row>
    <row r="3026" spans="1:13" s="71" customFormat="1" ht="26.4" customHeight="1">
      <c r="A3026" s="282">
        <v>338</v>
      </c>
      <c r="B3026" s="534"/>
      <c r="C3026" s="355" t="s">
        <v>1169</v>
      </c>
      <c r="D3026" s="307" t="s">
        <v>3482</v>
      </c>
      <c r="E3026" s="260" t="s">
        <v>3758</v>
      </c>
      <c r="F3026" s="352">
        <v>20355</v>
      </c>
      <c r="G3026" s="311">
        <v>1976</v>
      </c>
      <c r="H3026" s="340" t="s">
        <v>2658</v>
      </c>
      <c r="I3026" s="313">
        <v>880</v>
      </c>
      <c r="J3026" s="350">
        <v>2.2999999999999998</v>
      </c>
      <c r="K3026" s="350">
        <v>2.1</v>
      </c>
      <c r="L3026" s="314">
        <f t="shared" si="25"/>
        <v>0.19999999999999973</v>
      </c>
      <c r="M3026" s="337"/>
    </row>
    <row r="3027" spans="1:13" s="71" customFormat="1" ht="26.4" customHeight="1">
      <c r="A3027" s="282">
        <v>339</v>
      </c>
      <c r="B3027" s="534"/>
      <c r="C3027" s="307" t="s">
        <v>3329</v>
      </c>
      <c r="D3027" s="307" t="s">
        <v>3759</v>
      </c>
      <c r="E3027" s="260" t="s">
        <v>3760</v>
      </c>
      <c r="F3027" s="352">
        <v>20405</v>
      </c>
      <c r="G3027" s="311">
        <v>1976</v>
      </c>
      <c r="H3027" s="340" t="s">
        <v>2658</v>
      </c>
      <c r="I3027" s="313">
        <v>700</v>
      </c>
      <c r="J3027" s="350">
        <v>3.4</v>
      </c>
      <c r="K3027" s="350">
        <v>2.6</v>
      </c>
      <c r="L3027" s="314">
        <f t="shared" si="25"/>
        <v>0.79999999999999982</v>
      </c>
      <c r="M3027" s="337"/>
    </row>
    <row r="3028" spans="1:13" s="71" customFormat="1" ht="26.4" customHeight="1">
      <c r="A3028" s="282">
        <v>340</v>
      </c>
      <c r="B3028" s="534"/>
      <c r="C3028" s="355" t="s">
        <v>1169</v>
      </c>
      <c r="D3028" s="307" t="s">
        <v>3761</v>
      </c>
      <c r="E3028" s="260" t="s">
        <v>3762</v>
      </c>
      <c r="F3028" s="352">
        <v>20124</v>
      </c>
      <c r="G3028" s="311">
        <v>1968</v>
      </c>
      <c r="H3028" s="340" t="s">
        <v>2658</v>
      </c>
      <c r="I3028" s="313">
        <v>550</v>
      </c>
      <c r="J3028" s="350">
        <v>8.1</v>
      </c>
      <c r="K3028" s="350">
        <v>7.5</v>
      </c>
      <c r="L3028" s="314">
        <f t="shared" si="25"/>
        <v>0.59999999999999964</v>
      </c>
      <c r="M3028" s="337"/>
    </row>
    <row r="3029" spans="1:13" s="71" customFormat="1" ht="26.4" customHeight="1">
      <c r="A3029" s="282">
        <v>341</v>
      </c>
      <c r="B3029" s="534"/>
      <c r="C3029" s="355" t="s">
        <v>1169</v>
      </c>
      <c r="D3029" s="307" t="s">
        <v>3763</v>
      </c>
      <c r="E3029" s="260" t="s">
        <v>3764</v>
      </c>
      <c r="F3029" s="352">
        <v>20294</v>
      </c>
      <c r="G3029" s="311">
        <v>1976</v>
      </c>
      <c r="H3029" s="340" t="s">
        <v>2658</v>
      </c>
      <c r="I3029" s="313">
        <v>200</v>
      </c>
      <c r="J3029" s="350">
        <v>0.5</v>
      </c>
      <c r="K3029" s="350">
        <v>0.5</v>
      </c>
      <c r="L3029" s="314">
        <f t="shared" si="25"/>
        <v>0</v>
      </c>
      <c r="M3029" s="337"/>
    </row>
    <row r="3030" spans="1:13" s="71" customFormat="1" ht="26.4" customHeight="1">
      <c r="A3030" s="282">
        <v>342</v>
      </c>
      <c r="B3030" s="534"/>
      <c r="C3030" s="355" t="s">
        <v>1169</v>
      </c>
      <c r="D3030" s="307" t="s">
        <v>3512</v>
      </c>
      <c r="E3030" s="260" t="s">
        <v>3765</v>
      </c>
      <c r="F3030" s="352">
        <v>20307</v>
      </c>
      <c r="G3030" s="311">
        <v>1976</v>
      </c>
      <c r="H3030" s="340" t="s">
        <v>2658</v>
      </c>
      <c r="I3030" s="313">
        <v>280</v>
      </c>
      <c r="J3030" s="350">
        <v>0.6</v>
      </c>
      <c r="K3030" s="350">
        <v>0.6</v>
      </c>
      <c r="L3030" s="314">
        <f t="shared" si="25"/>
        <v>0</v>
      </c>
      <c r="M3030" s="337"/>
    </row>
    <row r="3031" spans="1:13" s="71" customFormat="1" ht="26.4" customHeight="1">
      <c r="A3031" s="282">
        <v>343</v>
      </c>
      <c r="B3031" s="534"/>
      <c r="C3031" s="355" t="s">
        <v>1169</v>
      </c>
      <c r="D3031" s="307" t="s">
        <v>3469</v>
      </c>
      <c r="E3031" s="260" t="s">
        <v>3766</v>
      </c>
      <c r="F3031" s="352">
        <v>20661</v>
      </c>
      <c r="G3031" s="311">
        <v>2005</v>
      </c>
      <c r="H3031" s="340" t="s">
        <v>2658</v>
      </c>
      <c r="I3031" s="313">
        <v>761</v>
      </c>
      <c r="J3031" s="350">
        <v>116.4</v>
      </c>
      <c r="K3031" s="350">
        <v>45.5</v>
      </c>
      <c r="L3031" s="314">
        <f t="shared" si="25"/>
        <v>70.900000000000006</v>
      </c>
      <c r="M3031" s="337"/>
    </row>
    <row r="3032" spans="1:13" s="71" customFormat="1" ht="26.4" customHeight="1">
      <c r="A3032" s="282">
        <v>344</v>
      </c>
      <c r="B3032" s="534"/>
      <c r="C3032" s="355" t="s">
        <v>1169</v>
      </c>
      <c r="D3032" s="307" t="s">
        <v>3767</v>
      </c>
      <c r="E3032" s="260" t="s">
        <v>3768</v>
      </c>
      <c r="F3032" s="352">
        <v>20301</v>
      </c>
      <c r="G3032" s="311">
        <v>1976</v>
      </c>
      <c r="H3032" s="340" t="s">
        <v>2658</v>
      </c>
      <c r="I3032" s="313">
        <v>150</v>
      </c>
      <c r="J3032" s="350">
        <v>0.4</v>
      </c>
      <c r="K3032" s="350">
        <v>0.4</v>
      </c>
      <c r="L3032" s="314">
        <f t="shared" si="25"/>
        <v>0</v>
      </c>
      <c r="M3032" s="337"/>
    </row>
    <row r="3033" spans="1:13" s="71" customFormat="1" ht="26.4" customHeight="1">
      <c r="A3033" s="282">
        <v>345</v>
      </c>
      <c r="B3033" s="534"/>
      <c r="C3033" s="355" t="s">
        <v>1169</v>
      </c>
      <c r="D3033" s="307" t="s">
        <v>3769</v>
      </c>
      <c r="E3033" s="260" t="s">
        <v>3770</v>
      </c>
      <c r="F3033" s="352">
        <v>20515</v>
      </c>
      <c r="G3033" s="311">
        <v>1976</v>
      </c>
      <c r="H3033" s="340" t="s">
        <v>2658</v>
      </c>
      <c r="I3033" s="313">
        <v>150</v>
      </c>
      <c r="J3033" s="350">
        <v>0.4</v>
      </c>
      <c r="K3033" s="350">
        <v>0.4</v>
      </c>
      <c r="L3033" s="314">
        <f t="shared" si="25"/>
        <v>0</v>
      </c>
      <c r="M3033" s="337"/>
    </row>
    <row r="3034" spans="1:13" s="71" customFormat="1" ht="26.4" customHeight="1">
      <c r="A3034" s="282">
        <v>346</v>
      </c>
      <c r="B3034" s="534"/>
      <c r="C3034" s="355" t="s">
        <v>1169</v>
      </c>
      <c r="D3034" s="307" t="s">
        <v>3769</v>
      </c>
      <c r="E3034" s="260" t="s">
        <v>3770</v>
      </c>
      <c r="F3034" s="352">
        <v>20261</v>
      </c>
      <c r="G3034" s="311">
        <v>1976</v>
      </c>
      <c r="H3034" s="340" t="s">
        <v>2658</v>
      </c>
      <c r="I3034" s="313">
        <v>550</v>
      </c>
      <c r="J3034" s="350">
        <v>1.4</v>
      </c>
      <c r="K3034" s="350">
        <v>1.3</v>
      </c>
      <c r="L3034" s="314">
        <f t="shared" si="25"/>
        <v>9.9999999999999867E-2</v>
      </c>
      <c r="M3034" s="337"/>
    </row>
    <row r="3035" spans="1:13" s="71" customFormat="1" ht="26.4" customHeight="1">
      <c r="A3035" s="282">
        <v>347</v>
      </c>
      <c r="B3035" s="534"/>
      <c r="C3035" s="307" t="s">
        <v>3471</v>
      </c>
      <c r="D3035" s="307" t="s">
        <v>3771</v>
      </c>
      <c r="E3035" s="260" t="s">
        <v>3772</v>
      </c>
      <c r="F3035" s="352">
        <v>20468</v>
      </c>
      <c r="G3035" s="311">
        <v>1976</v>
      </c>
      <c r="H3035" s="340" t="s">
        <v>2658</v>
      </c>
      <c r="I3035" s="313">
        <v>200</v>
      </c>
      <c r="J3035" s="350">
        <v>0.5</v>
      </c>
      <c r="K3035" s="350">
        <v>0.5</v>
      </c>
      <c r="L3035" s="314">
        <f t="shared" si="25"/>
        <v>0</v>
      </c>
      <c r="M3035" s="337"/>
    </row>
    <row r="3036" spans="1:13" s="71" customFormat="1" ht="26.4" customHeight="1">
      <c r="A3036" s="282">
        <v>348</v>
      </c>
      <c r="B3036" s="534"/>
      <c r="C3036" s="355" t="s">
        <v>1169</v>
      </c>
      <c r="D3036" s="307" t="s">
        <v>3773</v>
      </c>
      <c r="E3036" s="260" t="s">
        <v>3774</v>
      </c>
      <c r="F3036" s="352">
        <v>20214</v>
      </c>
      <c r="G3036" s="311">
        <v>1976</v>
      </c>
      <c r="H3036" s="340" t="s">
        <v>2658</v>
      </c>
      <c r="I3036" s="313">
        <v>180</v>
      </c>
      <c r="J3036" s="350">
        <v>1.2</v>
      </c>
      <c r="K3036" s="350">
        <v>1</v>
      </c>
      <c r="L3036" s="314">
        <f t="shared" si="25"/>
        <v>0.19999999999999996</v>
      </c>
      <c r="M3036" s="337"/>
    </row>
    <row r="3037" spans="1:13" s="71" customFormat="1" ht="26.4" customHeight="1">
      <c r="A3037" s="282">
        <v>349</v>
      </c>
      <c r="B3037" s="534"/>
      <c r="C3037" s="307" t="s">
        <v>3471</v>
      </c>
      <c r="D3037" s="307" t="s">
        <v>3775</v>
      </c>
      <c r="E3037" s="260" t="s">
        <v>3776</v>
      </c>
      <c r="F3037" s="352">
        <v>20422</v>
      </c>
      <c r="G3037" s="311">
        <v>1976</v>
      </c>
      <c r="H3037" s="340" t="s">
        <v>2658</v>
      </c>
      <c r="I3037" s="313">
        <v>230</v>
      </c>
      <c r="J3037" s="350">
        <v>0.6</v>
      </c>
      <c r="K3037" s="350">
        <v>0.5</v>
      </c>
      <c r="L3037" s="314">
        <f t="shared" si="25"/>
        <v>9.9999999999999978E-2</v>
      </c>
      <c r="M3037" s="337"/>
    </row>
    <row r="3038" spans="1:13" s="71" customFormat="1" ht="26.4" customHeight="1">
      <c r="A3038" s="282">
        <v>350</v>
      </c>
      <c r="B3038" s="534"/>
      <c r="C3038" s="355" t="s">
        <v>1169</v>
      </c>
      <c r="D3038" s="307" t="s">
        <v>3777</v>
      </c>
      <c r="E3038" s="260" t="s">
        <v>3778</v>
      </c>
      <c r="F3038" s="352">
        <v>20337</v>
      </c>
      <c r="G3038" s="311">
        <v>1976</v>
      </c>
      <c r="H3038" s="340" t="s">
        <v>2658</v>
      </c>
      <c r="I3038" s="313">
        <v>100</v>
      </c>
      <c r="J3038" s="350">
        <v>0.3</v>
      </c>
      <c r="K3038" s="350">
        <v>0.2</v>
      </c>
      <c r="L3038" s="314">
        <f t="shared" si="25"/>
        <v>9.9999999999999978E-2</v>
      </c>
      <c r="M3038" s="337"/>
    </row>
    <row r="3039" spans="1:13" s="71" customFormat="1" ht="26.4" customHeight="1">
      <c r="A3039" s="282">
        <v>351</v>
      </c>
      <c r="B3039" s="534"/>
      <c r="C3039" s="307" t="s">
        <v>3392</v>
      </c>
      <c r="D3039" s="307" t="s">
        <v>3779</v>
      </c>
      <c r="E3039" s="260" t="s">
        <v>3780</v>
      </c>
      <c r="F3039" s="352">
        <v>20484</v>
      </c>
      <c r="G3039" s="311">
        <v>1976</v>
      </c>
      <c r="H3039" s="340" t="s">
        <v>2658</v>
      </c>
      <c r="I3039" s="313">
        <v>650</v>
      </c>
      <c r="J3039" s="350">
        <v>1.9</v>
      </c>
      <c r="K3039" s="350">
        <v>1.5</v>
      </c>
      <c r="L3039" s="314">
        <f t="shared" si="25"/>
        <v>0.39999999999999991</v>
      </c>
      <c r="M3039" s="337"/>
    </row>
    <row r="3040" spans="1:13" s="71" customFormat="1" ht="26.4" customHeight="1">
      <c r="A3040" s="282">
        <v>352</v>
      </c>
      <c r="B3040" s="534"/>
      <c r="C3040" s="355" t="s">
        <v>1169</v>
      </c>
      <c r="D3040" s="307" t="s">
        <v>3781</v>
      </c>
      <c r="E3040" s="260" t="s">
        <v>3780</v>
      </c>
      <c r="F3040" s="352">
        <v>200421</v>
      </c>
      <c r="G3040" s="311">
        <v>1969</v>
      </c>
      <c r="H3040" s="340" t="s">
        <v>2658</v>
      </c>
      <c r="I3040" s="313">
        <v>300</v>
      </c>
      <c r="J3040" s="350">
        <v>3.7</v>
      </c>
      <c r="K3040" s="350">
        <v>3.4</v>
      </c>
      <c r="L3040" s="314">
        <f t="shared" si="25"/>
        <v>0.30000000000000027</v>
      </c>
      <c r="M3040" s="337"/>
    </row>
    <row r="3041" spans="1:13" s="71" customFormat="1" ht="26.4" customHeight="1">
      <c r="A3041" s="282">
        <v>353</v>
      </c>
      <c r="B3041" s="534"/>
      <c r="C3041" s="355" t="s">
        <v>1169</v>
      </c>
      <c r="D3041" s="307" t="s">
        <v>3782</v>
      </c>
      <c r="E3041" s="260" t="s">
        <v>3783</v>
      </c>
      <c r="F3041" s="352">
        <v>200331</v>
      </c>
      <c r="G3041" s="311">
        <v>1968</v>
      </c>
      <c r="H3041" s="340" t="s">
        <v>2658</v>
      </c>
      <c r="I3041" s="313">
        <v>308</v>
      </c>
      <c r="J3041" s="350">
        <v>4.3</v>
      </c>
      <c r="K3041" s="350">
        <v>4</v>
      </c>
      <c r="L3041" s="314">
        <f t="shared" si="25"/>
        <v>0.29999999999999982</v>
      </c>
      <c r="M3041" s="337"/>
    </row>
    <row r="3042" spans="1:13" s="71" customFormat="1" ht="26.4" customHeight="1">
      <c r="A3042" s="282">
        <v>354</v>
      </c>
      <c r="B3042" s="534"/>
      <c r="C3042" s="355" t="s">
        <v>1169</v>
      </c>
      <c r="D3042" s="307" t="s">
        <v>3784</v>
      </c>
      <c r="E3042" s="260" t="s">
        <v>3785</v>
      </c>
      <c r="F3042" s="352">
        <v>20216</v>
      </c>
      <c r="G3042" s="311">
        <v>1976</v>
      </c>
      <c r="H3042" s="340" t="s">
        <v>2658</v>
      </c>
      <c r="I3042" s="313">
        <v>180</v>
      </c>
      <c r="J3042" s="350">
        <v>0.3</v>
      </c>
      <c r="K3042" s="350">
        <v>0.2</v>
      </c>
      <c r="L3042" s="314">
        <f t="shared" si="25"/>
        <v>9.9999999999999978E-2</v>
      </c>
      <c r="M3042" s="337"/>
    </row>
    <row r="3043" spans="1:13" s="71" customFormat="1" ht="26.4" customHeight="1">
      <c r="A3043" s="282">
        <v>355</v>
      </c>
      <c r="B3043" s="534"/>
      <c r="C3043" s="355" t="s">
        <v>1169</v>
      </c>
      <c r="D3043" s="307" t="s">
        <v>3786</v>
      </c>
      <c r="E3043" s="260" t="s">
        <v>3787</v>
      </c>
      <c r="F3043" s="352">
        <v>200351</v>
      </c>
      <c r="G3043" s="311">
        <v>1968</v>
      </c>
      <c r="H3043" s="340" t="s">
        <v>2658</v>
      </c>
      <c r="I3043" s="313">
        <v>820</v>
      </c>
      <c r="J3043" s="350">
        <v>17</v>
      </c>
      <c r="K3043" s="350">
        <v>15.2</v>
      </c>
      <c r="L3043" s="314">
        <f t="shared" si="25"/>
        <v>1.8000000000000007</v>
      </c>
      <c r="M3043" s="337"/>
    </row>
    <row r="3044" spans="1:13" s="71" customFormat="1" ht="26.4" customHeight="1">
      <c r="A3044" s="282">
        <v>356</v>
      </c>
      <c r="B3044" s="534"/>
      <c r="C3044" s="307" t="s">
        <v>3788</v>
      </c>
      <c r="D3044" s="307" t="s">
        <v>3789</v>
      </c>
      <c r="E3044" s="260" t="s">
        <v>3790</v>
      </c>
      <c r="F3044" s="352">
        <v>20477</v>
      </c>
      <c r="G3044" s="311">
        <v>1976</v>
      </c>
      <c r="H3044" s="340" t="s">
        <v>2658</v>
      </c>
      <c r="I3044" s="313" t="s">
        <v>3220</v>
      </c>
      <c r="J3044" s="350">
        <v>0.9</v>
      </c>
      <c r="K3044" s="350">
        <v>0.8</v>
      </c>
      <c r="L3044" s="314">
        <f t="shared" si="25"/>
        <v>9.9999999999999978E-2</v>
      </c>
      <c r="M3044" s="337"/>
    </row>
    <row r="3045" spans="1:13" s="71" customFormat="1" ht="26.4" customHeight="1">
      <c r="A3045" s="282">
        <v>357</v>
      </c>
      <c r="B3045" s="534"/>
      <c r="C3045" s="355" t="s">
        <v>1169</v>
      </c>
      <c r="D3045" s="307" t="s">
        <v>3660</v>
      </c>
      <c r="E3045" s="260" t="s">
        <v>3791</v>
      </c>
      <c r="F3045" s="352">
        <v>20485</v>
      </c>
      <c r="G3045" s="311">
        <v>1976</v>
      </c>
      <c r="H3045" s="340" t="s">
        <v>2658</v>
      </c>
      <c r="I3045" s="313" t="s">
        <v>3220</v>
      </c>
      <c r="J3045" s="350">
        <v>0.9</v>
      </c>
      <c r="K3045" s="350">
        <v>0.8</v>
      </c>
      <c r="L3045" s="314">
        <f t="shared" si="25"/>
        <v>9.9999999999999978E-2</v>
      </c>
      <c r="M3045" s="337"/>
    </row>
    <row r="3046" spans="1:13" s="358" customFormat="1" ht="26.4" customHeight="1">
      <c r="A3046" s="282">
        <v>358</v>
      </c>
      <c r="B3046" s="534"/>
      <c r="C3046" s="355" t="s">
        <v>1169</v>
      </c>
      <c r="D3046" s="307" t="s">
        <v>3792</v>
      </c>
      <c r="E3046" s="260" t="s">
        <v>3793</v>
      </c>
      <c r="F3046" s="352">
        <v>20171</v>
      </c>
      <c r="G3046" s="483">
        <v>1976</v>
      </c>
      <c r="H3046" s="340" t="s">
        <v>2658</v>
      </c>
      <c r="I3046" s="313">
        <v>320</v>
      </c>
      <c r="J3046" s="350">
        <v>0.9</v>
      </c>
      <c r="K3046" s="350">
        <v>0.8</v>
      </c>
      <c r="L3046" s="314">
        <f t="shared" si="25"/>
        <v>9.9999999999999978E-2</v>
      </c>
      <c r="M3046" s="357"/>
    </row>
    <row r="3047" spans="1:13" s="71" customFormat="1" ht="26.4" customHeight="1">
      <c r="A3047" s="282">
        <v>359</v>
      </c>
      <c r="B3047" s="534"/>
      <c r="C3047" s="307" t="s">
        <v>3794</v>
      </c>
      <c r="D3047" s="307" t="s">
        <v>3795</v>
      </c>
      <c r="E3047" s="260" t="s">
        <v>3796</v>
      </c>
      <c r="F3047" s="352">
        <v>20496</v>
      </c>
      <c r="G3047" s="311">
        <v>1976</v>
      </c>
      <c r="H3047" s="340" t="s">
        <v>2658</v>
      </c>
      <c r="I3047" s="313">
        <v>420</v>
      </c>
      <c r="J3047" s="350">
        <v>1.2</v>
      </c>
      <c r="K3047" s="350">
        <v>0.9</v>
      </c>
      <c r="L3047" s="314">
        <f t="shared" si="25"/>
        <v>0.29999999999999993</v>
      </c>
      <c r="M3047" s="337"/>
    </row>
    <row r="3048" spans="1:13" s="71" customFormat="1" ht="26.4" customHeight="1">
      <c r="A3048" s="282">
        <v>360</v>
      </c>
      <c r="B3048" s="534"/>
      <c r="C3048" s="307" t="s">
        <v>3329</v>
      </c>
      <c r="D3048" s="307" t="s">
        <v>3797</v>
      </c>
      <c r="E3048" s="260" t="s">
        <v>3798</v>
      </c>
      <c r="F3048" s="352">
        <v>20388</v>
      </c>
      <c r="G3048" s="311">
        <v>1976</v>
      </c>
      <c r="H3048" s="340" t="s">
        <v>2658</v>
      </c>
      <c r="I3048" s="313">
        <v>700</v>
      </c>
      <c r="J3048" s="350">
        <v>3</v>
      </c>
      <c r="K3048" s="350">
        <v>2.8</v>
      </c>
      <c r="L3048" s="314">
        <f t="shared" si="25"/>
        <v>0.20000000000000018</v>
      </c>
      <c r="M3048" s="337"/>
    </row>
    <row r="3049" spans="1:13" s="71" customFormat="1" ht="26.4" customHeight="1">
      <c r="A3049" s="282">
        <v>361</v>
      </c>
      <c r="B3049" s="534"/>
      <c r="C3049" s="355" t="s">
        <v>1169</v>
      </c>
      <c r="D3049" s="307" t="s">
        <v>3799</v>
      </c>
      <c r="E3049" s="260" t="s">
        <v>3800</v>
      </c>
      <c r="F3049" s="352">
        <v>20296</v>
      </c>
      <c r="G3049" s="311">
        <v>1976</v>
      </c>
      <c r="H3049" s="340" t="s">
        <v>2658</v>
      </c>
      <c r="I3049" s="313">
        <v>100</v>
      </c>
      <c r="J3049" s="350">
        <v>0.3</v>
      </c>
      <c r="K3049" s="350">
        <v>0.2</v>
      </c>
      <c r="L3049" s="314">
        <f t="shared" si="25"/>
        <v>9.9999999999999978E-2</v>
      </c>
      <c r="M3049" s="337"/>
    </row>
    <row r="3050" spans="1:13" s="71" customFormat="1" ht="26.4" customHeight="1">
      <c r="A3050" s="282">
        <v>362</v>
      </c>
      <c r="B3050" s="534"/>
      <c r="C3050" s="355" t="s">
        <v>1169</v>
      </c>
      <c r="D3050" s="307" t="s">
        <v>3801</v>
      </c>
      <c r="E3050" s="260" t="s">
        <v>3802</v>
      </c>
      <c r="F3050" s="352">
        <v>20255</v>
      </c>
      <c r="G3050" s="311">
        <v>1976</v>
      </c>
      <c r="H3050" s="340" t="s">
        <v>2658</v>
      </c>
      <c r="I3050" s="313">
        <v>300</v>
      </c>
      <c r="J3050" s="350">
        <v>0.8</v>
      </c>
      <c r="K3050" s="350">
        <v>0.7</v>
      </c>
      <c r="L3050" s="314">
        <f t="shared" si="25"/>
        <v>0.10000000000000009</v>
      </c>
      <c r="M3050" s="337"/>
    </row>
    <row r="3051" spans="1:13" s="71" customFormat="1" ht="26.4" customHeight="1">
      <c r="A3051" s="282">
        <v>363</v>
      </c>
      <c r="B3051" s="534"/>
      <c r="C3051" s="307" t="s">
        <v>3705</v>
      </c>
      <c r="D3051" s="307" t="s">
        <v>3803</v>
      </c>
      <c r="E3051" s="260" t="s">
        <v>3804</v>
      </c>
      <c r="F3051" s="352">
        <v>20520</v>
      </c>
      <c r="G3051" s="311">
        <v>1976</v>
      </c>
      <c r="H3051" s="340" t="s">
        <v>2658</v>
      </c>
      <c r="I3051" s="313">
        <v>3000</v>
      </c>
      <c r="J3051" s="350">
        <v>1.8</v>
      </c>
      <c r="K3051" s="350">
        <v>1.7</v>
      </c>
      <c r="L3051" s="314">
        <f t="shared" si="25"/>
        <v>0.10000000000000009</v>
      </c>
      <c r="M3051" s="337"/>
    </row>
    <row r="3052" spans="1:13" s="71" customFormat="1" ht="26.4" customHeight="1">
      <c r="A3052" s="282">
        <v>364</v>
      </c>
      <c r="B3052" s="534"/>
      <c r="C3052" s="355" t="s">
        <v>1169</v>
      </c>
      <c r="D3052" s="307" t="s">
        <v>3805</v>
      </c>
      <c r="E3052" s="260" t="s">
        <v>3806</v>
      </c>
      <c r="F3052" s="352">
        <v>20206</v>
      </c>
      <c r="G3052" s="311">
        <v>1976</v>
      </c>
      <c r="H3052" s="340" t="s">
        <v>2658</v>
      </c>
      <c r="I3052" s="313">
        <v>400</v>
      </c>
      <c r="J3052" s="350">
        <v>2.2000000000000002</v>
      </c>
      <c r="K3052" s="350">
        <v>1.7</v>
      </c>
      <c r="L3052" s="314">
        <f t="shared" si="25"/>
        <v>0.50000000000000022</v>
      </c>
      <c r="M3052" s="337"/>
    </row>
    <row r="3053" spans="1:13" s="71" customFormat="1" ht="26.4" customHeight="1">
      <c r="A3053" s="282">
        <v>365</v>
      </c>
      <c r="B3053" s="534"/>
      <c r="C3053" s="355" t="s">
        <v>1169</v>
      </c>
      <c r="D3053" s="307" t="s">
        <v>3807</v>
      </c>
      <c r="E3053" s="260" t="s">
        <v>13277</v>
      </c>
      <c r="F3053" s="352">
        <v>20268</v>
      </c>
      <c r="G3053" s="311">
        <v>1976</v>
      </c>
      <c r="H3053" s="340" t="s">
        <v>2658</v>
      </c>
      <c r="I3053" s="313">
        <v>1300</v>
      </c>
      <c r="J3053" s="350">
        <v>5.3</v>
      </c>
      <c r="K3053" s="350">
        <v>4.0999999999999996</v>
      </c>
      <c r="L3053" s="314">
        <f t="shared" si="25"/>
        <v>1.2000000000000002</v>
      </c>
      <c r="M3053" s="337"/>
    </row>
    <row r="3054" spans="1:13" s="71" customFormat="1" ht="26.4" customHeight="1">
      <c r="A3054" s="282">
        <v>366</v>
      </c>
      <c r="B3054" s="534"/>
      <c r="C3054" s="355" t="s">
        <v>1169</v>
      </c>
      <c r="D3054" s="307" t="s">
        <v>3808</v>
      </c>
      <c r="E3054" s="260" t="s">
        <v>13277</v>
      </c>
      <c r="F3054" s="352">
        <v>20289</v>
      </c>
      <c r="G3054" s="311">
        <v>1976</v>
      </c>
      <c r="H3054" s="340" t="s">
        <v>2658</v>
      </c>
      <c r="I3054" s="313">
        <v>350</v>
      </c>
      <c r="J3054" s="350">
        <v>2.1</v>
      </c>
      <c r="K3054" s="350">
        <v>1.9</v>
      </c>
      <c r="L3054" s="314">
        <f t="shared" si="25"/>
        <v>0.20000000000000018</v>
      </c>
      <c r="M3054" s="337"/>
    </row>
    <row r="3055" spans="1:13" s="71" customFormat="1" ht="26.4" customHeight="1">
      <c r="A3055" s="282">
        <v>367</v>
      </c>
      <c r="B3055" s="534"/>
      <c r="C3055" s="355" t="s">
        <v>1169</v>
      </c>
      <c r="D3055" s="307" t="s">
        <v>3809</v>
      </c>
      <c r="E3055" s="260" t="s">
        <v>3810</v>
      </c>
      <c r="F3055" s="352">
        <v>20267</v>
      </c>
      <c r="G3055" s="311">
        <v>1976</v>
      </c>
      <c r="H3055" s="340" t="s">
        <v>2658</v>
      </c>
      <c r="I3055" s="313">
        <v>1000</v>
      </c>
      <c r="J3055" s="350">
        <v>2.8</v>
      </c>
      <c r="K3055" s="350">
        <v>2.2000000000000002</v>
      </c>
      <c r="L3055" s="314">
        <f t="shared" si="25"/>
        <v>0.59999999999999964</v>
      </c>
      <c r="M3055" s="337"/>
    </row>
    <row r="3056" spans="1:13" s="71" customFormat="1" ht="26.4" customHeight="1">
      <c r="A3056" s="282">
        <v>368</v>
      </c>
      <c r="B3056" s="534"/>
      <c r="C3056" s="307" t="s">
        <v>3811</v>
      </c>
      <c r="D3056" s="307" t="s">
        <v>3812</v>
      </c>
      <c r="E3056" s="260" t="s">
        <v>3813</v>
      </c>
      <c r="F3056" s="352">
        <v>20518</v>
      </c>
      <c r="G3056" s="311">
        <v>1976</v>
      </c>
      <c r="H3056" s="340" t="s">
        <v>2658</v>
      </c>
      <c r="I3056" s="313">
        <v>650</v>
      </c>
      <c r="J3056" s="350">
        <v>1.9</v>
      </c>
      <c r="K3056" s="350">
        <v>1.5</v>
      </c>
      <c r="L3056" s="314">
        <f t="shared" si="25"/>
        <v>0.39999999999999991</v>
      </c>
      <c r="M3056" s="337"/>
    </row>
    <row r="3057" spans="1:13" s="71" customFormat="1" ht="26.4" customHeight="1">
      <c r="A3057" s="282">
        <v>369</v>
      </c>
      <c r="B3057" s="534"/>
      <c r="C3057" s="355" t="s">
        <v>1169</v>
      </c>
      <c r="D3057" s="307" t="s">
        <v>3814</v>
      </c>
      <c r="E3057" s="260" t="s">
        <v>3815</v>
      </c>
      <c r="F3057" s="352">
        <v>20189</v>
      </c>
      <c r="G3057" s="311">
        <v>1976</v>
      </c>
      <c r="H3057" s="340" t="s">
        <v>2658</v>
      </c>
      <c r="I3057" s="313">
        <v>130</v>
      </c>
      <c r="J3057" s="350">
        <v>0.4</v>
      </c>
      <c r="K3057" s="350">
        <v>0.3</v>
      </c>
      <c r="L3057" s="314">
        <f t="shared" si="25"/>
        <v>0.10000000000000003</v>
      </c>
      <c r="M3057" s="337"/>
    </row>
    <row r="3058" spans="1:13" s="71" customFormat="1" ht="26.4" customHeight="1">
      <c r="A3058" s="282">
        <v>370</v>
      </c>
      <c r="B3058" s="534"/>
      <c r="C3058" s="355" t="s">
        <v>1169</v>
      </c>
      <c r="D3058" s="307" t="s">
        <v>3816</v>
      </c>
      <c r="E3058" s="260" t="s">
        <v>3817</v>
      </c>
      <c r="F3058" s="352">
        <v>20384</v>
      </c>
      <c r="G3058" s="311">
        <v>1976</v>
      </c>
      <c r="H3058" s="340" t="s">
        <v>2658</v>
      </c>
      <c r="I3058" s="313">
        <v>120</v>
      </c>
      <c r="J3058" s="350">
        <v>0.3</v>
      </c>
      <c r="K3058" s="350">
        <v>0.3</v>
      </c>
      <c r="L3058" s="314">
        <f t="shared" si="25"/>
        <v>0</v>
      </c>
      <c r="M3058" s="337"/>
    </row>
    <row r="3059" spans="1:13" s="71" customFormat="1" ht="26.4" customHeight="1">
      <c r="A3059" s="282">
        <v>371</v>
      </c>
      <c r="B3059" s="534"/>
      <c r="C3059" s="307" t="s">
        <v>3471</v>
      </c>
      <c r="D3059" s="307" t="s">
        <v>3818</v>
      </c>
      <c r="E3059" s="260" t="s">
        <v>3819</v>
      </c>
      <c r="F3059" s="352">
        <v>20459</v>
      </c>
      <c r="G3059" s="311">
        <v>1976</v>
      </c>
      <c r="H3059" s="340" t="s">
        <v>2658</v>
      </c>
      <c r="I3059" s="313">
        <v>230</v>
      </c>
      <c r="J3059" s="350">
        <v>1.1000000000000001</v>
      </c>
      <c r="K3059" s="350">
        <v>0.9</v>
      </c>
      <c r="L3059" s="314">
        <f t="shared" si="25"/>
        <v>0.20000000000000007</v>
      </c>
      <c r="M3059" s="337"/>
    </row>
    <row r="3060" spans="1:13" s="71" customFormat="1" ht="26.4" customHeight="1">
      <c r="A3060" s="282">
        <v>372</v>
      </c>
      <c r="B3060" s="534"/>
      <c r="C3060" s="355" t="s">
        <v>1169</v>
      </c>
      <c r="D3060" s="307" t="s">
        <v>3816</v>
      </c>
      <c r="E3060" s="260" t="s">
        <v>3817</v>
      </c>
      <c r="F3060" s="352">
        <v>20213</v>
      </c>
      <c r="G3060" s="311">
        <v>1976</v>
      </c>
      <c r="H3060" s="340" t="s">
        <v>2658</v>
      </c>
      <c r="I3060" s="313">
        <v>350</v>
      </c>
      <c r="J3060" s="350">
        <v>0.9</v>
      </c>
      <c r="K3060" s="350">
        <v>0.8</v>
      </c>
      <c r="L3060" s="314">
        <f t="shared" si="25"/>
        <v>9.9999999999999978E-2</v>
      </c>
      <c r="M3060" s="337"/>
    </row>
    <row r="3061" spans="1:13" s="71" customFormat="1" ht="26.4" customHeight="1">
      <c r="A3061" s="282">
        <v>373</v>
      </c>
      <c r="B3061" s="534"/>
      <c r="C3061" s="355" t="s">
        <v>1169</v>
      </c>
      <c r="D3061" s="307" t="s">
        <v>3820</v>
      </c>
      <c r="E3061" s="260" t="s">
        <v>3821</v>
      </c>
      <c r="F3061" s="352">
        <v>20125</v>
      </c>
      <c r="G3061" s="311">
        <v>1969</v>
      </c>
      <c r="H3061" s="340" t="s">
        <v>2658</v>
      </c>
      <c r="I3061" s="313">
        <v>550</v>
      </c>
      <c r="J3061" s="350">
        <v>4.5</v>
      </c>
      <c r="K3061" s="350">
        <v>4.0999999999999996</v>
      </c>
      <c r="L3061" s="314">
        <f t="shared" si="25"/>
        <v>0.40000000000000036</v>
      </c>
      <c r="M3061" s="337"/>
    </row>
    <row r="3062" spans="1:13" s="71" customFormat="1" ht="26.4" customHeight="1">
      <c r="A3062" s="282">
        <v>374</v>
      </c>
      <c r="B3062" s="534"/>
      <c r="C3062" s="355" t="s">
        <v>1169</v>
      </c>
      <c r="D3062" s="307" t="s">
        <v>3822</v>
      </c>
      <c r="E3062" s="260" t="s">
        <v>3823</v>
      </c>
      <c r="F3062" s="352">
        <v>20269</v>
      </c>
      <c r="G3062" s="311">
        <v>1976</v>
      </c>
      <c r="H3062" s="340" t="s">
        <v>2658</v>
      </c>
      <c r="I3062" s="313">
        <v>160</v>
      </c>
      <c r="J3062" s="350">
        <v>0.4</v>
      </c>
      <c r="K3062" s="350">
        <v>0.4</v>
      </c>
      <c r="L3062" s="314">
        <f t="shared" si="25"/>
        <v>0</v>
      </c>
      <c r="M3062" s="337"/>
    </row>
    <row r="3063" spans="1:13" s="71" customFormat="1" ht="26.4" customHeight="1">
      <c r="A3063" s="282">
        <v>375</v>
      </c>
      <c r="B3063" s="534"/>
      <c r="C3063" s="307" t="s">
        <v>3329</v>
      </c>
      <c r="D3063" s="307" t="s">
        <v>3824</v>
      </c>
      <c r="E3063" s="260" t="s">
        <v>3825</v>
      </c>
      <c r="F3063" s="352">
        <v>20410</v>
      </c>
      <c r="G3063" s="311">
        <v>1976</v>
      </c>
      <c r="H3063" s="340" t="s">
        <v>2658</v>
      </c>
      <c r="I3063" s="313">
        <v>800</v>
      </c>
      <c r="J3063" s="350">
        <v>4.2</v>
      </c>
      <c r="K3063" s="350">
        <v>3.3</v>
      </c>
      <c r="L3063" s="314">
        <f t="shared" si="25"/>
        <v>0.90000000000000036</v>
      </c>
      <c r="M3063" s="337"/>
    </row>
    <row r="3064" spans="1:13" s="71" customFormat="1" ht="26.4" customHeight="1">
      <c r="A3064" s="282">
        <v>376</v>
      </c>
      <c r="B3064" s="534"/>
      <c r="C3064" s="307" t="s">
        <v>3329</v>
      </c>
      <c r="D3064" s="307" t="s">
        <v>3826</v>
      </c>
      <c r="E3064" s="260" t="s">
        <v>3827</v>
      </c>
      <c r="F3064" s="352">
        <v>20495</v>
      </c>
      <c r="G3064" s="311">
        <v>1976</v>
      </c>
      <c r="H3064" s="340" t="s">
        <v>2658</v>
      </c>
      <c r="I3064" s="313">
        <v>600</v>
      </c>
      <c r="J3064" s="350">
        <v>1.5</v>
      </c>
      <c r="K3064" s="350">
        <v>1.4</v>
      </c>
      <c r="L3064" s="314">
        <f t="shared" si="25"/>
        <v>0.10000000000000009</v>
      </c>
      <c r="M3064" s="337"/>
    </row>
    <row r="3065" spans="1:13" s="71" customFormat="1" ht="26.4" customHeight="1">
      <c r="A3065" s="282">
        <v>377</v>
      </c>
      <c r="B3065" s="534"/>
      <c r="C3065" s="355" t="s">
        <v>1169</v>
      </c>
      <c r="D3065" s="307" t="s">
        <v>3828</v>
      </c>
      <c r="E3065" s="260" t="s">
        <v>3827</v>
      </c>
      <c r="F3065" s="352">
        <v>20242</v>
      </c>
      <c r="G3065" s="311">
        <v>1976</v>
      </c>
      <c r="H3065" s="340" t="s">
        <v>2658</v>
      </c>
      <c r="I3065" s="313">
        <v>700</v>
      </c>
      <c r="J3065" s="350">
        <v>2.9</v>
      </c>
      <c r="K3065" s="350">
        <v>2.2999999999999998</v>
      </c>
      <c r="L3065" s="314">
        <f t="shared" si="25"/>
        <v>0.60000000000000009</v>
      </c>
      <c r="M3065" s="337"/>
    </row>
    <row r="3066" spans="1:13" s="71" customFormat="1" ht="26.4" customHeight="1">
      <c r="A3066" s="282">
        <v>378</v>
      </c>
      <c r="B3066" s="534"/>
      <c r="C3066" s="355" t="s">
        <v>1169</v>
      </c>
      <c r="D3066" s="307" t="s">
        <v>3829</v>
      </c>
      <c r="E3066" s="260" t="s">
        <v>12679</v>
      </c>
      <c r="F3066" s="352">
        <v>20244</v>
      </c>
      <c r="G3066" s="311">
        <v>1976</v>
      </c>
      <c r="H3066" s="340" t="s">
        <v>2658</v>
      </c>
      <c r="I3066" s="313">
        <v>400</v>
      </c>
      <c r="J3066" s="350">
        <v>2.2000000000000002</v>
      </c>
      <c r="K3066" s="350">
        <v>1.7</v>
      </c>
      <c r="L3066" s="314">
        <f t="shared" si="25"/>
        <v>0.50000000000000022</v>
      </c>
      <c r="M3066" s="337"/>
    </row>
    <row r="3067" spans="1:13" s="71" customFormat="1" ht="26.4" customHeight="1">
      <c r="A3067" s="282">
        <v>379</v>
      </c>
      <c r="B3067" s="534"/>
      <c r="C3067" s="307" t="s">
        <v>3471</v>
      </c>
      <c r="D3067" s="307" t="s">
        <v>3830</v>
      </c>
      <c r="E3067" s="260" t="s">
        <v>3831</v>
      </c>
      <c r="F3067" s="352">
        <v>20440</v>
      </c>
      <c r="G3067" s="311">
        <v>1976</v>
      </c>
      <c r="H3067" s="340" t="s">
        <v>2658</v>
      </c>
      <c r="I3067" s="313">
        <v>640</v>
      </c>
      <c r="J3067" s="350">
        <v>1.9</v>
      </c>
      <c r="K3067" s="350">
        <v>1.4</v>
      </c>
      <c r="L3067" s="314">
        <f t="shared" si="25"/>
        <v>0.5</v>
      </c>
      <c r="M3067" s="337"/>
    </row>
    <row r="3068" spans="1:13" s="71" customFormat="1" ht="26.4" customHeight="1">
      <c r="A3068" s="282">
        <v>380</v>
      </c>
      <c r="B3068" s="534"/>
      <c r="C3068" s="355" t="s">
        <v>1169</v>
      </c>
      <c r="D3068" s="307" t="s">
        <v>3832</v>
      </c>
      <c r="E3068" s="260" t="s">
        <v>3833</v>
      </c>
      <c r="F3068" s="352">
        <v>20363</v>
      </c>
      <c r="G3068" s="311">
        <v>1976</v>
      </c>
      <c r="H3068" s="340" t="s">
        <v>2658</v>
      </c>
      <c r="I3068" s="313">
        <v>180</v>
      </c>
      <c r="J3068" s="350">
        <v>0.5</v>
      </c>
      <c r="K3068" s="350">
        <v>0.5</v>
      </c>
      <c r="L3068" s="314">
        <f t="shared" si="25"/>
        <v>0</v>
      </c>
      <c r="M3068" s="337"/>
    </row>
    <row r="3069" spans="1:13" s="71" customFormat="1" ht="26.4" customHeight="1">
      <c r="A3069" s="282">
        <v>381</v>
      </c>
      <c r="B3069" s="534"/>
      <c r="C3069" s="355" t="s">
        <v>1169</v>
      </c>
      <c r="D3069" s="307" t="s">
        <v>3830</v>
      </c>
      <c r="E3069" s="260" t="s">
        <v>3834</v>
      </c>
      <c r="F3069" s="352">
        <v>20172</v>
      </c>
      <c r="G3069" s="311">
        <v>1976</v>
      </c>
      <c r="H3069" s="340" t="s">
        <v>2658</v>
      </c>
      <c r="I3069" s="313">
        <v>340</v>
      </c>
      <c r="J3069" s="350">
        <v>1</v>
      </c>
      <c r="K3069" s="350">
        <v>0.9</v>
      </c>
      <c r="L3069" s="314">
        <f t="shared" si="25"/>
        <v>9.9999999999999978E-2</v>
      </c>
      <c r="M3069" s="337"/>
    </row>
    <row r="3070" spans="1:13" s="71" customFormat="1" ht="26.4" customHeight="1">
      <c r="A3070" s="282">
        <v>382</v>
      </c>
      <c r="B3070" s="534"/>
      <c r="C3070" s="307" t="s">
        <v>3705</v>
      </c>
      <c r="D3070" s="307" t="s">
        <v>3835</v>
      </c>
      <c r="E3070" s="260" t="s">
        <v>3836</v>
      </c>
      <c r="F3070" s="352">
        <v>20644</v>
      </c>
      <c r="G3070" s="311">
        <v>1996</v>
      </c>
      <c r="H3070" s="340" t="s">
        <v>2658</v>
      </c>
      <c r="I3070" s="313">
        <v>300</v>
      </c>
      <c r="J3070" s="350">
        <v>3.8</v>
      </c>
      <c r="K3070" s="350">
        <v>3</v>
      </c>
      <c r="L3070" s="314">
        <f t="shared" si="25"/>
        <v>0.79999999999999982</v>
      </c>
      <c r="M3070" s="337"/>
    </row>
    <row r="3071" spans="1:13" s="71" customFormat="1" ht="39.6">
      <c r="A3071" s="282">
        <v>383</v>
      </c>
      <c r="B3071" s="534"/>
      <c r="C3071" s="307" t="s">
        <v>3837</v>
      </c>
      <c r="D3071" s="307" t="s">
        <v>3838</v>
      </c>
      <c r="E3071" s="260" t="s">
        <v>3839</v>
      </c>
      <c r="F3071" s="352">
        <v>200171</v>
      </c>
      <c r="G3071" s="311">
        <v>1967</v>
      </c>
      <c r="H3071" s="340" t="s">
        <v>2658</v>
      </c>
      <c r="I3071" s="313">
        <v>170</v>
      </c>
      <c r="J3071" s="350">
        <v>2.4</v>
      </c>
      <c r="K3071" s="350">
        <v>2.2000000000000002</v>
      </c>
      <c r="L3071" s="314">
        <f t="shared" si="25"/>
        <v>0.19999999999999973</v>
      </c>
      <c r="M3071" s="337"/>
    </row>
    <row r="3072" spans="1:13" s="71" customFormat="1" ht="26.4" customHeight="1">
      <c r="A3072" s="282">
        <v>384</v>
      </c>
      <c r="B3072" s="534"/>
      <c r="C3072" s="307" t="s">
        <v>3737</v>
      </c>
      <c r="D3072" s="307" t="s">
        <v>3840</v>
      </c>
      <c r="E3072" s="260" t="s">
        <v>3841</v>
      </c>
      <c r="F3072" s="352">
        <v>20634</v>
      </c>
      <c r="G3072" s="311">
        <v>1985</v>
      </c>
      <c r="H3072" s="340" t="s">
        <v>2658</v>
      </c>
      <c r="I3072" s="313">
        <v>225</v>
      </c>
      <c r="J3072" s="350">
        <v>2.2999999999999998</v>
      </c>
      <c r="K3072" s="350">
        <v>2</v>
      </c>
      <c r="L3072" s="314">
        <f t="shared" si="25"/>
        <v>0.29999999999999982</v>
      </c>
      <c r="M3072" s="337"/>
    </row>
    <row r="3073" spans="1:13" s="71" customFormat="1" ht="26.4" customHeight="1">
      <c r="A3073" s="282">
        <v>385</v>
      </c>
      <c r="B3073" s="534"/>
      <c r="C3073" s="355" t="s">
        <v>1169</v>
      </c>
      <c r="D3073" s="307" t="s">
        <v>3842</v>
      </c>
      <c r="E3073" s="260" t="s">
        <v>3843</v>
      </c>
      <c r="F3073" s="352">
        <v>200371</v>
      </c>
      <c r="G3073" s="311">
        <v>1968</v>
      </c>
      <c r="H3073" s="340" t="s">
        <v>2658</v>
      </c>
      <c r="I3073" s="313">
        <v>498</v>
      </c>
      <c r="J3073" s="350">
        <v>11.8</v>
      </c>
      <c r="K3073" s="350">
        <v>9.1999999999999993</v>
      </c>
      <c r="L3073" s="314">
        <f t="shared" ref="L3073:L3136" si="26">J3073-K3073</f>
        <v>2.6000000000000014</v>
      </c>
      <c r="M3073" s="337"/>
    </row>
    <row r="3074" spans="1:13" s="71" customFormat="1" ht="26.4" customHeight="1">
      <c r="A3074" s="282">
        <v>386</v>
      </c>
      <c r="B3074" s="534"/>
      <c r="C3074" s="355" t="s">
        <v>1169</v>
      </c>
      <c r="D3074" s="307" t="s">
        <v>3844</v>
      </c>
      <c r="E3074" s="260" t="s">
        <v>3845</v>
      </c>
      <c r="F3074" s="352">
        <v>20273</v>
      </c>
      <c r="G3074" s="311">
        <v>1976</v>
      </c>
      <c r="H3074" s="340" t="s">
        <v>2658</v>
      </c>
      <c r="I3074" s="313">
        <v>450</v>
      </c>
      <c r="J3074" s="350">
        <v>1.2</v>
      </c>
      <c r="K3074" s="350">
        <v>1.1000000000000001</v>
      </c>
      <c r="L3074" s="314">
        <f t="shared" si="26"/>
        <v>9.9999999999999867E-2</v>
      </c>
      <c r="M3074" s="337"/>
    </row>
    <row r="3075" spans="1:13" s="71" customFormat="1" ht="26.4" customHeight="1">
      <c r="A3075" s="282">
        <v>387</v>
      </c>
      <c r="B3075" s="534"/>
      <c r="C3075" s="307" t="s">
        <v>3309</v>
      </c>
      <c r="D3075" s="307" t="s">
        <v>3846</v>
      </c>
      <c r="E3075" s="260" t="s">
        <v>12680</v>
      </c>
      <c r="F3075" s="352">
        <v>20519</v>
      </c>
      <c r="G3075" s="311">
        <v>1976</v>
      </c>
      <c r="H3075" s="340" t="s">
        <v>2658</v>
      </c>
      <c r="I3075" s="313">
        <v>150</v>
      </c>
      <c r="J3075" s="350">
        <v>0.4</v>
      </c>
      <c r="K3075" s="350">
        <v>0.4</v>
      </c>
      <c r="L3075" s="314">
        <f t="shared" si="26"/>
        <v>0</v>
      </c>
      <c r="M3075" s="337"/>
    </row>
    <row r="3076" spans="1:13" s="71" customFormat="1" ht="26.4" customHeight="1">
      <c r="A3076" s="282">
        <v>388</v>
      </c>
      <c r="B3076" s="534"/>
      <c r="C3076" s="355" t="s">
        <v>1169</v>
      </c>
      <c r="D3076" s="307" t="s">
        <v>3847</v>
      </c>
      <c r="E3076" s="260" t="s">
        <v>3848</v>
      </c>
      <c r="F3076" s="352">
        <v>20415</v>
      </c>
      <c r="G3076" s="311">
        <v>1976</v>
      </c>
      <c r="H3076" s="340" t="s">
        <v>2658</v>
      </c>
      <c r="I3076" s="313">
        <v>540</v>
      </c>
      <c r="J3076" s="350">
        <v>0.7</v>
      </c>
      <c r="K3076" s="350">
        <v>0.6</v>
      </c>
      <c r="L3076" s="314">
        <f t="shared" si="26"/>
        <v>9.9999999999999978E-2</v>
      </c>
      <c r="M3076" s="337"/>
    </row>
    <row r="3077" spans="1:13" s="71" customFormat="1" ht="26.4" customHeight="1">
      <c r="A3077" s="282">
        <v>389</v>
      </c>
      <c r="B3077" s="534"/>
      <c r="C3077" s="307" t="s">
        <v>3392</v>
      </c>
      <c r="D3077" s="307" t="s">
        <v>3849</v>
      </c>
      <c r="E3077" s="260" t="s">
        <v>3850</v>
      </c>
      <c r="F3077" s="352">
        <v>20394</v>
      </c>
      <c r="G3077" s="311">
        <v>1976</v>
      </c>
      <c r="H3077" s="340" t="s">
        <v>2658</v>
      </c>
      <c r="I3077" s="313">
        <v>540</v>
      </c>
      <c r="J3077" s="350">
        <v>1.3</v>
      </c>
      <c r="K3077" s="350">
        <v>1.2</v>
      </c>
      <c r="L3077" s="314">
        <f t="shared" si="26"/>
        <v>0.10000000000000009</v>
      </c>
      <c r="M3077" s="337"/>
    </row>
    <row r="3078" spans="1:13" s="71" customFormat="1" ht="26.4" customHeight="1">
      <c r="A3078" s="282">
        <v>390</v>
      </c>
      <c r="B3078" s="534"/>
      <c r="C3078" s="355" t="s">
        <v>1169</v>
      </c>
      <c r="D3078" s="307" t="s">
        <v>3851</v>
      </c>
      <c r="E3078" s="260" t="s">
        <v>3850</v>
      </c>
      <c r="F3078" s="352">
        <v>20235</v>
      </c>
      <c r="G3078" s="311">
        <v>1976</v>
      </c>
      <c r="H3078" s="340" t="s">
        <v>2658</v>
      </c>
      <c r="I3078" s="313">
        <v>340</v>
      </c>
      <c r="J3078" s="350">
        <v>0.9</v>
      </c>
      <c r="K3078" s="350">
        <v>0.8</v>
      </c>
      <c r="L3078" s="314">
        <f t="shared" si="26"/>
        <v>9.9999999999999978E-2</v>
      </c>
      <c r="M3078" s="337"/>
    </row>
    <row r="3079" spans="1:13" s="71" customFormat="1" ht="26.4" customHeight="1">
      <c r="A3079" s="282">
        <v>391</v>
      </c>
      <c r="B3079" s="534"/>
      <c r="C3079" s="307" t="s">
        <v>3471</v>
      </c>
      <c r="D3079" s="307" t="s">
        <v>3852</v>
      </c>
      <c r="E3079" s="260" t="s">
        <v>3853</v>
      </c>
      <c r="F3079" s="352">
        <v>20429</v>
      </c>
      <c r="G3079" s="311">
        <v>1976</v>
      </c>
      <c r="H3079" s="340" t="s">
        <v>2658</v>
      </c>
      <c r="I3079" s="313">
        <v>360</v>
      </c>
      <c r="J3079" s="350">
        <v>1</v>
      </c>
      <c r="K3079" s="350">
        <v>0.8</v>
      </c>
      <c r="L3079" s="314">
        <f t="shared" si="26"/>
        <v>0.19999999999999996</v>
      </c>
      <c r="M3079" s="337"/>
    </row>
    <row r="3080" spans="1:13" s="71" customFormat="1" ht="26.4" customHeight="1">
      <c r="A3080" s="282">
        <v>392</v>
      </c>
      <c r="B3080" s="534"/>
      <c r="C3080" s="355" t="s">
        <v>1169</v>
      </c>
      <c r="D3080" s="307" t="s">
        <v>3854</v>
      </c>
      <c r="E3080" s="260" t="s">
        <v>3855</v>
      </c>
      <c r="F3080" s="352">
        <v>20341</v>
      </c>
      <c r="G3080" s="311">
        <v>1976</v>
      </c>
      <c r="H3080" s="340" t="s">
        <v>2658</v>
      </c>
      <c r="I3080" s="313">
        <v>520</v>
      </c>
      <c r="J3080" s="350">
        <v>0.2</v>
      </c>
      <c r="K3080" s="350">
        <v>0.2</v>
      </c>
      <c r="L3080" s="314">
        <f t="shared" si="26"/>
        <v>0</v>
      </c>
      <c r="M3080" s="337"/>
    </row>
    <row r="3081" spans="1:13" s="71" customFormat="1" ht="26.4" customHeight="1">
      <c r="A3081" s="282">
        <v>393</v>
      </c>
      <c r="B3081" s="534"/>
      <c r="C3081" s="355" t="s">
        <v>1169</v>
      </c>
      <c r="D3081" s="307" t="s">
        <v>3856</v>
      </c>
      <c r="E3081" s="260" t="s">
        <v>3857</v>
      </c>
      <c r="F3081" s="352">
        <v>20194</v>
      </c>
      <c r="G3081" s="311">
        <v>1976</v>
      </c>
      <c r="H3081" s="340" t="s">
        <v>2658</v>
      </c>
      <c r="I3081" s="313">
        <v>520</v>
      </c>
      <c r="J3081" s="350">
        <v>2.5</v>
      </c>
      <c r="K3081" s="350">
        <v>2</v>
      </c>
      <c r="L3081" s="314">
        <f t="shared" si="26"/>
        <v>0.5</v>
      </c>
      <c r="M3081" s="337"/>
    </row>
    <row r="3082" spans="1:13" s="71" customFormat="1" ht="26.4" customHeight="1">
      <c r="A3082" s="282">
        <v>394</v>
      </c>
      <c r="B3082" s="534"/>
      <c r="C3082" s="307" t="s">
        <v>3392</v>
      </c>
      <c r="D3082" s="307" t="s">
        <v>3858</v>
      </c>
      <c r="E3082" s="260" t="s">
        <v>3859</v>
      </c>
      <c r="F3082" s="352">
        <v>20501</v>
      </c>
      <c r="G3082" s="311">
        <v>1976</v>
      </c>
      <c r="H3082" s="340" t="s">
        <v>2658</v>
      </c>
      <c r="I3082" s="313">
        <v>230</v>
      </c>
      <c r="J3082" s="350">
        <v>0.6</v>
      </c>
      <c r="K3082" s="350">
        <v>0.5</v>
      </c>
      <c r="L3082" s="314">
        <f t="shared" si="26"/>
        <v>9.9999999999999978E-2</v>
      </c>
      <c r="M3082" s="337"/>
    </row>
    <row r="3083" spans="1:13" s="71" customFormat="1" ht="26.4">
      <c r="A3083" s="282">
        <v>395</v>
      </c>
      <c r="B3083" s="534"/>
      <c r="C3083" s="355" t="s">
        <v>1169</v>
      </c>
      <c r="D3083" s="307" t="s">
        <v>3860</v>
      </c>
      <c r="E3083" s="260" t="s">
        <v>3861</v>
      </c>
      <c r="F3083" s="352">
        <v>20303</v>
      </c>
      <c r="G3083" s="311">
        <v>1976</v>
      </c>
      <c r="H3083" s="340" t="s">
        <v>2658</v>
      </c>
      <c r="I3083" s="313">
        <v>400</v>
      </c>
      <c r="J3083" s="350">
        <v>1.4</v>
      </c>
      <c r="K3083" s="350">
        <v>1.3</v>
      </c>
      <c r="L3083" s="314">
        <f t="shared" si="26"/>
        <v>9.9999999999999867E-2</v>
      </c>
      <c r="M3083" s="337"/>
    </row>
    <row r="3084" spans="1:13" s="71" customFormat="1" ht="26.4" customHeight="1">
      <c r="A3084" s="282">
        <v>396</v>
      </c>
      <c r="B3084" s="534"/>
      <c r="C3084" s="355" t="s">
        <v>1169</v>
      </c>
      <c r="D3084" s="307" t="s">
        <v>3862</v>
      </c>
      <c r="E3084" s="260" t="s">
        <v>3863</v>
      </c>
      <c r="F3084" s="352">
        <v>20178</v>
      </c>
      <c r="G3084" s="311">
        <v>1976</v>
      </c>
      <c r="H3084" s="340" t="s">
        <v>2658</v>
      </c>
      <c r="I3084" s="313">
        <v>170</v>
      </c>
      <c r="J3084" s="350">
        <v>0.5</v>
      </c>
      <c r="K3084" s="350">
        <v>0.4</v>
      </c>
      <c r="L3084" s="314">
        <f t="shared" si="26"/>
        <v>9.9999999999999978E-2</v>
      </c>
      <c r="M3084" s="337"/>
    </row>
    <row r="3085" spans="1:13" s="71" customFormat="1" ht="26.4" customHeight="1">
      <c r="A3085" s="282">
        <v>397</v>
      </c>
      <c r="B3085" s="534"/>
      <c r="C3085" s="307" t="s">
        <v>3329</v>
      </c>
      <c r="D3085" s="307" t="s">
        <v>3864</v>
      </c>
      <c r="E3085" s="260" t="s">
        <v>3865</v>
      </c>
      <c r="F3085" s="352">
        <v>20395</v>
      </c>
      <c r="G3085" s="311">
        <v>1976</v>
      </c>
      <c r="H3085" s="340" t="s">
        <v>2658</v>
      </c>
      <c r="I3085" s="313">
        <v>380</v>
      </c>
      <c r="J3085" s="350">
        <v>2.5</v>
      </c>
      <c r="K3085" s="350">
        <v>1.4</v>
      </c>
      <c r="L3085" s="314">
        <f t="shared" si="26"/>
        <v>1.1000000000000001</v>
      </c>
      <c r="M3085" s="337"/>
    </row>
    <row r="3086" spans="1:13" s="71" customFormat="1" ht="26.4" customHeight="1">
      <c r="A3086" s="282">
        <v>398</v>
      </c>
      <c r="B3086" s="534"/>
      <c r="C3086" s="307" t="s">
        <v>3471</v>
      </c>
      <c r="D3086" s="307" t="s">
        <v>3866</v>
      </c>
      <c r="E3086" s="260" t="s">
        <v>3867</v>
      </c>
      <c r="F3086" s="352">
        <v>20465</v>
      </c>
      <c r="G3086" s="311">
        <v>1976</v>
      </c>
      <c r="H3086" s="340" t="s">
        <v>2658</v>
      </c>
      <c r="I3086" s="313">
        <v>300</v>
      </c>
      <c r="J3086" s="350">
        <v>0.9</v>
      </c>
      <c r="K3086" s="350">
        <v>0.7</v>
      </c>
      <c r="L3086" s="314">
        <f t="shared" si="26"/>
        <v>0.20000000000000007</v>
      </c>
      <c r="M3086" s="337"/>
    </row>
    <row r="3087" spans="1:13" s="71" customFormat="1" ht="26.4" customHeight="1">
      <c r="A3087" s="282">
        <v>399</v>
      </c>
      <c r="B3087" s="534"/>
      <c r="C3087" s="355" t="s">
        <v>1169</v>
      </c>
      <c r="D3087" s="307" t="s">
        <v>3868</v>
      </c>
      <c r="E3087" s="260" t="s">
        <v>3869</v>
      </c>
      <c r="F3087" s="352">
        <v>20065</v>
      </c>
      <c r="G3087" s="311">
        <v>1968</v>
      </c>
      <c r="H3087" s="340" t="s">
        <v>2658</v>
      </c>
      <c r="I3087" s="313">
        <v>500</v>
      </c>
      <c r="J3087" s="350">
        <v>5.2</v>
      </c>
      <c r="K3087" s="350">
        <v>4.8</v>
      </c>
      <c r="L3087" s="314">
        <f t="shared" si="26"/>
        <v>0.40000000000000036</v>
      </c>
      <c r="M3087" s="337"/>
    </row>
    <row r="3088" spans="1:13" s="71" customFormat="1" ht="26.4" customHeight="1">
      <c r="A3088" s="282">
        <v>400</v>
      </c>
      <c r="B3088" s="534"/>
      <c r="C3088" s="355" t="s">
        <v>1169</v>
      </c>
      <c r="D3088" s="307" t="s">
        <v>3868</v>
      </c>
      <c r="E3088" s="260" t="s">
        <v>3869</v>
      </c>
      <c r="F3088" s="352">
        <v>20234</v>
      </c>
      <c r="G3088" s="311">
        <v>1976</v>
      </c>
      <c r="H3088" s="340" t="s">
        <v>2658</v>
      </c>
      <c r="I3088" s="313">
        <v>350</v>
      </c>
      <c r="J3088" s="350">
        <v>1</v>
      </c>
      <c r="K3088" s="350">
        <v>0.8</v>
      </c>
      <c r="L3088" s="314">
        <f t="shared" si="26"/>
        <v>0.19999999999999996</v>
      </c>
      <c r="M3088" s="337"/>
    </row>
    <row r="3089" spans="1:13" s="71" customFormat="1" ht="26.4" customHeight="1">
      <c r="A3089" s="282">
        <v>401</v>
      </c>
      <c r="B3089" s="534"/>
      <c r="C3089" s="355" t="s">
        <v>1169</v>
      </c>
      <c r="D3089" s="307" t="s">
        <v>3870</v>
      </c>
      <c r="E3089" s="260" t="s">
        <v>3871</v>
      </c>
      <c r="F3089" s="352">
        <v>20358</v>
      </c>
      <c r="G3089" s="311">
        <v>1976</v>
      </c>
      <c r="H3089" s="340" t="s">
        <v>2658</v>
      </c>
      <c r="I3089" s="313">
        <v>240</v>
      </c>
      <c r="J3089" s="350">
        <v>0.7</v>
      </c>
      <c r="K3089" s="350">
        <v>0.6</v>
      </c>
      <c r="L3089" s="314">
        <f t="shared" si="26"/>
        <v>9.9999999999999978E-2</v>
      </c>
      <c r="M3089" s="337"/>
    </row>
    <row r="3090" spans="1:13" s="71" customFormat="1" ht="26.4" customHeight="1">
      <c r="A3090" s="282">
        <v>402</v>
      </c>
      <c r="B3090" s="534"/>
      <c r="C3090" s="307" t="s">
        <v>3276</v>
      </c>
      <c r="D3090" s="307" t="s">
        <v>3872</v>
      </c>
      <c r="E3090" s="260" t="s">
        <v>3873</v>
      </c>
      <c r="F3090" s="352">
        <v>20445</v>
      </c>
      <c r="G3090" s="311">
        <v>1976</v>
      </c>
      <c r="H3090" s="340" t="s">
        <v>2658</v>
      </c>
      <c r="I3090" s="313">
        <v>80</v>
      </c>
      <c r="J3090" s="350">
        <v>0.2</v>
      </c>
      <c r="K3090" s="350">
        <v>0.2</v>
      </c>
      <c r="L3090" s="314">
        <f t="shared" si="26"/>
        <v>0</v>
      </c>
      <c r="M3090" s="337"/>
    </row>
    <row r="3091" spans="1:13" s="71" customFormat="1" ht="26.4" customHeight="1">
      <c r="A3091" s="282">
        <v>403</v>
      </c>
      <c r="B3091" s="534"/>
      <c r="C3091" s="355" t="s">
        <v>1169</v>
      </c>
      <c r="D3091" s="307" t="s">
        <v>3874</v>
      </c>
      <c r="E3091" s="260" t="s">
        <v>3875</v>
      </c>
      <c r="F3091" s="352">
        <v>20233</v>
      </c>
      <c r="G3091" s="311">
        <v>1976</v>
      </c>
      <c r="H3091" s="340" t="s">
        <v>2658</v>
      </c>
      <c r="I3091" s="313">
        <v>340</v>
      </c>
      <c r="J3091" s="350">
        <v>0.9</v>
      </c>
      <c r="K3091" s="350">
        <v>0.8</v>
      </c>
      <c r="L3091" s="314">
        <f t="shared" si="26"/>
        <v>9.9999999999999978E-2</v>
      </c>
      <c r="M3091" s="337"/>
    </row>
    <row r="3092" spans="1:13" s="71" customFormat="1" ht="26.4" customHeight="1">
      <c r="A3092" s="282">
        <v>404</v>
      </c>
      <c r="B3092" s="534"/>
      <c r="C3092" s="307" t="s">
        <v>3392</v>
      </c>
      <c r="D3092" s="307" t="s">
        <v>3876</v>
      </c>
      <c r="E3092" s="260" t="s">
        <v>13278</v>
      </c>
      <c r="F3092" s="352">
        <v>20377</v>
      </c>
      <c r="G3092" s="311">
        <v>1976</v>
      </c>
      <c r="H3092" s="340" t="s">
        <v>2658</v>
      </c>
      <c r="I3092" s="313">
        <v>150</v>
      </c>
      <c r="J3092" s="350">
        <v>0.5</v>
      </c>
      <c r="K3092" s="350">
        <v>0.4</v>
      </c>
      <c r="L3092" s="314">
        <f t="shared" si="26"/>
        <v>9.9999999999999978E-2</v>
      </c>
      <c r="M3092" s="337"/>
    </row>
    <row r="3093" spans="1:13" s="71" customFormat="1" ht="26.4" customHeight="1">
      <c r="A3093" s="282">
        <v>405</v>
      </c>
      <c r="B3093" s="534"/>
      <c r="C3093" s="355" t="s">
        <v>1169</v>
      </c>
      <c r="D3093" s="307" t="s">
        <v>3877</v>
      </c>
      <c r="E3093" s="260" t="s">
        <v>3878</v>
      </c>
      <c r="F3093" s="352">
        <v>20126</v>
      </c>
      <c r="G3093" s="311">
        <v>1969</v>
      </c>
      <c r="H3093" s="340" t="s">
        <v>2658</v>
      </c>
      <c r="I3093" s="313">
        <v>510</v>
      </c>
      <c r="J3093" s="350">
        <v>6.5</v>
      </c>
      <c r="K3093" s="350">
        <v>5.0999999999999996</v>
      </c>
      <c r="L3093" s="314">
        <f t="shared" si="26"/>
        <v>1.4000000000000004</v>
      </c>
      <c r="M3093" s="337"/>
    </row>
    <row r="3094" spans="1:13" s="71" customFormat="1" ht="26.4" customHeight="1">
      <c r="A3094" s="282">
        <v>406</v>
      </c>
      <c r="B3094" s="534"/>
      <c r="C3094" s="307" t="s">
        <v>3403</v>
      </c>
      <c r="D3094" s="307" t="s">
        <v>3879</v>
      </c>
      <c r="E3094" s="260" t="s">
        <v>3880</v>
      </c>
      <c r="F3094" s="352">
        <v>20636</v>
      </c>
      <c r="G3094" s="311">
        <v>1995</v>
      </c>
      <c r="H3094" s="340" t="s">
        <v>2658</v>
      </c>
      <c r="I3094" s="313">
        <v>2750</v>
      </c>
      <c r="J3094" s="350">
        <v>39.4</v>
      </c>
      <c r="K3094" s="350">
        <v>33.4</v>
      </c>
      <c r="L3094" s="314">
        <f t="shared" si="26"/>
        <v>6</v>
      </c>
      <c r="M3094" s="337"/>
    </row>
    <row r="3095" spans="1:13" s="71" customFormat="1" ht="26.4" customHeight="1">
      <c r="A3095" s="282">
        <v>407</v>
      </c>
      <c r="B3095" s="534"/>
      <c r="C3095" s="355" t="s">
        <v>1169</v>
      </c>
      <c r="D3095" s="307" t="s">
        <v>3881</v>
      </c>
      <c r="E3095" s="260" t="s">
        <v>3882</v>
      </c>
      <c r="F3095" s="352">
        <v>20299</v>
      </c>
      <c r="G3095" s="311">
        <v>1976</v>
      </c>
      <c r="H3095" s="340" t="s">
        <v>2658</v>
      </c>
      <c r="I3095" s="313">
        <v>190</v>
      </c>
      <c r="J3095" s="350">
        <v>0.5</v>
      </c>
      <c r="K3095" s="350">
        <v>0.4</v>
      </c>
      <c r="L3095" s="314">
        <f t="shared" si="26"/>
        <v>9.9999999999999978E-2</v>
      </c>
      <c r="M3095" s="337"/>
    </row>
    <row r="3096" spans="1:13" s="71" customFormat="1" ht="26.4" customHeight="1">
      <c r="A3096" s="282">
        <v>408</v>
      </c>
      <c r="B3096" s="534"/>
      <c r="C3096" s="355" t="s">
        <v>1169</v>
      </c>
      <c r="D3096" s="307" t="s">
        <v>3883</v>
      </c>
      <c r="E3096" s="260" t="s">
        <v>3884</v>
      </c>
      <c r="F3096" s="352">
        <v>20207</v>
      </c>
      <c r="G3096" s="311">
        <v>1976</v>
      </c>
      <c r="H3096" s="340" t="s">
        <v>2658</v>
      </c>
      <c r="I3096" s="313">
        <v>150</v>
      </c>
      <c r="J3096" s="350">
        <v>1</v>
      </c>
      <c r="K3096" s="350">
        <v>0.8</v>
      </c>
      <c r="L3096" s="314">
        <f t="shared" si="26"/>
        <v>0.19999999999999996</v>
      </c>
      <c r="M3096" s="337"/>
    </row>
    <row r="3097" spans="1:13" s="71" customFormat="1" ht="26.4" customHeight="1">
      <c r="A3097" s="282">
        <v>409</v>
      </c>
      <c r="B3097" s="534"/>
      <c r="C3097" s="355" t="s">
        <v>1169</v>
      </c>
      <c r="D3097" s="307" t="s">
        <v>3885</v>
      </c>
      <c r="E3097" s="260" t="s">
        <v>3886</v>
      </c>
      <c r="F3097" s="352">
        <v>20275</v>
      </c>
      <c r="G3097" s="311">
        <v>1976</v>
      </c>
      <c r="H3097" s="340" t="s">
        <v>2658</v>
      </c>
      <c r="I3097" s="313">
        <v>180</v>
      </c>
      <c r="J3097" s="350">
        <v>0.5</v>
      </c>
      <c r="K3097" s="350">
        <v>0.4</v>
      </c>
      <c r="L3097" s="314">
        <f t="shared" si="26"/>
        <v>9.9999999999999978E-2</v>
      </c>
      <c r="M3097" s="337"/>
    </row>
    <row r="3098" spans="1:13" s="71" customFormat="1" ht="26.4" customHeight="1">
      <c r="A3098" s="282">
        <v>410</v>
      </c>
      <c r="B3098" s="534"/>
      <c r="C3098" s="355" t="s">
        <v>1169</v>
      </c>
      <c r="D3098" s="307" t="s">
        <v>3887</v>
      </c>
      <c r="E3098" s="260" t="s">
        <v>3888</v>
      </c>
      <c r="F3098" s="352">
        <v>20340</v>
      </c>
      <c r="G3098" s="311">
        <v>1976</v>
      </c>
      <c r="H3098" s="340" t="s">
        <v>2658</v>
      </c>
      <c r="I3098" s="313">
        <v>200</v>
      </c>
      <c r="J3098" s="350">
        <v>1.1000000000000001</v>
      </c>
      <c r="K3098" s="350">
        <v>0.8</v>
      </c>
      <c r="L3098" s="314">
        <f t="shared" si="26"/>
        <v>0.30000000000000004</v>
      </c>
      <c r="M3098" s="337"/>
    </row>
    <row r="3099" spans="1:13" s="71" customFormat="1" ht="26.4" customHeight="1">
      <c r="A3099" s="282">
        <v>411</v>
      </c>
      <c r="B3099" s="534"/>
      <c r="C3099" s="307" t="s">
        <v>3471</v>
      </c>
      <c r="D3099" s="307" t="s">
        <v>3889</v>
      </c>
      <c r="E3099" s="260" t="s">
        <v>3890</v>
      </c>
      <c r="F3099" s="352">
        <v>20411</v>
      </c>
      <c r="G3099" s="311">
        <v>1976</v>
      </c>
      <c r="H3099" s="340" t="s">
        <v>2658</v>
      </c>
      <c r="I3099" s="313">
        <v>150</v>
      </c>
      <c r="J3099" s="350">
        <v>0.4</v>
      </c>
      <c r="K3099" s="350">
        <v>0.4</v>
      </c>
      <c r="L3099" s="314">
        <f t="shared" si="26"/>
        <v>0</v>
      </c>
      <c r="M3099" s="337"/>
    </row>
    <row r="3100" spans="1:13" s="71" customFormat="1" ht="26.4" customHeight="1">
      <c r="A3100" s="282">
        <v>412</v>
      </c>
      <c r="B3100" s="534"/>
      <c r="C3100" s="307" t="s">
        <v>3471</v>
      </c>
      <c r="D3100" s="307" t="s">
        <v>3889</v>
      </c>
      <c r="E3100" s="260" t="s">
        <v>3890</v>
      </c>
      <c r="F3100" s="352">
        <v>20464</v>
      </c>
      <c r="G3100" s="311">
        <v>1976</v>
      </c>
      <c r="H3100" s="340" t="s">
        <v>2658</v>
      </c>
      <c r="I3100" s="313">
        <v>160</v>
      </c>
      <c r="J3100" s="350">
        <v>0.4</v>
      </c>
      <c r="K3100" s="350">
        <v>0.4</v>
      </c>
      <c r="L3100" s="314">
        <f t="shared" si="26"/>
        <v>0</v>
      </c>
      <c r="M3100" s="337"/>
    </row>
    <row r="3101" spans="1:13" s="71" customFormat="1" ht="26.4" customHeight="1">
      <c r="A3101" s="282">
        <v>413</v>
      </c>
      <c r="B3101" s="534"/>
      <c r="C3101" s="355" t="s">
        <v>1169</v>
      </c>
      <c r="D3101" s="307" t="s">
        <v>3891</v>
      </c>
      <c r="E3101" s="260" t="s">
        <v>3892</v>
      </c>
      <c r="F3101" s="352">
        <v>20286</v>
      </c>
      <c r="G3101" s="311">
        <v>1976</v>
      </c>
      <c r="H3101" s="340" t="s">
        <v>2658</v>
      </c>
      <c r="I3101" s="313">
        <v>120</v>
      </c>
      <c r="J3101" s="350">
        <v>0.3</v>
      </c>
      <c r="K3101" s="350">
        <v>0.2</v>
      </c>
      <c r="L3101" s="314">
        <f t="shared" si="26"/>
        <v>9.9999999999999978E-2</v>
      </c>
      <c r="M3101" s="337"/>
    </row>
    <row r="3102" spans="1:13" s="71" customFormat="1" ht="26.4" customHeight="1">
      <c r="A3102" s="282">
        <v>414</v>
      </c>
      <c r="B3102" s="534"/>
      <c r="C3102" s="355" t="s">
        <v>1169</v>
      </c>
      <c r="D3102" s="307" t="s">
        <v>13270</v>
      </c>
      <c r="E3102" s="260" t="s">
        <v>13272</v>
      </c>
      <c r="F3102" s="352">
        <v>20514</v>
      </c>
      <c r="G3102" s="311">
        <v>1976</v>
      </c>
      <c r="H3102" s="340" t="s">
        <v>2658</v>
      </c>
      <c r="I3102" s="313">
        <v>320</v>
      </c>
      <c r="J3102" s="350">
        <v>0.8</v>
      </c>
      <c r="K3102" s="350">
        <v>0.7</v>
      </c>
      <c r="L3102" s="314">
        <f t="shared" si="26"/>
        <v>0.10000000000000009</v>
      </c>
      <c r="M3102" s="337"/>
    </row>
    <row r="3103" spans="1:13" s="71" customFormat="1" ht="26.4" customHeight="1">
      <c r="A3103" s="282">
        <v>415</v>
      </c>
      <c r="B3103" s="534"/>
      <c r="C3103" s="307" t="s">
        <v>3320</v>
      </c>
      <c r="D3103" s="307" t="s">
        <v>3893</v>
      </c>
      <c r="E3103" s="260" t="s">
        <v>3894</v>
      </c>
      <c r="F3103" s="352">
        <v>20491</v>
      </c>
      <c r="G3103" s="311">
        <v>1976</v>
      </c>
      <c r="H3103" s="340" t="s">
        <v>2658</v>
      </c>
      <c r="I3103" s="313">
        <v>170</v>
      </c>
      <c r="J3103" s="350">
        <v>0.4</v>
      </c>
      <c r="K3103" s="350">
        <v>0.4</v>
      </c>
      <c r="L3103" s="314">
        <f t="shared" si="26"/>
        <v>0</v>
      </c>
      <c r="M3103" s="337"/>
    </row>
    <row r="3104" spans="1:13" s="71" customFormat="1" ht="26.4" customHeight="1">
      <c r="A3104" s="282">
        <v>416</v>
      </c>
      <c r="B3104" s="534"/>
      <c r="C3104" s="355" t="s">
        <v>1169</v>
      </c>
      <c r="D3104" s="307" t="s">
        <v>3895</v>
      </c>
      <c r="E3104" s="260" t="s">
        <v>3894</v>
      </c>
      <c r="F3104" s="352">
        <v>20173</v>
      </c>
      <c r="G3104" s="311">
        <v>1976</v>
      </c>
      <c r="H3104" s="340" t="s">
        <v>2658</v>
      </c>
      <c r="I3104" s="313">
        <v>430</v>
      </c>
      <c r="J3104" s="350">
        <v>2.1</v>
      </c>
      <c r="K3104" s="350">
        <v>1.7</v>
      </c>
      <c r="L3104" s="314">
        <f t="shared" si="26"/>
        <v>0.40000000000000013</v>
      </c>
      <c r="M3104" s="337"/>
    </row>
    <row r="3105" spans="1:13" s="71" customFormat="1" ht="26.4" customHeight="1">
      <c r="A3105" s="282">
        <v>417</v>
      </c>
      <c r="B3105" s="534"/>
      <c r="C3105" s="355" t="s">
        <v>1169</v>
      </c>
      <c r="D3105" s="307" t="s">
        <v>3896</v>
      </c>
      <c r="E3105" s="260" t="s">
        <v>3897</v>
      </c>
      <c r="F3105" s="352">
        <v>20219</v>
      </c>
      <c r="G3105" s="311">
        <v>1976</v>
      </c>
      <c r="H3105" s="340" t="s">
        <v>2658</v>
      </c>
      <c r="I3105" s="313">
        <v>210</v>
      </c>
      <c r="J3105" s="350">
        <v>0.6</v>
      </c>
      <c r="K3105" s="350">
        <v>0.5</v>
      </c>
      <c r="L3105" s="314">
        <f t="shared" si="26"/>
        <v>9.9999999999999978E-2</v>
      </c>
      <c r="M3105" s="337"/>
    </row>
    <row r="3106" spans="1:13" s="71" customFormat="1" ht="26.4" customHeight="1">
      <c r="A3106" s="282">
        <v>418</v>
      </c>
      <c r="B3106" s="534"/>
      <c r="C3106" s="355" t="s">
        <v>1169</v>
      </c>
      <c r="D3106" s="307" t="s">
        <v>3898</v>
      </c>
      <c r="E3106" s="260" t="s">
        <v>3899</v>
      </c>
      <c r="F3106" s="352">
        <v>20133</v>
      </c>
      <c r="G3106" s="311">
        <v>1969</v>
      </c>
      <c r="H3106" s="340" t="s">
        <v>2658</v>
      </c>
      <c r="I3106" s="313">
        <v>1380</v>
      </c>
      <c r="J3106" s="350">
        <v>11.7</v>
      </c>
      <c r="K3106" s="350">
        <v>9.1999999999999993</v>
      </c>
      <c r="L3106" s="314">
        <f t="shared" si="26"/>
        <v>2.5</v>
      </c>
      <c r="M3106" s="337"/>
    </row>
    <row r="3107" spans="1:13" s="71" customFormat="1" ht="26.4" customHeight="1">
      <c r="A3107" s="282">
        <v>419</v>
      </c>
      <c r="B3107" s="534"/>
      <c r="C3107" s="355" t="s">
        <v>1169</v>
      </c>
      <c r="D3107" s="307" t="s">
        <v>3900</v>
      </c>
      <c r="E3107" s="260" t="s">
        <v>3901</v>
      </c>
      <c r="F3107" s="352">
        <v>20179</v>
      </c>
      <c r="G3107" s="311">
        <v>1976</v>
      </c>
      <c r="H3107" s="340" t="s">
        <v>2658</v>
      </c>
      <c r="I3107" s="313">
        <v>110</v>
      </c>
      <c r="J3107" s="350">
        <v>0.3</v>
      </c>
      <c r="K3107" s="350">
        <v>0.3</v>
      </c>
      <c r="L3107" s="314">
        <f t="shared" si="26"/>
        <v>0</v>
      </c>
      <c r="M3107" s="337"/>
    </row>
    <row r="3108" spans="1:13" s="71" customFormat="1" ht="26.4" customHeight="1">
      <c r="A3108" s="282">
        <v>420</v>
      </c>
      <c r="B3108" s="534"/>
      <c r="C3108" s="355" t="s">
        <v>1169</v>
      </c>
      <c r="D3108" s="307" t="s">
        <v>3902</v>
      </c>
      <c r="E3108" s="260" t="s">
        <v>3903</v>
      </c>
      <c r="F3108" s="352">
        <v>20046</v>
      </c>
      <c r="G3108" s="311">
        <v>1969</v>
      </c>
      <c r="H3108" s="340" t="s">
        <v>2658</v>
      </c>
      <c r="I3108" s="313">
        <v>305</v>
      </c>
      <c r="J3108" s="350">
        <v>1.2</v>
      </c>
      <c r="K3108" s="350">
        <v>1.1000000000000001</v>
      </c>
      <c r="L3108" s="314">
        <f t="shared" si="26"/>
        <v>9.9999999999999867E-2</v>
      </c>
      <c r="M3108" s="337"/>
    </row>
    <row r="3109" spans="1:13" s="71" customFormat="1" ht="26.4" customHeight="1">
      <c r="A3109" s="282">
        <v>421</v>
      </c>
      <c r="B3109" s="534"/>
      <c r="C3109" s="355" t="s">
        <v>1169</v>
      </c>
      <c r="D3109" s="307" t="s">
        <v>3904</v>
      </c>
      <c r="E3109" s="260" t="s">
        <v>3905</v>
      </c>
      <c r="F3109" s="352">
        <v>20047</v>
      </c>
      <c r="G3109" s="311">
        <v>1968</v>
      </c>
      <c r="H3109" s="340" t="s">
        <v>2658</v>
      </c>
      <c r="I3109" s="313">
        <v>160</v>
      </c>
      <c r="J3109" s="350">
        <v>3.6</v>
      </c>
      <c r="K3109" s="350">
        <v>2.8</v>
      </c>
      <c r="L3109" s="314">
        <f t="shared" si="26"/>
        <v>0.80000000000000027</v>
      </c>
      <c r="M3109" s="337"/>
    </row>
    <row r="3110" spans="1:13" s="71" customFormat="1" ht="26.4" customHeight="1">
      <c r="A3110" s="282">
        <v>422</v>
      </c>
      <c r="B3110" s="534"/>
      <c r="C3110" s="307" t="s">
        <v>3906</v>
      </c>
      <c r="D3110" s="307" t="s">
        <v>3907</v>
      </c>
      <c r="E3110" s="260" t="s">
        <v>3908</v>
      </c>
      <c r="F3110" s="352">
        <v>206371</v>
      </c>
      <c r="G3110" s="311">
        <v>1996</v>
      </c>
      <c r="H3110" s="340" t="s">
        <v>2658</v>
      </c>
      <c r="I3110" s="313">
        <v>2500</v>
      </c>
      <c r="J3110" s="350">
        <v>40.1</v>
      </c>
      <c r="K3110" s="350">
        <v>34</v>
      </c>
      <c r="L3110" s="314">
        <f t="shared" si="26"/>
        <v>6.1000000000000014</v>
      </c>
      <c r="M3110" s="337"/>
    </row>
    <row r="3111" spans="1:13" s="71" customFormat="1" ht="26.4" customHeight="1">
      <c r="A3111" s="282">
        <v>423</v>
      </c>
      <c r="B3111" s="534"/>
      <c r="C3111" s="307" t="s">
        <v>3906</v>
      </c>
      <c r="D3111" s="307" t="s">
        <v>3907</v>
      </c>
      <c r="E3111" s="260" t="s">
        <v>3908</v>
      </c>
      <c r="F3111" s="352">
        <v>206372</v>
      </c>
      <c r="G3111" s="311">
        <v>1996</v>
      </c>
      <c r="H3111" s="340" t="s">
        <v>2658</v>
      </c>
      <c r="I3111" s="313">
        <v>1400</v>
      </c>
      <c r="J3111" s="350">
        <v>7.2</v>
      </c>
      <c r="K3111" s="350">
        <v>5.6</v>
      </c>
      <c r="L3111" s="314">
        <f t="shared" si="26"/>
        <v>1.6000000000000005</v>
      </c>
      <c r="M3111" s="337"/>
    </row>
    <row r="3112" spans="1:13" s="71" customFormat="1" ht="26.4" customHeight="1">
      <c r="A3112" s="282">
        <v>424</v>
      </c>
      <c r="B3112" s="534"/>
      <c r="C3112" s="307" t="s">
        <v>3471</v>
      </c>
      <c r="D3112" s="307" t="s">
        <v>3909</v>
      </c>
      <c r="E3112" s="260" t="s">
        <v>3910</v>
      </c>
      <c r="F3112" s="352">
        <v>20437</v>
      </c>
      <c r="G3112" s="311">
        <v>1976</v>
      </c>
      <c r="H3112" s="340" t="s">
        <v>2658</v>
      </c>
      <c r="I3112" s="313">
        <v>280</v>
      </c>
      <c r="J3112" s="350">
        <v>0.7</v>
      </c>
      <c r="K3112" s="350">
        <v>0.6</v>
      </c>
      <c r="L3112" s="314">
        <f t="shared" si="26"/>
        <v>9.9999999999999978E-2</v>
      </c>
      <c r="M3112" s="337"/>
    </row>
    <row r="3113" spans="1:13" s="71" customFormat="1" ht="26.4" customHeight="1">
      <c r="A3113" s="282">
        <v>425</v>
      </c>
      <c r="B3113" s="534"/>
      <c r="C3113" s="355" t="s">
        <v>1169</v>
      </c>
      <c r="D3113" s="307" t="s">
        <v>3909</v>
      </c>
      <c r="E3113" s="260" t="s">
        <v>3910</v>
      </c>
      <c r="F3113" s="352">
        <v>20353</v>
      </c>
      <c r="G3113" s="311">
        <v>1976</v>
      </c>
      <c r="H3113" s="340" t="s">
        <v>2658</v>
      </c>
      <c r="I3113" s="313">
        <v>500</v>
      </c>
      <c r="J3113" s="350">
        <v>1.8</v>
      </c>
      <c r="K3113" s="350">
        <v>1.7</v>
      </c>
      <c r="L3113" s="314">
        <f t="shared" si="26"/>
        <v>0.10000000000000009</v>
      </c>
      <c r="M3113" s="337"/>
    </row>
    <row r="3114" spans="1:13" s="71" customFormat="1" ht="26.4" customHeight="1">
      <c r="A3114" s="282">
        <v>426</v>
      </c>
      <c r="B3114" s="534"/>
      <c r="C3114" s="355" t="s">
        <v>1169</v>
      </c>
      <c r="D3114" s="307" t="s">
        <v>3909</v>
      </c>
      <c r="E3114" s="260" t="s">
        <v>3911</v>
      </c>
      <c r="F3114" s="352">
        <v>20381</v>
      </c>
      <c r="G3114" s="311">
        <v>1976</v>
      </c>
      <c r="H3114" s="340" t="s">
        <v>2658</v>
      </c>
      <c r="I3114" s="313">
        <v>140</v>
      </c>
      <c r="J3114" s="350">
        <v>0.4</v>
      </c>
      <c r="K3114" s="350">
        <v>0.4</v>
      </c>
      <c r="L3114" s="314">
        <f t="shared" si="26"/>
        <v>0</v>
      </c>
      <c r="M3114" s="337"/>
    </row>
    <row r="3115" spans="1:13" s="71" customFormat="1" ht="26.4" customHeight="1">
      <c r="A3115" s="282">
        <v>427</v>
      </c>
      <c r="B3115" s="534"/>
      <c r="C3115" s="355" t="s">
        <v>3912</v>
      </c>
      <c r="D3115" s="307" t="s">
        <v>3913</v>
      </c>
      <c r="E3115" s="260" t="s">
        <v>3914</v>
      </c>
      <c r="F3115" s="352">
        <v>20352</v>
      </c>
      <c r="G3115" s="311">
        <v>1976</v>
      </c>
      <c r="H3115" s="340" t="s">
        <v>2658</v>
      </c>
      <c r="I3115" s="313">
        <v>480</v>
      </c>
      <c r="J3115" s="350">
        <v>1.8</v>
      </c>
      <c r="K3115" s="350">
        <v>1.6</v>
      </c>
      <c r="L3115" s="314">
        <f t="shared" si="26"/>
        <v>0.19999999999999996</v>
      </c>
      <c r="M3115" s="337"/>
    </row>
    <row r="3116" spans="1:13" s="71" customFormat="1" ht="26.4" customHeight="1">
      <c r="A3116" s="282">
        <v>428</v>
      </c>
      <c r="B3116" s="534"/>
      <c r="C3116" s="355" t="s">
        <v>3912</v>
      </c>
      <c r="D3116" s="307" t="s">
        <v>3915</v>
      </c>
      <c r="E3116" s="260" t="s">
        <v>3916</v>
      </c>
      <c r="F3116" s="352">
        <v>20229</v>
      </c>
      <c r="G3116" s="311">
        <v>1976</v>
      </c>
      <c r="H3116" s="340" t="s">
        <v>2658</v>
      </c>
      <c r="I3116" s="313">
        <v>150</v>
      </c>
      <c r="J3116" s="350">
        <v>0.4</v>
      </c>
      <c r="K3116" s="350">
        <v>0.4</v>
      </c>
      <c r="L3116" s="314">
        <f t="shared" si="26"/>
        <v>0</v>
      </c>
      <c r="M3116" s="337"/>
    </row>
    <row r="3117" spans="1:13" s="71" customFormat="1" ht="26.4" customHeight="1">
      <c r="A3117" s="282">
        <v>429</v>
      </c>
      <c r="B3117" s="534"/>
      <c r="C3117" s="307" t="s">
        <v>3917</v>
      </c>
      <c r="D3117" s="307" t="s">
        <v>3918</v>
      </c>
      <c r="E3117" s="260" t="s">
        <v>3919</v>
      </c>
      <c r="F3117" s="352">
        <v>20467</v>
      </c>
      <c r="G3117" s="311">
        <v>1976</v>
      </c>
      <c r="H3117" s="340" t="s">
        <v>2658</v>
      </c>
      <c r="I3117" s="313">
        <v>170</v>
      </c>
      <c r="J3117" s="350">
        <v>0.5</v>
      </c>
      <c r="K3117" s="350">
        <v>0.4</v>
      </c>
      <c r="L3117" s="314">
        <f t="shared" si="26"/>
        <v>9.9999999999999978E-2</v>
      </c>
      <c r="M3117" s="337"/>
    </row>
    <row r="3118" spans="1:13" s="71" customFormat="1" ht="26.4" customHeight="1">
      <c r="A3118" s="282">
        <v>430</v>
      </c>
      <c r="B3118" s="534"/>
      <c r="C3118" s="355" t="s">
        <v>1169</v>
      </c>
      <c r="D3118" s="307" t="s">
        <v>3920</v>
      </c>
      <c r="E3118" s="260" t="s">
        <v>3921</v>
      </c>
      <c r="F3118" s="352">
        <v>20357</v>
      </c>
      <c r="G3118" s="311">
        <v>1976</v>
      </c>
      <c r="H3118" s="340" t="s">
        <v>2658</v>
      </c>
      <c r="I3118" s="313">
        <v>250</v>
      </c>
      <c r="J3118" s="350">
        <v>0.7</v>
      </c>
      <c r="K3118" s="350">
        <v>0.6</v>
      </c>
      <c r="L3118" s="314">
        <f t="shared" si="26"/>
        <v>9.9999999999999978E-2</v>
      </c>
      <c r="M3118" s="337"/>
    </row>
    <row r="3119" spans="1:13" s="71" customFormat="1" ht="26.4" customHeight="1">
      <c r="A3119" s="282">
        <v>431</v>
      </c>
      <c r="B3119" s="534"/>
      <c r="C3119" s="307" t="s">
        <v>3471</v>
      </c>
      <c r="D3119" s="307" t="s">
        <v>3922</v>
      </c>
      <c r="E3119" s="260" t="s">
        <v>3923</v>
      </c>
      <c r="F3119" s="352">
        <v>20427</v>
      </c>
      <c r="G3119" s="311">
        <v>1976</v>
      </c>
      <c r="H3119" s="340" t="s">
        <v>2658</v>
      </c>
      <c r="I3119" s="313">
        <v>220</v>
      </c>
      <c r="J3119" s="350">
        <v>0.6</v>
      </c>
      <c r="K3119" s="350">
        <v>0.5</v>
      </c>
      <c r="L3119" s="314">
        <f t="shared" si="26"/>
        <v>9.9999999999999978E-2</v>
      </c>
      <c r="M3119" s="337"/>
    </row>
    <row r="3120" spans="1:13" s="71" customFormat="1" ht="26.4" customHeight="1">
      <c r="A3120" s="282">
        <v>432</v>
      </c>
      <c r="B3120" s="534"/>
      <c r="C3120" s="355" t="s">
        <v>1169</v>
      </c>
      <c r="D3120" s="307" t="s">
        <v>3924</v>
      </c>
      <c r="E3120" s="260" t="s">
        <v>3640</v>
      </c>
      <c r="F3120" s="352">
        <v>20366</v>
      </c>
      <c r="G3120" s="311">
        <v>1976</v>
      </c>
      <c r="H3120" s="340" t="s">
        <v>2658</v>
      </c>
      <c r="I3120" s="313">
        <v>210</v>
      </c>
      <c r="J3120" s="350">
        <v>0.6</v>
      </c>
      <c r="K3120" s="350">
        <v>0.5</v>
      </c>
      <c r="L3120" s="314">
        <f t="shared" si="26"/>
        <v>9.9999999999999978E-2</v>
      </c>
      <c r="M3120" s="337"/>
    </row>
    <row r="3121" spans="1:13" s="71" customFormat="1" ht="39.6">
      <c r="A3121" s="282">
        <v>433</v>
      </c>
      <c r="B3121" s="534"/>
      <c r="C3121" s="355" t="s">
        <v>1169</v>
      </c>
      <c r="D3121" s="307" t="s">
        <v>12852</v>
      </c>
      <c r="E3121" s="260" t="s">
        <v>13057</v>
      </c>
      <c r="F3121" s="352">
        <v>20302</v>
      </c>
      <c r="G3121" s="311">
        <v>1976</v>
      </c>
      <c r="H3121" s="340" t="s">
        <v>2658</v>
      </c>
      <c r="I3121" s="313">
        <v>480</v>
      </c>
      <c r="J3121" s="350">
        <v>6</v>
      </c>
      <c r="K3121" s="350">
        <v>4.7</v>
      </c>
      <c r="L3121" s="314">
        <f t="shared" si="26"/>
        <v>1.2999999999999998</v>
      </c>
      <c r="M3121" s="337"/>
    </row>
    <row r="3122" spans="1:13" s="71" customFormat="1" ht="26.4" customHeight="1">
      <c r="A3122" s="282">
        <v>434</v>
      </c>
      <c r="B3122" s="534"/>
      <c r="C3122" s="307" t="s">
        <v>3329</v>
      </c>
      <c r="D3122" s="307" t="s">
        <v>3925</v>
      </c>
      <c r="E3122" s="260" t="s">
        <v>3669</v>
      </c>
      <c r="F3122" s="352">
        <v>20376</v>
      </c>
      <c r="G3122" s="311">
        <v>1976</v>
      </c>
      <c r="H3122" s="340" t="s">
        <v>2658</v>
      </c>
      <c r="I3122" s="313">
        <v>470</v>
      </c>
      <c r="J3122" s="350">
        <v>2.8</v>
      </c>
      <c r="K3122" s="350">
        <v>2.6</v>
      </c>
      <c r="L3122" s="314">
        <f t="shared" si="26"/>
        <v>0.19999999999999973</v>
      </c>
      <c r="M3122" s="337"/>
    </row>
    <row r="3123" spans="1:13" s="71" customFormat="1" ht="26.4" customHeight="1">
      <c r="A3123" s="282">
        <v>435</v>
      </c>
      <c r="B3123" s="534"/>
      <c r="C3123" s="355" t="s">
        <v>1169</v>
      </c>
      <c r="D3123" s="308" t="s">
        <v>3926</v>
      </c>
      <c r="E3123" s="260" t="s">
        <v>3927</v>
      </c>
      <c r="F3123" s="352">
        <v>20285</v>
      </c>
      <c r="G3123" s="311">
        <v>1976</v>
      </c>
      <c r="H3123" s="340" t="s">
        <v>2658</v>
      </c>
      <c r="I3123" s="313">
        <v>420</v>
      </c>
      <c r="J3123" s="350">
        <v>1.2</v>
      </c>
      <c r="K3123" s="350">
        <v>0.9</v>
      </c>
      <c r="L3123" s="314">
        <f t="shared" si="26"/>
        <v>0.29999999999999993</v>
      </c>
      <c r="M3123" s="337"/>
    </row>
    <row r="3124" spans="1:13" s="71" customFormat="1" ht="26.4" customHeight="1">
      <c r="A3124" s="282">
        <v>436</v>
      </c>
      <c r="B3124" s="534"/>
      <c r="C3124" s="307" t="s">
        <v>3471</v>
      </c>
      <c r="D3124" s="307" t="s">
        <v>3928</v>
      </c>
      <c r="E3124" s="260" t="s">
        <v>3929</v>
      </c>
      <c r="F3124" s="352">
        <v>20461</v>
      </c>
      <c r="G3124" s="311">
        <v>1976</v>
      </c>
      <c r="H3124" s="340" t="s">
        <v>2658</v>
      </c>
      <c r="I3124" s="313">
        <v>350</v>
      </c>
      <c r="J3124" s="350">
        <v>1</v>
      </c>
      <c r="K3124" s="350">
        <v>0.8</v>
      </c>
      <c r="L3124" s="314">
        <f t="shared" si="26"/>
        <v>0.19999999999999996</v>
      </c>
      <c r="M3124" s="337"/>
    </row>
    <row r="3125" spans="1:13" s="71" customFormat="1" ht="26.4" customHeight="1">
      <c r="A3125" s="282">
        <v>437</v>
      </c>
      <c r="B3125" s="534"/>
      <c r="C3125" s="355" t="s">
        <v>1169</v>
      </c>
      <c r="D3125" s="307" t="s">
        <v>3930</v>
      </c>
      <c r="E3125" s="260" t="s">
        <v>3931</v>
      </c>
      <c r="F3125" s="352">
        <v>20648</v>
      </c>
      <c r="G3125" s="311">
        <v>1998</v>
      </c>
      <c r="H3125" s="340" t="s">
        <v>2658</v>
      </c>
      <c r="I3125" s="313">
        <v>18</v>
      </c>
      <c r="J3125" s="350">
        <v>0.8</v>
      </c>
      <c r="K3125" s="350">
        <v>0.7</v>
      </c>
      <c r="L3125" s="314">
        <f t="shared" si="26"/>
        <v>0.10000000000000009</v>
      </c>
      <c r="M3125" s="337"/>
    </row>
    <row r="3126" spans="1:13" s="71" customFormat="1" ht="26.4" customHeight="1">
      <c r="A3126" s="282">
        <v>438</v>
      </c>
      <c r="B3126" s="534"/>
      <c r="C3126" s="307" t="s">
        <v>3471</v>
      </c>
      <c r="D3126" s="307" t="s">
        <v>3932</v>
      </c>
      <c r="E3126" s="260" t="s">
        <v>3643</v>
      </c>
      <c r="F3126" s="352">
        <v>20441</v>
      </c>
      <c r="G3126" s="311">
        <v>1976</v>
      </c>
      <c r="H3126" s="340" t="s">
        <v>2658</v>
      </c>
      <c r="I3126" s="313">
        <v>700</v>
      </c>
      <c r="J3126" s="350">
        <v>2</v>
      </c>
      <c r="K3126" s="350">
        <v>1.6</v>
      </c>
      <c r="L3126" s="314">
        <f t="shared" si="26"/>
        <v>0.39999999999999991</v>
      </c>
      <c r="M3126" s="337"/>
    </row>
    <row r="3127" spans="1:13" s="71" customFormat="1" ht="26.4" customHeight="1">
      <c r="A3127" s="282">
        <v>439</v>
      </c>
      <c r="B3127" s="534"/>
      <c r="C3127" s="307" t="s">
        <v>3705</v>
      </c>
      <c r="D3127" s="307" t="s">
        <v>3932</v>
      </c>
      <c r="E3127" s="260" t="s">
        <v>3643</v>
      </c>
      <c r="F3127" s="352">
        <v>20643</v>
      </c>
      <c r="G3127" s="311">
        <v>1996</v>
      </c>
      <c r="H3127" s="340" t="s">
        <v>2658</v>
      </c>
      <c r="I3127" s="313">
        <v>475</v>
      </c>
      <c r="J3127" s="350">
        <v>5.2</v>
      </c>
      <c r="K3127" s="350">
        <v>4.8</v>
      </c>
      <c r="L3127" s="314">
        <f t="shared" si="26"/>
        <v>0.40000000000000036</v>
      </c>
      <c r="M3127" s="337"/>
    </row>
    <row r="3128" spans="1:13" s="71" customFormat="1" ht="26.4" customHeight="1">
      <c r="A3128" s="282">
        <v>440</v>
      </c>
      <c r="B3128" s="534"/>
      <c r="C3128" s="307" t="s">
        <v>3471</v>
      </c>
      <c r="D3128" s="307" t="s">
        <v>3933</v>
      </c>
      <c r="E3128" s="260" t="s">
        <v>3934</v>
      </c>
      <c r="F3128" s="352">
        <v>20451</v>
      </c>
      <c r="G3128" s="311">
        <v>1976</v>
      </c>
      <c r="H3128" s="340" t="s">
        <v>2658</v>
      </c>
      <c r="I3128" s="313">
        <v>180</v>
      </c>
      <c r="J3128" s="350">
        <v>0.5</v>
      </c>
      <c r="K3128" s="350">
        <v>0.4</v>
      </c>
      <c r="L3128" s="314">
        <f t="shared" si="26"/>
        <v>9.9999999999999978E-2</v>
      </c>
      <c r="M3128" s="337"/>
    </row>
    <row r="3129" spans="1:13" s="71" customFormat="1" ht="26.4" customHeight="1">
      <c r="A3129" s="282">
        <v>441</v>
      </c>
      <c r="B3129" s="534"/>
      <c r="C3129" s="307" t="s">
        <v>3329</v>
      </c>
      <c r="D3129" s="307" t="s">
        <v>3935</v>
      </c>
      <c r="E3129" s="260" t="s">
        <v>3936</v>
      </c>
      <c r="F3129" s="352">
        <v>20416</v>
      </c>
      <c r="G3129" s="311">
        <v>1976</v>
      </c>
      <c r="H3129" s="340" t="s">
        <v>2658</v>
      </c>
      <c r="I3129" s="313">
        <v>350</v>
      </c>
      <c r="J3129" s="350">
        <v>1.9</v>
      </c>
      <c r="K3129" s="350">
        <v>1.5</v>
      </c>
      <c r="L3129" s="314">
        <f t="shared" si="26"/>
        <v>0.39999999999999991</v>
      </c>
      <c r="M3129" s="337"/>
    </row>
    <row r="3130" spans="1:13" s="71" customFormat="1" ht="26.4" customHeight="1">
      <c r="A3130" s="282">
        <v>442</v>
      </c>
      <c r="B3130" s="534"/>
      <c r="C3130" s="307" t="s">
        <v>3495</v>
      </c>
      <c r="D3130" s="307" t="s">
        <v>3937</v>
      </c>
      <c r="E3130" s="260" t="s">
        <v>3938</v>
      </c>
      <c r="F3130" s="352">
        <v>20426</v>
      </c>
      <c r="G3130" s="311">
        <v>1976</v>
      </c>
      <c r="H3130" s="340" t="s">
        <v>2658</v>
      </c>
      <c r="I3130" s="313">
        <v>460</v>
      </c>
      <c r="J3130" s="350">
        <v>1.3</v>
      </c>
      <c r="K3130" s="350">
        <v>1</v>
      </c>
      <c r="L3130" s="314">
        <f t="shared" si="26"/>
        <v>0.30000000000000004</v>
      </c>
      <c r="M3130" s="337"/>
    </row>
    <row r="3131" spans="1:13" s="71" customFormat="1" ht="26.4" customHeight="1">
      <c r="A3131" s="282">
        <v>443</v>
      </c>
      <c r="B3131" s="534"/>
      <c r="C3131" s="307" t="s">
        <v>3788</v>
      </c>
      <c r="D3131" s="307" t="s">
        <v>3939</v>
      </c>
      <c r="E3131" s="260" t="s">
        <v>3938</v>
      </c>
      <c r="F3131" s="352">
        <v>20367</v>
      </c>
      <c r="G3131" s="311">
        <v>1976</v>
      </c>
      <c r="H3131" s="340" t="s">
        <v>2658</v>
      </c>
      <c r="I3131" s="313">
        <v>290</v>
      </c>
      <c r="J3131" s="350">
        <v>0.8</v>
      </c>
      <c r="K3131" s="350">
        <v>0.7</v>
      </c>
      <c r="L3131" s="314">
        <f t="shared" si="26"/>
        <v>0.10000000000000009</v>
      </c>
      <c r="M3131" s="337"/>
    </row>
    <row r="3132" spans="1:13" s="71" customFormat="1" ht="26.4" customHeight="1">
      <c r="A3132" s="282">
        <v>444</v>
      </c>
      <c r="B3132" s="534"/>
      <c r="C3132" s="355" t="s">
        <v>1169</v>
      </c>
      <c r="D3132" s="307" t="s">
        <v>3940</v>
      </c>
      <c r="E3132" s="260" t="s">
        <v>3941</v>
      </c>
      <c r="F3132" s="352">
        <v>20287</v>
      </c>
      <c r="G3132" s="311">
        <v>1976</v>
      </c>
      <c r="H3132" s="340" t="s">
        <v>2658</v>
      </c>
      <c r="I3132" s="313">
        <v>500</v>
      </c>
      <c r="J3132" s="350">
        <v>1.5</v>
      </c>
      <c r="K3132" s="350">
        <v>1.1000000000000001</v>
      </c>
      <c r="L3132" s="314">
        <f t="shared" si="26"/>
        <v>0.39999999999999991</v>
      </c>
      <c r="M3132" s="337"/>
    </row>
    <row r="3133" spans="1:13" s="71" customFormat="1" ht="26.4" customHeight="1">
      <c r="A3133" s="282">
        <v>445</v>
      </c>
      <c r="B3133" s="534"/>
      <c r="C3133" s="355" t="s">
        <v>1169</v>
      </c>
      <c r="D3133" s="307" t="s">
        <v>3942</v>
      </c>
      <c r="E3133" s="260" t="s">
        <v>3943</v>
      </c>
      <c r="F3133" s="352">
        <v>20473</v>
      </c>
      <c r="G3133" s="311">
        <v>1976</v>
      </c>
      <c r="H3133" s="340" t="s">
        <v>2658</v>
      </c>
      <c r="I3133" s="313">
        <v>300</v>
      </c>
      <c r="J3133" s="350">
        <v>0.8</v>
      </c>
      <c r="K3133" s="350">
        <v>0.7</v>
      </c>
      <c r="L3133" s="314">
        <f t="shared" si="26"/>
        <v>0.10000000000000009</v>
      </c>
      <c r="M3133" s="337"/>
    </row>
    <row r="3134" spans="1:13" s="71" customFormat="1" ht="26.4" customHeight="1">
      <c r="A3134" s="282">
        <v>446</v>
      </c>
      <c r="B3134" s="534"/>
      <c r="C3134" s="307" t="s">
        <v>3336</v>
      </c>
      <c r="D3134" s="307" t="s">
        <v>3942</v>
      </c>
      <c r="E3134" s="260" t="s">
        <v>3943</v>
      </c>
      <c r="F3134" s="352">
        <v>20630</v>
      </c>
      <c r="G3134" s="311">
        <v>1995</v>
      </c>
      <c r="H3134" s="340" t="s">
        <v>2658</v>
      </c>
      <c r="I3134" s="313">
        <v>1150</v>
      </c>
      <c r="J3134" s="350">
        <v>18.2</v>
      </c>
      <c r="K3134" s="350">
        <v>15.4</v>
      </c>
      <c r="L3134" s="314">
        <f t="shared" si="26"/>
        <v>2.7999999999999989</v>
      </c>
      <c r="M3134" s="337"/>
    </row>
    <row r="3135" spans="1:13" s="71" customFormat="1" ht="26.4" customHeight="1">
      <c r="A3135" s="282">
        <v>447</v>
      </c>
      <c r="B3135" s="534"/>
      <c r="C3135" s="355" t="s">
        <v>1169</v>
      </c>
      <c r="D3135" s="307" t="s">
        <v>3944</v>
      </c>
      <c r="E3135" s="260" t="s">
        <v>3945</v>
      </c>
      <c r="F3135" s="352">
        <v>20045</v>
      </c>
      <c r="G3135" s="311">
        <v>1967</v>
      </c>
      <c r="H3135" s="340" t="s">
        <v>2658</v>
      </c>
      <c r="I3135" s="313">
        <v>308</v>
      </c>
      <c r="J3135" s="350">
        <v>1.8</v>
      </c>
      <c r="K3135" s="350">
        <v>1.7</v>
      </c>
      <c r="L3135" s="314">
        <f t="shared" si="26"/>
        <v>0.10000000000000009</v>
      </c>
      <c r="M3135" s="337"/>
    </row>
    <row r="3136" spans="1:13" s="71" customFormat="1" ht="26.4" customHeight="1">
      <c r="A3136" s="282">
        <v>448</v>
      </c>
      <c r="B3136" s="534"/>
      <c r="C3136" s="355" t="s">
        <v>1169</v>
      </c>
      <c r="D3136" s="307" t="s">
        <v>3946</v>
      </c>
      <c r="E3136" s="260" t="s">
        <v>3947</v>
      </c>
      <c r="F3136" s="352">
        <v>20209</v>
      </c>
      <c r="G3136" s="311">
        <v>1976</v>
      </c>
      <c r="H3136" s="340" t="s">
        <v>2658</v>
      </c>
      <c r="I3136" s="313">
        <v>420</v>
      </c>
      <c r="J3136" s="350">
        <v>1.1000000000000001</v>
      </c>
      <c r="K3136" s="350">
        <v>1</v>
      </c>
      <c r="L3136" s="314">
        <f t="shared" si="26"/>
        <v>0.10000000000000009</v>
      </c>
      <c r="M3136" s="337"/>
    </row>
    <row r="3137" spans="1:13" s="71" customFormat="1" ht="26.4" customHeight="1">
      <c r="A3137" s="282">
        <v>449</v>
      </c>
      <c r="B3137" s="534"/>
      <c r="C3137" s="307" t="s">
        <v>3276</v>
      </c>
      <c r="D3137" s="307" t="s">
        <v>3948</v>
      </c>
      <c r="E3137" s="260" t="s">
        <v>3949</v>
      </c>
      <c r="F3137" s="352">
        <v>20463</v>
      </c>
      <c r="G3137" s="311">
        <v>1976</v>
      </c>
      <c r="H3137" s="340" t="s">
        <v>2658</v>
      </c>
      <c r="I3137" s="313">
        <v>100</v>
      </c>
      <c r="J3137" s="350">
        <v>0.3</v>
      </c>
      <c r="K3137" s="350">
        <v>0.3</v>
      </c>
      <c r="L3137" s="314">
        <f t="shared" ref="L3137:L3200" si="27">J3137-K3137</f>
        <v>0</v>
      </c>
      <c r="M3137" s="337"/>
    </row>
    <row r="3138" spans="1:13" s="71" customFormat="1" ht="26.4" customHeight="1">
      <c r="A3138" s="282">
        <v>450</v>
      </c>
      <c r="B3138" s="534"/>
      <c r="C3138" s="307" t="s">
        <v>3276</v>
      </c>
      <c r="D3138" s="307" t="s">
        <v>3950</v>
      </c>
      <c r="E3138" s="260" t="s">
        <v>3951</v>
      </c>
      <c r="F3138" s="352">
        <v>20466</v>
      </c>
      <c r="G3138" s="311">
        <v>1976</v>
      </c>
      <c r="H3138" s="340" t="s">
        <v>2658</v>
      </c>
      <c r="I3138" s="313">
        <v>220</v>
      </c>
      <c r="J3138" s="350">
        <v>0.6</v>
      </c>
      <c r="K3138" s="350">
        <v>0.5</v>
      </c>
      <c r="L3138" s="314">
        <f t="shared" si="27"/>
        <v>9.9999999999999978E-2</v>
      </c>
      <c r="M3138" s="337"/>
    </row>
    <row r="3139" spans="1:13" s="71" customFormat="1" ht="26.4" customHeight="1">
      <c r="A3139" s="282">
        <v>451</v>
      </c>
      <c r="B3139" s="534"/>
      <c r="C3139" s="355" t="s">
        <v>3952</v>
      </c>
      <c r="D3139" s="307" t="s">
        <v>3953</v>
      </c>
      <c r="E3139" s="260" t="s">
        <v>3954</v>
      </c>
      <c r="F3139" s="352">
        <v>20291</v>
      </c>
      <c r="G3139" s="311">
        <v>1976</v>
      </c>
      <c r="H3139" s="340" t="s">
        <v>2658</v>
      </c>
      <c r="I3139" s="313">
        <v>300</v>
      </c>
      <c r="J3139" s="350">
        <v>0.8</v>
      </c>
      <c r="K3139" s="350">
        <v>0.7</v>
      </c>
      <c r="L3139" s="314">
        <f t="shared" si="27"/>
        <v>0.10000000000000009</v>
      </c>
      <c r="M3139" s="337"/>
    </row>
    <row r="3140" spans="1:13" s="71" customFormat="1" ht="26.4" customHeight="1">
      <c r="A3140" s="282">
        <v>452</v>
      </c>
      <c r="B3140" s="534"/>
      <c r="C3140" s="307" t="s">
        <v>3276</v>
      </c>
      <c r="D3140" s="307" t="s">
        <v>3955</v>
      </c>
      <c r="E3140" s="260" t="s">
        <v>3956</v>
      </c>
      <c r="F3140" s="352">
        <v>20419</v>
      </c>
      <c r="G3140" s="311">
        <v>1976</v>
      </c>
      <c r="H3140" s="340" t="s">
        <v>2658</v>
      </c>
      <c r="I3140" s="313">
        <v>250</v>
      </c>
      <c r="J3140" s="350">
        <v>0.6</v>
      </c>
      <c r="K3140" s="350">
        <v>0.5</v>
      </c>
      <c r="L3140" s="314">
        <f t="shared" si="27"/>
        <v>9.9999999999999978E-2</v>
      </c>
      <c r="M3140" s="337"/>
    </row>
    <row r="3141" spans="1:13" s="71" customFormat="1" ht="26.4" customHeight="1">
      <c r="A3141" s="282">
        <v>453</v>
      </c>
      <c r="B3141" s="534"/>
      <c r="C3141" s="355" t="s">
        <v>1169</v>
      </c>
      <c r="D3141" s="307" t="s">
        <v>3957</v>
      </c>
      <c r="E3141" s="260" t="s">
        <v>3958</v>
      </c>
      <c r="F3141" s="352">
        <v>20248</v>
      </c>
      <c r="G3141" s="311">
        <v>1976</v>
      </c>
      <c r="H3141" s="340" t="s">
        <v>2658</v>
      </c>
      <c r="I3141" s="313" t="s">
        <v>3959</v>
      </c>
      <c r="J3141" s="350">
        <v>0.4</v>
      </c>
      <c r="K3141" s="350">
        <v>0.3</v>
      </c>
      <c r="L3141" s="314">
        <f t="shared" si="27"/>
        <v>0.10000000000000003</v>
      </c>
      <c r="M3141" s="337"/>
    </row>
    <row r="3142" spans="1:13" s="71" customFormat="1" ht="26.4" customHeight="1">
      <c r="A3142" s="282">
        <v>454</v>
      </c>
      <c r="B3142" s="534"/>
      <c r="C3142" s="355" t="s">
        <v>1169</v>
      </c>
      <c r="D3142" s="307" t="s">
        <v>3960</v>
      </c>
      <c r="E3142" s="260" t="s">
        <v>13325</v>
      </c>
      <c r="F3142" s="352">
        <v>20208</v>
      </c>
      <c r="G3142" s="311">
        <v>1976</v>
      </c>
      <c r="H3142" s="340" t="s">
        <v>2658</v>
      </c>
      <c r="I3142" s="313">
        <v>580</v>
      </c>
      <c r="J3142" s="350">
        <v>1.5</v>
      </c>
      <c r="K3142" s="350">
        <v>1.4</v>
      </c>
      <c r="L3142" s="314">
        <f t="shared" si="27"/>
        <v>0.10000000000000009</v>
      </c>
      <c r="M3142" s="337"/>
    </row>
    <row r="3143" spans="1:13" s="71" customFormat="1" ht="26.4" customHeight="1">
      <c r="A3143" s="282">
        <v>455</v>
      </c>
      <c r="B3143" s="534"/>
      <c r="C3143" s="307" t="s">
        <v>3336</v>
      </c>
      <c r="D3143" s="307" t="s">
        <v>3961</v>
      </c>
      <c r="E3143" s="260" t="s">
        <v>3962</v>
      </c>
      <c r="F3143" s="352">
        <v>20433</v>
      </c>
      <c r="G3143" s="311">
        <v>1976</v>
      </c>
      <c r="H3143" s="340" t="s">
        <v>2658</v>
      </c>
      <c r="I3143" s="313">
        <v>350</v>
      </c>
      <c r="J3143" s="350">
        <v>1</v>
      </c>
      <c r="K3143" s="350">
        <v>0.8</v>
      </c>
      <c r="L3143" s="314">
        <f t="shared" si="27"/>
        <v>0.19999999999999996</v>
      </c>
      <c r="M3143" s="337"/>
    </row>
    <row r="3144" spans="1:13" s="71" customFormat="1" ht="26.4" customHeight="1">
      <c r="A3144" s="282">
        <v>456</v>
      </c>
      <c r="B3144" s="534"/>
      <c r="C3144" s="355" t="s">
        <v>1169</v>
      </c>
      <c r="D3144" s="307" t="s">
        <v>3961</v>
      </c>
      <c r="E3144" s="260" t="s">
        <v>3962</v>
      </c>
      <c r="F3144" s="352">
        <v>20277</v>
      </c>
      <c r="G3144" s="311">
        <v>1976</v>
      </c>
      <c r="H3144" s="340" t="s">
        <v>2658</v>
      </c>
      <c r="I3144" s="313">
        <v>300</v>
      </c>
      <c r="J3144" s="350">
        <v>0.8</v>
      </c>
      <c r="K3144" s="350">
        <v>0.7</v>
      </c>
      <c r="L3144" s="314">
        <f t="shared" si="27"/>
        <v>0.10000000000000009</v>
      </c>
      <c r="M3144" s="337"/>
    </row>
    <row r="3145" spans="1:13" s="71" customFormat="1" ht="26.4" customHeight="1">
      <c r="A3145" s="282">
        <v>457</v>
      </c>
      <c r="B3145" s="534"/>
      <c r="C3145" s="307" t="s">
        <v>3276</v>
      </c>
      <c r="D3145" s="307" t="s">
        <v>3963</v>
      </c>
      <c r="E3145" s="260" t="s">
        <v>3964</v>
      </c>
      <c r="F3145" s="352">
        <v>20431</v>
      </c>
      <c r="G3145" s="311">
        <v>1976</v>
      </c>
      <c r="H3145" s="340" t="s">
        <v>2658</v>
      </c>
      <c r="I3145" s="313">
        <v>480</v>
      </c>
      <c r="J3145" s="350">
        <v>1.2</v>
      </c>
      <c r="K3145" s="350">
        <v>1.1000000000000001</v>
      </c>
      <c r="L3145" s="314">
        <f t="shared" si="27"/>
        <v>9.9999999999999867E-2</v>
      </c>
      <c r="M3145" s="337"/>
    </row>
    <row r="3146" spans="1:13" s="71" customFormat="1" ht="26.4" customHeight="1">
      <c r="A3146" s="282">
        <v>458</v>
      </c>
      <c r="B3146" s="534"/>
      <c r="C3146" s="355" t="s">
        <v>1169</v>
      </c>
      <c r="D3146" s="307" t="s">
        <v>3963</v>
      </c>
      <c r="E3146" s="260" t="s">
        <v>3965</v>
      </c>
      <c r="F3146" s="352">
        <v>20649</v>
      </c>
      <c r="G3146" s="311">
        <v>1998</v>
      </c>
      <c r="H3146" s="340" t="s">
        <v>2658</v>
      </c>
      <c r="I3146" s="313">
        <v>140</v>
      </c>
      <c r="J3146" s="350">
        <v>7.9</v>
      </c>
      <c r="K3146" s="350">
        <v>6.7</v>
      </c>
      <c r="L3146" s="314">
        <f t="shared" si="27"/>
        <v>1.2000000000000002</v>
      </c>
      <c r="M3146" s="337"/>
    </row>
    <row r="3147" spans="1:13" s="71" customFormat="1" ht="26.4" customHeight="1">
      <c r="A3147" s="282">
        <v>459</v>
      </c>
      <c r="B3147" s="534"/>
      <c r="C3147" s="355" t="s">
        <v>1169</v>
      </c>
      <c r="D3147" s="307" t="s">
        <v>3963</v>
      </c>
      <c r="E3147" s="260" t="s">
        <v>3966</v>
      </c>
      <c r="F3147" s="352">
        <v>20265</v>
      </c>
      <c r="G3147" s="311">
        <v>1976</v>
      </c>
      <c r="H3147" s="340" t="s">
        <v>2658</v>
      </c>
      <c r="I3147" s="313">
        <v>800</v>
      </c>
      <c r="J3147" s="350">
        <v>2.2999999999999998</v>
      </c>
      <c r="K3147" s="350">
        <v>1.8</v>
      </c>
      <c r="L3147" s="314">
        <f t="shared" si="27"/>
        <v>0.49999999999999978</v>
      </c>
      <c r="M3147" s="337"/>
    </row>
    <row r="3148" spans="1:13" s="71" customFormat="1" ht="26.4" customHeight="1">
      <c r="A3148" s="282">
        <v>460</v>
      </c>
      <c r="B3148" s="534"/>
      <c r="C3148" s="355" t="s">
        <v>1169</v>
      </c>
      <c r="D3148" s="307" t="s">
        <v>3967</v>
      </c>
      <c r="E3148" s="260" t="s">
        <v>3968</v>
      </c>
      <c r="F3148" s="352">
        <v>20064</v>
      </c>
      <c r="G3148" s="311">
        <v>1968</v>
      </c>
      <c r="H3148" s="340" t="s">
        <v>2658</v>
      </c>
      <c r="I3148" s="313">
        <v>350</v>
      </c>
      <c r="J3148" s="350">
        <v>8.9</v>
      </c>
      <c r="K3148" s="350">
        <v>7</v>
      </c>
      <c r="L3148" s="314">
        <f t="shared" si="27"/>
        <v>1.9000000000000004</v>
      </c>
      <c r="M3148" s="337"/>
    </row>
    <row r="3149" spans="1:13" s="71" customFormat="1" ht="26.4" customHeight="1">
      <c r="A3149" s="282">
        <v>461</v>
      </c>
      <c r="B3149" s="534"/>
      <c r="C3149" s="355" t="s">
        <v>1169</v>
      </c>
      <c r="D3149" s="307" t="s">
        <v>3969</v>
      </c>
      <c r="E3149" s="260" t="s">
        <v>3970</v>
      </c>
      <c r="F3149" s="352">
        <v>20228</v>
      </c>
      <c r="G3149" s="311">
        <v>1976</v>
      </c>
      <c r="H3149" s="340" t="s">
        <v>2658</v>
      </c>
      <c r="I3149" s="313">
        <v>170</v>
      </c>
      <c r="J3149" s="350">
        <v>0.4</v>
      </c>
      <c r="K3149" s="350">
        <v>0.4</v>
      </c>
      <c r="L3149" s="314">
        <f t="shared" si="27"/>
        <v>0</v>
      </c>
      <c r="M3149" s="337"/>
    </row>
    <row r="3150" spans="1:13" s="71" customFormat="1" ht="26.4" customHeight="1">
      <c r="A3150" s="282">
        <v>462</v>
      </c>
      <c r="B3150" s="534"/>
      <c r="C3150" s="307" t="s">
        <v>3495</v>
      </c>
      <c r="D3150" s="307" t="s">
        <v>3971</v>
      </c>
      <c r="E3150" s="444" t="s">
        <v>3972</v>
      </c>
      <c r="F3150" s="352">
        <v>20446</v>
      </c>
      <c r="G3150" s="311">
        <v>1976</v>
      </c>
      <c r="H3150" s="340" t="s">
        <v>2658</v>
      </c>
      <c r="I3150" s="313">
        <v>120</v>
      </c>
      <c r="J3150" s="350">
        <v>0.3</v>
      </c>
      <c r="K3150" s="350">
        <v>0.3</v>
      </c>
      <c r="L3150" s="314">
        <f t="shared" si="27"/>
        <v>0</v>
      </c>
      <c r="M3150" s="337"/>
    </row>
    <row r="3151" spans="1:13" s="71" customFormat="1" ht="26.4" customHeight="1">
      <c r="A3151" s="282">
        <v>463</v>
      </c>
      <c r="B3151" s="534"/>
      <c r="C3151" s="355" t="s">
        <v>1169</v>
      </c>
      <c r="D3151" s="307" t="s">
        <v>3973</v>
      </c>
      <c r="E3151" s="260" t="s">
        <v>3974</v>
      </c>
      <c r="F3151" s="352">
        <v>20329</v>
      </c>
      <c r="G3151" s="311">
        <v>1976</v>
      </c>
      <c r="H3151" s="340" t="s">
        <v>2658</v>
      </c>
      <c r="I3151" s="313">
        <v>200</v>
      </c>
      <c r="J3151" s="359">
        <v>0.3</v>
      </c>
      <c r="K3151" s="350">
        <v>0.3</v>
      </c>
      <c r="L3151" s="314">
        <f t="shared" si="27"/>
        <v>0</v>
      </c>
      <c r="M3151" s="337"/>
    </row>
    <row r="3152" spans="1:13" s="71" customFormat="1" ht="26.4" customHeight="1">
      <c r="A3152" s="282">
        <v>464</v>
      </c>
      <c r="B3152" s="534"/>
      <c r="C3152" s="307" t="s">
        <v>3317</v>
      </c>
      <c r="D3152" s="307" t="s">
        <v>3975</v>
      </c>
      <c r="E3152" s="260" t="s">
        <v>3976</v>
      </c>
      <c r="F3152" s="352">
        <v>20375</v>
      </c>
      <c r="G3152" s="311">
        <v>1976</v>
      </c>
      <c r="H3152" s="340" t="s">
        <v>2658</v>
      </c>
      <c r="I3152" s="313">
        <v>500</v>
      </c>
      <c r="J3152" s="350">
        <v>2.6</v>
      </c>
      <c r="K3152" s="350">
        <v>1.7</v>
      </c>
      <c r="L3152" s="314">
        <f t="shared" si="27"/>
        <v>0.90000000000000013</v>
      </c>
      <c r="M3152" s="337"/>
    </row>
    <row r="3153" spans="1:13" s="71" customFormat="1" ht="26.4" customHeight="1">
      <c r="A3153" s="282">
        <v>465</v>
      </c>
      <c r="B3153" s="534"/>
      <c r="C3153" s="307" t="s">
        <v>3705</v>
      </c>
      <c r="D3153" s="307" t="s">
        <v>3510</v>
      </c>
      <c r="E3153" s="260" t="s">
        <v>3977</v>
      </c>
      <c r="F3153" s="352">
        <v>20521</v>
      </c>
      <c r="G3153" s="311">
        <v>1976</v>
      </c>
      <c r="H3153" s="340" t="s">
        <v>2658</v>
      </c>
      <c r="I3153" s="313">
        <v>450</v>
      </c>
      <c r="J3153" s="350">
        <v>1.1000000000000001</v>
      </c>
      <c r="K3153" s="350">
        <v>1</v>
      </c>
      <c r="L3153" s="314">
        <f t="shared" si="27"/>
        <v>0.10000000000000009</v>
      </c>
      <c r="M3153" s="337"/>
    </row>
    <row r="3154" spans="1:13" s="71" customFormat="1" ht="26.4" customHeight="1">
      <c r="A3154" s="282">
        <v>466</v>
      </c>
      <c r="B3154" s="534"/>
      <c r="C3154" s="307" t="s">
        <v>3495</v>
      </c>
      <c r="D3154" s="307" t="s">
        <v>3978</v>
      </c>
      <c r="E3154" s="260" t="s">
        <v>3979</v>
      </c>
      <c r="F3154" s="352">
        <v>20418</v>
      </c>
      <c r="G3154" s="311">
        <v>1976</v>
      </c>
      <c r="H3154" s="340" t="s">
        <v>2658</v>
      </c>
      <c r="I3154" s="313">
        <v>280</v>
      </c>
      <c r="J3154" s="350">
        <v>0.7</v>
      </c>
      <c r="K3154" s="350">
        <v>0.6</v>
      </c>
      <c r="L3154" s="314">
        <f t="shared" si="27"/>
        <v>9.9999999999999978E-2</v>
      </c>
      <c r="M3154" s="337"/>
    </row>
    <row r="3155" spans="1:13" s="71" customFormat="1" ht="26.4" customHeight="1">
      <c r="A3155" s="282">
        <v>467</v>
      </c>
      <c r="B3155" s="534"/>
      <c r="C3155" s="355" t="s">
        <v>1169</v>
      </c>
      <c r="D3155" s="307" t="s">
        <v>3980</v>
      </c>
      <c r="E3155" s="260" t="s">
        <v>3981</v>
      </c>
      <c r="F3155" s="352">
        <v>20059</v>
      </c>
      <c r="G3155" s="311">
        <v>1968</v>
      </c>
      <c r="H3155" s="340" t="s">
        <v>2658</v>
      </c>
      <c r="I3155" s="313">
        <v>755</v>
      </c>
      <c r="J3155" s="350">
        <v>5.3</v>
      </c>
      <c r="K3155" s="350">
        <v>4.9000000000000004</v>
      </c>
      <c r="L3155" s="314">
        <f t="shared" si="27"/>
        <v>0.39999999999999947</v>
      </c>
      <c r="M3155" s="337"/>
    </row>
    <row r="3156" spans="1:13" s="71" customFormat="1" ht="26.4" customHeight="1">
      <c r="A3156" s="282">
        <v>468</v>
      </c>
      <c r="B3156" s="534"/>
      <c r="C3156" s="307" t="s">
        <v>3495</v>
      </c>
      <c r="D3156" s="307" t="s">
        <v>3982</v>
      </c>
      <c r="E3156" s="260" t="s">
        <v>3983</v>
      </c>
      <c r="F3156" s="352">
        <v>20387</v>
      </c>
      <c r="G3156" s="311">
        <v>1976</v>
      </c>
      <c r="H3156" s="340" t="s">
        <v>2658</v>
      </c>
      <c r="I3156" s="313">
        <v>420</v>
      </c>
      <c r="J3156" s="350">
        <v>0.7</v>
      </c>
      <c r="K3156" s="350">
        <v>0.6</v>
      </c>
      <c r="L3156" s="314">
        <f t="shared" si="27"/>
        <v>9.9999999999999978E-2</v>
      </c>
      <c r="M3156" s="337"/>
    </row>
    <row r="3157" spans="1:13" s="71" customFormat="1" ht="26.4" customHeight="1">
      <c r="A3157" s="282">
        <v>469</v>
      </c>
      <c r="B3157" s="534"/>
      <c r="C3157" s="355" t="s">
        <v>1169</v>
      </c>
      <c r="D3157" s="307" t="s">
        <v>3984</v>
      </c>
      <c r="E3157" s="260" t="s">
        <v>3985</v>
      </c>
      <c r="F3157" s="352">
        <v>20187</v>
      </c>
      <c r="G3157" s="311">
        <v>1976</v>
      </c>
      <c r="H3157" s="340" t="s">
        <v>2658</v>
      </c>
      <c r="I3157" s="313">
        <v>120</v>
      </c>
      <c r="J3157" s="350">
        <v>0.5</v>
      </c>
      <c r="K3157" s="350">
        <v>0.4</v>
      </c>
      <c r="L3157" s="314">
        <f t="shared" si="27"/>
        <v>9.9999999999999978E-2</v>
      </c>
      <c r="M3157" s="337"/>
    </row>
    <row r="3158" spans="1:13" s="71" customFormat="1" ht="26.4" customHeight="1">
      <c r="A3158" s="282">
        <v>470</v>
      </c>
      <c r="B3158" s="534"/>
      <c r="C3158" s="307" t="s">
        <v>3336</v>
      </c>
      <c r="D3158" s="307" t="s">
        <v>3310</v>
      </c>
      <c r="E3158" s="260" t="s">
        <v>3986</v>
      </c>
      <c r="F3158" s="352">
        <v>20434</v>
      </c>
      <c r="G3158" s="311">
        <v>1976</v>
      </c>
      <c r="H3158" s="340" t="s">
        <v>2658</v>
      </c>
      <c r="I3158" s="313">
        <v>340</v>
      </c>
      <c r="J3158" s="350">
        <v>1</v>
      </c>
      <c r="K3158" s="350">
        <v>0.8</v>
      </c>
      <c r="L3158" s="314">
        <f t="shared" si="27"/>
        <v>0.19999999999999996</v>
      </c>
      <c r="M3158" s="337"/>
    </row>
    <row r="3159" spans="1:13" s="71" customFormat="1" ht="26.4" customHeight="1">
      <c r="A3159" s="282">
        <v>471</v>
      </c>
      <c r="B3159" s="534"/>
      <c r="C3159" s="307" t="s">
        <v>3987</v>
      </c>
      <c r="D3159" s="307" t="s">
        <v>3310</v>
      </c>
      <c r="E3159" s="260" t="s">
        <v>3988</v>
      </c>
      <c r="F3159" s="352">
        <v>20507</v>
      </c>
      <c r="G3159" s="311">
        <v>1976</v>
      </c>
      <c r="H3159" s="340" t="s">
        <v>2658</v>
      </c>
      <c r="I3159" s="313">
        <v>980</v>
      </c>
      <c r="J3159" s="350">
        <v>2.5</v>
      </c>
      <c r="K3159" s="350">
        <v>2.2999999999999998</v>
      </c>
      <c r="L3159" s="314">
        <f t="shared" si="27"/>
        <v>0.20000000000000018</v>
      </c>
      <c r="M3159" s="337"/>
    </row>
    <row r="3160" spans="1:13" s="71" customFormat="1" ht="26.4" customHeight="1">
      <c r="A3160" s="282">
        <v>472</v>
      </c>
      <c r="B3160" s="534"/>
      <c r="C3160" s="307" t="s">
        <v>3320</v>
      </c>
      <c r="D3160" s="307" t="s">
        <v>3989</v>
      </c>
      <c r="E3160" s="260" t="s">
        <v>3990</v>
      </c>
      <c r="F3160" s="352">
        <v>20492</v>
      </c>
      <c r="G3160" s="311">
        <v>1976</v>
      </c>
      <c r="H3160" s="340" t="s">
        <v>2658</v>
      </c>
      <c r="I3160" s="313">
        <v>200</v>
      </c>
      <c r="J3160" s="350">
        <v>0.5</v>
      </c>
      <c r="K3160" s="350">
        <v>0.5</v>
      </c>
      <c r="L3160" s="314">
        <f t="shared" si="27"/>
        <v>0</v>
      </c>
      <c r="M3160" s="337"/>
    </row>
    <row r="3161" spans="1:13" s="71" customFormat="1" ht="26.4" customHeight="1">
      <c r="A3161" s="282">
        <v>473</v>
      </c>
      <c r="B3161" s="534"/>
      <c r="C3161" s="307" t="s">
        <v>3336</v>
      </c>
      <c r="D3161" s="307" t="s">
        <v>3991</v>
      </c>
      <c r="E3161" s="260" t="s">
        <v>3992</v>
      </c>
      <c r="F3161" s="352">
        <v>20380</v>
      </c>
      <c r="G3161" s="311">
        <v>1976</v>
      </c>
      <c r="H3161" s="340" t="s">
        <v>2658</v>
      </c>
      <c r="I3161" s="313">
        <v>150</v>
      </c>
      <c r="J3161" s="350">
        <v>0.5</v>
      </c>
      <c r="K3161" s="350">
        <v>0.4</v>
      </c>
      <c r="L3161" s="314">
        <f t="shared" si="27"/>
        <v>9.9999999999999978E-2</v>
      </c>
      <c r="M3161" s="337"/>
    </row>
    <row r="3162" spans="1:13" s="71" customFormat="1" ht="26.4" customHeight="1">
      <c r="A3162" s="282">
        <v>474</v>
      </c>
      <c r="B3162" s="534"/>
      <c r="C3162" s="307" t="s">
        <v>3993</v>
      </c>
      <c r="D3162" s="307" t="s">
        <v>3994</v>
      </c>
      <c r="E3162" s="260" t="s">
        <v>3995</v>
      </c>
      <c r="F3162" s="352">
        <v>20393</v>
      </c>
      <c r="G3162" s="311">
        <v>1976</v>
      </c>
      <c r="H3162" s="340" t="s">
        <v>2658</v>
      </c>
      <c r="I3162" s="313">
        <v>1200</v>
      </c>
      <c r="J3162" s="350">
        <v>5.2</v>
      </c>
      <c r="K3162" s="350">
        <v>4.8</v>
      </c>
      <c r="L3162" s="314">
        <f t="shared" si="27"/>
        <v>0.40000000000000036</v>
      </c>
      <c r="M3162" s="337"/>
    </row>
    <row r="3163" spans="1:13" s="71" customFormat="1" ht="26.4" customHeight="1">
      <c r="A3163" s="282">
        <v>475</v>
      </c>
      <c r="B3163" s="534"/>
      <c r="C3163" s="355" t="s">
        <v>1169</v>
      </c>
      <c r="D3163" s="307" t="s">
        <v>3996</v>
      </c>
      <c r="E3163" s="260" t="s">
        <v>3997</v>
      </c>
      <c r="F3163" s="352">
        <v>20338</v>
      </c>
      <c r="G3163" s="311">
        <v>1976</v>
      </c>
      <c r="H3163" s="340" t="s">
        <v>2658</v>
      </c>
      <c r="I3163" s="313">
        <v>220</v>
      </c>
      <c r="J3163" s="350">
        <v>0.6</v>
      </c>
      <c r="K3163" s="350">
        <v>0.5</v>
      </c>
      <c r="L3163" s="314">
        <f t="shared" si="27"/>
        <v>9.9999999999999978E-2</v>
      </c>
      <c r="M3163" s="337"/>
    </row>
    <row r="3164" spans="1:13" s="71" customFormat="1" ht="26.4" customHeight="1">
      <c r="A3164" s="282">
        <v>476</v>
      </c>
      <c r="B3164" s="534"/>
      <c r="C3164" s="355" t="s">
        <v>1169</v>
      </c>
      <c r="D3164" s="307" t="s">
        <v>3998</v>
      </c>
      <c r="E3164" s="260" t="s">
        <v>3999</v>
      </c>
      <c r="F3164" s="352">
        <v>20249</v>
      </c>
      <c r="G3164" s="311">
        <v>1976</v>
      </c>
      <c r="H3164" s="340" t="s">
        <v>2658</v>
      </c>
      <c r="I3164" s="313">
        <v>360</v>
      </c>
      <c r="J3164" s="350">
        <v>1.1000000000000001</v>
      </c>
      <c r="K3164" s="350">
        <v>0.9</v>
      </c>
      <c r="L3164" s="314">
        <f t="shared" si="27"/>
        <v>0.20000000000000007</v>
      </c>
      <c r="M3164" s="337"/>
    </row>
    <row r="3165" spans="1:13" s="71" customFormat="1" ht="26.4" customHeight="1">
      <c r="A3165" s="282">
        <v>477</v>
      </c>
      <c r="B3165" s="534"/>
      <c r="C3165" s="446" t="s">
        <v>3392</v>
      </c>
      <c r="D3165" s="446" t="s">
        <v>4000</v>
      </c>
      <c r="E3165" s="287" t="s">
        <v>4001</v>
      </c>
      <c r="F3165" s="352">
        <v>20397</v>
      </c>
      <c r="G3165" s="311">
        <v>1976</v>
      </c>
      <c r="H3165" s="340" t="s">
        <v>2658</v>
      </c>
      <c r="I3165" s="313">
        <v>300</v>
      </c>
      <c r="J3165" s="350">
        <v>1.7</v>
      </c>
      <c r="K3165" s="350">
        <v>1.3</v>
      </c>
      <c r="L3165" s="314">
        <f t="shared" si="27"/>
        <v>0.39999999999999991</v>
      </c>
      <c r="M3165" s="337"/>
    </row>
    <row r="3166" spans="1:13" s="71" customFormat="1" ht="26.4" customHeight="1">
      <c r="A3166" s="282">
        <v>478</v>
      </c>
      <c r="B3166" s="534"/>
      <c r="C3166" s="447" t="s">
        <v>1169</v>
      </c>
      <c r="D3166" s="446" t="s">
        <v>4002</v>
      </c>
      <c r="E3166" s="287" t="s">
        <v>4001</v>
      </c>
      <c r="F3166" s="352">
        <v>20195</v>
      </c>
      <c r="G3166" s="311">
        <v>1976</v>
      </c>
      <c r="H3166" s="340" t="s">
        <v>2658</v>
      </c>
      <c r="I3166" s="313">
        <v>550</v>
      </c>
      <c r="J3166" s="350">
        <v>2.1</v>
      </c>
      <c r="K3166" s="350">
        <v>1.9</v>
      </c>
      <c r="L3166" s="314">
        <f t="shared" si="27"/>
        <v>0.20000000000000018</v>
      </c>
      <c r="M3166" s="337"/>
    </row>
    <row r="3167" spans="1:13" s="71" customFormat="1" ht="26.4" customHeight="1">
      <c r="A3167" s="282">
        <v>479</v>
      </c>
      <c r="B3167" s="534"/>
      <c r="C3167" s="446" t="s">
        <v>3705</v>
      </c>
      <c r="D3167" s="446" t="s">
        <v>4002</v>
      </c>
      <c r="E3167" s="287" t="s">
        <v>4001</v>
      </c>
      <c r="F3167" s="352">
        <v>20640</v>
      </c>
      <c r="G3167" s="311">
        <v>1996</v>
      </c>
      <c r="H3167" s="340" t="s">
        <v>2658</v>
      </c>
      <c r="I3167" s="313">
        <v>884</v>
      </c>
      <c r="J3167" s="350">
        <v>9.5</v>
      </c>
      <c r="K3167" s="350">
        <v>8.5</v>
      </c>
      <c r="L3167" s="314">
        <f t="shared" si="27"/>
        <v>1</v>
      </c>
      <c r="M3167" s="337"/>
    </row>
    <row r="3168" spans="1:13" s="71" customFormat="1" ht="26.4" customHeight="1">
      <c r="A3168" s="282">
        <v>480</v>
      </c>
      <c r="B3168" s="534"/>
      <c r="C3168" s="355" t="s">
        <v>1169</v>
      </c>
      <c r="D3168" s="307" t="s">
        <v>4003</v>
      </c>
      <c r="E3168" s="260" t="s">
        <v>4004</v>
      </c>
      <c r="F3168" s="352">
        <v>20274</v>
      </c>
      <c r="G3168" s="311">
        <v>1976</v>
      </c>
      <c r="H3168" s="340" t="s">
        <v>2658</v>
      </c>
      <c r="I3168" s="313">
        <v>300</v>
      </c>
      <c r="J3168" s="350">
        <v>0.8</v>
      </c>
      <c r="K3168" s="350">
        <v>0.7</v>
      </c>
      <c r="L3168" s="314">
        <f t="shared" si="27"/>
        <v>0.10000000000000009</v>
      </c>
      <c r="M3168" s="337"/>
    </row>
    <row r="3169" spans="1:13" s="71" customFormat="1" ht="26.4" customHeight="1">
      <c r="A3169" s="282">
        <v>481</v>
      </c>
      <c r="B3169" s="534"/>
      <c r="C3169" s="355" t="s">
        <v>1169</v>
      </c>
      <c r="D3169" s="307" t="s">
        <v>4005</v>
      </c>
      <c r="E3169" s="260" t="s">
        <v>4006</v>
      </c>
      <c r="F3169" s="352">
        <v>200271</v>
      </c>
      <c r="G3169" s="311">
        <v>1968</v>
      </c>
      <c r="H3169" s="340" t="s">
        <v>2658</v>
      </c>
      <c r="I3169" s="313">
        <v>350</v>
      </c>
      <c r="J3169" s="350">
        <v>4.9000000000000004</v>
      </c>
      <c r="K3169" s="350">
        <v>4.5</v>
      </c>
      <c r="L3169" s="314">
        <f t="shared" si="27"/>
        <v>0.40000000000000036</v>
      </c>
      <c r="M3169" s="337"/>
    </row>
    <row r="3170" spans="1:13" s="71" customFormat="1" ht="26.4" customHeight="1">
      <c r="A3170" s="282">
        <v>482</v>
      </c>
      <c r="B3170" s="534"/>
      <c r="C3170" s="307" t="s">
        <v>4007</v>
      </c>
      <c r="D3170" s="307" t="s">
        <v>4008</v>
      </c>
      <c r="E3170" s="260" t="s">
        <v>4009</v>
      </c>
      <c r="F3170" s="352">
        <v>20406</v>
      </c>
      <c r="G3170" s="311">
        <v>1976</v>
      </c>
      <c r="H3170" s="340" t="s">
        <v>2658</v>
      </c>
      <c r="I3170" s="313">
        <v>500</v>
      </c>
      <c r="J3170" s="350">
        <v>2.1</v>
      </c>
      <c r="K3170" s="350">
        <v>2</v>
      </c>
      <c r="L3170" s="314">
        <f t="shared" si="27"/>
        <v>0.10000000000000009</v>
      </c>
      <c r="M3170" s="337"/>
    </row>
    <row r="3171" spans="1:13" s="71" customFormat="1" ht="26.4" customHeight="1">
      <c r="A3171" s="282">
        <v>483</v>
      </c>
      <c r="B3171" s="534"/>
      <c r="C3171" s="307" t="s">
        <v>1169</v>
      </c>
      <c r="D3171" s="307" t="s">
        <v>4005</v>
      </c>
      <c r="E3171" s="260" t="s">
        <v>4006</v>
      </c>
      <c r="F3171" s="352">
        <v>20052</v>
      </c>
      <c r="G3171" s="311">
        <v>1968</v>
      </c>
      <c r="H3171" s="340" t="s">
        <v>2658</v>
      </c>
      <c r="I3171" s="313">
        <v>900</v>
      </c>
      <c r="J3171" s="350">
        <v>10.1</v>
      </c>
      <c r="K3171" s="350">
        <v>7.9</v>
      </c>
      <c r="L3171" s="314">
        <f t="shared" si="27"/>
        <v>2.1999999999999993</v>
      </c>
      <c r="M3171" s="337"/>
    </row>
    <row r="3172" spans="1:13" s="71" customFormat="1" ht="26.4" customHeight="1">
      <c r="A3172" s="282">
        <v>484</v>
      </c>
      <c r="B3172" s="534"/>
      <c r="C3172" s="307" t="s">
        <v>3336</v>
      </c>
      <c r="D3172" s="307" t="s">
        <v>4010</v>
      </c>
      <c r="E3172" s="260" t="s">
        <v>3645</v>
      </c>
      <c r="F3172" s="352">
        <v>20439</v>
      </c>
      <c r="G3172" s="311">
        <v>1976</v>
      </c>
      <c r="H3172" s="340" t="s">
        <v>2658</v>
      </c>
      <c r="I3172" s="313">
        <v>680</v>
      </c>
      <c r="J3172" s="350">
        <v>2</v>
      </c>
      <c r="K3172" s="350">
        <v>1.5</v>
      </c>
      <c r="L3172" s="314">
        <f t="shared" si="27"/>
        <v>0.5</v>
      </c>
      <c r="M3172" s="337"/>
    </row>
    <row r="3173" spans="1:13" s="71" customFormat="1" ht="26.4" customHeight="1">
      <c r="A3173" s="282">
        <v>485</v>
      </c>
      <c r="B3173" s="534"/>
      <c r="C3173" s="355" t="s">
        <v>1169</v>
      </c>
      <c r="D3173" s="307" t="s">
        <v>4011</v>
      </c>
      <c r="E3173" s="260" t="s">
        <v>4012</v>
      </c>
      <c r="F3173" s="352">
        <v>20482</v>
      </c>
      <c r="G3173" s="311">
        <v>1976</v>
      </c>
      <c r="H3173" s="340" t="s">
        <v>2658</v>
      </c>
      <c r="I3173" s="313">
        <v>450</v>
      </c>
      <c r="J3173" s="350">
        <v>1.3</v>
      </c>
      <c r="K3173" s="350">
        <v>1</v>
      </c>
      <c r="L3173" s="314">
        <f t="shared" si="27"/>
        <v>0.30000000000000004</v>
      </c>
      <c r="M3173" s="337"/>
    </row>
    <row r="3174" spans="1:13" s="71" customFormat="1" ht="26.4" customHeight="1">
      <c r="A3174" s="282">
        <v>486</v>
      </c>
      <c r="B3174" s="534"/>
      <c r="C3174" s="355" t="s">
        <v>1169</v>
      </c>
      <c r="D3174" s="307" t="s">
        <v>3375</v>
      </c>
      <c r="E3174" s="260" t="s">
        <v>4012</v>
      </c>
      <c r="F3174" s="352">
        <v>20130</v>
      </c>
      <c r="G3174" s="311">
        <v>1969</v>
      </c>
      <c r="H3174" s="340" t="s">
        <v>2658</v>
      </c>
      <c r="I3174" s="313">
        <v>1150</v>
      </c>
      <c r="J3174" s="350">
        <v>3.4</v>
      </c>
      <c r="K3174" s="350">
        <v>3.1</v>
      </c>
      <c r="L3174" s="314">
        <f t="shared" si="27"/>
        <v>0.29999999999999982</v>
      </c>
      <c r="M3174" s="337"/>
    </row>
    <row r="3175" spans="1:13" s="71" customFormat="1" ht="26.4" customHeight="1">
      <c r="A3175" s="282">
        <v>487</v>
      </c>
      <c r="B3175" s="534"/>
      <c r="C3175" s="307" t="s">
        <v>4013</v>
      </c>
      <c r="D3175" s="307" t="s">
        <v>4014</v>
      </c>
      <c r="E3175" s="260" t="s">
        <v>4015</v>
      </c>
      <c r="F3175" s="352">
        <v>20635</v>
      </c>
      <c r="G3175" s="311">
        <v>1995</v>
      </c>
      <c r="H3175" s="340" t="s">
        <v>2658</v>
      </c>
      <c r="I3175" s="313">
        <v>2700</v>
      </c>
      <c r="J3175" s="350">
        <v>38.5</v>
      </c>
      <c r="K3175" s="350">
        <v>32.6</v>
      </c>
      <c r="L3175" s="314">
        <f t="shared" si="27"/>
        <v>5.8999999999999986</v>
      </c>
      <c r="M3175" s="337"/>
    </row>
    <row r="3176" spans="1:13" s="71" customFormat="1" ht="26.4" customHeight="1">
      <c r="A3176" s="282">
        <v>488</v>
      </c>
      <c r="B3176" s="534"/>
      <c r="C3176" s="355" t="s">
        <v>1169</v>
      </c>
      <c r="D3176" s="307" t="s">
        <v>4016</v>
      </c>
      <c r="E3176" s="260" t="s">
        <v>4017</v>
      </c>
      <c r="F3176" s="352">
        <v>20364</v>
      </c>
      <c r="G3176" s="311">
        <v>1976</v>
      </c>
      <c r="H3176" s="340" t="s">
        <v>2658</v>
      </c>
      <c r="I3176" s="313">
        <v>370</v>
      </c>
      <c r="J3176" s="350">
        <v>1.1000000000000001</v>
      </c>
      <c r="K3176" s="350">
        <v>0.9</v>
      </c>
      <c r="L3176" s="314">
        <f t="shared" si="27"/>
        <v>0.20000000000000007</v>
      </c>
      <c r="M3176" s="337"/>
    </row>
    <row r="3177" spans="1:13" s="71" customFormat="1" ht="26.4" customHeight="1">
      <c r="A3177" s="282">
        <v>489</v>
      </c>
      <c r="B3177" s="534"/>
      <c r="C3177" s="355" t="s">
        <v>1169</v>
      </c>
      <c r="D3177" s="307" t="s">
        <v>4018</v>
      </c>
      <c r="E3177" s="260" t="s">
        <v>13058</v>
      </c>
      <c r="F3177" s="352">
        <v>20055</v>
      </c>
      <c r="G3177" s="311">
        <v>1968</v>
      </c>
      <c r="H3177" s="340" t="s">
        <v>2658</v>
      </c>
      <c r="I3177" s="313">
        <v>800</v>
      </c>
      <c r="J3177" s="350">
        <v>9.3000000000000007</v>
      </c>
      <c r="K3177" s="350">
        <v>7.3</v>
      </c>
      <c r="L3177" s="314">
        <f t="shared" si="27"/>
        <v>2.0000000000000009</v>
      </c>
      <c r="M3177" s="337"/>
    </row>
    <row r="3178" spans="1:13" s="71" customFormat="1" ht="26.4" customHeight="1">
      <c r="A3178" s="282">
        <v>490</v>
      </c>
      <c r="B3178" s="534"/>
      <c r="C3178" s="307" t="s">
        <v>3336</v>
      </c>
      <c r="D3178" s="307" t="s">
        <v>4019</v>
      </c>
      <c r="E3178" s="260" t="s">
        <v>4020</v>
      </c>
      <c r="F3178" s="352">
        <v>20442</v>
      </c>
      <c r="G3178" s="311">
        <v>1976</v>
      </c>
      <c r="H3178" s="340" t="s">
        <v>2658</v>
      </c>
      <c r="I3178" s="313">
        <v>620</v>
      </c>
      <c r="J3178" s="350">
        <v>1.8</v>
      </c>
      <c r="K3178" s="350">
        <v>1.4</v>
      </c>
      <c r="L3178" s="314">
        <f t="shared" si="27"/>
        <v>0.40000000000000013</v>
      </c>
      <c r="M3178" s="337"/>
    </row>
    <row r="3179" spans="1:13" s="71" customFormat="1" ht="26.4" customHeight="1">
      <c r="A3179" s="282">
        <v>491</v>
      </c>
      <c r="B3179" s="534"/>
      <c r="C3179" s="307" t="s">
        <v>3596</v>
      </c>
      <c r="D3179" s="307" t="s">
        <v>4021</v>
      </c>
      <c r="E3179" s="260" t="s">
        <v>4022</v>
      </c>
      <c r="F3179" s="352">
        <v>20508</v>
      </c>
      <c r="G3179" s="311">
        <v>1976</v>
      </c>
      <c r="H3179" s="340" t="s">
        <v>2658</v>
      </c>
      <c r="I3179" s="313">
        <v>350</v>
      </c>
      <c r="J3179" s="350">
        <v>0.9</v>
      </c>
      <c r="K3179" s="350">
        <v>0.8</v>
      </c>
      <c r="L3179" s="314">
        <f t="shared" si="27"/>
        <v>9.9999999999999978E-2</v>
      </c>
      <c r="M3179" s="337"/>
    </row>
    <row r="3180" spans="1:13" s="71" customFormat="1" ht="26.4" customHeight="1">
      <c r="A3180" s="282">
        <v>492</v>
      </c>
      <c r="B3180" s="534"/>
      <c r="C3180" s="355" t="s">
        <v>1169</v>
      </c>
      <c r="D3180" s="307" t="s">
        <v>4023</v>
      </c>
      <c r="E3180" s="260" t="s">
        <v>4024</v>
      </c>
      <c r="F3180" s="352">
        <v>20266</v>
      </c>
      <c r="G3180" s="311">
        <v>1976</v>
      </c>
      <c r="H3180" s="340" t="s">
        <v>2658</v>
      </c>
      <c r="I3180" s="313">
        <v>1500</v>
      </c>
      <c r="J3180" s="350">
        <v>4.5</v>
      </c>
      <c r="K3180" s="350">
        <v>3.5</v>
      </c>
      <c r="L3180" s="314">
        <f t="shared" si="27"/>
        <v>1</v>
      </c>
      <c r="M3180" s="337"/>
    </row>
    <row r="3181" spans="1:13" s="71" customFormat="1" ht="26.4" customHeight="1">
      <c r="A3181" s="282">
        <v>493</v>
      </c>
      <c r="B3181" s="534"/>
      <c r="C3181" s="307" t="s">
        <v>3336</v>
      </c>
      <c r="D3181" s="307" t="s">
        <v>4025</v>
      </c>
      <c r="E3181" s="260" t="s">
        <v>4026</v>
      </c>
      <c r="F3181" s="352">
        <v>20400</v>
      </c>
      <c r="G3181" s="311">
        <v>1976</v>
      </c>
      <c r="H3181" s="340" t="s">
        <v>2658</v>
      </c>
      <c r="I3181" s="313">
        <v>100</v>
      </c>
      <c r="J3181" s="350">
        <v>0.2</v>
      </c>
      <c r="K3181" s="350">
        <v>0.2</v>
      </c>
      <c r="L3181" s="314">
        <f t="shared" si="27"/>
        <v>0</v>
      </c>
      <c r="M3181" s="337"/>
    </row>
    <row r="3182" spans="1:13" s="71" customFormat="1" ht="26.4" customHeight="1">
      <c r="A3182" s="282">
        <v>494</v>
      </c>
      <c r="B3182" s="534"/>
      <c r="C3182" s="307" t="s">
        <v>3317</v>
      </c>
      <c r="D3182" s="307" t="s">
        <v>4027</v>
      </c>
      <c r="E3182" s="260" t="s">
        <v>4026</v>
      </c>
      <c r="F3182" s="352">
        <v>20470</v>
      </c>
      <c r="G3182" s="311">
        <v>1976</v>
      </c>
      <c r="H3182" s="340" t="s">
        <v>2658</v>
      </c>
      <c r="I3182" s="313">
        <v>880</v>
      </c>
      <c r="J3182" s="350">
        <v>2.2999999999999998</v>
      </c>
      <c r="K3182" s="350">
        <v>2.1</v>
      </c>
      <c r="L3182" s="314">
        <f t="shared" si="27"/>
        <v>0.19999999999999973</v>
      </c>
      <c r="M3182" s="337"/>
    </row>
    <row r="3183" spans="1:13" s="71" customFormat="1" ht="26.4" customHeight="1">
      <c r="A3183" s="282">
        <v>495</v>
      </c>
      <c r="B3183" s="534"/>
      <c r="C3183" s="355" t="s">
        <v>1169</v>
      </c>
      <c r="D3183" s="307" t="s">
        <v>13280</v>
      </c>
      <c r="E3183" s="260" t="s">
        <v>13281</v>
      </c>
      <c r="F3183" s="352">
        <v>20200</v>
      </c>
      <c r="G3183" s="311">
        <v>1976</v>
      </c>
      <c r="H3183" s="340" t="s">
        <v>2658</v>
      </c>
      <c r="I3183" s="313">
        <v>380</v>
      </c>
      <c r="J3183" s="350">
        <v>1.1000000000000001</v>
      </c>
      <c r="K3183" s="350">
        <v>0.8</v>
      </c>
      <c r="L3183" s="314">
        <f t="shared" si="27"/>
        <v>0.30000000000000004</v>
      </c>
      <c r="M3183" s="337"/>
    </row>
    <row r="3184" spans="1:13" s="71" customFormat="1" ht="26.4" customHeight="1">
      <c r="A3184" s="282">
        <v>496</v>
      </c>
      <c r="B3184" s="534"/>
      <c r="C3184" s="355" t="s">
        <v>1169</v>
      </c>
      <c r="D3184" s="307" t="s">
        <v>4028</v>
      </c>
      <c r="E3184" s="260" t="s">
        <v>4029</v>
      </c>
      <c r="F3184" s="352">
        <v>20231</v>
      </c>
      <c r="G3184" s="311">
        <v>1976</v>
      </c>
      <c r="H3184" s="340" t="s">
        <v>2658</v>
      </c>
      <c r="I3184" s="313">
        <v>150</v>
      </c>
      <c r="J3184" s="350">
        <v>0.4</v>
      </c>
      <c r="K3184" s="350">
        <v>0.4</v>
      </c>
      <c r="L3184" s="314">
        <f t="shared" si="27"/>
        <v>0</v>
      </c>
      <c r="M3184" s="337"/>
    </row>
    <row r="3185" spans="1:13" s="71" customFormat="1" ht="26.4" customHeight="1">
      <c r="A3185" s="282">
        <v>497</v>
      </c>
      <c r="B3185" s="534"/>
      <c r="C3185" s="307" t="s">
        <v>3329</v>
      </c>
      <c r="D3185" s="307" t="s">
        <v>4030</v>
      </c>
      <c r="E3185" s="260" t="s">
        <v>4031</v>
      </c>
      <c r="F3185" s="352">
        <v>20503</v>
      </c>
      <c r="G3185" s="311">
        <v>1976</v>
      </c>
      <c r="H3185" s="340" t="s">
        <v>2658</v>
      </c>
      <c r="I3185" s="313">
        <v>750</v>
      </c>
      <c r="J3185" s="350">
        <v>1.9</v>
      </c>
      <c r="K3185" s="350">
        <v>1.8</v>
      </c>
      <c r="L3185" s="314">
        <f t="shared" si="27"/>
        <v>9.9999999999999867E-2</v>
      </c>
      <c r="M3185" s="337"/>
    </row>
    <row r="3186" spans="1:13" s="71" customFormat="1" ht="26.4" customHeight="1">
      <c r="A3186" s="282">
        <v>498</v>
      </c>
      <c r="B3186" s="534"/>
      <c r="C3186" s="355" t="s">
        <v>1169</v>
      </c>
      <c r="D3186" s="307" t="s">
        <v>4032</v>
      </c>
      <c r="E3186" s="260" t="s">
        <v>4031</v>
      </c>
      <c r="F3186" s="352">
        <v>20360</v>
      </c>
      <c r="G3186" s="311">
        <v>1976</v>
      </c>
      <c r="H3186" s="340" t="s">
        <v>2658</v>
      </c>
      <c r="I3186" s="313">
        <v>400</v>
      </c>
      <c r="J3186" s="350">
        <v>1.2</v>
      </c>
      <c r="K3186" s="350">
        <v>1</v>
      </c>
      <c r="L3186" s="314">
        <f t="shared" si="27"/>
        <v>0.19999999999999996</v>
      </c>
      <c r="M3186" s="337"/>
    </row>
    <row r="3187" spans="1:13" s="71" customFormat="1" ht="26.4" customHeight="1">
      <c r="A3187" s="282">
        <v>499</v>
      </c>
      <c r="B3187" s="534"/>
      <c r="C3187" s="360" t="s">
        <v>1169</v>
      </c>
      <c r="D3187" s="307" t="s">
        <v>4033</v>
      </c>
      <c r="E3187" s="260" t="s">
        <v>4034</v>
      </c>
      <c r="F3187" s="352">
        <v>20258</v>
      </c>
      <c r="G3187" s="311">
        <v>1976</v>
      </c>
      <c r="H3187" s="340" t="s">
        <v>2658</v>
      </c>
      <c r="I3187" s="313">
        <v>500</v>
      </c>
      <c r="J3187" s="350">
        <v>2.2999999999999998</v>
      </c>
      <c r="K3187" s="350">
        <v>2.1</v>
      </c>
      <c r="L3187" s="314">
        <f t="shared" si="27"/>
        <v>0.19999999999999973</v>
      </c>
      <c r="M3187" s="337"/>
    </row>
    <row r="3188" spans="1:13" s="71" customFormat="1" ht="26.4" customHeight="1">
      <c r="A3188" s="282">
        <v>500</v>
      </c>
      <c r="B3188" s="534"/>
      <c r="C3188" s="307" t="s">
        <v>3392</v>
      </c>
      <c r="D3188" s="307" t="s">
        <v>4035</v>
      </c>
      <c r="E3188" s="260" t="s">
        <v>3333</v>
      </c>
      <c r="F3188" s="352">
        <v>20489</v>
      </c>
      <c r="G3188" s="311">
        <v>1976</v>
      </c>
      <c r="H3188" s="340" t="s">
        <v>2658</v>
      </c>
      <c r="I3188" s="313">
        <v>450</v>
      </c>
      <c r="J3188" s="350">
        <v>1.1000000000000001</v>
      </c>
      <c r="K3188" s="350">
        <v>1</v>
      </c>
      <c r="L3188" s="314">
        <f t="shared" si="27"/>
        <v>0.10000000000000009</v>
      </c>
      <c r="M3188" s="337"/>
    </row>
    <row r="3189" spans="1:13" s="71" customFormat="1" ht="26.4" customHeight="1">
      <c r="A3189" s="282">
        <v>501</v>
      </c>
      <c r="B3189" s="534"/>
      <c r="C3189" s="307" t="s">
        <v>3336</v>
      </c>
      <c r="D3189" s="307" t="s">
        <v>4036</v>
      </c>
      <c r="E3189" s="260" t="s">
        <v>4037</v>
      </c>
      <c r="F3189" s="352">
        <v>20436</v>
      </c>
      <c r="G3189" s="311">
        <v>1976</v>
      </c>
      <c r="H3189" s="340" t="s">
        <v>2658</v>
      </c>
      <c r="I3189" s="313">
        <v>240</v>
      </c>
      <c r="J3189" s="350">
        <v>0.6</v>
      </c>
      <c r="K3189" s="350">
        <v>0.6</v>
      </c>
      <c r="L3189" s="314">
        <f t="shared" si="27"/>
        <v>0</v>
      </c>
      <c r="M3189" s="337"/>
    </row>
    <row r="3190" spans="1:13" s="71" customFormat="1" ht="26.4" customHeight="1">
      <c r="A3190" s="282">
        <v>502</v>
      </c>
      <c r="B3190" s="534"/>
      <c r="C3190" s="355" t="s">
        <v>1169</v>
      </c>
      <c r="D3190" s="307" t="s">
        <v>4038</v>
      </c>
      <c r="E3190" s="260" t="s">
        <v>4039</v>
      </c>
      <c r="F3190" s="352">
        <v>20181</v>
      </c>
      <c r="G3190" s="311">
        <v>1976</v>
      </c>
      <c r="H3190" s="340" t="s">
        <v>2658</v>
      </c>
      <c r="I3190" s="313">
        <v>480</v>
      </c>
      <c r="J3190" s="350">
        <v>1.5</v>
      </c>
      <c r="K3190" s="350">
        <v>1.2</v>
      </c>
      <c r="L3190" s="314">
        <f t="shared" si="27"/>
        <v>0.30000000000000004</v>
      </c>
      <c r="M3190" s="337"/>
    </row>
    <row r="3191" spans="1:13" s="71" customFormat="1" ht="26.4" customHeight="1">
      <c r="A3191" s="282">
        <v>503</v>
      </c>
      <c r="B3191" s="534"/>
      <c r="C3191" s="355" t="s">
        <v>1169</v>
      </c>
      <c r="D3191" s="307" t="s">
        <v>4040</v>
      </c>
      <c r="E3191" s="260" t="s">
        <v>13282</v>
      </c>
      <c r="F3191" s="352">
        <v>20190</v>
      </c>
      <c r="G3191" s="311">
        <v>1976</v>
      </c>
      <c r="H3191" s="340" t="s">
        <v>2658</v>
      </c>
      <c r="I3191" s="313">
        <v>170</v>
      </c>
      <c r="J3191" s="350">
        <v>0.5</v>
      </c>
      <c r="K3191" s="350">
        <v>0.4</v>
      </c>
      <c r="L3191" s="314">
        <f t="shared" si="27"/>
        <v>9.9999999999999978E-2</v>
      </c>
      <c r="M3191" s="337"/>
    </row>
    <row r="3192" spans="1:13" s="71" customFormat="1" ht="26.4" customHeight="1">
      <c r="A3192" s="282">
        <v>504</v>
      </c>
      <c r="B3192" s="534"/>
      <c r="C3192" s="355" t="s">
        <v>1169</v>
      </c>
      <c r="D3192" s="307" t="s">
        <v>3377</v>
      </c>
      <c r="E3192" s="260" t="s">
        <v>4041</v>
      </c>
      <c r="F3192" s="352">
        <v>20240</v>
      </c>
      <c r="G3192" s="311">
        <v>1976</v>
      </c>
      <c r="H3192" s="340" t="s">
        <v>2658</v>
      </c>
      <c r="I3192" s="313">
        <v>200</v>
      </c>
      <c r="J3192" s="350">
        <v>0.6</v>
      </c>
      <c r="K3192" s="350">
        <v>0.5</v>
      </c>
      <c r="L3192" s="314">
        <f t="shared" si="27"/>
        <v>9.9999999999999978E-2</v>
      </c>
      <c r="M3192" s="337"/>
    </row>
    <row r="3193" spans="1:13" s="71" customFormat="1" ht="26.4" customHeight="1">
      <c r="A3193" s="282">
        <v>505</v>
      </c>
      <c r="B3193" s="534"/>
      <c r="C3193" s="355" t="s">
        <v>1169</v>
      </c>
      <c r="D3193" s="307" t="s">
        <v>4042</v>
      </c>
      <c r="E3193" s="260" t="s">
        <v>4043</v>
      </c>
      <c r="F3193" s="352">
        <v>20295</v>
      </c>
      <c r="G3193" s="311">
        <v>1976</v>
      </c>
      <c r="H3193" s="340" t="s">
        <v>2658</v>
      </c>
      <c r="I3193" s="313">
        <v>100</v>
      </c>
      <c r="J3193" s="350">
        <v>0.3</v>
      </c>
      <c r="K3193" s="350">
        <v>0.2</v>
      </c>
      <c r="L3193" s="314">
        <f t="shared" si="27"/>
        <v>9.9999999999999978E-2</v>
      </c>
      <c r="M3193" s="337"/>
    </row>
    <row r="3194" spans="1:13" s="71" customFormat="1" ht="26.4" customHeight="1">
      <c r="A3194" s="282">
        <v>506</v>
      </c>
      <c r="B3194" s="534"/>
      <c r="C3194" s="355" t="s">
        <v>1169</v>
      </c>
      <c r="D3194" s="307" t="s">
        <v>4044</v>
      </c>
      <c r="E3194" s="260" t="s">
        <v>4045</v>
      </c>
      <c r="F3194" s="352">
        <v>20260</v>
      </c>
      <c r="G3194" s="311">
        <v>1976</v>
      </c>
      <c r="H3194" s="340" t="s">
        <v>2658</v>
      </c>
      <c r="I3194" s="313">
        <v>200</v>
      </c>
      <c r="J3194" s="350">
        <v>1</v>
      </c>
      <c r="K3194" s="350">
        <v>0.9</v>
      </c>
      <c r="L3194" s="314">
        <f t="shared" si="27"/>
        <v>9.9999999999999978E-2</v>
      </c>
      <c r="M3194" s="337"/>
    </row>
    <row r="3195" spans="1:13" s="71" customFormat="1" ht="26.4" customHeight="1">
      <c r="A3195" s="282">
        <v>507</v>
      </c>
      <c r="B3195" s="534"/>
      <c r="C3195" s="355" t="s">
        <v>1169</v>
      </c>
      <c r="D3195" s="307" t="s">
        <v>4046</v>
      </c>
      <c r="E3195" s="260" t="s">
        <v>4047</v>
      </c>
      <c r="F3195" s="352">
        <v>20660</v>
      </c>
      <c r="G3195" s="311">
        <v>2005</v>
      </c>
      <c r="H3195" s="340" t="s">
        <v>2658</v>
      </c>
      <c r="I3195" s="313">
        <v>202</v>
      </c>
      <c r="J3195" s="350">
        <v>19.600000000000001</v>
      </c>
      <c r="K3195" s="350">
        <v>7.8</v>
      </c>
      <c r="L3195" s="314">
        <f t="shared" si="27"/>
        <v>11.8</v>
      </c>
      <c r="M3195" s="337"/>
    </row>
    <row r="3196" spans="1:13" s="71" customFormat="1" ht="26.4" customHeight="1">
      <c r="A3196" s="282">
        <v>508</v>
      </c>
      <c r="B3196" s="534"/>
      <c r="C3196" s="355" t="s">
        <v>1169</v>
      </c>
      <c r="D3196" s="307" t="s">
        <v>4048</v>
      </c>
      <c r="E3196" s="260" t="s">
        <v>4049</v>
      </c>
      <c r="F3196" s="352">
        <v>20148</v>
      </c>
      <c r="G3196" s="311">
        <v>1975</v>
      </c>
      <c r="H3196" s="340" t="s">
        <v>2658</v>
      </c>
      <c r="I3196" s="313">
        <v>1330</v>
      </c>
      <c r="J3196" s="350">
        <v>34.1</v>
      </c>
      <c r="K3196" s="350">
        <v>31.7</v>
      </c>
      <c r="L3196" s="314">
        <f t="shared" si="27"/>
        <v>2.4000000000000021</v>
      </c>
      <c r="M3196" s="337"/>
    </row>
    <row r="3197" spans="1:13" s="71" customFormat="1" ht="26.4" customHeight="1">
      <c r="A3197" s="282">
        <v>509</v>
      </c>
      <c r="B3197" s="534"/>
      <c r="C3197" s="355" t="s">
        <v>1169</v>
      </c>
      <c r="D3197" s="307" t="s">
        <v>4050</v>
      </c>
      <c r="E3197" s="260" t="s">
        <v>4051</v>
      </c>
      <c r="F3197" s="352">
        <v>20048</v>
      </c>
      <c r="G3197" s="311">
        <v>1971</v>
      </c>
      <c r="H3197" s="340" t="s">
        <v>2658</v>
      </c>
      <c r="I3197" s="313">
        <v>2300</v>
      </c>
      <c r="J3197" s="350">
        <v>73.599999999999994</v>
      </c>
      <c r="K3197" s="350">
        <v>62.4</v>
      </c>
      <c r="L3197" s="314">
        <f t="shared" si="27"/>
        <v>11.199999999999996</v>
      </c>
      <c r="M3197" s="337"/>
    </row>
    <row r="3198" spans="1:13" s="71" customFormat="1" ht="26.4" customHeight="1">
      <c r="A3198" s="282">
        <v>510</v>
      </c>
      <c r="B3198" s="534"/>
      <c r="C3198" s="307" t="s">
        <v>3326</v>
      </c>
      <c r="D3198" s="307" t="s">
        <v>13283</v>
      </c>
      <c r="E3198" s="260" t="s">
        <v>13284</v>
      </c>
      <c r="F3198" s="352">
        <v>20510</v>
      </c>
      <c r="G3198" s="311">
        <v>1976</v>
      </c>
      <c r="H3198" s="340" t="s">
        <v>2658</v>
      </c>
      <c r="I3198" s="313">
        <v>500</v>
      </c>
      <c r="J3198" s="350">
        <v>2</v>
      </c>
      <c r="K3198" s="350">
        <v>1.6</v>
      </c>
      <c r="L3198" s="314">
        <f t="shared" si="27"/>
        <v>0.39999999999999991</v>
      </c>
      <c r="M3198" s="337"/>
    </row>
    <row r="3199" spans="1:13" s="71" customFormat="1" ht="26.4" customHeight="1">
      <c r="A3199" s="282">
        <v>511</v>
      </c>
      <c r="B3199" s="534"/>
      <c r="C3199" s="355" t="s">
        <v>1169</v>
      </c>
      <c r="D3199" s="307" t="s">
        <v>4052</v>
      </c>
      <c r="E3199" s="260" t="s">
        <v>4053</v>
      </c>
      <c r="F3199" s="352">
        <v>20272</v>
      </c>
      <c r="G3199" s="311">
        <v>1976</v>
      </c>
      <c r="H3199" s="340" t="s">
        <v>2658</v>
      </c>
      <c r="I3199" s="313">
        <v>320</v>
      </c>
      <c r="J3199" s="350">
        <v>0.9</v>
      </c>
      <c r="K3199" s="350">
        <v>0.7</v>
      </c>
      <c r="L3199" s="314">
        <f t="shared" si="27"/>
        <v>0.20000000000000007</v>
      </c>
      <c r="M3199" s="337"/>
    </row>
    <row r="3200" spans="1:13" s="71" customFormat="1" ht="26.4" customHeight="1">
      <c r="A3200" s="282">
        <v>512</v>
      </c>
      <c r="B3200" s="534"/>
      <c r="C3200" s="355" t="s">
        <v>1169</v>
      </c>
      <c r="D3200" s="307" t="s">
        <v>4054</v>
      </c>
      <c r="E3200" s="260" t="s">
        <v>4055</v>
      </c>
      <c r="F3200" s="352">
        <v>20243</v>
      </c>
      <c r="G3200" s="311">
        <v>1976</v>
      </c>
      <c r="H3200" s="340" t="s">
        <v>2658</v>
      </c>
      <c r="I3200" s="313">
        <v>400</v>
      </c>
      <c r="J3200" s="350">
        <v>2.2000000000000002</v>
      </c>
      <c r="K3200" s="350">
        <v>1.7</v>
      </c>
      <c r="L3200" s="314">
        <f t="shared" si="27"/>
        <v>0.50000000000000022</v>
      </c>
      <c r="M3200" s="337"/>
    </row>
    <row r="3201" spans="1:13" s="71" customFormat="1" ht="26.4" customHeight="1">
      <c r="A3201" s="282">
        <v>513</v>
      </c>
      <c r="B3201" s="534"/>
      <c r="C3201" s="355" t="s">
        <v>1169</v>
      </c>
      <c r="D3201" s="307" t="s">
        <v>4056</v>
      </c>
      <c r="E3201" s="260" t="s">
        <v>4057</v>
      </c>
      <c r="F3201" s="352">
        <v>20199</v>
      </c>
      <c r="G3201" s="311">
        <v>1976</v>
      </c>
      <c r="H3201" s="340" t="s">
        <v>2658</v>
      </c>
      <c r="I3201" s="313">
        <v>400</v>
      </c>
      <c r="J3201" s="350">
        <v>1.9</v>
      </c>
      <c r="K3201" s="350">
        <v>1.7</v>
      </c>
      <c r="L3201" s="314">
        <f t="shared" ref="L3201:L3264" si="28">J3201-K3201</f>
        <v>0.19999999999999996</v>
      </c>
      <c r="M3201" s="337"/>
    </row>
    <row r="3202" spans="1:13" s="71" customFormat="1" ht="26.4" customHeight="1">
      <c r="A3202" s="282">
        <v>514</v>
      </c>
      <c r="B3202" s="534"/>
      <c r="C3202" s="355" t="s">
        <v>1169</v>
      </c>
      <c r="D3202" s="307" t="s">
        <v>4058</v>
      </c>
      <c r="E3202" s="260" t="s">
        <v>4059</v>
      </c>
      <c r="F3202" s="352">
        <v>20184</v>
      </c>
      <c r="G3202" s="311">
        <v>1976</v>
      </c>
      <c r="H3202" s="340" t="s">
        <v>2658</v>
      </c>
      <c r="I3202" s="313">
        <v>240</v>
      </c>
      <c r="J3202" s="350">
        <v>0.6</v>
      </c>
      <c r="K3202" s="350">
        <v>0.6</v>
      </c>
      <c r="L3202" s="314">
        <f t="shared" si="28"/>
        <v>0</v>
      </c>
      <c r="M3202" s="337"/>
    </row>
    <row r="3203" spans="1:13" s="71" customFormat="1" ht="26.4" customHeight="1">
      <c r="A3203" s="282">
        <v>515</v>
      </c>
      <c r="B3203" s="534"/>
      <c r="C3203" s="355" t="s">
        <v>1169</v>
      </c>
      <c r="D3203" s="307" t="s">
        <v>4058</v>
      </c>
      <c r="E3203" s="260" t="s">
        <v>4060</v>
      </c>
      <c r="F3203" s="352">
        <v>20186</v>
      </c>
      <c r="G3203" s="311">
        <v>1976</v>
      </c>
      <c r="H3203" s="340" t="s">
        <v>2658</v>
      </c>
      <c r="I3203" s="313">
        <v>75</v>
      </c>
      <c r="J3203" s="350">
        <v>0.5</v>
      </c>
      <c r="K3203" s="350">
        <v>0.4</v>
      </c>
      <c r="L3203" s="314">
        <f t="shared" si="28"/>
        <v>9.9999999999999978E-2</v>
      </c>
      <c r="M3203" s="337"/>
    </row>
    <row r="3204" spans="1:13" s="71" customFormat="1" ht="26.4" customHeight="1">
      <c r="A3204" s="282">
        <v>516</v>
      </c>
      <c r="B3204" s="534"/>
      <c r="C3204" s="307" t="s">
        <v>1790</v>
      </c>
      <c r="D3204" s="307" t="s">
        <v>4061</v>
      </c>
      <c r="E3204" s="260" t="s">
        <v>4062</v>
      </c>
      <c r="F3204" s="352">
        <v>20396</v>
      </c>
      <c r="G3204" s="311">
        <v>1976</v>
      </c>
      <c r="H3204" s="340" t="s">
        <v>2658</v>
      </c>
      <c r="I3204" s="313">
        <v>450</v>
      </c>
      <c r="J3204" s="350">
        <v>1.3</v>
      </c>
      <c r="K3204" s="350">
        <v>1</v>
      </c>
      <c r="L3204" s="314">
        <f t="shared" si="28"/>
        <v>0.30000000000000004</v>
      </c>
      <c r="M3204" s="337"/>
    </row>
    <row r="3205" spans="1:13" s="71" customFormat="1" ht="26.4" customHeight="1">
      <c r="A3205" s="282">
        <v>517</v>
      </c>
      <c r="B3205" s="534"/>
      <c r="C3205" s="307" t="s">
        <v>3323</v>
      </c>
      <c r="D3205" s="307" t="s">
        <v>4063</v>
      </c>
      <c r="E3205" s="260" t="s">
        <v>4064</v>
      </c>
      <c r="F3205" s="352">
        <v>20505</v>
      </c>
      <c r="G3205" s="311">
        <v>1976</v>
      </c>
      <c r="H3205" s="340" t="s">
        <v>2658</v>
      </c>
      <c r="I3205" s="313">
        <v>1300</v>
      </c>
      <c r="J3205" s="350">
        <v>0.6</v>
      </c>
      <c r="K3205" s="350">
        <v>0.5</v>
      </c>
      <c r="L3205" s="314">
        <f t="shared" si="28"/>
        <v>9.9999999999999978E-2</v>
      </c>
      <c r="M3205" s="337"/>
    </row>
    <row r="3206" spans="1:13" s="71" customFormat="1" ht="26.4" customHeight="1">
      <c r="A3206" s="282">
        <v>518</v>
      </c>
      <c r="B3206" s="534"/>
      <c r="C3206" s="307" t="s">
        <v>1790</v>
      </c>
      <c r="D3206" s="307" t="s">
        <v>4065</v>
      </c>
      <c r="E3206" s="260" t="s">
        <v>4066</v>
      </c>
      <c r="F3206" s="352">
        <v>20391</v>
      </c>
      <c r="G3206" s="311">
        <v>1976</v>
      </c>
      <c r="H3206" s="340" t="s">
        <v>2658</v>
      </c>
      <c r="I3206" s="313">
        <v>250</v>
      </c>
      <c r="J3206" s="350">
        <v>1.9</v>
      </c>
      <c r="K3206" s="350">
        <v>1.5</v>
      </c>
      <c r="L3206" s="314">
        <f t="shared" si="28"/>
        <v>0.39999999999999991</v>
      </c>
      <c r="M3206" s="337"/>
    </row>
    <row r="3207" spans="1:13" s="71" customFormat="1" ht="26.4" customHeight="1">
      <c r="A3207" s="282">
        <v>519</v>
      </c>
      <c r="B3207" s="534"/>
      <c r="C3207" s="307" t="s">
        <v>4067</v>
      </c>
      <c r="D3207" s="307" t="s">
        <v>4068</v>
      </c>
      <c r="E3207" s="260" t="s">
        <v>4066</v>
      </c>
      <c r="F3207" s="352">
        <v>20629</v>
      </c>
      <c r="G3207" s="311">
        <v>1995</v>
      </c>
      <c r="H3207" s="340" t="s">
        <v>2658</v>
      </c>
      <c r="I3207" s="313">
        <v>1700</v>
      </c>
      <c r="J3207" s="350">
        <v>23.5</v>
      </c>
      <c r="K3207" s="350">
        <v>19.899999999999999</v>
      </c>
      <c r="L3207" s="314">
        <f t="shared" si="28"/>
        <v>3.6000000000000014</v>
      </c>
      <c r="M3207" s="337"/>
    </row>
    <row r="3208" spans="1:13" s="71" customFormat="1" ht="26.4" customHeight="1">
      <c r="A3208" s="282">
        <v>520</v>
      </c>
      <c r="B3208" s="534"/>
      <c r="C3208" s="355" t="s">
        <v>1169</v>
      </c>
      <c r="D3208" s="307" t="s">
        <v>4069</v>
      </c>
      <c r="E3208" s="260" t="s">
        <v>4070</v>
      </c>
      <c r="F3208" s="352">
        <v>20127</v>
      </c>
      <c r="G3208" s="311">
        <v>1969</v>
      </c>
      <c r="H3208" s="340" t="s">
        <v>2658</v>
      </c>
      <c r="I3208" s="313">
        <v>1223</v>
      </c>
      <c r="J3208" s="350">
        <v>18</v>
      </c>
      <c r="K3208" s="350">
        <v>16.100000000000001</v>
      </c>
      <c r="L3208" s="314">
        <f t="shared" si="28"/>
        <v>1.8999999999999986</v>
      </c>
      <c r="M3208" s="337"/>
    </row>
    <row r="3209" spans="1:13" s="71" customFormat="1" ht="26.4" customHeight="1">
      <c r="A3209" s="282">
        <v>521</v>
      </c>
      <c r="B3209" s="534"/>
      <c r="C3209" s="355" t="s">
        <v>1169</v>
      </c>
      <c r="D3209" s="307" t="s">
        <v>4071</v>
      </c>
      <c r="E3209" s="260" t="s">
        <v>4072</v>
      </c>
      <c r="F3209" s="352">
        <v>20215</v>
      </c>
      <c r="G3209" s="311">
        <v>1976</v>
      </c>
      <c r="H3209" s="340" t="s">
        <v>2658</v>
      </c>
      <c r="I3209" s="313">
        <v>180</v>
      </c>
      <c r="J3209" s="350">
        <v>0.9</v>
      </c>
      <c r="K3209" s="350">
        <v>0.8</v>
      </c>
      <c r="L3209" s="314">
        <f t="shared" si="28"/>
        <v>9.9999999999999978E-2</v>
      </c>
      <c r="M3209" s="337"/>
    </row>
    <row r="3210" spans="1:13" s="71" customFormat="1" ht="26.4" customHeight="1">
      <c r="A3210" s="282">
        <v>522</v>
      </c>
      <c r="B3210" s="534"/>
      <c r="C3210" s="355" t="s">
        <v>1169</v>
      </c>
      <c r="D3210" s="307" t="s">
        <v>4073</v>
      </c>
      <c r="E3210" s="260" t="s">
        <v>13059</v>
      </c>
      <c r="F3210" s="352">
        <v>20239</v>
      </c>
      <c r="G3210" s="311">
        <v>1976</v>
      </c>
      <c r="H3210" s="340" t="s">
        <v>2658</v>
      </c>
      <c r="I3210" s="313">
        <v>630</v>
      </c>
      <c r="J3210" s="350">
        <v>2.4</v>
      </c>
      <c r="K3210" s="350">
        <v>2.2000000000000002</v>
      </c>
      <c r="L3210" s="314">
        <f t="shared" si="28"/>
        <v>0.19999999999999973</v>
      </c>
      <c r="M3210" s="337"/>
    </row>
    <row r="3211" spans="1:13" s="71" customFormat="1" ht="26.4" customHeight="1">
      <c r="A3211" s="282">
        <v>523</v>
      </c>
      <c r="B3211" s="534"/>
      <c r="C3211" s="355" t="s">
        <v>1169</v>
      </c>
      <c r="D3211" s="307" t="s">
        <v>4074</v>
      </c>
      <c r="E3211" s="260" t="s">
        <v>4075</v>
      </c>
      <c r="F3211" s="352">
        <v>20175</v>
      </c>
      <c r="G3211" s="311">
        <v>1976</v>
      </c>
      <c r="H3211" s="340" t="s">
        <v>2658</v>
      </c>
      <c r="I3211" s="313">
        <v>320</v>
      </c>
      <c r="J3211" s="350">
        <v>0.8</v>
      </c>
      <c r="K3211" s="350">
        <v>0.7</v>
      </c>
      <c r="L3211" s="314">
        <f t="shared" si="28"/>
        <v>0.10000000000000009</v>
      </c>
      <c r="M3211" s="337"/>
    </row>
    <row r="3212" spans="1:13" s="71" customFormat="1" ht="26.4" customHeight="1">
      <c r="A3212" s="282">
        <v>524</v>
      </c>
      <c r="B3212" s="534"/>
      <c r="C3212" s="355" t="s">
        <v>1169</v>
      </c>
      <c r="D3212" s="307" t="s">
        <v>4076</v>
      </c>
      <c r="E3212" s="260" t="s">
        <v>4077</v>
      </c>
      <c r="F3212" s="352">
        <v>20003</v>
      </c>
      <c r="G3212" s="311">
        <v>1967</v>
      </c>
      <c r="H3212" s="340" t="s">
        <v>2658</v>
      </c>
      <c r="I3212" s="313">
        <v>572</v>
      </c>
      <c r="J3212" s="350">
        <v>8</v>
      </c>
      <c r="K3212" s="350">
        <v>7.4</v>
      </c>
      <c r="L3212" s="314">
        <f t="shared" si="28"/>
        <v>0.59999999999999964</v>
      </c>
      <c r="M3212" s="337"/>
    </row>
    <row r="3213" spans="1:13" s="71" customFormat="1" ht="26.4" customHeight="1">
      <c r="A3213" s="282">
        <v>525</v>
      </c>
      <c r="B3213" s="534"/>
      <c r="C3213" s="355" t="s">
        <v>1169</v>
      </c>
      <c r="D3213" s="307" t="s">
        <v>4078</v>
      </c>
      <c r="E3213" s="260" t="s">
        <v>4079</v>
      </c>
      <c r="F3213" s="352">
        <v>20379</v>
      </c>
      <c r="G3213" s="311">
        <v>1976</v>
      </c>
      <c r="H3213" s="340" t="s">
        <v>2658</v>
      </c>
      <c r="I3213" s="313">
        <v>200</v>
      </c>
      <c r="J3213" s="350">
        <v>0.5</v>
      </c>
      <c r="K3213" s="350">
        <v>0.5</v>
      </c>
      <c r="L3213" s="314">
        <f t="shared" si="28"/>
        <v>0</v>
      </c>
      <c r="M3213" s="337"/>
    </row>
    <row r="3214" spans="1:13" s="71" customFormat="1" ht="26.4" customHeight="1">
      <c r="A3214" s="282">
        <v>526</v>
      </c>
      <c r="B3214" s="534"/>
      <c r="C3214" s="355" t="s">
        <v>3912</v>
      </c>
      <c r="D3214" s="307" t="s">
        <v>4080</v>
      </c>
      <c r="E3214" s="260" t="s">
        <v>4081</v>
      </c>
      <c r="F3214" s="352">
        <v>20062</v>
      </c>
      <c r="G3214" s="311">
        <v>1968</v>
      </c>
      <c r="H3214" s="340" t="s">
        <v>2658</v>
      </c>
      <c r="I3214" s="313">
        <v>800</v>
      </c>
      <c r="J3214" s="350">
        <v>4.4000000000000004</v>
      </c>
      <c r="K3214" s="350">
        <v>4.0999999999999996</v>
      </c>
      <c r="L3214" s="314">
        <f t="shared" si="28"/>
        <v>0.30000000000000071</v>
      </c>
      <c r="M3214" s="337"/>
    </row>
    <row r="3215" spans="1:13" s="71" customFormat="1" ht="26.4" customHeight="1">
      <c r="A3215" s="282">
        <v>527</v>
      </c>
      <c r="B3215" s="534"/>
      <c r="C3215" s="355" t="s">
        <v>1169</v>
      </c>
      <c r="D3215" s="307" t="s">
        <v>4082</v>
      </c>
      <c r="E3215" s="260" t="s">
        <v>4081</v>
      </c>
      <c r="F3215" s="352">
        <v>20063</v>
      </c>
      <c r="G3215" s="311">
        <v>1968</v>
      </c>
      <c r="H3215" s="340" t="s">
        <v>2658</v>
      </c>
      <c r="I3215" s="313">
        <v>56</v>
      </c>
      <c r="J3215" s="350">
        <v>0.7</v>
      </c>
      <c r="K3215" s="350">
        <v>0.6</v>
      </c>
      <c r="L3215" s="314">
        <f t="shared" si="28"/>
        <v>9.9999999999999978E-2</v>
      </c>
      <c r="M3215" s="337"/>
    </row>
    <row r="3216" spans="1:13" s="71" customFormat="1" ht="26.4" customHeight="1">
      <c r="A3216" s="282">
        <v>528</v>
      </c>
      <c r="B3216" s="534"/>
      <c r="C3216" s="355" t="s">
        <v>1169</v>
      </c>
      <c r="D3216" s="307" t="s">
        <v>4083</v>
      </c>
      <c r="E3216" s="260" t="s">
        <v>4084</v>
      </c>
      <c r="F3216" s="352">
        <v>20263</v>
      </c>
      <c r="G3216" s="311">
        <v>1976</v>
      </c>
      <c r="H3216" s="340" t="s">
        <v>2658</v>
      </c>
      <c r="I3216" s="313">
        <v>600</v>
      </c>
      <c r="J3216" s="350">
        <v>1.5</v>
      </c>
      <c r="K3216" s="350">
        <v>1.4</v>
      </c>
      <c r="L3216" s="314">
        <f t="shared" si="28"/>
        <v>0.10000000000000009</v>
      </c>
      <c r="M3216" s="337"/>
    </row>
    <row r="3217" spans="1:13" s="71" customFormat="1" ht="26.4" customHeight="1">
      <c r="A3217" s="282">
        <v>529</v>
      </c>
      <c r="B3217" s="534"/>
      <c r="C3217" s="307" t="s">
        <v>3329</v>
      </c>
      <c r="D3217" s="307" t="s">
        <v>4085</v>
      </c>
      <c r="E3217" s="260" t="s">
        <v>4086</v>
      </c>
      <c r="F3217" s="352">
        <v>20399</v>
      </c>
      <c r="G3217" s="311">
        <v>1976</v>
      </c>
      <c r="H3217" s="340" t="s">
        <v>2658</v>
      </c>
      <c r="I3217" s="313">
        <v>250</v>
      </c>
      <c r="J3217" s="350">
        <v>0.7</v>
      </c>
      <c r="K3217" s="350">
        <v>0.6</v>
      </c>
      <c r="L3217" s="314">
        <f t="shared" si="28"/>
        <v>9.9999999999999978E-2</v>
      </c>
      <c r="M3217" s="337"/>
    </row>
    <row r="3218" spans="1:13" s="71" customFormat="1" ht="26.4" customHeight="1">
      <c r="A3218" s="282">
        <v>530</v>
      </c>
      <c r="B3218" s="534"/>
      <c r="C3218" s="355" t="s">
        <v>1169</v>
      </c>
      <c r="D3218" s="307" t="s">
        <v>4087</v>
      </c>
      <c r="E3218" s="260" t="s">
        <v>4086</v>
      </c>
      <c r="F3218" s="352">
        <v>20212</v>
      </c>
      <c r="G3218" s="311">
        <v>1976</v>
      </c>
      <c r="H3218" s="340" t="s">
        <v>2658</v>
      </c>
      <c r="I3218" s="313">
        <v>950</v>
      </c>
      <c r="J3218" s="350">
        <v>4.0999999999999996</v>
      </c>
      <c r="K3218" s="350">
        <v>3.2</v>
      </c>
      <c r="L3218" s="314">
        <f t="shared" si="28"/>
        <v>0.89999999999999947</v>
      </c>
      <c r="M3218" s="337"/>
    </row>
    <row r="3219" spans="1:13" s="71" customFormat="1" ht="26.4" customHeight="1">
      <c r="A3219" s="282">
        <v>531</v>
      </c>
      <c r="B3219" s="534"/>
      <c r="C3219" s="307" t="s">
        <v>3329</v>
      </c>
      <c r="D3219" s="307" t="s">
        <v>4088</v>
      </c>
      <c r="E3219" s="260" t="s">
        <v>4089</v>
      </c>
      <c r="F3219" s="352">
        <v>20372</v>
      </c>
      <c r="G3219" s="311">
        <v>1976</v>
      </c>
      <c r="H3219" s="340" t="s">
        <v>2658</v>
      </c>
      <c r="I3219" s="313">
        <v>300</v>
      </c>
      <c r="J3219" s="350">
        <v>1</v>
      </c>
      <c r="K3219" s="350">
        <v>0.7</v>
      </c>
      <c r="L3219" s="314">
        <f t="shared" si="28"/>
        <v>0.30000000000000004</v>
      </c>
      <c r="M3219" s="337"/>
    </row>
    <row r="3220" spans="1:13" s="71" customFormat="1" ht="26.4" customHeight="1">
      <c r="A3220" s="282">
        <v>532</v>
      </c>
      <c r="B3220" s="534"/>
      <c r="C3220" s="355" t="s">
        <v>1169</v>
      </c>
      <c r="D3220" s="307" t="s">
        <v>4090</v>
      </c>
      <c r="E3220" s="260" t="s">
        <v>4091</v>
      </c>
      <c r="F3220" s="352">
        <v>20276</v>
      </c>
      <c r="G3220" s="311">
        <v>1976</v>
      </c>
      <c r="H3220" s="340" t="s">
        <v>2658</v>
      </c>
      <c r="I3220" s="313">
        <v>230</v>
      </c>
      <c r="J3220" s="350">
        <v>0.6</v>
      </c>
      <c r="K3220" s="350">
        <v>0.5</v>
      </c>
      <c r="L3220" s="314">
        <f t="shared" si="28"/>
        <v>9.9999999999999978E-2</v>
      </c>
      <c r="M3220" s="337"/>
    </row>
    <row r="3221" spans="1:13" s="71" customFormat="1" ht="26.4" customHeight="1">
      <c r="A3221" s="282">
        <v>533</v>
      </c>
      <c r="B3221" s="534"/>
      <c r="C3221" s="355" t="s">
        <v>1169</v>
      </c>
      <c r="D3221" s="307" t="s">
        <v>13379</v>
      </c>
      <c r="E3221" s="260" t="s">
        <v>13380</v>
      </c>
      <c r="F3221" s="352">
        <v>20205</v>
      </c>
      <c r="G3221" s="311">
        <v>1976</v>
      </c>
      <c r="H3221" s="340" t="s">
        <v>2658</v>
      </c>
      <c r="I3221" s="313">
        <v>100</v>
      </c>
      <c r="J3221" s="350">
        <v>0.3</v>
      </c>
      <c r="K3221" s="350">
        <v>0.2</v>
      </c>
      <c r="L3221" s="314">
        <f t="shared" si="28"/>
        <v>9.9999999999999978E-2</v>
      </c>
      <c r="M3221" s="337"/>
    </row>
    <row r="3222" spans="1:13" s="71" customFormat="1" ht="26.4" customHeight="1">
      <c r="A3222" s="282">
        <v>534</v>
      </c>
      <c r="B3222" s="534"/>
      <c r="C3222" s="307" t="s">
        <v>3336</v>
      </c>
      <c r="D3222" s="307" t="s">
        <v>4092</v>
      </c>
      <c r="E3222" s="260" t="s">
        <v>4093</v>
      </c>
      <c r="F3222" s="352">
        <v>20444</v>
      </c>
      <c r="G3222" s="311">
        <v>1976</v>
      </c>
      <c r="H3222" s="340" t="s">
        <v>2658</v>
      </c>
      <c r="I3222" s="313">
        <v>100</v>
      </c>
      <c r="J3222" s="350">
        <v>2.9</v>
      </c>
      <c r="K3222" s="350">
        <v>2.2999999999999998</v>
      </c>
      <c r="L3222" s="314">
        <f t="shared" si="28"/>
        <v>0.60000000000000009</v>
      </c>
      <c r="M3222" s="337"/>
    </row>
    <row r="3223" spans="1:13" s="71" customFormat="1" ht="26.4" customHeight="1">
      <c r="A3223" s="282">
        <v>535</v>
      </c>
      <c r="B3223" s="534"/>
      <c r="C3223" s="307" t="s">
        <v>3276</v>
      </c>
      <c r="D3223" s="307" t="s">
        <v>4092</v>
      </c>
      <c r="E3223" s="260" t="s">
        <v>4093</v>
      </c>
      <c r="F3223" s="352">
        <v>20420</v>
      </c>
      <c r="G3223" s="311">
        <v>1976</v>
      </c>
      <c r="H3223" s="340" t="s">
        <v>2658</v>
      </c>
      <c r="I3223" s="313">
        <v>450</v>
      </c>
      <c r="J3223" s="350">
        <v>1.2</v>
      </c>
      <c r="K3223" s="350">
        <v>1.1000000000000001</v>
      </c>
      <c r="L3223" s="314">
        <f t="shared" si="28"/>
        <v>9.9999999999999867E-2</v>
      </c>
      <c r="M3223" s="337"/>
    </row>
    <row r="3224" spans="1:13" s="71" customFormat="1" ht="26.4" customHeight="1">
      <c r="A3224" s="282">
        <v>536</v>
      </c>
      <c r="B3224" s="534"/>
      <c r="C3224" s="355" t="s">
        <v>1169</v>
      </c>
      <c r="D3224" s="307" t="s">
        <v>4094</v>
      </c>
      <c r="E3224" s="260" t="s">
        <v>4095</v>
      </c>
      <c r="F3224" s="352">
        <v>20241</v>
      </c>
      <c r="G3224" s="311">
        <v>1976</v>
      </c>
      <c r="H3224" s="340" t="s">
        <v>2658</v>
      </c>
      <c r="I3224" s="313">
        <v>180</v>
      </c>
      <c r="J3224" s="350">
        <v>0.5</v>
      </c>
      <c r="K3224" s="350">
        <v>0.4</v>
      </c>
      <c r="L3224" s="314">
        <f t="shared" si="28"/>
        <v>9.9999999999999978E-2</v>
      </c>
      <c r="M3224" s="337"/>
    </row>
    <row r="3225" spans="1:13" s="71" customFormat="1" ht="26.4" customHeight="1">
      <c r="A3225" s="282">
        <v>537</v>
      </c>
      <c r="B3225" s="534"/>
      <c r="C3225" s="307" t="s">
        <v>3317</v>
      </c>
      <c r="D3225" s="307" t="s">
        <v>4096</v>
      </c>
      <c r="E3225" s="260" t="s">
        <v>4097</v>
      </c>
      <c r="F3225" s="352">
        <v>20421</v>
      </c>
      <c r="G3225" s="311">
        <v>1976</v>
      </c>
      <c r="H3225" s="340" t="s">
        <v>2658</v>
      </c>
      <c r="I3225" s="313">
        <v>360</v>
      </c>
      <c r="J3225" s="350">
        <v>1</v>
      </c>
      <c r="K3225" s="350">
        <v>0.8</v>
      </c>
      <c r="L3225" s="314">
        <f t="shared" si="28"/>
        <v>0.19999999999999996</v>
      </c>
      <c r="M3225" s="337"/>
    </row>
    <row r="3226" spans="1:13" s="71" customFormat="1" ht="26.4" customHeight="1">
      <c r="A3226" s="282">
        <v>538</v>
      </c>
      <c r="B3226" s="534"/>
      <c r="C3226" s="355" t="s">
        <v>1169</v>
      </c>
      <c r="D3226" s="307" t="s">
        <v>4098</v>
      </c>
      <c r="E3226" s="260" t="s">
        <v>4097</v>
      </c>
      <c r="F3226" s="352">
        <v>20254</v>
      </c>
      <c r="G3226" s="311">
        <v>1976</v>
      </c>
      <c r="H3226" s="340" t="s">
        <v>2658</v>
      </c>
      <c r="I3226" s="313">
        <v>320</v>
      </c>
      <c r="J3226" s="350">
        <v>0.8</v>
      </c>
      <c r="K3226" s="350">
        <v>0.7</v>
      </c>
      <c r="L3226" s="314">
        <f t="shared" si="28"/>
        <v>0.10000000000000009</v>
      </c>
      <c r="M3226" s="337"/>
    </row>
    <row r="3227" spans="1:13" s="71" customFormat="1" ht="26.4" customHeight="1">
      <c r="A3227" s="282">
        <v>539</v>
      </c>
      <c r="B3227" s="534"/>
      <c r="C3227" s="355" t="s">
        <v>1169</v>
      </c>
      <c r="D3227" s="307" t="s">
        <v>4099</v>
      </c>
      <c r="E3227" s="260" t="s">
        <v>4100</v>
      </c>
      <c r="F3227" s="352">
        <v>20310</v>
      </c>
      <c r="G3227" s="311">
        <v>1976</v>
      </c>
      <c r="H3227" s="340" t="s">
        <v>2658</v>
      </c>
      <c r="I3227" s="313">
        <v>8200</v>
      </c>
      <c r="J3227" s="350">
        <v>3.8</v>
      </c>
      <c r="K3227" s="350">
        <v>3.5</v>
      </c>
      <c r="L3227" s="314">
        <f t="shared" si="28"/>
        <v>0.29999999999999982</v>
      </c>
      <c r="M3227" s="337"/>
    </row>
    <row r="3228" spans="1:13" s="71" customFormat="1" ht="26.4" customHeight="1">
      <c r="A3228" s="282">
        <v>540</v>
      </c>
      <c r="B3228" s="534"/>
      <c r="C3228" s="355" t="s">
        <v>1169</v>
      </c>
      <c r="D3228" s="307" t="s">
        <v>4101</v>
      </c>
      <c r="E3228" s="260" t="s">
        <v>4102</v>
      </c>
      <c r="F3228" s="352">
        <v>20210</v>
      </c>
      <c r="G3228" s="311">
        <v>1976</v>
      </c>
      <c r="H3228" s="340" t="s">
        <v>2658</v>
      </c>
      <c r="I3228" s="313">
        <v>120</v>
      </c>
      <c r="J3228" s="350">
        <v>0.3</v>
      </c>
      <c r="K3228" s="350">
        <v>0.2</v>
      </c>
      <c r="L3228" s="314">
        <f t="shared" si="28"/>
        <v>9.9999999999999978E-2</v>
      </c>
      <c r="M3228" s="337"/>
    </row>
    <row r="3229" spans="1:13" s="71" customFormat="1" ht="26.4" customHeight="1">
      <c r="A3229" s="282">
        <v>541</v>
      </c>
      <c r="B3229" s="534"/>
      <c r="C3229" s="355" t="s">
        <v>1169</v>
      </c>
      <c r="D3229" s="307" t="s">
        <v>4103</v>
      </c>
      <c r="E3229" s="260" t="s">
        <v>4104</v>
      </c>
      <c r="F3229" s="352">
        <v>20246</v>
      </c>
      <c r="G3229" s="311">
        <v>1976</v>
      </c>
      <c r="H3229" s="340" t="s">
        <v>2658</v>
      </c>
      <c r="I3229" s="313">
        <v>300</v>
      </c>
      <c r="J3229" s="350">
        <v>0.8</v>
      </c>
      <c r="K3229" s="350">
        <v>0.7</v>
      </c>
      <c r="L3229" s="314">
        <f t="shared" si="28"/>
        <v>0.10000000000000009</v>
      </c>
      <c r="M3229" s="337"/>
    </row>
    <row r="3230" spans="1:13" s="71" customFormat="1" ht="26.4" customHeight="1">
      <c r="A3230" s="282">
        <v>542</v>
      </c>
      <c r="B3230" s="534"/>
      <c r="C3230" s="307" t="s">
        <v>3412</v>
      </c>
      <c r="D3230" s="307" t="s">
        <v>4105</v>
      </c>
      <c r="E3230" s="260" t="s">
        <v>4106</v>
      </c>
      <c r="F3230" s="352">
        <v>20430</v>
      </c>
      <c r="G3230" s="311">
        <v>1976</v>
      </c>
      <c r="H3230" s="340" t="s">
        <v>2658</v>
      </c>
      <c r="I3230" s="313">
        <v>430</v>
      </c>
      <c r="J3230" s="350">
        <v>1.1000000000000001</v>
      </c>
      <c r="K3230" s="350">
        <v>1</v>
      </c>
      <c r="L3230" s="314">
        <f t="shared" si="28"/>
        <v>0.10000000000000009</v>
      </c>
      <c r="M3230" s="337"/>
    </row>
    <row r="3231" spans="1:13" s="71" customFormat="1" ht="26.4" customHeight="1">
      <c r="A3231" s="282">
        <v>543</v>
      </c>
      <c r="B3231" s="534"/>
      <c r="C3231" s="355" t="s">
        <v>1169</v>
      </c>
      <c r="D3231" s="307" t="s">
        <v>4107</v>
      </c>
      <c r="E3231" s="260" t="s">
        <v>4108</v>
      </c>
      <c r="F3231" s="352">
        <v>20304</v>
      </c>
      <c r="G3231" s="311">
        <v>1976</v>
      </c>
      <c r="H3231" s="340" t="s">
        <v>2658</v>
      </c>
      <c r="I3231" s="313">
        <v>450</v>
      </c>
      <c r="J3231" s="350">
        <v>1.3</v>
      </c>
      <c r="K3231" s="350">
        <v>1</v>
      </c>
      <c r="L3231" s="314">
        <f t="shared" si="28"/>
        <v>0.30000000000000004</v>
      </c>
      <c r="M3231" s="337"/>
    </row>
    <row r="3232" spans="1:13" s="71" customFormat="1" ht="39.6">
      <c r="A3232" s="282">
        <v>544</v>
      </c>
      <c r="B3232" s="534"/>
      <c r="C3232" s="355" t="s">
        <v>1169</v>
      </c>
      <c r="D3232" s="307" t="s">
        <v>4109</v>
      </c>
      <c r="E3232" s="260" t="s">
        <v>4110</v>
      </c>
      <c r="F3232" s="352">
        <v>20122</v>
      </c>
      <c r="G3232" s="311">
        <v>1968</v>
      </c>
      <c r="H3232" s="340" t="s">
        <v>2658</v>
      </c>
      <c r="I3232" s="313">
        <v>1998</v>
      </c>
      <c r="J3232" s="350">
        <v>46.5</v>
      </c>
      <c r="K3232" s="350">
        <v>45.2</v>
      </c>
      <c r="L3232" s="314">
        <f t="shared" si="28"/>
        <v>1.2999999999999972</v>
      </c>
      <c r="M3232" s="337"/>
    </row>
    <row r="3233" spans="1:13" s="71" customFormat="1" ht="26.4" customHeight="1">
      <c r="A3233" s="282">
        <v>545</v>
      </c>
      <c r="B3233" s="534"/>
      <c r="C3233" s="355" t="s">
        <v>1169</v>
      </c>
      <c r="D3233" s="307" t="s">
        <v>4111</v>
      </c>
      <c r="E3233" s="260" t="s">
        <v>4112</v>
      </c>
      <c r="F3233" s="352">
        <v>20368</v>
      </c>
      <c r="G3233" s="311">
        <v>1976</v>
      </c>
      <c r="H3233" s="340" t="s">
        <v>2658</v>
      </c>
      <c r="I3233" s="313">
        <v>250</v>
      </c>
      <c r="J3233" s="350">
        <v>0.7</v>
      </c>
      <c r="K3233" s="350">
        <v>0.6</v>
      </c>
      <c r="L3233" s="314">
        <f t="shared" si="28"/>
        <v>9.9999999999999978E-2</v>
      </c>
      <c r="M3233" s="337"/>
    </row>
    <row r="3234" spans="1:13" s="71" customFormat="1" ht="26.4" customHeight="1">
      <c r="A3234" s="282">
        <v>546</v>
      </c>
      <c r="B3234" s="534"/>
      <c r="C3234" s="355" t="s">
        <v>1169</v>
      </c>
      <c r="D3234" s="307" t="s">
        <v>13326</v>
      </c>
      <c r="E3234" s="260" t="s">
        <v>13327</v>
      </c>
      <c r="F3234" s="352">
        <v>20270</v>
      </c>
      <c r="G3234" s="311">
        <v>1976</v>
      </c>
      <c r="H3234" s="340" t="s">
        <v>2658</v>
      </c>
      <c r="I3234" s="313">
        <v>650</v>
      </c>
      <c r="J3234" s="350">
        <v>1.6</v>
      </c>
      <c r="K3234" s="350">
        <v>1.5</v>
      </c>
      <c r="L3234" s="314">
        <f t="shared" si="28"/>
        <v>0.10000000000000009</v>
      </c>
      <c r="M3234" s="337"/>
    </row>
    <row r="3235" spans="1:13" s="71" customFormat="1" ht="26.4" customHeight="1">
      <c r="A3235" s="282">
        <v>547</v>
      </c>
      <c r="B3235" s="534"/>
      <c r="C3235" s="355" t="s">
        <v>1169</v>
      </c>
      <c r="D3235" s="307" t="s">
        <v>13328</v>
      </c>
      <c r="E3235" s="260" t="s">
        <v>13329</v>
      </c>
      <c r="F3235" s="352">
        <v>20278</v>
      </c>
      <c r="G3235" s="311">
        <v>1976</v>
      </c>
      <c r="H3235" s="340" t="s">
        <v>2658</v>
      </c>
      <c r="I3235" s="313">
        <v>620</v>
      </c>
      <c r="J3235" s="350">
        <v>3.8</v>
      </c>
      <c r="K3235" s="350">
        <v>3</v>
      </c>
      <c r="L3235" s="314">
        <f t="shared" si="28"/>
        <v>0.79999999999999982</v>
      </c>
      <c r="M3235" s="337"/>
    </row>
    <row r="3236" spans="1:13" s="71" customFormat="1" ht="26.4" customHeight="1">
      <c r="A3236" s="282">
        <v>548</v>
      </c>
      <c r="B3236" s="534"/>
      <c r="C3236" s="355" t="s">
        <v>1169</v>
      </c>
      <c r="D3236" s="307" t="s">
        <v>4113</v>
      </c>
      <c r="E3236" s="260" t="s">
        <v>4114</v>
      </c>
      <c r="F3236" s="352">
        <v>200341</v>
      </c>
      <c r="G3236" s="311">
        <v>1968</v>
      </c>
      <c r="H3236" s="340" t="s">
        <v>2658</v>
      </c>
      <c r="I3236" s="313">
        <v>600</v>
      </c>
      <c r="J3236" s="350">
        <v>7.3</v>
      </c>
      <c r="K3236" s="350">
        <v>5.7</v>
      </c>
      <c r="L3236" s="314">
        <f t="shared" si="28"/>
        <v>1.5999999999999996</v>
      </c>
      <c r="M3236" s="337"/>
    </row>
    <row r="3237" spans="1:13" s="71" customFormat="1" ht="26.4" customHeight="1">
      <c r="A3237" s="282">
        <v>549</v>
      </c>
      <c r="B3237" s="534"/>
      <c r="C3237" s="355" t="s">
        <v>1169</v>
      </c>
      <c r="D3237" s="307" t="s">
        <v>4115</v>
      </c>
      <c r="E3237" s="260" t="s">
        <v>4116</v>
      </c>
      <c r="F3237" s="352">
        <v>20252</v>
      </c>
      <c r="G3237" s="311">
        <v>1976</v>
      </c>
      <c r="H3237" s="340" t="s">
        <v>2658</v>
      </c>
      <c r="I3237" s="313">
        <v>350</v>
      </c>
      <c r="J3237" s="350">
        <v>0.9</v>
      </c>
      <c r="K3237" s="350">
        <v>0.8</v>
      </c>
      <c r="L3237" s="314">
        <f t="shared" si="28"/>
        <v>9.9999999999999978E-2</v>
      </c>
      <c r="M3237" s="337"/>
    </row>
    <row r="3238" spans="1:13" s="71" customFormat="1" ht="26.4" customHeight="1">
      <c r="A3238" s="282">
        <v>550</v>
      </c>
      <c r="B3238" s="534"/>
      <c r="C3238" s="355" t="s">
        <v>1169</v>
      </c>
      <c r="D3238" s="307" t="s">
        <v>4117</v>
      </c>
      <c r="E3238" s="260" t="s">
        <v>4118</v>
      </c>
      <c r="F3238" s="352">
        <v>20182</v>
      </c>
      <c r="G3238" s="311">
        <v>1976</v>
      </c>
      <c r="H3238" s="340" t="s">
        <v>2658</v>
      </c>
      <c r="I3238" s="313">
        <v>325</v>
      </c>
      <c r="J3238" s="350">
        <v>0.6</v>
      </c>
      <c r="K3238" s="350">
        <v>0.5</v>
      </c>
      <c r="L3238" s="314">
        <f t="shared" si="28"/>
        <v>9.9999999999999978E-2</v>
      </c>
      <c r="M3238" s="337"/>
    </row>
    <row r="3239" spans="1:13" s="71" customFormat="1" ht="26.4" customHeight="1">
      <c r="A3239" s="282">
        <v>551</v>
      </c>
      <c r="B3239" s="534"/>
      <c r="C3239" s="307" t="s">
        <v>1790</v>
      </c>
      <c r="D3239" s="307" t="s">
        <v>4119</v>
      </c>
      <c r="E3239" s="260" t="s">
        <v>4120</v>
      </c>
      <c r="F3239" s="352">
        <v>20479</v>
      </c>
      <c r="G3239" s="311">
        <v>1976</v>
      </c>
      <c r="H3239" s="340" t="s">
        <v>2658</v>
      </c>
      <c r="I3239" s="313">
        <v>360</v>
      </c>
      <c r="J3239" s="350">
        <v>1</v>
      </c>
      <c r="K3239" s="350">
        <v>0.8</v>
      </c>
      <c r="L3239" s="314">
        <f t="shared" si="28"/>
        <v>0.19999999999999996</v>
      </c>
      <c r="M3239" s="337"/>
    </row>
    <row r="3240" spans="1:13" s="71" customFormat="1" ht="26.4" customHeight="1">
      <c r="A3240" s="282">
        <v>552</v>
      </c>
      <c r="B3240" s="534"/>
      <c r="C3240" s="355" t="s">
        <v>1169</v>
      </c>
      <c r="D3240" s="307" t="s">
        <v>4121</v>
      </c>
      <c r="E3240" s="260" t="s">
        <v>4120</v>
      </c>
      <c r="F3240" s="352">
        <v>20177</v>
      </c>
      <c r="G3240" s="311">
        <v>1976</v>
      </c>
      <c r="H3240" s="340" t="s">
        <v>2658</v>
      </c>
      <c r="I3240" s="313">
        <v>350</v>
      </c>
      <c r="J3240" s="350">
        <v>0.9</v>
      </c>
      <c r="K3240" s="350">
        <v>0.8</v>
      </c>
      <c r="L3240" s="314">
        <f t="shared" si="28"/>
        <v>9.9999999999999978E-2</v>
      </c>
      <c r="M3240" s="337"/>
    </row>
    <row r="3241" spans="1:13" s="71" customFormat="1" ht="26.4" customHeight="1">
      <c r="A3241" s="282">
        <v>553</v>
      </c>
      <c r="B3241" s="534"/>
      <c r="C3241" s="307" t="s">
        <v>1790</v>
      </c>
      <c r="D3241" s="307" t="s">
        <v>4122</v>
      </c>
      <c r="E3241" s="260" t="s">
        <v>4123</v>
      </c>
      <c r="F3241" s="352">
        <v>20417</v>
      </c>
      <c r="G3241" s="311">
        <v>1976</v>
      </c>
      <c r="H3241" s="340" t="s">
        <v>2658</v>
      </c>
      <c r="I3241" s="313">
        <v>150</v>
      </c>
      <c r="J3241" s="350">
        <v>0.4</v>
      </c>
      <c r="K3241" s="350">
        <v>0.4</v>
      </c>
      <c r="L3241" s="314">
        <f t="shared" si="28"/>
        <v>0</v>
      </c>
      <c r="M3241" s="337"/>
    </row>
    <row r="3242" spans="1:13" s="71" customFormat="1" ht="26.4" customHeight="1">
      <c r="A3242" s="282">
        <v>554</v>
      </c>
      <c r="B3242" s="534"/>
      <c r="C3242" s="355" t="s">
        <v>1169</v>
      </c>
      <c r="D3242" s="307" t="s">
        <v>4124</v>
      </c>
      <c r="E3242" s="260" t="s">
        <v>3340</v>
      </c>
      <c r="F3242" s="352">
        <v>20290</v>
      </c>
      <c r="G3242" s="311">
        <v>1976</v>
      </c>
      <c r="H3242" s="340" t="s">
        <v>2658</v>
      </c>
      <c r="I3242" s="313">
        <v>330</v>
      </c>
      <c r="J3242" s="350">
        <v>0.9</v>
      </c>
      <c r="K3242" s="350">
        <v>0.8</v>
      </c>
      <c r="L3242" s="314">
        <f t="shared" si="28"/>
        <v>9.9999999999999978E-2</v>
      </c>
      <c r="M3242" s="337"/>
    </row>
    <row r="3243" spans="1:13" s="71" customFormat="1" ht="26.4" customHeight="1">
      <c r="A3243" s="282">
        <v>555</v>
      </c>
      <c r="B3243" s="534"/>
      <c r="C3243" s="307" t="s">
        <v>3323</v>
      </c>
      <c r="D3243" s="307" t="s">
        <v>4125</v>
      </c>
      <c r="E3243" s="260" t="s">
        <v>13060</v>
      </c>
      <c r="F3243" s="352">
        <v>20509</v>
      </c>
      <c r="G3243" s="311">
        <v>1976</v>
      </c>
      <c r="H3243" s="340" t="s">
        <v>2658</v>
      </c>
      <c r="I3243" s="313">
        <v>340</v>
      </c>
      <c r="J3243" s="350">
        <v>1.8</v>
      </c>
      <c r="K3243" s="350">
        <v>1.4</v>
      </c>
      <c r="L3243" s="314">
        <f t="shared" si="28"/>
        <v>0.40000000000000013</v>
      </c>
      <c r="M3243" s="337"/>
    </row>
    <row r="3244" spans="1:13" s="71" customFormat="1" ht="26.4" customHeight="1">
      <c r="A3244" s="282">
        <v>556</v>
      </c>
      <c r="B3244" s="534"/>
      <c r="C3244" s="307" t="s">
        <v>4126</v>
      </c>
      <c r="D3244" s="307" t="s">
        <v>4127</v>
      </c>
      <c r="E3244" s="260" t="s">
        <v>4128</v>
      </c>
      <c r="F3244" s="352">
        <v>20392</v>
      </c>
      <c r="G3244" s="311">
        <v>1976</v>
      </c>
      <c r="H3244" s="340" t="s">
        <v>2658</v>
      </c>
      <c r="I3244" s="313">
        <v>80</v>
      </c>
      <c r="J3244" s="350">
        <v>2</v>
      </c>
      <c r="K3244" s="350">
        <v>1.8</v>
      </c>
      <c r="L3244" s="314">
        <f t="shared" si="28"/>
        <v>0.19999999999999996</v>
      </c>
      <c r="M3244" s="337"/>
    </row>
    <row r="3245" spans="1:13" s="71" customFormat="1" ht="26.4" customHeight="1">
      <c r="A3245" s="282">
        <v>557</v>
      </c>
      <c r="B3245" s="534"/>
      <c r="C3245" s="355" t="s">
        <v>1169</v>
      </c>
      <c r="D3245" s="307" t="s">
        <v>4129</v>
      </c>
      <c r="E3245" s="260" t="s">
        <v>4128</v>
      </c>
      <c r="F3245" s="352">
        <v>20365</v>
      </c>
      <c r="G3245" s="311">
        <v>1976</v>
      </c>
      <c r="H3245" s="340" t="s">
        <v>2658</v>
      </c>
      <c r="I3245" s="313">
        <v>120</v>
      </c>
      <c r="J3245" s="350">
        <v>0.4</v>
      </c>
      <c r="K3245" s="350">
        <v>0.3</v>
      </c>
      <c r="L3245" s="314">
        <f t="shared" si="28"/>
        <v>0.10000000000000003</v>
      </c>
      <c r="M3245" s="337"/>
    </row>
    <row r="3246" spans="1:13" s="71" customFormat="1" ht="26.4" customHeight="1">
      <c r="A3246" s="282">
        <v>558</v>
      </c>
      <c r="B3246" s="534"/>
      <c r="C3246" s="307" t="s">
        <v>3320</v>
      </c>
      <c r="D3246" s="307" t="s">
        <v>4130</v>
      </c>
      <c r="E3246" s="260" t="s">
        <v>4131</v>
      </c>
      <c r="F3246" s="352">
        <v>20070</v>
      </c>
      <c r="G3246" s="311">
        <v>1967</v>
      </c>
      <c r="H3246" s="340" t="s">
        <v>2658</v>
      </c>
      <c r="I3246" s="313">
        <v>1200</v>
      </c>
      <c r="J3246" s="350">
        <v>16.8</v>
      </c>
      <c r="K3246" s="350">
        <v>14.9</v>
      </c>
      <c r="L3246" s="314">
        <f t="shared" si="28"/>
        <v>1.9000000000000004</v>
      </c>
      <c r="M3246" s="337"/>
    </row>
    <row r="3247" spans="1:13" s="71" customFormat="1" ht="26.4" customHeight="1">
      <c r="A3247" s="282">
        <v>559</v>
      </c>
      <c r="B3247" s="534"/>
      <c r="C3247" s="307" t="s">
        <v>3336</v>
      </c>
      <c r="D3247" s="307" t="s">
        <v>4132</v>
      </c>
      <c r="E3247" s="260" t="s">
        <v>4131</v>
      </c>
      <c r="F3247" s="352">
        <v>20458</v>
      </c>
      <c r="G3247" s="311">
        <v>1976</v>
      </c>
      <c r="H3247" s="340" t="s">
        <v>2658</v>
      </c>
      <c r="I3247" s="313">
        <v>550</v>
      </c>
      <c r="J3247" s="350">
        <v>2.7</v>
      </c>
      <c r="K3247" s="350">
        <v>2.1</v>
      </c>
      <c r="L3247" s="314">
        <f t="shared" si="28"/>
        <v>0.60000000000000009</v>
      </c>
      <c r="M3247" s="337"/>
    </row>
    <row r="3248" spans="1:13" s="71" customFormat="1" ht="26.4" customHeight="1">
      <c r="A3248" s="282">
        <v>560</v>
      </c>
      <c r="B3248" s="534"/>
      <c r="C3248" s="307" t="s">
        <v>3329</v>
      </c>
      <c r="D3248" s="307" t="s">
        <v>4133</v>
      </c>
      <c r="E3248" s="260" t="s">
        <v>4134</v>
      </c>
      <c r="F3248" s="352">
        <v>20371</v>
      </c>
      <c r="G3248" s="311">
        <v>1976</v>
      </c>
      <c r="H3248" s="340" t="s">
        <v>2658</v>
      </c>
      <c r="I3248" s="313">
        <v>460</v>
      </c>
      <c r="J3248" s="350">
        <v>1.5</v>
      </c>
      <c r="K3248" s="350">
        <v>1.2</v>
      </c>
      <c r="L3248" s="314">
        <f t="shared" si="28"/>
        <v>0.30000000000000004</v>
      </c>
      <c r="M3248" s="337"/>
    </row>
    <row r="3249" spans="1:13" s="332" customFormat="1" ht="26.4" customHeight="1">
      <c r="A3249" s="282">
        <v>561</v>
      </c>
      <c r="B3249" s="534"/>
      <c r="C3249" s="315" t="s">
        <v>1169</v>
      </c>
      <c r="D3249" s="313" t="s">
        <v>4135</v>
      </c>
      <c r="E3249" s="444" t="s">
        <v>4134</v>
      </c>
      <c r="F3249" s="352">
        <v>20362</v>
      </c>
      <c r="G3249" s="445">
        <v>1976</v>
      </c>
      <c r="H3249" s="340" t="s">
        <v>2658</v>
      </c>
      <c r="I3249" s="313">
        <v>340</v>
      </c>
      <c r="J3249" s="350">
        <v>0.9</v>
      </c>
      <c r="K3249" s="350">
        <v>0.8</v>
      </c>
      <c r="L3249" s="314">
        <f t="shared" si="28"/>
        <v>9.9999999999999978E-2</v>
      </c>
      <c r="M3249" s="331"/>
    </row>
    <row r="3250" spans="1:13" s="71" customFormat="1" ht="26.4" customHeight="1">
      <c r="A3250" s="282">
        <v>562</v>
      </c>
      <c r="B3250" s="534"/>
      <c r="C3250" s="307" t="s">
        <v>3336</v>
      </c>
      <c r="D3250" s="307" t="s">
        <v>4136</v>
      </c>
      <c r="E3250" s="260" t="s">
        <v>4137</v>
      </c>
      <c r="F3250" s="352">
        <v>20438</v>
      </c>
      <c r="G3250" s="311">
        <v>1976</v>
      </c>
      <c r="H3250" s="340" t="s">
        <v>2658</v>
      </c>
      <c r="I3250" s="313">
        <v>270</v>
      </c>
      <c r="J3250" s="350">
        <v>0.7</v>
      </c>
      <c r="K3250" s="350">
        <v>0.6</v>
      </c>
      <c r="L3250" s="314">
        <f t="shared" si="28"/>
        <v>9.9999999999999978E-2</v>
      </c>
      <c r="M3250" s="337"/>
    </row>
    <row r="3251" spans="1:13" s="71" customFormat="1" ht="26.4" customHeight="1">
      <c r="A3251" s="282">
        <v>563</v>
      </c>
      <c r="B3251" s="534"/>
      <c r="C3251" s="355" t="s">
        <v>1169</v>
      </c>
      <c r="D3251" s="307" t="s">
        <v>4136</v>
      </c>
      <c r="E3251" s="260" t="s">
        <v>4137</v>
      </c>
      <c r="F3251" s="352">
        <v>20193</v>
      </c>
      <c r="G3251" s="311">
        <v>1976</v>
      </c>
      <c r="H3251" s="340" t="s">
        <v>2658</v>
      </c>
      <c r="I3251" s="313">
        <v>560</v>
      </c>
      <c r="J3251" s="350">
        <v>3.7</v>
      </c>
      <c r="K3251" s="350">
        <v>2.9</v>
      </c>
      <c r="L3251" s="314">
        <f t="shared" si="28"/>
        <v>0.80000000000000027</v>
      </c>
      <c r="M3251" s="337"/>
    </row>
    <row r="3252" spans="1:13" s="71" customFormat="1" ht="26.4" customHeight="1">
      <c r="A3252" s="282">
        <v>564</v>
      </c>
      <c r="B3252" s="534"/>
      <c r="C3252" s="307" t="s">
        <v>3320</v>
      </c>
      <c r="D3252" s="307" t="s">
        <v>4138</v>
      </c>
      <c r="E3252" s="260" t="s">
        <v>4139</v>
      </c>
      <c r="F3252" s="352">
        <v>20014</v>
      </c>
      <c r="G3252" s="311">
        <v>1968</v>
      </c>
      <c r="H3252" s="340" t="s">
        <v>2658</v>
      </c>
      <c r="I3252" s="313">
        <v>400</v>
      </c>
      <c r="J3252" s="350">
        <v>3.7</v>
      </c>
      <c r="K3252" s="350">
        <v>2.9</v>
      </c>
      <c r="L3252" s="314">
        <f t="shared" si="28"/>
        <v>0.80000000000000027</v>
      </c>
      <c r="M3252" s="337"/>
    </row>
    <row r="3253" spans="1:13" s="71" customFormat="1" ht="26.4" customHeight="1">
      <c r="A3253" s="282">
        <v>565</v>
      </c>
      <c r="B3253" s="534"/>
      <c r="C3253" s="307" t="s">
        <v>3336</v>
      </c>
      <c r="D3253" s="307" t="s">
        <v>4140</v>
      </c>
      <c r="E3253" s="260" t="s">
        <v>4141</v>
      </c>
      <c r="F3253" s="352">
        <v>20455</v>
      </c>
      <c r="G3253" s="311">
        <v>1976</v>
      </c>
      <c r="H3253" s="340" t="s">
        <v>2658</v>
      </c>
      <c r="I3253" s="313">
        <v>120</v>
      </c>
      <c r="J3253" s="350">
        <v>0.3</v>
      </c>
      <c r="K3253" s="350">
        <v>0.3</v>
      </c>
      <c r="L3253" s="314">
        <f t="shared" si="28"/>
        <v>0</v>
      </c>
      <c r="M3253" s="337"/>
    </row>
    <row r="3254" spans="1:13" s="71" customFormat="1" ht="26.4" customHeight="1">
      <c r="A3254" s="282">
        <v>566</v>
      </c>
      <c r="B3254" s="534"/>
      <c r="C3254" s="355" t="s">
        <v>1169</v>
      </c>
      <c r="D3254" s="307" t="s">
        <v>4142</v>
      </c>
      <c r="E3254" s="260" t="s">
        <v>3344</v>
      </c>
      <c r="F3254" s="352">
        <v>20359</v>
      </c>
      <c r="G3254" s="311">
        <v>1976</v>
      </c>
      <c r="H3254" s="340" t="s">
        <v>2658</v>
      </c>
      <c r="I3254" s="313">
        <v>230</v>
      </c>
      <c r="J3254" s="350">
        <v>0.7</v>
      </c>
      <c r="K3254" s="350">
        <v>0.6</v>
      </c>
      <c r="L3254" s="314">
        <f t="shared" si="28"/>
        <v>9.9999999999999978E-2</v>
      </c>
      <c r="M3254" s="337"/>
    </row>
    <row r="3255" spans="1:13" s="71" customFormat="1" ht="26.4" customHeight="1">
      <c r="A3255" s="282">
        <v>567</v>
      </c>
      <c r="B3255" s="534"/>
      <c r="C3255" s="307" t="s">
        <v>3495</v>
      </c>
      <c r="D3255" s="307" t="s">
        <v>4143</v>
      </c>
      <c r="E3255" s="260" t="s">
        <v>4144</v>
      </c>
      <c r="F3255" s="352">
        <v>20413</v>
      </c>
      <c r="G3255" s="311">
        <v>1976</v>
      </c>
      <c r="H3255" s="340" t="s">
        <v>2658</v>
      </c>
      <c r="I3255" s="313">
        <v>200</v>
      </c>
      <c r="J3255" s="350">
        <v>0.5</v>
      </c>
      <c r="K3255" s="350">
        <v>0.5</v>
      </c>
      <c r="L3255" s="314">
        <f t="shared" si="28"/>
        <v>0</v>
      </c>
      <c r="M3255" s="337"/>
    </row>
    <row r="3256" spans="1:13" s="71" customFormat="1" ht="26.4" customHeight="1">
      <c r="A3256" s="282">
        <v>568</v>
      </c>
      <c r="B3256" s="534"/>
      <c r="C3256" s="307" t="s">
        <v>4145</v>
      </c>
      <c r="D3256" s="307" t="s">
        <v>3355</v>
      </c>
      <c r="E3256" s="260" t="s">
        <v>4144</v>
      </c>
      <c r="F3256" s="352">
        <v>20645</v>
      </c>
      <c r="G3256" s="311">
        <v>1996</v>
      </c>
      <c r="H3256" s="340" t="s">
        <v>2658</v>
      </c>
      <c r="I3256" s="313">
        <v>1000</v>
      </c>
      <c r="J3256" s="350">
        <v>10</v>
      </c>
      <c r="K3256" s="350">
        <v>9</v>
      </c>
      <c r="L3256" s="314">
        <f t="shared" si="28"/>
        <v>1</v>
      </c>
      <c r="M3256" s="337"/>
    </row>
    <row r="3257" spans="1:13" s="71" customFormat="1" ht="26.4" customHeight="1">
      <c r="A3257" s="282">
        <v>569</v>
      </c>
      <c r="B3257" s="534"/>
      <c r="C3257" s="307" t="s">
        <v>3336</v>
      </c>
      <c r="D3257" s="307" t="s">
        <v>4028</v>
      </c>
      <c r="E3257" s="260" t="s">
        <v>4146</v>
      </c>
      <c r="F3257" s="352">
        <v>20378</v>
      </c>
      <c r="G3257" s="311">
        <v>1976</v>
      </c>
      <c r="H3257" s="340" t="s">
        <v>2658</v>
      </c>
      <c r="I3257" s="313">
        <v>520</v>
      </c>
      <c r="J3257" s="350">
        <v>1.6</v>
      </c>
      <c r="K3257" s="350">
        <v>1.2</v>
      </c>
      <c r="L3257" s="314">
        <f t="shared" si="28"/>
        <v>0.40000000000000013</v>
      </c>
      <c r="M3257" s="337"/>
    </row>
    <row r="3258" spans="1:13" s="71" customFormat="1" ht="26.4" customHeight="1">
      <c r="A3258" s="282">
        <v>570</v>
      </c>
      <c r="B3258" s="534"/>
      <c r="C3258" s="355" t="s">
        <v>1169</v>
      </c>
      <c r="D3258" s="307" t="s">
        <v>4147</v>
      </c>
      <c r="E3258" s="260" t="s">
        <v>4148</v>
      </c>
      <c r="F3258" s="352">
        <v>20218</v>
      </c>
      <c r="G3258" s="311">
        <v>1976</v>
      </c>
      <c r="H3258" s="340" t="s">
        <v>2658</v>
      </c>
      <c r="I3258" s="313">
        <v>650</v>
      </c>
      <c r="J3258" s="350">
        <v>3.5</v>
      </c>
      <c r="K3258" s="350">
        <v>2.7</v>
      </c>
      <c r="L3258" s="314">
        <f t="shared" si="28"/>
        <v>0.79999999999999982</v>
      </c>
      <c r="M3258" s="337"/>
    </row>
    <row r="3259" spans="1:13" s="71" customFormat="1" ht="26.4" customHeight="1">
      <c r="A3259" s="282">
        <v>571</v>
      </c>
      <c r="B3259" s="534"/>
      <c r="C3259" s="307" t="s">
        <v>3336</v>
      </c>
      <c r="D3259" s="307" t="s">
        <v>4149</v>
      </c>
      <c r="E3259" s="260" t="s">
        <v>4150</v>
      </c>
      <c r="F3259" s="352">
        <v>20471</v>
      </c>
      <c r="G3259" s="311">
        <v>1976</v>
      </c>
      <c r="H3259" s="340" t="s">
        <v>2658</v>
      </c>
      <c r="I3259" s="313">
        <v>950</v>
      </c>
      <c r="J3259" s="350">
        <v>2.8</v>
      </c>
      <c r="K3259" s="350">
        <v>2.1</v>
      </c>
      <c r="L3259" s="314">
        <f t="shared" si="28"/>
        <v>0.69999999999999973</v>
      </c>
      <c r="M3259" s="337"/>
    </row>
    <row r="3260" spans="1:13" s="71" customFormat="1" ht="26.4" customHeight="1">
      <c r="A3260" s="282">
        <v>572</v>
      </c>
      <c r="B3260" s="534"/>
      <c r="C3260" s="355" t="s">
        <v>1169</v>
      </c>
      <c r="D3260" s="307" t="s">
        <v>4151</v>
      </c>
      <c r="E3260" s="260" t="s">
        <v>4152</v>
      </c>
      <c r="F3260" s="352">
        <v>20253</v>
      </c>
      <c r="G3260" s="311">
        <v>1976</v>
      </c>
      <c r="H3260" s="340" t="s">
        <v>2658</v>
      </c>
      <c r="I3260" s="313">
        <v>480</v>
      </c>
      <c r="J3260" s="350">
        <v>1.5</v>
      </c>
      <c r="K3260" s="350">
        <v>1.1000000000000001</v>
      </c>
      <c r="L3260" s="314">
        <f t="shared" si="28"/>
        <v>0.39999999999999991</v>
      </c>
      <c r="M3260" s="337"/>
    </row>
    <row r="3261" spans="1:13" s="71" customFormat="1" ht="26.4" customHeight="1">
      <c r="A3261" s="282">
        <v>573</v>
      </c>
      <c r="B3261" s="534"/>
      <c r="C3261" s="355" t="s">
        <v>1169</v>
      </c>
      <c r="D3261" s="307" t="s">
        <v>4153</v>
      </c>
      <c r="E3261" s="260" t="s">
        <v>4154</v>
      </c>
      <c r="F3261" s="352">
        <v>20204</v>
      </c>
      <c r="G3261" s="311">
        <v>1976</v>
      </c>
      <c r="H3261" s="340" t="s">
        <v>2658</v>
      </c>
      <c r="I3261" s="313">
        <v>580</v>
      </c>
      <c r="J3261" s="350">
        <v>0.2</v>
      </c>
      <c r="K3261" s="350">
        <v>0.2</v>
      </c>
      <c r="L3261" s="314">
        <f t="shared" si="28"/>
        <v>0</v>
      </c>
      <c r="M3261" s="337"/>
    </row>
    <row r="3262" spans="1:13" s="71" customFormat="1" ht="26.4" customHeight="1">
      <c r="A3262" s="282">
        <v>574</v>
      </c>
      <c r="B3262" s="534"/>
      <c r="C3262" s="307" t="s">
        <v>3336</v>
      </c>
      <c r="D3262" s="307" t="s">
        <v>4155</v>
      </c>
      <c r="E3262" s="260" t="s">
        <v>4156</v>
      </c>
      <c r="F3262" s="352">
        <v>20457</v>
      </c>
      <c r="G3262" s="311">
        <v>1976</v>
      </c>
      <c r="H3262" s="340" t="s">
        <v>2658</v>
      </c>
      <c r="I3262" s="313">
        <v>1200</v>
      </c>
      <c r="J3262" s="350">
        <v>5.3</v>
      </c>
      <c r="K3262" s="350">
        <v>4.9000000000000004</v>
      </c>
      <c r="L3262" s="314">
        <f t="shared" si="28"/>
        <v>0.39999999999999947</v>
      </c>
      <c r="M3262" s="337"/>
    </row>
    <row r="3263" spans="1:13" s="71" customFormat="1" ht="26.4" customHeight="1">
      <c r="A3263" s="282">
        <v>575</v>
      </c>
      <c r="B3263" s="534"/>
      <c r="C3263" s="355" t="s">
        <v>1169</v>
      </c>
      <c r="D3263" s="307" t="s">
        <v>4157</v>
      </c>
      <c r="E3263" s="260" t="s">
        <v>4158</v>
      </c>
      <c r="F3263" s="352">
        <v>20128</v>
      </c>
      <c r="G3263" s="311">
        <v>1969</v>
      </c>
      <c r="H3263" s="340" t="s">
        <v>2658</v>
      </c>
      <c r="I3263" s="313">
        <v>900</v>
      </c>
      <c r="J3263" s="350">
        <v>3.3</v>
      </c>
      <c r="K3263" s="350">
        <v>2.6</v>
      </c>
      <c r="L3263" s="314">
        <f t="shared" si="28"/>
        <v>0.69999999999999973</v>
      </c>
      <c r="M3263" s="337"/>
    </row>
    <row r="3264" spans="1:13" s="71" customFormat="1" ht="26.4" customHeight="1">
      <c r="A3264" s="282">
        <v>576</v>
      </c>
      <c r="B3264" s="534"/>
      <c r="C3264" s="307" t="s">
        <v>3317</v>
      </c>
      <c r="D3264" s="307" t="s">
        <v>4159</v>
      </c>
      <c r="E3264" s="260" t="s">
        <v>4160</v>
      </c>
      <c r="F3264" s="352">
        <v>20385</v>
      </c>
      <c r="G3264" s="311">
        <v>1976</v>
      </c>
      <c r="H3264" s="340" t="s">
        <v>2658</v>
      </c>
      <c r="I3264" s="313">
        <v>550</v>
      </c>
      <c r="J3264" s="350">
        <v>1.9</v>
      </c>
      <c r="K3264" s="350">
        <v>1.8</v>
      </c>
      <c r="L3264" s="314">
        <f t="shared" si="28"/>
        <v>9.9999999999999867E-2</v>
      </c>
      <c r="M3264" s="337"/>
    </row>
    <row r="3265" spans="1:13" s="71" customFormat="1" ht="26.4" customHeight="1">
      <c r="A3265" s="282">
        <v>577</v>
      </c>
      <c r="B3265" s="534"/>
      <c r="C3265" s="307" t="s">
        <v>3336</v>
      </c>
      <c r="D3265" s="307" t="s">
        <v>3404</v>
      </c>
      <c r="E3265" s="260" t="s">
        <v>4161</v>
      </c>
      <c r="F3265" s="352">
        <v>20460</v>
      </c>
      <c r="G3265" s="311">
        <v>1976</v>
      </c>
      <c r="H3265" s="340" t="s">
        <v>2658</v>
      </c>
      <c r="I3265" s="313">
        <v>300</v>
      </c>
      <c r="J3265" s="350">
        <v>0.9</v>
      </c>
      <c r="K3265" s="350">
        <v>0.7</v>
      </c>
      <c r="L3265" s="314">
        <f t="shared" ref="L3265:L3328" si="29">J3265-K3265</f>
        <v>0.20000000000000007</v>
      </c>
      <c r="M3265" s="337"/>
    </row>
    <row r="3266" spans="1:13" s="71" customFormat="1" ht="39.6">
      <c r="A3266" s="282">
        <v>578</v>
      </c>
      <c r="B3266" s="534"/>
      <c r="C3266" s="355" t="s">
        <v>1169</v>
      </c>
      <c r="D3266" s="307" t="s">
        <v>4162</v>
      </c>
      <c r="E3266" s="260" t="s">
        <v>4163</v>
      </c>
      <c r="F3266" s="352">
        <v>20257</v>
      </c>
      <c r="G3266" s="311">
        <v>1976</v>
      </c>
      <c r="H3266" s="340" t="s">
        <v>2658</v>
      </c>
      <c r="I3266" s="313">
        <v>580</v>
      </c>
      <c r="J3266" s="350">
        <v>3.1</v>
      </c>
      <c r="K3266" s="350">
        <v>2.4</v>
      </c>
      <c r="L3266" s="314">
        <f t="shared" si="29"/>
        <v>0.70000000000000018</v>
      </c>
      <c r="M3266" s="337"/>
    </row>
    <row r="3267" spans="1:13" s="71" customFormat="1" ht="26.4" customHeight="1">
      <c r="A3267" s="282">
        <v>579</v>
      </c>
      <c r="B3267" s="534"/>
      <c r="C3267" s="355" t="s">
        <v>1169</v>
      </c>
      <c r="D3267" s="307" t="s">
        <v>4164</v>
      </c>
      <c r="E3267" s="260" t="s">
        <v>4165</v>
      </c>
      <c r="F3267" s="352">
        <v>20158</v>
      </c>
      <c r="G3267" s="311">
        <v>1977</v>
      </c>
      <c r="H3267" s="340" t="s">
        <v>2658</v>
      </c>
      <c r="I3267" s="313">
        <v>120</v>
      </c>
      <c r="J3267" s="350">
        <v>5.6</v>
      </c>
      <c r="K3267" s="350">
        <v>5.2</v>
      </c>
      <c r="L3267" s="314">
        <f t="shared" si="29"/>
        <v>0.39999999999999947</v>
      </c>
      <c r="M3267" s="337"/>
    </row>
    <row r="3268" spans="1:13" s="71" customFormat="1" ht="26.4" customHeight="1">
      <c r="A3268" s="282">
        <v>580</v>
      </c>
      <c r="B3268" s="534"/>
      <c r="C3268" s="355" t="s">
        <v>1169</v>
      </c>
      <c r="D3268" s="307" t="s">
        <v>4166</v>
      </c>
      <c r="E3268" s="260" t="s">
        <v>4167</v>
      </c>
      <c r="F3268" s="352">
        <v>20232</v>
      </c>
      <c r="G3268" s="311">
        <v>1976</v>
      </c>
      <c r="H3268" s="340" t="s">
        <v>2658</v>
      </c>
      <c r="I3268" s="313">
        <v>160</v>
      </c>
      <c r="J3268" s="350">
        <v>0.4</v>
      </c>
      <c r="K3268" s="350">
        <v>0.4</v>
      </c>
      <c r="L3268" s="314">
        <f t="shared" si="29"/>
        <v>0</v>
      </c>
      <c r="M3268" s="337"/>
    </row>
    <row r="3269" spans="1:13" s="71" customFormat="1" ht="26.4" customHeight="1">
      <c r="A3269" s="282">
        <v>581</v>
      </c>
      <c r="B3269" s="534"/>
      <c r="C3269" s="355" t="s">
        <v>1169</v>
      </c>
      <c r="D3269" s="307" t="s">
        <v>4168</v>
      </c>
      <c r="E3269" s="260" t="s">
        <v>4169</v>
      </c>
      <c r="F3269" s="352">
        <v>20298</v>
      </c>
      <c r="G3269" s="311">
        <v>1976</v>
      </c>
      <c r="H3269" s="340" t="s">
        <v>2658</v>
      </c>
      <c r="I3269" s="313">
        <v>230</v>
      </c>
      <c r="J3269" s="350">
        <v>0.6</v>
      </c>
      <c r="K3269" s="350">
        <v>0.5</v>
      </c>
      <c r="L3269" s="314">
        <f t="shared" si="29"/>
        <v>9.9999999999999978E-2</v>
      </c>
      <c r="M3269" s="337"/>
    </row>
    <row r="3270" spans="1:13" s="71" customFormat="1" ht="26.4" customHeight="1">
      <c r="A3270" s="282">
        <v>582</v>
      </c>
      <c r="B3270" s="534"/>
      <c r="C3270" s="355" t="s">
        <v>1169</v>
      </c>
      <c r="D3270" s="307" t="s">
        <v>4170</v>
      </c>
      <c r="E3270" s="260" t="s">
        <v>4171</v>
      </c>
      <c r="F3270" s="352">
        <v>20292</v>
      </c>
      <c r="G3270" s="311">
        <v>1976</v>
      </c>
      <c r="H3270" s="340" t="s">
        <v>2658</v>
      </c>
      <c r="I3270" s="313">
        <v>260</v>
      </c>
      <c r="J3270" s="350">
        <v>0.7</v>
      </c>
      <c r="K3270" s="350">
        <v>0.6</v>
      </c>
      <c r="L3270" s="314">
        <f t="shared" si="29"/>
        <v>9.9999999999999978E-2</v>
      </c>
      <c r="M3270" s="337"/>
    </row>
    <row r="3271" spans="1:13" s="71" customFormat="1" ht="26.4" customHeight="1">
      <c r="A3271" s="282">
        <v>583</v>
      </c>
      <c r="B3271" s="534"/>
      <c r="C3271" s="307" t="s">
        <v>3323</v>
      </c>
      <c r="D3271" s="307" t="s">
        <v>4172</v>
      </c>
      <c r="E3271" s="260" t="s">
        <v>4173</v>
      </c>
      <c r="F3271" s="352">
        <v>20084</v>
      </c>
      <c r="G3271" s="311">
        <v>1967</v>
      </c>
      <c r="H3271" s="340" t="s">
        <v>2658</v>
      </c>
      <c r="I3271" s="313">
        <v>10066</v>
      </c>
      <c r="J3271" s="350">
        <v>316.5</v>
      </c>
      <c r="K3271" s="350">
        <v>294.5</v>
      </c>
      <c r="L3271" s="314">
        <f t="shared" si="29"/>
        <v>22</v>
      </c>
      <c r="M3271" s="337"/>
    </row>
    <row r="3272" spans="1:13" s="71" customFormat="1" ht="26.4" customHeight="1">
      <c r="A3272" s="282">
        <v>584</v>
      </c>
      <c r="B3272" s="534"/>
      <c r="C3272" s="307" t="s">
        <v>3336</v>
      </c>
      <c r="D3272" s="307" t="s">
        <v>3486</v>
      </c>
      <c r="E3272" s="260" t="s">
        <v>4174</v>
      </c>
      <c r="F3272" s="352">
        <v>20432</v>
      </c>
      <c r="G3272" s="311">
        <v>1976</v>
      </c>
      <c r="H3272" s="340" t="s">
        <v>2658</v>
      </c>
      <c r="I3272" s="313">
        <v>420</v>
      </c>
      <c r="J3272" s="350">
        <v>1.2</v>
      </c>
      <c r="K3272" s="350">
        <v>0.9</v>
      </c>
      <c r="L3272" s="314">
        <f t="shared" si="29"/>
        <v>0.29999999999999993</v>
      </c>
      <c r="M3272" s="337"/>
    </row>
    <row r="3273" spans="1:13" s="71" customFormat="1" ht="26.4">
      <c r="A3273" s="282">
        <v>585</v>
      </c>
      <c r="B3273" s="534"/>
      <c r="C3273" s="307" t="s">
        <v>3276</v>
      </c>
      <c r="D3273" s="307" t="s">
        <v>4175</v>
      </c>
      <c r="E3273" s="260" t="s">
        <v>4176</v>
      </c>
      <c r="F3273" s="352">
        <v>20448</v>
      </c>
      <c r="G3273" s="311">
        <v>1976</v>
      </c>
      <c r="H3273" s="340" t="s">
        <v>2658</v>
      </c>
      <c r="I3273" s="313">
        <v>100</v>
      </c>
      <c r="J3273" s="350">
        <v>0.3</v>
      </c>
      <c r="K3273" s="350">
        <v>0.2</v>
      </c>
      <c r="L3273" s="314">
        <f t="shared" si="29"/>
        <v>9.9999999999999978E-2</v>
      </c>
      <c r="M3273" s="337"/>
    </row>
    <row r="3274" spans="1:13" s="71" customFormat="1" ht="39.6">
      <c r="A3274" s="282">
        <v>586</v>
      </c>
      <c r="B3274" s="534"/>
      <c r="C3274" s="355" t="s">
        <v>1169</v>
      </c>
      <c r="D3274" s="307" t="s">
        <v>12967</v>
      </c>
      <c r="E3274" s="260" t="s">
        <v>4177</v>
      </c>
      <c r="F3274" s="352">
        <v>20196</v>
      </c>
      <c r="G3274" s="311">
        <v>1976</v>
      </c>
      <c r="H3274" s="340" t="s">
        <v>2658</v>
      </c>
      <c r="I3274" s="313">
        <v>400</v>
      </c>
      <c r="J3274" s="350">
        <v>1.8</v>
      </c>
      <c r="K3274" s="350">
        <v>1.6</v>
      </c>
      <c r="L3274" s="314">
        <f t="shared" si="29"/>
        <v>0.19999999999999996</v>
      </c>
      <c r="M3274" s="337"/>
    </row>
    <row r="3275" spans="1:13" s="71" customFormat="1" ht="26.4" customHeight="1">
      <c r="A3275" s="282">
        <v>587</v>
      </c>
      <c r="B3275" s="534"/>
      <c r="C3275" s="307" t="s">
        <v>3320</v>
      </c>
      <c r="D3275" s="307" t="s">
        <v>4178</v>
      </c>
      <c r="E3275" s="260" t="s">
        <v>4179</v>
      </c>
      <c r="F3275" s="352">
        <v>20610</v>
      </c>
      <c r="G3275" s="311">
        <v>1990</v>
      </c>
      <c r="H3275" s="340" t="s">
        <v>2658</v>
      </c>
      <c r="I3275" s="313">
        <v>200</v>
      </c>
      <c r="J3275" s="350">
        <v>12.4</v>
      </c>
      <c r="K3275" s="350">
        <v>11</v>
      </c>
      <c r="L3275" s="314">
        <f t="shared" si="29"/>
        <v>1.4000000000000004</v>
      </c>
      <c r="M3275" s="337"/>
    </row>
    <row r="3276" spans="1:13" s="71" customFormat="1" ht="26.4" customHeight="1">
      <c r="A3276" s="282">
        <v>588</v>
      </c>
      <c r="B3276" s="534"/>
      <c r="C3276" s="307" t="s">
        <v>3320</v>
      </c>
      <c r="D3276" s="307" t="s">
        <v>4180</v>
      </c>
      <c r="E3276" s="260" t="s">
        <v>4181</v>
      </c>
      <c r="F3276" s="352">
        <v>20611</v>
      </c>
      <c r="G3276" s="311">
        <v>1990</v>
      </c>
      <c r="H3276" s="340" t="s">
        <v>2658</v>
      </c>
      <c r="I3276" s="313">
        <v>250</v>
      </c>
      <c r="J3276" s="350">
        <v>16.600000000000001</v>
      </c>
      <c r="K3276" s="350">
        <v>14.1</v>
      </c>
      <c r="L3276" s="314">
        <f t="shared" si="29"/>
        <v>2.5000000000000018</v>
      </c>
      <c r="M3276" s="337"/>
    </row>
    <row r="3277" spans="1:13" s="71" customFormat="1" ht="39.6">
      <c r="A3277" s="282">
        <v>589</v>
      </c>
      <c r="B3277" s="534"/>
      <c r="C3277" s="307" t="s">
        <v>3320</v>
      </c>
      <c r="D3277" s="307" t="s">
        <v>4182</v>
      </c>
      <c r="E3277" s="260" t="s">
        <v>13061</v>
      </c>
      <c r="F3277" s="352">
        <v>20609</v>
      </c>
      <c r="G3277" s="311">
        <v>1990</v>
      </c>
      <c r="H3277" s="340" t="s">
        <v>2658</v>
      </c>
      <c r="I3277" s="313" t="s">
        <v>3234</v>
      </c>
      <c r="J3277" s="350">
        <v>4.7</v>
      </c>
      <c r="K3277" s="350">
        <v>4.3</v>
      </c>
      <c r="L3277" s="314">
        <f t="shared" si="29"/>
        <v>0.40000000000000036</v>
      </c>
      <c r="M3277" s="337"/>
    </row>
    <row r="3278" spans="1:13" s="71" customFormat="1" ht="39.6">
      <c r="A3278" s="282">
        <v>590</v>
      </c>
      <c r="B3278" s="534"/>
      <c r="C3278" s="355" t="s">
        <v>1169</v>
      </c>
      <c r="D3278" s="260" t="s">
        <v>12853</v>
      </c>
      <c r="E3278" s="260" t="s">
        <v>4183</v>
      </c>
      <c r="F3278" s="352">
        <v>20066</v>
      </c>
      <c r="G3278" s="311">
        <v>1968</v>
      </c>
      <c r="H3278" s="340" t="s">
        <v>2658</v>
      </c>
      <c r="I3278" s="313">
        <v>2964</v>
      </c>
      <c r="J3278" s="350">
        <v>78</v>
      </c>
      <c r="K3278" s="350">
        <v>66.099999999999994</v>
      </c>
      <c r="L3278" s="314">
        <f t="shared" si="29"/>
        <v>11.900000000000006</v>
      </c>
      <c r="M3278" s="337"/>
    </row>
    <row r="3279" spans="1:13" s="71" customFormat="1" ht="26.4" customHeight="1">
      <c r="A3279" s="282">
        <v>591</v>
      </c>
      <c r="B3279" s="534"/>
      <c r="C3279" s="307" t="s">
        <v>3320</v>
      </c>
      <c r="D3279" s="307" t="s">
        <v>4184</v>
      </c>
      <c r="E3279" s="260" t="s">
        <v>4185</v>
      </c>
      <c r="F3279" s="352">
        <v>20612</v>
      </c>
      <c r="G3279" s="311">
        <v>1990</v>
      </c>
      <c r="H3279" s="340" t="s">
        <v>2658</v>
      </c>
      <c r="I3279" s="313">
        <v>800</v>
      </c>
      <c r="J3279" s="350">
        <v>46.2</v>
      </c>
      <c r="K3279" s="350">
        <v>43</v>
      </c>
      <c r="L3279" s="314">
        <f t="shared" si="29"/>
        <v>3.2000000000000028</v>
      </c>
      <c r="M3279" s="337"/>
    </row>
    <row r="3280" spans="1:13" s="71" customFormat="1" ht="26.4" customHeight="1">
      <c r="A3280" s="282">
        <v>592</v>
      </c>
      <c r="B3280" s="534"/>
      <c r="C3280" s="355" t="s">
        <v>1169</v>
      </c>
      <c r="D3280" s="307" t="s">
        <v>4186</v>
      </c>
      <c r="E3280" s="260" t="s">
        <v>4187</v>
      </c>
      <c r="F3280" s="352">
        <v>20608</v>
      </c>
      <c r="G3280" s="311">
        <v>1990</v>
      </c>
      <c r="H3280" s="340" t="s">
        <v>2658</v>
      </c>
      <c r="I3280" s="313">
        <v>370</v>
      </c>
      <c r="J3280" s="350">
        <v>40.1</v>
      </c>
      <c r="K3280" s="350">
        <v>37.299999999999997</v>
      </c>
      <c r="L3280" s="314">
        <f t="shared" si="29"/>
        <v>2.8000000000000043</v>
      </c>
      <c r="M3280" s="337"/>
    </row>
    <row r="3281" spans="1:13" s="71" customFormat="1" ht="26.4">
      <c r="A3281" s="282">
        <v>593</v>
      </c>
      <c r="B3281" s="534"/>
      <c r="C3281" s="355" t="s">
        <v>1169</v>
      </c>
      <c r="D3281" s="307" t="s">
        <v>4188</v>
      </c>
      <c r="E3281" s="260" t="s">
        <v>4189</v>
      </c>
      <c r="F3281" s="352">
        <v>20607</v>
      </c>
      <c r="G3281" s="311">
        <v>1990</v>
      </c>
      <c r="H3281" s="340" t="s">
        <v>2658</v>
      </c>
      <c r="I3281" s="313">
        <v>924</v>
      </c>
      <c r="J3281" s="350">
        <v>75.099999999999994</v>
      </c>
      <c r="K3281" s="350">
        <v>63.7</v>
      </c>
      <c r="L3281" s="314">
        <f t="shared" si="29"/>
        <v>11.399999999999991</v>
      </c>
      <c r="M3281" s="337"/>
    </row>
    <row r="3282" spans="1:13" s="71" customFormat="1" ht="26.4" customHeight="1">
      <c r="A3282" s="282">
        <v>594</v>
      </c>
      <c r="B3282" s="534"/>
      <c r="C3282" s="307" t="s">
        <v>3336</v>
      </c>
      <c r="D3282" s="307" t="s">
        <v>4190</v>
      </c>
      <c r="E3282" s="260" t="s">
        <v>4191</v>
      </c>
      <c r="F3282" s="352">
        <v>20119</v>
      </c>
      <c r="G3282" s="311">
        <v>1967</v>
      </c>
      <c r="H3282" s="340" t="s">
        <v>2658</v>
      </c>
      <c r="I3282" s="313">
        <v>16000</v>
      </c>
      <c r="J3282" s="350">
        <v>4</v>
      </c>
      <c r="K3282" s="350">
        <v>3.7</v>
      </c>
      <c r="L3282" s="314">
        <f t="shared" si="29"/>
        <v>0.29999999999999982</v>
      </c>
      <c r="M3282" s="337"/>
    </row>
    <row r="3283" spans="1:13" s="71" customFormat="1" ht="39.6">
      <c r="A3283" s="282">
        <v>595</v>
      </c>
      <c r="B3283" s="534"/>
      <c r="C3283" s="355" t="s">
        <v>1169</v>
      </c>
      <c r="D3283" s="307" t="s">
        <v>4192</v>
      </c>
      <c r="E3283" s="260" t="s">
        <v>12854</v>
      </c>
      <c r="F3283" s="352">
        <v>20074</v>
      </c>
      <c r="G3283" s="311">
        <v>1968</v>
      </c>
      <c r="H3283" s="340" t="s">
        <v>2658</v>
      </c>
      <c r="I3283" s="313">
        <v>10000</v>
      </c>
      <c r="J3283" s="350">
        <v>38.6</v>
      </c>
      <c r="K3283" s="350">
        <v>35.9</v>
      </c>
      <c r="L3283" s="314">
        <f t="shared" si="29"/>
        <v>2.7000000000000028</v>
      </c>
      <c r="M3283" s="337"/>
    </row>
    <row r="3284" spans="1:13" s="71" customFormat="1" ht="26.4" customHeight="1">
      <c r="A3284" s="282">
        <v>596</v>
      </c>
      <c r="B3284" s="534"/>
      <c r="C3284" s="307" t="s">
        <v>3276</v>
      </c>
      <c r="D3284" s="307" t="s">
        <v>4193</v>
      </c>
      <c r="E3284" s="260" t="s">
        <v>4194</v>
      </c>
      <c r="F3284" s="352">
        <v>20598</v>
      </c>
      <c r="G3284" s="311">
        <v>1989</v>
      </c>
      <c r="H3284" s="340" t="s">
        <v>2658</v>
      </c>
      <c r="I3284" s="313">
        <v>613</v>
      </c>
      <c r="J3284" s="350">
        <v>82.1</v>
      </c>
      <c r="K3284" s="350">
        <v>75.900000000000006</v>
      </c>
      <c r="L3284" s="314">
        <f t="shared" si="29"/>
        <v>6.1999999999999886</v>
      </c>
      <c r="M3284" s="337"/>
    </row>
    <row r="3285" spans="1:13" s="71" customFormat="1" ht="26.4" customHeight="1">
      <c r="A3285" s="282">
        <v>597</v>
      </c>
      <c r="B3285" s="534"/>
      <c r="C3285" s="307" t="s">
        <v>3276</v>
      </c>
      <c r="D3285" s="307" t="s">
        <v>4193</v>
      </c>
      <c r="E3285" s="260" t="s">
        <v>4195</v>
      </c>
      <c r="F3285" s="352">
        <v>20530</v>
      </c>
      <c r="G3285" s="311">
        <v>1977</v>
      </c>
      <c r="H3285" s="340" t="s">
        <v>2658</v>
      </c>
      <c r="I3285" s="313">
        <v>1083</v>
      </c>
      <c r="J3285" s="350">
        <v>75.099999999999994</v>
      </c>
      <c r="K3285" s="350">
        <v>75.099999999999994</v>
      </c>
      <c r="L3285" s="314">
        <f t="shared" si="29"/>
        <v>0</v>
      </c>
      <c r="M3285" s="337"/>
    </row>
    <row r="3286" spans="1:13" s="71" customFormat="1" ht="26.4" customHeight="1">
      <c r="A3286" s="282">
        <v>598</v>
      </c>
      <c r="B3286" s="534"/>
      <c r="C3286" s="307" t="s">
        <v>3317</v>
      </c>
      <c r="D3286" s="307" t="s">
        <v>4184</v>
      </c>
      <c r="E3286" s="514" t="s">
        <v>4196</v>
      </c>
      <c r="F3286" s="352">
        <v>20006</v>
      </c>
      <c r="G3286" s="311">
        <v>1968</v>
      </c>
      <c r="H3286" s="340" t="s">
        <v>2658</v>
      </c>
      <c r="I3286" s="313">
        <v>1400</v>
      </c>
      <c r="J3286" s="350">
        <v>63</v>
      </c>
      <c r="K3286" s="350">
        <v>58.6</v>
      </c>
      <c r="L3286" s="314">
        <f t="shared" si="29"/>
        <v>4.3999999999999986</v>
      </c>
      <c r="M3286" s="337"/>
    </row>
    <row r="3287" spans="1:13" s="71" customFormat="1" ht="26.4" customHeight="1">
      <c r="A3287" s="282">
        <v>599</v>
      </c>
      <c r="B3287" s="534"/>
      <c r="C3287" s="307" t="s">
        <v>3329</v>
      </c>
      <c r="D3287" s="307" t="s">
        <v>3351</v>
      </c>
      <c r="E3287" s="260" t="s">
        <v>4197</v>
      </c>
      <c r="F3287" s="352">
        <v>20007</v>
      </c>
      <c r="G3287" s="311">
        <v>1967</v>
      </c>
      <c r="H3287" s="340" t="s">
        <v>2658</v>
      </c>
      <c r="I3287" s="313">
        <v>3310</v>
      </c>
      <c r="J3287" s="350">
        <v>108.7</v>
      </c>
      <c r="K3287" s="350">
        <v>92.1</v>
      </c>
      <c r="L3287" s="314">
        <f t="shared" si="29"/>
        <v>16.600000000000009</v>
      </c>
      <c r="M3287" s="337"/>
    </row>
    <row r="3288" spans="1:13" s="71" customFormat="1" ht="26.4">
      <c r="A3288" s="282">
        <v>600</v>
      </c>
      <c r="B3288" s="534"/>
      <c r="C3288" s="307" t="s">
        <v>3329</v>
      </c>
      <c r="D3288" s="307" t="s">
        <v>4198</v>
      </c>
      <c r="E3288" s="260" t="s">
        <v>4199</v>
      </c>
      <c r="F3288" s="352">
        <v>20010</v>
      </c>
      <c r="G3288" s="311">
        <v>1968</v>
      </c>
      <c r="H3288" s="340" t="s">
        <v>2658</v>
      </c>
      <c r="I3288" s="313">
        <v>1400</v>
      </c>
      <c r="J3288" s="350">
        <v>15</v>
      </c>
      <c r="K3288" s="350">
        <v>11.8</v>
      </c>
      <c r="L3288" s="314">
        <f t="shared" si="29"/>
        <v>3.1999999999999993</v>
      </c>
      <c r="M3288" s="337"/>
    </row>
    <row r="3289" spans="1:13" s="71" customFormat="1" ht="39.6">
      <c r="A3289" s="282">
        <v>601</v>
      </c>
      <c r="B3289" s="534"/>
      <c r="C3289" s="307" t="s">
        <v>3329</v>
      </c>
      <c r="D3289" s="307" t="s">
        <v>4200</v>
      </c>
      <c r="E3289" s="260" t="s">
        <v>4201</v>
      </c>
      <c r="F3289" s="352">
        <v>20008</v>
      </c>
      <c r="G3289" s="311">
        <v>1968</v>
      </c>
      <c r="H3289" s="340" t="s">
        <v>2658</v>
      </c>
      <c r="I3289" s="313">
        <v>1040</v>
      </c>
      <c r="J3289" s="350">
        <v>5.7</v>
      </c>
      <c r="K3289" s="350">
        <v>4.9000000000000004</v>
      </c>
      <c r="L3289" s="314">
        <f t="shared" si="29"/>
        <v>0.79999999999999982</v>
      </c>
      <c r="M3289" s="337"/>
    </row>
    <row r="3290" spans="1:13" s="71" customFormat="1" ht="39.6">
      <c r="A3290" s="282">
        <v>602</v>
      </c>
      <c r="B3290" s="534"/>
      <c r="C3290" s="307" t="s">
        <v>3317</v>
      </c>
      <c r="D3290" s="307" t="s">
        <v>4202</v>
      </c>
      <c r="E3290" s="260" t="s">
        <v>4203</v>
      </c>
      <c r="F3290" s="352">
        <v>20009</v>
      </c>
      <c r="G3290" s="311">
        <v>1968</v>
      </c>
      <c r="H3290" s="340" t="s">
        <v>2658</v>
      </c>
      <c r="I3290" s="313">
        <v>380</v>
      </c>
      <c r="J3290" s="350">
        <v>5.3</v>
      </c>
      <c r="K3290" s="350">
        <v>4.7</v>
      </c>
      <c r="L3290" s="314">
        <f t="shared" si="29"/>
        <v>0.59999999999999964</v>
      </c>
      <c r="M3290" s="337"/>
    </row>
    <row r="3291" spans="1:13" s="71" customFormat="1" ht="26.4" customHeight="1">
      <c r="A3291" s="282">
        <v>603</v>
      </c>
      <c r="B3291" s="534"/>
      <c r="C3291" s="307" t="s">
        <v>3329</v>
      </c>
      <c r="D3291" s="307" t="s">
        <v>4204</v>
      </c>
      <c r="E3291" s="260" t="s">
        <v>4205</v>
      </c>
      <c r="F3291" s="352">
        <v>200111</v>
      </c>
      <c r="G3291" s="311">
        <v>1968</v>
      </c>
      <c r="H3291" s="340" t="s">
        <v>2658</v>
      </c>
      <c r="I3291" s="313">
        <v>375</v>
      </c>
      <c r="J3291" s="350">
        <v>3.5</v>
      </c>
      <c r="K3291" s="350">
        <v>2.8</v>
      </c>
      <c r="L3291" s="314">
        <f t="shared" si="29"/>
        <v>0.70000000000000018</v>
      </c>
      <c r="M3291" s="337"/>
    </row>
    <row r="3292" spans="1:13" s="71" customFormat="1" ht="26.4" customHeight="1">
      <c r="A3292" s="282">
        <v>604</v>
      </c>
      <c r="B3292" s="534"/>
      <c r="C3292" s="355" t="s">
        <v>1169</v>
      </c>
      <c r="D3292" s="307" t="s">
        <v>3</v>
      </c>
      <c r="E3292" s="260" t="s">
        <v>4206</v>
      </c>
      <c r="F3292" s="352">
        <v>20075</v>
      </c>
      <c r="G3292" s="311">
        <v>1968</v>
      </c>
      <c r="H3292" s="340" t="s">
        <v>3</v>
      </c>
      <c r="I3292" s="313" t="s">
        <v>3</v>
      </c>
      <c r="J3292" s="350">
        <v>4.5</v>
      </c>
      <c r="K3292" s="350">
        <v>4.0999999999999996</v>
      </c>
      <c r="L3292" s="314">
        <f t="shared" si="29"/>
        <v>0.40000000000000036</v>
      </c>
      <c r="M3292" s="337"/>
    </row>
    <row r="3293" spans="1:13" s="71" customFormat="1" ht="26.4" customHeight="1">
      <c r="A3293" s="282">
        <v>605</v>
      </c>
      <c r="B3293" s="534"/>
      <c r="C3293" s="355" t="s">
        <v>1169</v>
      </c>
      <c r="D3293" s="307" t="s">
        <v>3</v>
      </c>
      <c r="E3293" s="260" t="s">
        <v>4207</v>
      </c>
      <c r="F3293" s="352">
        <v>20001</v>
      </c>
      <c r="G3293" s="311">
        <v>1968</v>
      </c>
      <c r="H3293" s="340" t="s">
        <v>2658</v>
      </c>
      <c r="I3293" s="313">
        <v>30000</v>
      </c>
      <c r="J3293" s="350">
        <v>4.5</v>
      </c>
      <c r="K3293" s="350">
        <v>4.2</v>
      </c>
      <c r="L3293" s="314">
        <f t="shared" si="29"/>
        <v>0.29999999999999982</v>
      </c>
      <c r="M3293" s="337"/>
    </row>
    <row r="3294" spans="1:13" s="71" customFormat="1" ht="39.6">
      <c r="A3294" s="282">
        <v>606</v>
      </c>
      <c r="B3294" s="534"/>
      <c r="C3294" s="307" t="s">
        <v>3336</v>
      </c>
      <c r="D3294" s="307" t="s">
        <v>3955</v>
      </c>
      <c r="E3294" s="260" t="s">
        <v>12855</v>
      </c>
      <c r="F3294" s="352">
        <v>20552</v>
      </c>
      <c r="G3294" s="311">
        <v>1981</v>
      </c>
      <c r="H3294" s="340" t="s">
        <v>2658</v>
      </c>
      <c r="I3294" s="313">
        <v>30.4</v>
      </c>
      <c r="J3294" s="350">
        <v>4.5</v>
      </c>
      <c r="K3294" s="350">
        <v>3.5</v>
      </c>
      <c r="L3294" s="314">
        <f t="shared" si="29"/>
        <v>1</v>
      </c>
      <c r="M3294" s="337"/>
    </row>
    <row r="3295" spans="1:13" s="71" customFormat="1" ht="26.4" customHeight="1">
      <c r="A3295" s="282">
        <v>607</v>
      </c>
      <c r="B3295" s="534"/>
      <c r="C3295" s="307" t="s">
        <v>3336</v>
      </c>
      <c r="D3295" s="307" t="s">
        <v>3955</v>
      </c>
      <c r="E3295" s="260" t="s">
        <v>4208</v>
      </c>
      <c r="F3295" s="352">
        <v>20596</v>
      </c>
      <c r="G3295" s="311">
        <v>1989</v>
      </c>
      <c r="H3295" s="340" t="s">
        <v>2658</v>
      </c>
      <c r="I3295" s="313">
        <v>440.6</v>
      </c>
      <c r="J3295" s="350">
        <v>9.6</v>
      </c>
      <c r="K3295" s="350">
        <v>8.5</v>
      </c>
      <c r="L3295" s="314">
        <f t="shared" si="29"/>
        <v>1.0999999999999996</v>
      </c>
      <c r="M3295" s="337"/>
    </row>
    <row r="3296" spans="1:13" s="71" customFormat="1" ht="26.4" customHeight="1">
      <c r="A3296" s="282">
        <v>608</v>
      </c>
      <c r="B3296" s="534"/>
      <c r="C3296" s="355" t="s">
        <v>1169</v>
      </c>
      <c r="D3296" s="307" t="s">
        <v>3436</v>
      </c>
      <c r="E3296" s="260" t="s">
        <v>4209</v>
      </c>
      <c r="F3296" s="352">
        <v>20585</v>
      </c>
      <c r="G3296" s="311">
        <v>1988</v>
      </c>
      <c r="H3296" s="340" t="s">
        <v>2658</v>
      </c>
      <c r="I3296" s="313">
        <v>420</v>
      </c>
      <c r="J3296" s="350">
        <v>3.6</v>
      </c>
      <c r="K3296" s="350">
        <v>2.8</v>
      </c>
      <c r="L3296" s="314">
        <f t="shared" si="29"/>
        <v>0.80000000000000027</v>
      </c>
      <c r="M3296" s="337"/>
    </row>
    <row r="3297" spans="1:13" s="71" customFormat="1" ht="26.4" customHeight="1">
      <c r="A3297" s="282">
        <v>609</v>
      </c>
      <c r="B3297" s="534"/>
      <c r="C3297" s="355" t="s">
        <v>1169</v>
      </c>
      <c r="D3297" s="307" t="s">
        <v>3438</v>
      </c>
      <c r="E3297" s="260" t="s">
        <v>4210</v>
      </c>
      <c r="F3297" s="352">
        <v>20568</v>
      </c>
      <c r="G3297" s="311">
        <v>1986</v>
      </c>
      <c r="H3297" s="340" t="s">
        <v>2658</v>
      </c>
      <c r="I3297" s="313">
        <v>221</v>
      </c>
      <c r="J3297" s="350">
        <v>10.6</v>
      </c>
      <c r="K3297" s="350">
        <v>9.5</v>
      </c>
      <c r="L3297" s="314">
        <f t="shared" si="29"/>
        <v>1.0999999999999996</v>
      </c>
      <c r="M3297" s="337"/>
    </row>
    <row r="3298" spans="1:13" s="71" customFormat="1" ht="26.4" customHeight="1">
      <c r="A3298" s="282">
        <v>610</v>
      </c>
      <c r="B3298" s="534"/>
      <c r="C3298" s="355" t="s">
        <v>1169</v>
      </c>
      <c r="D3298" s="307" t="s">
        <v>4211</v>
      </c>
      <c r="E3298" s="260" t="s">
        <v>4212</v>
      </c>
      <c r="F3298" s="352">
        <v>20575</v>
      </c>
      <c r="G3298" s="311">
        <v>1986</v>
      </c>
      <c r="H3298" s="340" t="s">
        <v>2658</v>
      </c>
      <c r="I3298" s="313">
        <v>288.8</v>
      </c>
      <c r="J3298" s="350">
        <v>46.3</v>
      </c>
      <c r="K3298" s="350">
        <v>39.200000000000003</v>
      </c>
      <c r="L3298" s="314">
        <f t="shared" si="29"/>
        <v>7.0999999999999943</v>
      </c>
      <c r="M3298" s="337"/>
    </row>
    <row r="3299" spans="1:13" s="71" customFormat="1" ht="26.4" customHeight="1">
      <c r="A3299" s="282">
        <v>611</v>
      </c>
      <c r="B3299" s="534"/>
      <c r="C3299" s="355" t="s">
        <v>1169</v>
      </c>
      <c r="D3299" s="307" t="s">
        <v>3581</v>
      </c>
      <c r="E3299" s="260" t="s">
        <v>4213</v>
      </c>
      <c r="F3299" s="352">
        <v>20587</v>
      </c>
      <c r="G3299" s="311">
        <v>1988</v>
      </c>
      <c r="H3299" s="340" t="s">
        <v>2658</v>
      </c>
      <c r="I3299" s="313">
        <v>150</v>
      </c>
      <c r="J3299" s="350">
        <v>6.5</v>
      </c>
      <c r="K3299" s="350">
        <v>6</v>
      </c>
      <c r="L3299" s="314">
        <f t="shared" si="29"/>
        <v>0.5</v>
      </c>
      <c r="M3299" s="337"/>
    </row>
    <row r="3300" spans="1:13" s="71" customFormat="1" ht="26.4" customHeight="1">
      <c r="A3300" s="282">
        <v>612</v>
      </c>
      <c r="B3300" s="534"/>
      <c r="C3300" s="355" t="s">
        <v>1169</v>
      </c>
      <c r="D3300" s="307" t="s">
        <v>4211</v>
      </c>
      <c r="E3300" s="260" t="s">
        <v>4214</v>
      </c>
      <c r="F3300" s="352">
        <v>20579</v>
      </c>
      <c r="G3300" s="311">
        <v>1987</v>
      </c>
      <c r="H3300" s="340" t="s">
        <v>2658</v>
      </c>
      <c r="I3300" s="313">
        <v>53.1</v>
      </c>
      <c r="J3300" s="350">
        <v>1</v>
      </c>
      <c r="K3300" s="350">
        <v>0.8</v>
      </c>
      <c r="L3300" s="314">
        <f t="shared" si="29"/>
        <v>0.19999999999999996</v>
      </c>
      <c r="M3300" s="337"/>
    </row>
    <row r="3301" spans="1:13" s="71" customFormat="1" ht="26.4" customHeight="1">
      <c r="A3301" s="282">
        <v>613</v>
      </c>
      <c r="B3301" s="534"/>
      <c r="C3301" s="355" t="s">
        <v>1169</v>
      </c>
      <c r="D3301" s="307" t="s">
        <v>3438</v>
      </c>
      <c r="E3301" s="260" t="s">
        <v>12778</v>
      </c>
      <c r="F3301" s="352">
        <v>20565</v>
      </c>
      <c r="G3301" s="311">
        <v>1985</v>
      </c>
      <c r="H3301" s="340" t="s">
        <v>2658</v>
      </c>
      <c r="I3301" s="313">
        <v>89</v>
      </c>
      <c r="J3301" s="350">
        <v>7.3</v>
      </c>
      <c r="K3301" s="350">
        <v>5.7</v>
      </c>
      <c r="L3301" s="314">
        <f t="shared" si="29"/>
        <v>1.5999999999999996</v>
      </c>
      <c r="M3301" s="337"/>
    </row>
    <row r="3302" spans="1:13" s="332" customFormat="1" ht="39.6">
      <c r="A3302" s="282">
        <v>614</v>
      </c>
      <c r="B3302" s="534"/>
      <c r="C3302" s="313" t="s">
        <v>3412</v>
      </c>
      <c r="D3302" s="313" t="s">
        <v>3409</v>
      </c>
      <c r="E3302" s="444" t="s">
        <v>12681</v>
      </c>
      <c r="F3302" s="352">
        <v>20545</v>
      </c>
      <c r="G3302" s="311">
        <v>1980</v>
      </c>
      <c r="H3302" s="340" t="s">
        <v>2658</v>
      </c>
      <c r="I3302" s="313">
        <v>192</v>
      </c>
      <c r="J3302" s="350">
        <v>5.0999999999999996</v>
      </c>
      <c r="K3302" s="350">
        <v>4</v>
      </c>
      <c r="L3302" s="314">
        <f t="shared" si="29"/>
        <v>1.0999999999999996</v>
      </c>
      <c r="M3302" s="331"/>
    </row>
    <row r="3303" spans="1:13" s="71" customFormat="1" ht="26.4" customHeight="1">
      <c r="A3303" s="282">
        <v>615</v>
      </c>
      <c r="B3303" s="534"/>
      <c r="C3303" s="307" t="s">
        <v>3412</v>
      </c>
      <c r="D3303" s="307" t="s">
        <v>4215</v>
      </c>
      <c r="E3303" s="260" t="s">
        <v>4216</v>
      </c>
      <c r="F3303" s="352">
        <v>20616</v>
      </c>
      <c r="G3303" s="311">
        <v>1992</v>
      </c>
      <c r="H3303" s="340" t="s">
        <v>2658</v>
      </c>
      <c r="I3303" s="313">
        <v>38</v>
      </c>
      <c r="J3303" s="350">
        <v>0.8</v>
      </c>
      <c r="K3303" s="350">
        <v>0.6</v>
      </c>
      <c r="L3303" s="314">
        <f t="shared" si="29"/>
        <v>0.20000000000000007</v>
      </c>
      <c r="M3303" s="337"/>
    </row>
    <row r="3304" spans="1:13" s="71" customFormat="1" ht="26.4">
      <c r="A3304" s="282">
        <v>616</v>
      </c>
      <c r="B3304" s="534"/>
      <c r="C3304" s="307" t="s">
        <v>3412</v>
      </c>
      <c r="D3304" s="307" t="s">
        <v>4215</v>
      </c>
      <c r="E3304" s="260" t="s">
        <v>4217</v>
      </c>
      <c r="F3304" s="352">
        <v>20615</v>
      </c>
      <c r="G3304" s="311">
        <v>1992</v>
      </c>
      <c r="H3304" s="340" t="s">
        <v>2658</v>
      </c>
      <c r="I3304" s="313">
        <v>15</v>
      </c>
      <c r="J3304" s="350">
        <v>0.8</v>
      </c>
      <c r="K3304" s="350">
        <v>0.6</v>
      </c>
      <c r="L3304" s="314">
        <f t="shared" si="29"/>
        <v>0.20000000000000007</v>
      </c>
      <c r="M3304" s="337"/>
    </row>
    <row r="3305" spans="1:13" s="71" customFormat="1" ht="39.6">
      <c r="A3305" s="282">
        <v>617</v>
      </c>
      <c r="B3305" s="534"/>
      <c r="C3305" s="307" t="s">
        <v>3495</v>
      </c>
      <c r="D3305" s="307" t="s">
        <v>4215</v>
      </c>
      <c r="E3305" s="260" t="s">
        <v>4218</v>
      </c>
      <c r="F3305" s="352">
        <v>20546</v>
      </c>
      <c r="G3305" s="311">
        <v>1980</v>
      </c>
      <c r="H3305" s="340" t="s">
        <v>2658</v>
      </c>
      <c r="I3305" s="313">
        <v>980</v>
      </c>
      <c r="J3305" s="350">
        <v>6.2</v>
      </c>
      <c r="K3305" s="350">
        <v>4.8</v>
      </c>
      <c r="L3305" s="314">
        <f t="shared" si="29"/>
        <v>1.4000000000000004</v>
      </c>
      <c r="M3305" s="337"/>
    </row>
    <row r="3306" spans="1:13" s="71" customFormat="1" ht="26.4" customHeight="1">
      <c r="A3306" s="282">
        <v>618</v>
      </c>
      <c r="B3306" s="534"/>
      <c r="C3306" s="355" t="s">
        <v>1169</v>
      </c>
      <c r="D3306" s="307" t="s">
        <v>3866</v>
      </c>
      <c r="E3306" s="260" t="s">
        <v>4219</v>
      </c>
      <c r="F3306" s="352">
        <v>20573</v>
      </c>
      <c r="G3306" s="311">
        <v>1986</v>
      </c>
      <c r="H3306" s="340" t="s">
        <v>2658</v>
      </c>
      <c r="I3306" s="313">
        <v>105</v>
      </c>
      <c r="J3306" s="350">
        <v>3.6</v>
      </c>
      <c r="K3306" s="350">
        <v>3.2</v>
      </c>
      <c r="L3306" s="314">
        <f t="shared" si="29"/>
        <v>0.39999999999999991</v>
      </c>
      <c r="M3306" s="337"/>
    </row>
    <row r="3307" spans="1:13" s="71" customFormat="1" ht="26.4" customHeight="1">
      <c r="A3307" s="282">
        <v>619</v>
      </c>
      <c r="B3307" s="534"/>
      <c r="C3307" s="307" t="s">
        <v>3495</v>
      </c>
      <c r="D3307" s="307" t="s">
        <v>4166</v>
      </c>
      <c r="E3307" s="260" t="s">
        <v>4220</v>
      </c>
      <c r="F3307" s="352">
        <v>20628</v>
      </c>
      <c r="G3307" s="311">
        <v>1995</v>
      </c>
      <c r="H3307" s="340" t="s">
        <v>2658</v>
      </c>
      <c r="I3307" s="313">
        <v>904</v>
      </c>
      <c r="J3307" s="350">
        <v>11.4</v>
      </c>
      <c r="K3307" s="350">
        <v>10.199999999999999</v>
      </c>
      <c r="L3307" s="314">
        <f t="shared" si="29"/>
        <v>1.2000000000000011</v>
      </c>
      <c r="M3307" s="337"/>
    </row>
    <row r="3308" spans="1:13" s="71" customFormat="1" ht="26.4" customHeight="1">
      <c r="A3308" s="282">
        <v>620</v>
      </c>
      <c r="B3308" s="534"/>
      <c r="C3308" s="307" t="s">
        <v>3495</v>
      </c>
      <c r="D3308" s="307" t="s">
        <v>4166</v>
      </c>
      <c r="E3308" s="260" t="s">
        <v>4221</v>
      </c>
      <c r="F3308" s="352">
        <v>20550</v>
      </c>
      <c r="G3308" s="311">
        <v>1980</v>
      </c>
      <c r="H3308" s="340" t="s">
        <v>2658</v>
      </c>
      <c r="I3308" s="313">
        <v>18</v>
      </c>
      <c r="J3308" s="350">
        <v>2</v>
      </c>
      <c r="K3308" s="350">
        <v>1.5</v>
      </c>
      <c r="L3308" s="314">
        <f t="shared" si="29"/>
        <v>0.5</v>
      </c>
      <c r="M3308" s="337"/>
    </row>
    <row r="3309" spans="1:13" s="71" customFormat="1" ht="26.4" customHeight="1">
      <c r="A3309" s="282">
        <v>621</v>
      </c>
      <c r="B3309" s="534"/>
      <c r="C3309" s="355" t="s">
        <v>1169</v>
      </c>
      <c r="D3309" s="307" t="s">
        <v>3438</v>
      </c>
      <c r="E3309" s="260" t="s">
        <v>4222</v>
      </c>
      <c r="F3309" s="352">
        <v>20561</v>
      </c>
      <c r="G3309" s="311">
        <v>1984</v>
      </c>
      <c r="H3309" s="340" t="s">
        <v>2658</v>
      </c>
      <c r="I3309" s="313">
        <v>87.7</v>
      </c>
      <c r="J3309" s="350">
        <v>4</v>
      </c>
      <c r="K3309" s="350">
        <v>3.7</v>
      </c>
      <c r="L3309" s="314">
        <f t="shared" si="29"/>
        <v>0.29999999999999982</v>
      </c>
      <c r="M3309" s="337"/>
    </row>
    <row r="3310" spans="1:13" s="71" customFormat="1" ht="26.4" customHeight="1">
      <c r="A3310" s="282">
        <v>622</v>
      </c>
      <c r="B3310" s="534"/>
      <c r="C3310" s="355" t="s">
        <v>1169</v>
      </c>
      <c r="D3310" s="307" t="s">
        <v>3436</v>
      </c>
      <c r="E3310" s="260" t="s">
        <v>4223</v>
      </c>
      <c r="F3310" s="352">
        <v>20577</v>
      </c>
      <c r="G3310" s="311">
        <v>1986</v>
      </c>
      <c r="H3310" s="340" t="s">
        <v>2658</v>
      </c>
      <c r="I3310" s="313">
        <v>52.4</v>
      </c>
      <c r="J3310" s="350">
        <v>4.7</v>
      </c>
      <c r="K3310" s="350">
        <v>3.7</v>
      </c>
      <c r="L3310" s="314">
        <f t="shared" si="29"/>
        <v>1</v>
      </c>
      <c r="M3310" s="337"/>
    </row>
    <row r="3311" spans="1:13" s="71" customFormat="1" ht="26.4" customHeight="1">
      <c r="A3311" s="282">
        <v>623</v>
      </c>
      <c r="B3311" s="534"/>
      <c r="C3311" s="355" t="s">
        <v>1169</v>
      </c>
      <c r="D3311" s="307" t="s">
        <v>3436</v>
      </c>
      <c r="E3311" s="260" t="s">
        <v>4224</v>
      </c>
      <c r="F3311" s="352">
        <v>20578</v>
      </c>
      <c r="G3311" s="311">
        <v>1987</v>
      </c>
      <c r="H3311" s="340" t="s">
        <v>2658</v>
      </c>
      <c r="I3311" s="313">
        <v>59</v>
      </c>
      <c r="J3311" s="350">
        <v>4.9000000000000004</v>
      </c>
      <c r="K3311" s="350">
        <v>3.8</v>
      </c>
      <c r="L3311" s="314">
        <f t="shared" si="29"/>
        <v>1.1000000000000005</v>
      </c>
      <c r="M3311" s="337"/>
    </row>
    <row r="3312" spans="1:13" s="71" customFormat="1" ht="26.4" customHeight="1">
      <c r="A3312" s="282">
        <v>624</v>
      </c>
      <c r="B3312" s="534"/>
      <c r="C3312" s="307" t="s">
        <v>3276</v>
      </c>
      <c r="D3312" s="307" t="s">
        <v>4166</v>
      </c>
      <c r="E3312" s="260" t="s">
        <v>4225</v>
      </c>
      <c r="F3312" s="352">
        <v>20617</v>
      </c>
      <c r="G3312" s="311">
        <v>1992</v>
      </c>
      <c r="H3312" s="340" t="s">
        <v>2658</v>
      </c>
      <c r="I3312" s="313">
        <v>170</v>
      </c>
      <c r="J3312" s="350">
        <v>5.8</v>
      </c>
      <c r="K3312" s="350">
        <v>4.5999999999999996</v>
      </c>
      <c r="L3312" s="314">
        <f t="shared" si="29"/>
        <v>1.2000000000000002</v>
      </c>
      <c r="M3312" s="337"/>
    </row>
    <row r="3313" spans="1:13" s="71" customFormat="1" ht="39.6">
      <c r="A3313" s="282">
        <v>625</v>
      </c>
      <c r="B3313" s="534"/>
      <c r="C3313" s="355" t="s">
        <v>1169</v>
      </c>
      <c r="D3313" s="307" t="s">
        <v>3345</v>
      </c>
      <c r="E3313" s="260" t="s">
        <v>4226</v>
      </c>
      <c r="F3313" s="352">
        <v>20614</v>
      </c>
      <c r="G3313" s="311">
        <v>1990</v>
      </c>
      <c r="H3313" s="340" t="s">
        <v>2658</v>
      </c>
      <c r="I3313" s="313">
        <v>13.5</v>
      </c>
      <c r="J3313" s="350">
        <v>1.1000000000000001</v>
      </c>
      <c r="K3313" s="350">
        <v>0.8</v>
      </c>
      <c r="L3313" s="314">
        <f t="shared" si="29"/>
        <v>0.30000000000000004</v>
      </c>
      <c r="M3313" s="337"/>
    </row>
    <row r="3314" spans="1:13" s="71" customFormat="1" ht="26.4" customHeight="1">
      <c r="A3314" s="282">
        <v>626</v>
      </c>
      <c r="B3314" s="534"/>
      <c r="C3314" s="307" t="s">
        <v>3276</v>
      </c>
      <c r="D3314" s="307" t="s">
        <v>4166</v>
      </c>
      <c r="E3314" s="260" t="s">
        <v>4227</v>
      </c>
      <c r="F3314" s="352">
        <v>20626</v>
      </c>
      <c r="G3314" s="311">
        <v>1993</v>
      </c>
      <c r="H3314" s="340" t="s">
        <v>2658</v>
      </c>
      <c r="I3314" s="313">
        <v>85</v>
      </c>
      <c r="J3314" s="350">
        <v>0.2</v>
      </c>
      <c r="K3314" s="350">
        <v>0.2</v>
      </c>
      <c r="L3314" s="314">
        <f t="shared" si="29"/>
        <v>0</v>
      </c>
      <c r="M3314" s="337"/>
    </row>
    <row r="3315" spans="1:13" s="71" customFormat="1" ht="26.4" customHeight="1">
      <c r="A3315" s="282">
        <v>627</v>
      </c>
      <c r="B3315" s="534"/>
      <c r="C3315" s="355" t="s">
        <v>1169</v>
      </c>
      <c r="D3315" s="307" t="s">
        <v>3438</v>
      </c>
      <c r="E3315" s="260" t="s">
        <v>4228</v>
      </c>
      <c r="F3315" s="352">
        <v>20547</v>
      </c>
      <c r="G3315" s="311">
        <v>1980</v>
      </c>
      <c r="H3315" s="340" t="s">
        <v>2658</v>
      </c>
      <c r="I3315" s="313">
        <v>10</v>
      </c>
      <c r="J3315" s="350">
        <v>0.5</v>
      </c>
      <c r="K3315" s="350">
        <v>0.5</v>
      </c>
      <c r="L3315" s="314">
        <f t="shared" si="29"/>
        <v>0</v>
      </c>
      <c r="M3315" s="337"/>
    </row>
    <row r="3316" spans="1:13" s="71" customFormat="1" ht="26.4" customHeight="1">
      <c r="A3316" s="282">
        <v>628</v>
      </c>
      <c r="B3316" s="534"/>
      <c r="C3316" s="355" t="s">
        <v>1169</v>
      </c>
      <c r="D3316" s="307" t="s">
        <v>3438</v>
      </c>
      <c r="E3316" s="260" t="s">
        <v>4228</v>
      </c>
      <c r="F3316" s="352">
        <v>20548</v>
      </c>
      <c r="G3316" s="311">
        <v>1980</v>
      </c>
      <c r="H3316" s="340" t="s">
        <v>2658</v>
      </c>
      <c r="I3316" s="313">
        <v>5</v>
      </c>
      <c r="J3316" s="350">
        <v>3.4</v>
      </c>
      <c r="K3316" s="350">
        <v>3.1</v>
      </c>
      <c r="L3316" s="314">
        <f t="shared" si="29"/>
        <v>0.29999999999999982</v>
      </c>
      <c r="M3316" s="337"/>
    </row>
    <row r="3317" spans="1:13" s="71" customFormat="1" ht="26.4" customHeight="1">
      <c r="A3317" s="282">
        <v>629</v>
      </c>
      <c r="B3317" s="534"/>
      <c r="C3317" s="355" t="s">
        <v>1169</v>
      </c>
      <c r="D3317" s="307" t="s">
        <v>3438</v>
      </c>
      <c r="E3317" s="260" t="s">
        <v>4229</v>
      </c>
      <c r="F3317" s="352">
        <v>20586</v>
      </c>
      <c r="G3317" s="311">
        <v>1988</v>
      </c>
      <c r="H3317" s="340" t="s">
        <v>2658</v>
      </c>
      <c r="I3317" s="313">
        <v>20.7</v>
      </c>
      <c r="J3317" s="350">
        <v>1.6</v>
      </c>
      <c r="K3317" s="350">
        <v>1.2</v>
      </c>
      <c r="L3317" s="314">
        <f t="shared" si="29"/>
        <v>0.40000000000000013</v>
      </c>
      <c r="M3317" s="337"/>
    </row>
    <row r="3318" spans="1:13" s="71" customFormat="1" ht="26.4" customHeight="1">
      <c r="A3318" s="282">
        <v>630</v>
      </c>
      <c r="B3318" s="534"/>
      <c r="C3318" s="355" t="s">
        <v>1169</v>
      </c>
      <c r="D3318" s="307" t="s">
        <v>3438</v>
      </c>
      <c r="E3318" s="260" t="s">
        <v>4230</v>
      </c>
      <c r="F3318" s="352">
        <v>20580</v>
      </c>
      <c r="G3318" s="311">
        <v>1987</v>
      </c>
      <c r="H3318" s="340" t="s">
        <v>2658</v>
      </c>
      <c r="I3318" s="313">
        <v>20.7</v>
      </c>
      <c r="J3318" s="350">
        <v>2.1</v>
      </c>
      <c r="K3318" s="350">
        <v>1.9</v>
      </c>
      <c r="L3318" s="314">
        <f t="shared" si="29"/>
        <v>0.20000000000000018</v>
      </c>
      <c r="M3318" s="337"/>
    </row>
    <row r="3319" spans="1:13" s="71" customFormat="1" ht="26.4" customHeight="1">
      <c r="A3319" s="282">
        <v>631</v>
      </c>
      <c r="B3319" s="534"/>
      <c r="C3319" s="355" t="s">
        <v>1169</v>
      </c>
      <c r="D3319" s="307" t="s">
        <v>3436</v>
      </c>
      <c r="E3319" s="260" t="s">
        <v>4231</v>
      </c>
      <c r="F3319" s="352">
        <v>20589</v>
      </c>
      <c r="G3319" s="311">
        <v>1988</v>
      </c>
      <c r="H3319" s="340" t="s">
        <v>2658</v>
      </c>
      <c r="I3319" s="313">
        <v>763</v>
      </c>
      <c r="J3319" s="350">
        <v>41.2</v>
      </c>
      <c r="K3319" s="350">
        <v>34.9</v>
      </c>
      <c r="L3319" s="314">
        <f t="shared" si="29"/>
        <v>6.3000000000000043</v>
      </c>
      <c r="M3319" s="337"/>
    </row>
    <row r="3320" spans="1:13" s="71" customFormat="1" ht="26.4" customHeight="1">
      <c r="A3320" s="282">
        <v>632</v>
      </c>
      <c r="B3320" s="534"/>
      <c r="C3320" s="355" t="s">
        <v>1169</v>
      </c>
      <c r="D3320" s="307" t="s">
        <v>3396</v>
      </c>
      <c r="E3320" s="260" t="s">
        <v>4232</v>
      </c>
      <c r="F3320" s="352">
        <v>20566</v>
      </c>
      <c r="G3320" s="311">
        <v>1985</v>
      </c>
      <c r="H3320" s="340" t="s">
        <v>2658</v>
      </c>
      <c r="I3320" s="313">
        <v>94</v>
      </c>
      <c r="J3320" s="350">
        <v>3</v>
      </c>
      <c r="K3320" s="350">
        <v>2.8</v>
      </c>
      <c r="L3320" s="314">
        <f t="shared" si="29"/>
        <v>0.20000000000000018</v>
      </c>
      <c r="M3320" s="337"/>
    </row>
    <row r="3321" spans="1:13" s="71" customFormat="1" ht="39.6">
      <c r="A3321" s="282">
        <v>633</v>
      </c>
      <c r="B3321" s="534"/>
      <c r="C3321" s="355" t="s">
        <v>1169</v>
      </c>
      <c r="D3321" s="307" t="s">
        <v>3353</v>
      </c>
      <c r="E3321" s="260" t="s">
        <v>12682</v>
      </c>
      <c r="F3321" s="352">
        <v>20582</v>
      </c>
      <c r="G3321" s="311">
        <v>1987</v>
      </c>
      <c r="H3321" s="340" t="s">
        <v>2658</v>
      </c>
      <c r="I3321" s="313">
        <v>33</v>
      </c>
      <c r="J3321" s="350">
        <v>1.9</v>
      </c>
      <c r="K3321" s="350">
        <v>1.5</v>
      </c>
      <c r="L3321" s="314">
        <f t="shared" si="29"/>
        <v>0.39999999999999991</v>
      </c>
      <c r="M3321" s="337"/>
    </row>
    <row r="3322" spans="1:13" s="71" customFormat="1" ht="26.4" customHeight="1">
      <c r="A3322" s="282">
        <v>634</v>
      </c>
      <c r="B3322" s="534"/>
      <c r="C3322" s="355" t="s">
        <v>1169</v>
      </c>
      <c r="D3322" s="307" t="s">
        <v>3438</v>
      </c>
      <c r="E3322" s="260" t="s">
        <v>13062</v>
      </c>
      <c r="F3322" s="352">
        <v>20562</v>
      </c>
      <c r="G3322" s="311">
        <v>1984</v>
      </c>
      <c r="H3322" s="340" t="s">
        <v>2658</v>
      </c>
      <c r="I3322" s="313">
        <v>9</v>
      </c>
      <c r="J3322" s="350">
        <v>1.2</v>
      </c>
      <c r="K3322" s="350">
        <v>1.1000000000000001</v>
      </c>
      <c r="L3322" s="314">
        <f t="shared" si="29"/>
        <v>9.9999999999999867E-2</v>
      </c>
      <c r="M3322" s="337"/>
    </row>
    <row r="3323" spans="1:13" s="71" customFormat="1" ht="26.4" customHeight="1">
      <c r="A3323" s="282">
        <v>635</v>
      </c>
      <c r="B3323" s="534"/>
      <c r="C3323" s="355" t="s">
        <v>1169</v>
      </c>
      <c r="D3323" s="307" t="s">
        <v>4233</v>
      </c>
      <c r="E3323" s="260" t="s">
        <v>4234</v>
      </c>
      <c r="F3323" s="352">
        <v>20591</v>
      </c>
      <c r="G3323" s="311">
        <v>1988</v>
      </c>
      <c r="H3323" s="340" t="s">
        <v>2658</v>
      </c>
      <c r="I3323" s="313">
        <v>71</v>
      </c>
      <c r="J3323" s="350">
        <v>1.5</v>
      </c>
      <c r="K3323" s="350">
        <v>1.4</v>
      </c>
      <c r="L3323" s="314">
        <f t="shared" si="29"/>
        <v>0.10000000000000009</v>
      </c>
      <c r="M3323" s="337"/>
    </row>
    <row r="3324" spans="1:13" s="71" customFormat="1" ht="26.4" customHeight="1">
      <c r="A3324" s="282">
        <v>636</v>
      </c>
      <c r="B3324" s="534"/>
      <c r="C3324" s="355" t="s">
        <v>1169</v>
      </c>
      <c r="D3324" s="307" t="s">
        <v>4233</v>
      </c>
      <c r="E3324" s="260" t="s">
        <v>4235</v>
      </c>
      <c r="F3324" s="352">
        <v>20592</v>
      </c>
      <c r="G3324" s="311">
        <v>1988</v>
      </c>
      <c r="H3324" s="340" t="s">
        <v>2658</v>
      </c>
      <c r="I3324" s="313">
        <v>723</v>
      </c>
      <c r="J3324" s="350">
        <v>1.4</v>
      </c>
      <c r="K3324" s="350">
        <v>1.3</v>
      </c>
      <c r="L3324" s="314">
        <f t="shared" si="29"/>
        <v>9.9999999999999867E-2</v>
      </c>
      <c r="M3324" s="337"/>
    </row>
    <row r="3325" spans="1:13" s="71" customFormat="1" ht="39.6">
      <c r="A3325" s="282">
        <v>637</v>
      </c>
      <c r="B3325" s="534"/>
      <c r="C3325" s="355" t="s">
        <v>1169</v>
      </c>
      <c r="D3325" s="307" t="s">
        <v>4236</v>
      </c>
      <c r="E3325" s="260" t="s">
        <v>4237</v>
      </c>
      <c r="F3325" s="352">
        <v>20622</v>
      </c>
      <c r="G3325" s="311">
        <v>1992</v>
      </c>
      <c r="H3325" s="340" t="s">
        <v>2658</v>
      </c>
      <c r="I3325" s="313">
        <v>5.8</v>
      </c>
      <c r="J3325" s="350">
        <v>9.5</v>
      </c>
      <c r="K3325" s="350">
        <v>8.5</v>
      </c>
      <c r="L3325" s="314">
        <f t="shared" si="29"/>
        <v>1</v>
      </c>
      <c r="M3325" s="337"/>
    </row>
    <row r="3326" spans="1:13" s="71" customFormat="1" ht="26.4" customHeight="1">
      <c r="A3326" s="282">
        <v>638</v>
      </c>
      <c r="B3326" s="534"/>
      <c r="C3326" s="307" t="s">
        <v>3276</v>
      </c>
      <c r="D3326" s="307" t="s">
        <v>4166</v>
      </c>
      <c r="E3326" s="260" t="s">
        <v>4238</v>
      </c>
      <c r="F3326" s="352">
        <v>20564</v>
      </c>
      <c r="G3326" s="311">
        <v>1984</v>
      </c>
      <c r="H3326" s="340" t="s">
        <v>2658</v>
      </c>
      <c r="I3326" s="313">
        <v>229</v>
      </c>
      <c r="J3326" s="350">
        <v>7.9</v>
      </c>
      <c r="K3326" s="350">
        <v>7.1</v>
      </c>
      <c r="L3326" s="314">
        <f t="shared" si="29"/>
        <v>0.80000000000000071</v>
      </c>
      <c r="M3326" s="337"/>
    </row>
    <row r="3327" spans="1:13" s="71" customFormat="1" ht="26.4" customHeight="1">
      <c r="A3327" s="282">
        <v>639</v>
      </c>
      <c r="B3327" s="534"/>
      <c r="C3327" s="355" t="s">
        <v>1169</v>
      </c>
      <c r="D3327" s="307" t="s">
        <v>3436</v>
      </c>
      <c r="E3327" s="260" t="s">
        <v>4239</v>
      </c>
      <c r="F3327" s="352">
        <v>20563</v>
      </c>
      <c r="G3327" s="311">
        <v>1984</v>
      </c>
      <c r="H3327" s="340" t="s">
        <v>2658</v>
      </c>
      <c r="I3327" s="313">
        <v>358</v>
      </c>
      <c r="J3327" s="350">
        <v>53.5</v>
      </c>
      <c r="K3327" s="350">
        <v>45.3</v>
      </c>
      <c r="L3327" s="314">
        <f t="shared" si="29"/>
        <v>8.2000000000000028</v>
      </c>
      <c r="M3327" s="337"/>
    </row>
    <row r="3328" spans="1:13" s="71" customFormat="1" ht="26.4" customHeight="1">
      <c r="A3328" s="282">
        <v>640</v>
      </c>
      <c r="B3328" s="534"/>
      <c r="C3328" s="355" t="s">
        <v>1169</v>
      </c>
      <c r="D3328" s="307" t="s">
        <v>4240</v>
      </c>
      <c r="E3328" s="260" t="s">
        <v>4241</v>
      </c>
      <c r="F3328" s="352">
        <v>20655</v>
      </c>
      <c r="G3328" s="311">
        <v>2001</v>
      </c>
      <c r="H3328" s="340" t="s">
        <v>2658</v>
      </c>
      <c r="I3328" s="313">
        <v>36</v>
      </c>
      <c r="J3328" s="350">
        <v>4.2</v>
      </c>
      <c r="K3328" s="350">
        <v>3.9</v>
      </c>
      <c r="L3328" s="314">
        <f t="shared" si="29"/>
        <v>0.30000000000000027</v>
      </c>
      <c r="M3328" s="337"/>
    </row>
    <row r="3329" spans="1:13" s="71" customFormat="1" ht="26.4" customHeight="1">
      <c r="A3329" s="282">
        <v>641</v>
      </c>
      <c r="B3329" s="534"/>
      <c r="C3329" s="355" t="s">
        <v>1169</v>
      </c>
      <c r="D3329" s="307" t="s">
        <v>4211</v>
      </c>
      <c r="E3329" s="260" t="s">
        <v>4242</v>
      </c>
      <c r="F3329" s="352">
        <v>20576</v>
      </c>
      <c r="G3329" s="311">
        <v>1986</v>
      </c>
      <c r="H3329" s="340" t="s">
        <v>2658</v>
      </c>
      <c r="I3329" s="313">
        <v>92</v>
      </c>
      <c r="J3329" s="350">
        <v>19.100000000000001</v>
      </c>
      <c r="K3329" s="350">
        <v>16.2</v>
      </c>
      <c r="L3329" s="314">
        <f t="shared" ref="L3329:L3392" si="30">J3329-K3329</f>
        <v>2.9000000000000021</v>
      </c>
      <c r="M3329" s="337"/>
    </row>
    <row r="3330" spans="1:13" s="71" customFormat="1" ht="26.4" customHeight="1">
      <c r="A3330" s="282">
        <v>642</v>
      </c>
      <c r="B3330" s="534"/>
      <c r="C3330" s="355" t="s">
        <v>1169</v>
      </c>
      <c r="D3330" s="307" t="s">
        <v>4211</v>
      </c>
      <c r="E3330" s="260" t="s">
        <v>4243</v>
      </c>
      <c r="F3330" s="352">
        <v>20594</v>
      </c>
      <c r="G3330" s="311">
        <v>1988</v>
      </c>
      <c r="H3330" s="340" t="s">
        <v>2658</v>
      </c>
      <c r="I3330" s="313">
        <v>35</v>
      </c>
      <c r="J3330" s="350">
        <v>2.9</v>
      </c>
      <c r="K3330" s="350">
        <v>2.7</v>
      </c>
      <c r="L3330" s="314">
        <f t="shared" si="30"/>
        <v>0.19999999999999973</v>
      </c>
      <c r="M3330" s="337"/>
    </row>
    <row r="3331" spans="1:13" s="71" customFormat="1" ht="26.4" customHeight="1">
      <c r="A3331" s="282">
        <v>643</v>
      </c>
      <c r="B3331" s="534"/>
      <c r="C3331" s="307" t="s">
        <v>3336</v>
      </c>
      <c r="D3331" s="307" t="s">
        <v>4166</v>
      </c>
      <c r="E3331" s="260" t="s">
        <v>4244</v>
      </c>
      <c r="F3331" s="352">
        <v>20553</v>
      </c>
      <c r="G3331" s="311">
        <v>1981</v>
      </c>
      <c r="H3331" s="340" t="s">
        <v>2658</v>
      </c>
      <c r="I3331" s="313">
        <v>31</v>
      </c>
      <c r="J3331" s="350">
        <v>3.5</v>
      </c>
      <c r="K3331" s="350">
        <v>3.2</v>
      </c>
      <c r="L3331" s="314">
        <f t="shared" si="30"/>
        <v>0.29999999999999982</v>
      </c>
      <c r="M3331" s="337"/>
    </row>
    <row r="3332" spans="1:13" s="71" customFormat="1" ht="26.4" customHeight="1">
      <c r="A3332" s="282">
        <v>644</v>
      </c>
      <c r="B3332" s="534"/>
      <c r="C3332" s="355" t="s">
        <v>1169</v>
      </c>
      <c r="D3332" s="307" t="s">
        <v>3436</v>
      </c>
      <c r="E3332" s="260" t="s">
        <v>4245</v>
      </c>
      <c r="F3332" s="352">
        <v>20624</v>
      </c>
      <c r="G3332" s="311">
        <v>1992</v>
      </c>
      <c r="H3332" s="340" t="s">
        <v>2658</v>
      </c>
      <c r="I3332" s="313">
        <v>57</v>
      </c>
      <c r="J3332" s="350">
        <v>10.6</v>
      </c>
      <c r="K3332" s="350">
        <v>9.5</v>
      </c>
      <c r="L3332" s="314">
        <f t="shared" si="30"/>
        <v>1.0999999999999996</v>
      </c>
      <c r="M3332" s="337"/>
    </row>
    <row r="3333" spans="1:13" s="71" customFormat="1" ht="26.4" customHeight="1">
      <c r="A3333" s="282">
        <v>645</v>
      </c>
      <c r="B3333" s="534"/>
      <c r="C3333" s="355" t="s">
        <v>1169</v>
      </c>
      <c r="D3333" s="307" t="s">
        <v>3436</v>
      </c>
      <c r="E3333" s="260" t="s">
        <v>4246</v>
      </c>
      <c r="F3333" s="352">
        <v>20588</v>
      </c>
      <c r="G3333" s="311">
        <v>1988</v>
      </c>
      <c r="H3333" s="340" t="s">
        <v>2658</v>
      </c>
      <c r="I3333" s="313">
        <v>112</v>
      </c>
      <c r="J3333" s="350">
        <v>6.6</v>
      </c>
      <c r="K3333" s="350">
        <v>6.1</v>
      </c>
      <c r="L3333" s="314">
        <f t="shared" si="30"/>
        <v>0.5</v>
      </c>
      <c r="M3333" s="337"/>
    </row>
    <row r="3334" spans="1:13" s="71" customFormat="1" ht="39.6">
      <c r="A3334" s="282">
        <v>646</v>
      </c>
      <c r="B3334" s="534"/>
      <c r="C3334" s="307" t="s">
        <v>3276</v>
      </c>
      <c r="D3334" s="307" t="s">
        <v>4247</v>
      </c>
      <c r="E3334" s="260" t="s">
        <v>4248</v>
      </c>
      <c r="F3334" s="352">
        <v>20544</v>
      </c>
      <c r="G3334" s="311">
        <v>1980</v>
      </c>
      <c r="H3334" s="340" t="s">
        <v>2658</v>
      </c>
      <c r="I3334" s="313">
        <v>69</v>
      </c>
      <c r="J3334" s="350">
        <v>2</v>
      </c>
      <c r="K3334" s="350">
        <v>1.5</v>
      </c>
      <c r="L3334" s="314">
        <f t="shared" si="30"/>
        <v>0.5</v>
      </c>
      <c r="M3334" s="337"/>
    </row>
    <row r="3335" spans="1:13" s="71" customFormat="1" ht="26.4" customHeight="1">
      <c r="A3335" s="282">
        <v>647</v>
      </c>
      <c r="B3335" s="534"/>
      <c r="C3335" s="355" t="s">
        <v>1169</v>
      </c>
      <c r="D3335" s="307" t="s">
        <v>3436</v>
      </c>
      <c r="E3335" s="260" t="s">
        <v>4249</v>
      </c>
      <c r="F3335" s="352">
        <v>20567</v>
      </c>
      <c r="G3335" s="311">
        <v>1986</v>
      </c>
      <c r="H3335" s="340" t="s">
        <v>2658</v>
      </c>
      <c r="I3335" s="313">
        <v>127</v>
      </c>
      <c r="J3335" s="350">
        <v>4.5999999999999996</v>
      </c>
      <c r="K3335" s="350">
        <v>3.6</v>
      </c>
      <c r="L3335" s="314">
        <f t="shared" si="30"/>
        <v>0.99999999999999956</v>
      </c>
      <c r="M3335" s="337"/>
    </row>
    <row r="3336" spans="1:13" s="71" customFormat="1" ht="26.4" customHeight="1">
      <c r="A3336" s="282">
        <v>648</v>
      </c>
      <c r="B3336" s="534"/>
      <c r="C3336" s="307" t="s">
        <v>3276</v>
      </c>
      <c r="D3336" s="307" t="s">
        <v>4250</v>
      </c>
      <c r="E3336" s="260" t="s">
        <v>13063</v>
      </c>
      <c r="F3336" s="352">
        <v>20593</v>
      </c>
      <c r="G3336" s="311">
        <v>1988</v>
      </c>
      <c r="H3336" s="340" t="s">
        <v>2658</v>
      </c>
      <c r="I3336" s="313">
        <v>2800</v>
      </c>
      <c r="J3336" s="350">
        <v>335.3</v>
      </c>
      <c r="K3336" s="350">
        <v>312</v>
      </c>
      <c r="L3336" s="314">
        <f t="shared" si="30"/>
        <v>23.300000000000011</v>
      </c>
      <c r="M3336" s="337"/>
    </row>
    <row r="3337" spans="1:13" s="71" customFormat="1" ht="26.4" customHeight="1">
      <c r="A3337" s="282">
        <v>649</v>
      </c>
      <c r="B3337" s="534"/>
      <c r="C3337" s="355" t="s">
        <v>1169</v>
      </c>
      <c r="D3337" s="307" t="s">
        <v>3436</v>
      </c>
      <c r="E3337" s="260" t="s">
        <v>4251</v>
      </c>
      <c r="F3337" s="352">
        <v>20625</v>
      </c>
      <c r="G3337" s="311">
        <v>1993</v>
      </c>
      <c r="H3337" s="340" t="s">
        <v>2658</v>
      </c>
      <c r="I3337" s="313">
        <v>12</v>
      </c>
      <c r="J3337" s="350">
        <v>0.2</v>
      </c>
      <c r="K3337" s="350">
        <v>0.1</v>
      </c>
      <c r="L3337" s="314">
        <f t="shared" si="30"/>
        <v>0.1</v>
      </c>
      <c r="M3337" s="337"/>
    </row>
    <row r="3338" spans="1:13" s="71" customFormat="1" ht="37.5" customHeight="1">
      <c r="A3338" s="282">
        <v>650</v>
      </c>
      <c r="B3338" s="534"/>
      <c r="C3338" s="355" t="s">
        <v>1169</v>
      </c>
      <c r="D3338" s="307" t="s">
        <v>3436</v>
      </c>
      <c r="E3338" s="260" t="s">
        <v>13273</v>
      </c>
      <c r="F3338" s="352">
        <v>20623</v>
      </c>
      <c r="G3338" s="311">
        <v>1992</v>
      </c>
      <c r="H3338" s="340" t="s">
        <v>2658</v>
      </c>
      <c r="I3338" s="313">
        <v>89</v>
      </c>
      <c r="J3338" s="350">
        <v>10.9</v>
      </c>
      <c r="K3338" s="350">
        <v>9.6999999999999993</v>
      </c>
      <c r="L3338" s="314">
        <f t="shared" si="30"/>
        <v>1.2000000000000011</v>
      </c>
      <c r="M3338" s="337"/>
    </row>
    <row r="3339" spans="1:13" s="71" customFormat="1" ht="26.4">
      <c r="A3339" s="282">
        <v>651</v>
      </c>
      <c r="B3339" s="534"/>
      <c r="C3339" s="355" t="s">
        <v>1169</v>
      </c>
      <c r="D3339" s="307" t="s">
        <v>13267</v>
      </c>
      <c r="E3339" s="260" t="s">
        <v>4252</v>
      </c>
      <c r="F3339" s="352">
        <v>20543</v>
      </c>
      <c r="G3339" s="311">
        <v>1982</v>
      </c>
      <c r="H3339" s="340" t="s">
        <v>2658</v>
      </c>
      <c r="I3339" s="313">
        <v>60</v>
      </c>
      <c r="J3339" s="350">
        <v>9.6999999999999993</v>
      </c>
      <c r="K3339" s="350">
        <v>7.6</v>
      </c>
      <c r="L3339" s="314">
        <f t="shared" si="30"/>
        <v>2.0999999999999996</v>
      </c>
      <c r="M3339" s="337"/>
    </row>
    <row r="3340" spans="1:13" s="71" customFormat="1" ht="39.6">
      <c r="A3340" s="282">
        <v>652</v>
      </c>
      <c r="B3340" s="534"/>
      <c r="C3340" s="355" t="s">
        <v>1169</v>
      </c>
      <c r="D3340" s="307" t="s">
        <v>3345</v>
      </c>
      <c r="E3340" s="260" t="s">
        <v>13064</v>
      </c>
      <c r="F3340" s="352">
        <v>20619</v>
      </c>
      <c r="G3340" s="311">
        <v>1992</v>
      </c>
      <c r="H3340" s="340" t="s">
        <v>2658</v>
      </c>
      <c r="I3340" s="313">
        <v>179.3</v>
      </c>
      <c r="J3340" s="350">
        <v>0.8</v>
      </c>
      <c r="K3340" s="350">
        <v>0.6</v>
      </c>
      <c r="L3340" s="314">
        <f t="shared" si="30"/>
        <v>0.20000000000000007</v>
      </c>
      <c r="M3340" s="337"/>
    </row>
    <row r="3341" spans="1:13" s="71" customFormat="1" ht="26.4" customHeight="1">
      <c r="A3341" s="282">
        <v>653</v>
      </c>
      <c r="B3341" s="534"/>
      <c r="C3341" s="355" t="s">
        <v>1169</v>
      </c>
      <c r="D3341" s="307" t="s">
        <v>13270</v>
      </c>
      <c r="E3341" s="260" t="s">
        <v>4253</v>
      </c>
      <c r="F3341" s="352">
        <v>20536</v>
      </c>
      <c r="G3341" s="311">
        <v>1978</v>
      </c>
      <c r="H3341" s="340" t="s">
        <v>2658</v>
      </c>
      <c r="I3341" s="313">
        <v>35</v>
      </c>
      <c r="J3341" s="350">
        <v>7.6</v>
      </c>
      <c r="K3341" s="350">
        <v>6.8</v>
      </c>
      <c r="L3341" s="314">
        <f t="shared" si="30"/>
        <v>0.79999999999999982</v>
      </c>
      <c r="M3341" s="337"/>
    </row>
    <row r="3342" spans="1:13" s="71" customFormat="1" ht="26.4" customHeight="1">
      <c r="A3342" s="282">
        <v>654</v>
      </c>
      <c r="B3342" s="534"/>
      <c r="C3342" s="355" t="s">
        <v>1169</v>
      </c>
      <c r="D3342" s="307" t="s">
        <v>13270</v>
      </c>
      <c r="E3342" s="260" t="s">
        <v>4254</v>
      </c>
      <c r="F3342" s="352">
        <v>20542</v>
      </c>
      <c r="G3342" s="311">
        <v>1980</v>
      </c>
      <c r="H3342" s="340" t="s">
        <v>2658</v>
      </c>
      <c r="I3342" s="313">
        <v>40</v>
      </c>
      <c r="J3342" s="350">
        <v>2.1</v>
      </c>
      <c r="K3342" s="350">
        <v>2</v>
      </c>
      <c r="L3342" s="314">
        <f t="shared" si="30"/>
        <v>0.10000000000000009</v>
      </c>
      <c r="M3342" s="337"/>
    </row>
    <row r="3343" spans="1:13" s="71" customFormat="1" ht="26.4">
      <c r="A3343" s="282">
        <v>655</v>
      </c>
      <c r="B3343" s="534"/>
      <c r="C3343" s="355" t="s">
        <v>1169</v>
      </c>
      <c r="D3343" s="307" t="s">
        <v>3345</v>
      </c>
      <c r="E3343" s="260" t="s">
        <v>4255</v>
      </c>
      <c r="F3343" s="352">
        <v>20559</v>
      </c>
      <c r="G3343" s="311">
        <v>1983</v>
      </c>
      <c r="H3343" s="340" t="s">
        <v>2658</v>
      </c>
      <c r="I3343" s="313">
        <v>296.2</v>
      </c>
      <c r="J3343" s="350">
        <v>6</v>
      </c>
      <c r="K3343" s="350">
        <v>5.6</v>
      </c>
      <c r="L3343" s="314">
        <f t="shared" si="30"/>
        <v>0.40000000000000036</v>
      </c>
      <c r="M3343" s="337"/>
    </row>
    <row r="3344" spans="1:13" s="71" customFormat="1" ht="36.75" customHeight="1">
      <c r="A3344" s="282">
        <v>656</v>
      </c>
      <c r="B3344" s="534"/>
      <c r="C3344" s="355" t="s">
        <v>1169</v>
      </c>
      <c r="D3344" s="307" t="s">
        <v>1379</v>
      </c>
      <c r="E3344" s="260" t="s">
        <v>4256</v>
      </c>
      <c r="F3344" s="352">
        <v>20581</v>
      </c>
      <c r="G3344" s="311">
        <v>1987</v>
      </c>
      <c r="H3344" s="340" t="s">
        <v>2658</v>
      </c>
      <c r="I3344" s="313">
        <v>82</v>
      </c>
      <c r="J3344" s="350">
        <v>4</v>
      </c>
      <c r="K3344" s="350">
        <v>3.2</v>
      </c>
      <c r="L3344" s="314">
        <f t="shared" si="30"/>
        <v>0.79999999999999982</v>
      </c>
      <c r="M3344" s="337"/>
    </row>
    <row r="3345" spans="1:13" s="71" customFormat="1" ht="36.75" customHeight="1">
      <c r="A3345" s="282">
        <v>657</v>
      </c>
      <c r="B3345" s="534"/>
      <c r="C3345" s="355" t="s">
        <v>1169</v>
      </c>
      <c r="D3345" s="307" t="s">
        <v>1382</v>
      </c>
      <c r="E3345" s="260" t="s">
        <v>4257</v>
      </c>
      <c r="F3345" s="352">
        <v>20549</v>
      </c>
      <c r="G3345" s="311">
        <v>1980</v>
      </c>
      <c r="H3345" s="340" t="s">
        <v>2658</v>
      </c>
      <c r="I3345" s="313">
        <v>18</v>
      </c>
      <c r="J3345" s="350">
        <v>1.2</v>
      </c>
      <c r="K3345" s="350">
        <v>1.1000000000000001</v>
      </c>
      <c r="L3345" s="314">
        <f t="shared" si="30"/>
        <v>9.9999999999999867E-2</v>
      </c>
      <c r="M3345" s="337"/>
    </row>
    <row r="3346" spans="1:13" s="71" customFormat="1" ht="36.75" customHeight="1">
      <c r="A3346" s="282">
        <v>658</v>
      </c>
      <c r="B3346" s="534"/>
      <c r="C3346" s="355" t="s">
        <v>1169</v>
      </c>
      <c r="D3346" s="307" t="s">
        <v>1385</v>
      </c>
      <c r="E3346" s="260" t="s">
        <v>12856</v>
      </c>
      <c r="F3346" s="352">
        <v>20618</v>
      </c>
      <c r="G3346" s="311">
        <v>1992</v>
      </c>
      <c r="H3346" s="340" t="s">
        <v>2658</v>
      </c>
      <c r="I3346" s="313">
        <v>490</v>
      </c>
      <c r="J3346" s="350">
        <v>24.7</v>
      </c>
      <c r="K3346" s="350">
        <v>23</v>
      </c>
      <c r="L3346" s="314">
        <f t="shared" si="30"/>
        <v>1.6999999999999993</v>
      </c>
      <c r="M3346" s="337"/>
    </row>
    <row r="3347" spans="1:13" s="71" customFormat="1" ht="26.4" customHeight="1">
      <c r="A3347" s="282">
        <v>659</v>
      </c>
      <c r="B3347" s="534"/>
      <c r="C3347" s="355" t="s">
        <v>1169</v>
      </c>
      <c r="D3347" s="307" t="s">
        <v>1385</v>
      </c>
      <c r="E3347" s="260" t="s">
        <v>4258</v>
      </c>
      <c r="F3347" s="352">
        <v>20556</v>
      </c>
      <c r="G3347" s="311">
        <v>1982</v>
      </c>
      <c r="H3347" s="340" t="s">
        <v>2658</v>
      </c>
      <c r="I3347" s="313">
        <v>400</v>
      </c>
      <c r="J3347" s="350">
        <v>33.4</v>
      </c>
      <c r="K3347" s="350">
        <v>31.1</v>
      </c>
      <c r="L3347" s="314">
        <f t="shared" si="30"/>
        <v>2.2999999999999972</v>
      </c>
      <c r="M3347" s="337"/>
    </row>
    <row r="3348" spans="1:13" s="71" customFormat="1" ht="26.4" customHeight="1">
      <c r="A3348" s="282">
        <v>660</v>
      </c>
      <c r="B3348" s="534"/>
      <c r="C3348" s="355" t="s">
        <v>1169</v>
      </c>
      <c r="D3348" s="307" t="s">
        <v>3438</v>
      </c>
      <c r="E3348" s="260" t="s">
        <v>4259</v>
      </c>
      <c r="F3348" s="352">
        <v>20560</v>
      </c>
      <c r="G3348" s="311">
        <v>1983</v>
      </c>
      <c r="H3348" s="340" t="s">
        <v>2658</v>
      </c>
      <c r="I3348" s="313">
        <v>81.3</v>
      </c>
      <c r="J3348" s="350">
        <v>4.7</v>
      </c>
      <c r="K3348" s="350">
        <v>3.7</v>
      </c>
      <c r="L3348" s="314">
        <f t="shared" si="30"/>
        <v>1</v>
      </c>
      <c r="M3348" s="337"/>
    </row>
    <row r="3349" spans="1:13" s="71" customFormat="1" ht="26.4" customHeight="1">
      <c r="A3349" s="282">
        <v>661</v>
      </c>
      <c r="B3349" s="534"/>
      <c r="C3349" s="355" t="s">
        <v>1169</v>
      </c>
      <c r="D3349" s="307" t="s">
        <v>3438</v>
      </c>
      <c r="E3349" s="260" t="s">
        <v>4260</v>
      </c>
      <c r="F3349" s="352">
        <v>20534</v>
      </c>
      <c r="G3349" s="311">
        <v>1978</v>
      </c>
      <c r="H3349" s="340" t="s">
        <v>2658</v>
      </c>
      <c r="I3349" s="313">
        <v>100</v>
      </c>
      <c r="J3349" s="350">
        <v>24.6</v>
      </c>
      <c r="K3349" s="350">
        <v>20.8</v>
      </c>
      <c r="L3349" s="314">
        <f t="shared" si="30"/>
        <v>3.8000000000000007</v>
      </c>
      <c r="M3349" s="337"/>
    </row>
    <row r="3350" spans="1:13" s="71" customFormat="1" ht="26.4" customHeight="1">
      <c r="A3350" s="282">
        <v>662</v>
      </c>
      <c r="B3350" s="534"/>
      <c r="C3350" s="355" t="s">
        <v>1169</v>
      </c>
      <c r="D3350" s="307" t="s">
        <v>3438</v>
      </c>
      <c r="E3350" s="260" t="s">
        <v>4261</v>
      </c>
      <c r="F3350" s="352">
        <v>20551</v>
      </c>
      <c r="G3350" s="311">
        <v>1980</v>
      </c>
      <c r="H3350" s="340" t="s">
        <v>2658</v>
      </c>
      <c r="I3350" s="313">
        <v>26</v>
      </c>
      <c r="J3350" s="350">
        <v>1.1000000000000001</v>
      </c>
      <c r="K3350" s="350">
        <v>1</v>
      </c>
      <c r="L3350" s="314">
        <f t="shared" si="30"/>
        <v>0.10000000000000009</v>
      </c>
      <c r="M3350" s="337"/>
    </row>
    <row r="3351" spans="1:13" s="71" customFormat="1" ht="26.4" customHeight="1">
      <c r="A3351" s="282">
        <v>663</v>
      </c>
      <c r="B3351" s="534"/>
      <c r="C3351" s="355" t="s">
        <v>1169</v>
      </c>
      <c r="D3351" s="307" t="s">
        <v>13267</v>
      </c>
      <c r="E3351" s="260" t="s">
        <v>4262</v>
      </c>
      <c r="F3351" s="352">
        <v>20574</v>
      </c>
      <c r="G3351" s="311">
        <v>1986</v>
      </c>
      <c r="H3351" s="340" t="s">
        <v>2658</v>
      </c>
      <c r="I3351" s="313">
        <v>56.4</v>
      </c>
      <c r="J3351" s="350">
        <v>2</v>
      </c>
      <c r="K3351" s="350">
        <v>1.8</v>
      </c>
      <c r="L3351" s="314">
        <f t="shared" si="30"/>
        <v>0.19999999999999996</v>
      </c>
      <c r="M3351" s="337"/>
    </row>
    <row r="3352" spans="1:13" s="71" customFormat="1" ht="26.4" customHeight="1">
      <c r="A3352" s="282">
        <v>664</v>
      </c>
      <c r="B3352" s="534"/>
      <c r="C3352" s="355" t="s">
        <v>1169</v>
      </c>
      <c r="D3352" s="307" t="s">
        <v>13267</v>
      </c>
      <c r="E3352" s="260" t="s">
        <v>4263</v>
      </c>
      <c r="F3352" s="352">
        <v>20541</v>
      </c>
      <c r="G3352" s="311">
        <v>1980</v>
      </c>
      <c r="H3352" s="340" t="s">
        <v>2658</v>
      </c>
      <c r="I3352" s="313">
        <v>18</v>
      </c>
      <c r="J3352" s="350">
        <v>4.7</v>
      </c>
      <c r="K3352" s="350">
        <v>3.6</v>
      </c>
      <c r="L3352" s="314">
        <f t="shared" si="30"/>
        <v>1.1000000000000001</v>
      </c>
      <c r="M3352" s="337"/>
    </row>
    <row r="3353" spans="1:13" s="71" customFormat="1" ht="26.4" customHeight="1">
      <c r="A3353" s="282">
        <v>665</v>
      </c>
      <c r="B3353" s="534"/>
      <c r="C3353" s="355" t="s">
        <v>1169</v>
      </c>
      <c r="D3353" s="307" t="s">
        <v>13267</v>
      </c>
      <c r="E3353" s="260" t="s">
        <v>4264</v>
      </c>
      <c r="F3353" s="352">
        <v>20537</v>
      </c>
      <c r="G3353" s="311">
        <v>1979</v>
      </c>
      <c r="H3353" s="340" t="s">
        <v>2658</v>
      </c>
      <c r="I3353" s="313">
        <v>49</v>
      </c>
      <c r="J3353" s="350">
        <v>4.3</v>
      </c>
      <c r="K3353" s="350">
        <v>3.3</v>
      </c>
      <c r="L3353" s="314">
        <f t="shared" si="30"/>
        <v>1</v>
      </c>
      <c r="M3353" s="337"/>
    </row>
    <row r="3354" spans="1:13" s="71" customFormat="1" ht="26.4" customHeight="1">
      <c r="A3354" s="282">
        <v>666</v>
      </c>
      <c r="B3354" s="534"/>
      <c r="C3354" s="355" t="s">
        <v>1169</v>
      </c>
      <c r="D3354" s="307" t="s">
        <v>3920</v>
      </c>
      <c r="E3354" s="260" t="s">
        <v>4265</v>
      </c>
      <c r="F3354" s="352">
        <v>20554</v>
      </c>
      <c r="G3354" s="311">
        <v>1981</v>
      </c>
      <c r="H3354" s="340" t="s">
        <v>2658</v>
      </c>
      <c r="I3354" s="313">
        <v>395</v>
      </c>
      <c r="J3354" s="350">
        <v>5.4</v>
      </c>
      <c r="K3354" s="350">
        <v>4.2</v>
      </c>
      <c r="L3354" s="314">
        <f t="shared" si="30"/>
        <v>1.2000000000000002</v>
      </c>
      <c r="M3354" s="337"/>
    </row>
    <row r="3355" spans="1:13" s="71" customFormat="1" ht="39.6">
      <c r="A3355" s="282">
        <v>667</v>
      </c>
      <c r="B3355" s="534"/>
      <c r="C3355" s="307" t="s">
        <v>3276</v>
      </c>
      <c r="D3355" s="307" t="s">
        <v>4166</v>
      </c>
      <c r="E3355" s="260" t="s">
        <v>4266</v>
      </c>
      <c r="F3355" s="352">
        <v>20595</v>
      </c>
      <c r="G3355" s="311">
        <v>1989</v>
      </c>
      <c r="H3355" s="340" t="s">
        <v>2658</v>
      </c>
      <c r="I3355" s="313">
        <v>108</v>
      </c>
      <c r="J3355" s="350">
        <v>5.5</v>
      </c>
      <c r="K3355" s="350">
        <v>4.3</v>
      </c>
      <c r="L3355" s="314">
        <f t="shared" si="30"/>
        <v>1.2000000000000002</v>
      </c>
      <c r="M3355" s="337"/>
    </row>
    <row r="3356" spans="1:13" s="71" customFormat="1" ht="26.4" customHeight="1">
      <c r="A3356" s="282">
        <v>668</v>
      </c>
      <c r="B3356" s="534"/>
      <c r="C3356" s="307" t="s">
        <v>4267</v>
      </c>
      <c r="D3356" s="307" t="s">
        <v>3</v>
      </c>
      <c r="E3356" s="260" t="s">
        <v>4268</v>
      </c>
      <c r="F3356" s="352">
        <v>20621</v>
      </c>
      <c r="G3356" s="311">
        <v>1992</v>
      </c>
      <c r="H3356" s="340" t="s">
        <v>2658</v>
      </c>
      <c r="I3356" s="313">
        <v>2099</v>
      </c>
      <c r="J3356" s="350">
        <v>106.8</v>
      </c>
      <c r="K3356" s="350">
        <v>103.9</v>
      </c>
      <c r="L3356" s="314">
        <f t="shared" si="30"/>
        <v>2.8999999999999915</v>
      </c>
      <c r="M3356" s="337"/>
    </row>
    <row r="3357" spans="1:13" s="71" customFormat="1" ht="26.4" customHeight="1">
      <c r="A3357" s="282">
        <v>669</v>
      </c>
      <c r="B3357" s="534"/>
      <c r="C3357" s="355" t="s">
        <v>1169</v>
      </c>
      <c r="D3357" s="307" t="s">
        <v>3436</v>
      </c>
      <c r="E3357" s="260" t="s">
        <v>4269</v>
      </c>
      <c r="F3357" s="352">
        <v>20557</v>
      </c>
      <c r="G3357" s="311">
        <v>1982</v>
      </c>
      <c r="H3357" s="340" t="s">
        <v>2658</v>
      </c>
      <c r="I3357" s="313">
        <v>474.6</v>
      </c>
      <c r="J3357" s="350">
        <v>37.9</v>
      </c>
      <c r="K3357" s="350">
        <v>35.299999999999997</v>
      </c>
      <c r="L3357" s="314">
        <f t="shared" si="30"/>
        <v>2.6000000000000014</v>
      </c>
      <c r="M3357" s="337"/>
    </row>
    <row r="3358" spans="1:13" s="71" customFormat="1" ht="26.4" customHeight="1">
      <c r="A3358" s="282">
        <v>670</v>
      </c>
      <c r="B3358" s="534"/>
      <c r="C3358" s="355" t="s">
        <v>1169</v>
      </c>
      <c r="D3358" s="307" t="s">
        <v>3438</v>
      </c>
      <c r="E3358" s="260" t="s">
        <v>4270</v>
      </c>
      <c r="F3358" s="352">
        <v>20605</v>
      </c>
      <c r="G3358" s="311">
        <v>1990</v>
      </c>
      <c r="H3358" s="340" t="s">
        <v>2658</v>
      </c>
      <c r="I3358" s="313">
        <v>65</v>
      </c>
      <c r="J3358" s="350">
        <v>2.8</v>
      </c>
      <c r="K3358" s="350">
        <v>2.6</v>
      </c>
      <c r="L3358" s="314">
        <f t="shared" si="30"/>
        <v>0.19999999999999973</v>
      </c>
      <c r="M3358" s="337"/>
    </row>
    <row r="3359" spans="1:13" s="71" customFormat="1" ht="26.4" customHeight="1">
      <c r="A3359" s="282">
        <v>671</v>
      </c>
      <c r="B3359" s="534"/>
      <c r="C3359" s="355" t="s">
        <v>1169</v>
      </c>
      <c r="D3359" s="307" t="s">
        <v>1385</v>
      </c>
      <c r="E3359" s="260" t="s">
        <v>4271</v>
      </c>
      <c r="F3359" s="352">
        <v>20555</v>
      </c>
      <c r="G3359" s="311">
        <v>1982</v>
      </c>
      <c r="H3359" s="340" t="s">
        <v>2658</v>
      </c>
      <c r="I3359" s="313">
        <v>123.2</v>
      </c>
      <c r="J3359" s="350">
        <v>5.3</v>
      </c>
      <c r="K3359" s="350">
        <v>4.2</v>
      </c>
      <c r="L3359" s="314">
        <f t="shared" si="30"/>
        <v>1.0999999999999996</v>
      </c>
      <c r="M3359" s="337"/>
    </row>
    <row r="3360" spans="1:13" s="71" customFormat="1" ht="26.4" customHeight="1">
      <c r="A3360" s="282">
        <v>672</v>
      </c>
      <c r="B3360" s="534"/>
      <c r="C3360" s="307" t="s">
        <v>3412</v>
      </c>
      <c r="D3360" s="307" t="s">
        <v>3409</v>
      </c>
      <c r="E3360" s="260" t="s">
        <v>4272</v>
      </c>
      <c r="F3360" s="352">
        <v>20604</v>
      </c>
      <c r="G3360" s="311">
        <v>1989</v>
      </c>
      <c r="H3360" s="340" t="s">
        <v>2658</v>
      </c>
      <c r="I3360" s="313">
        <v>42.9</v>
      </c>
      <c r="J3360" s="350">
        <v>2.5</v>
      </c>
      <c r="K3360" s="350">
        <v>2</v>
      </c>
      <c r="L3360" s="314">
        <f t="shared" si="30"/>
        <v>0.5</v>
      </c>
      <c r="M3360" s="337"/>
    </row>
    <row r="3361" spans="1:13" s="71" customFormat="1" ht="26.4" customHeight="1">
      <c r="A3361" s="282">
        <v>673</v>
      </c>
      <c r="B3361" s="534"/>
      <c r="C3361" s="307" t="s">
        <v>3412</v>
      </c>
      <c r="D3361" s="307" t="s">
        <v>3409</v>
      </c>
      <c r="E3361" s="260" t="s">
        <v>4273</v>
      </c>
      <c r="F3361" s="352">
        <v>20590</v>
      </c>
      <c r="G3361" s="311">
        <v>1988</v>
      </c>
      <c r="H3361" s="340" t="s">
        <v>2658</v>
      </c>
      <c r="I3361" s="313">
        <v>1066</v>
      </c>
      <c r="J3361" s="350">
        <v>44.7</v>
      </c>
      <c r="K3361" s="350">
        <v>41.6</v>
      </c>
      <c r="L3361" s="314">
        <f t="shared" si="30"/>
        <v>3.1000000000000014</v>
      </c>
      <c r="M3361" s="337"/>
    </row>
    <row r="3362" spans="1:13" s="71" customFormat="1" ht="26.4" customHeight="1">
      <c r="A3362" s="282">
        <v>674</v>
      </c>
      <c r="B3362" s="534"/>
      <c r="C3362" s="355" t="s">
        <v>1169</v>
      </c>
      <c r="D3362" s="307" t="s">
        <v>3469</v>
      </c>
      <c r="E3362" s="260" t="s">
        <v>4274</v>
      </c>
      <c r="F3362" s="352">
        <v>20558</v>
      </c>
      <c r="G3362" s="311">
        <v>1982</v>
      </c>
      <c r="H3362" s="340" t="s">
        <v>2658</v>
      </c>
      <c r="I3362" s="313">
        <v>308</v>
      </c>
      <c r="J3362" s="350">
        <v>17.600000000000001</v>
      </c>
      <c r="K3362" s="350">
        <v>15.7</v>
      </c>
      <c r="L3362" s="314">
        <f t="shared" si="30"/>
        <v>1.9000000000000021</v>
      </c>
      <c r="M3362" s="337"/>
    </row>
    <row r="3363" spans="1:13" s="71" customFormat="1" ht="26.4" customHeight="1">
      <c r="A3363" s="282">
        <v>675</v>
      </c>
      <c r="B3363" s="534"/>
      <c r="C3363" s="355" t="s">
        <v>1169</v>
      </c>
      <c r="D3363" s="307" t="s">
        <v>4275</v>
      </c>
      <c r="E3363" s="260" t="s">
        <v>4276</v>
      </c>
      <c r="F3363" s="352">
        <v>20627</v>
      </c>
      <c r="G3363" s="311">
        <v>1994</v>
      </c>
      <c r="H3363" s="340" t="s">
        <v>2658</v>
      </c>
      <c r="I3363" s="313">
        <v>11</v>
      </c>
      <c r="J3363" s="350">
        <v>0.1</v>
      </c>
      <c r="K3363" s="350">
        <v>0.1</v>
      </c>
      <c r="L3363" s="314">
        <f t="shared" si="30"/>
        <v>0</v>
      </c>
      <c r="M3363" s="337"/>
    </row>
    <row r="3364" spans="1:13" s="71" customFormat="1" ht="26.4" customHeight="1">
      <c r="A3364" s="282">
        <v>676</v>
      </c>
      <c r="B3364" s="534"/>
      <c r="C3364" s="355" t="s">
        <v>1169</v>
      </c>
      <c r="D3364" s="307" t="s">
        <v>4275</v>
      </c>
      <c r="E3364" s="260" t="s">
        <v>4277</v>
      </c>
      <c r="F3364" s="352">
        <v>20606</v>
      </c>
      <c r="G3364" s="311">
        <v>1990</v>
      </c>
      <c r="H3364" s="340" t="s">
        <v>2658</v>
      </c>
      <c r="I3364" s="313">
        <v>645</v>
      </c>
      <c r="J3364" s="350">
        <v>60.5</v>
      </c>
      <c r="K3364" s="350">
        <v>56.3</v>
      </c>
      <c r="L3364" s="314">
        <f t="shared" si="30"/>
        <v>4.2000000000000028</v>
      </c>
      <c r="M3364" s="337"/>
    </row>
    <row r="3365" spans="1:13" s="71" customFormat="1" ht="26.4" customHeight="1">
      <c r="A3365" s="282">
        <v>677</v>
      </c>
      <c r="B3365" s="534"/>
      <c r="C3365" s="355" t="s">
        <v>3</v>
      </c>
      <c r="D3365" s="307" t="s">
        <v>3</v>
      </c>
      <c r="E3365" s="260" t="s">
        <v>4278</v>
      </c>
      <c r="F3365" s="352">
        <v>20528</v>
      </c>
      <c r="G3365" s="311">
        <v>1977</v>
      </c>
      <c r="H3365" s="340" t="s">
        <v>3</v>
      </c>
      <c r="I3365" s="313" t="s">
        <v>3</v>
      </c>
      <c r="J3365" s="350">
        <v>68.8</v>
      </c>
      <c r="K3365" s="350">
        <v>65.7</v>
      </c>
      <c r="L3365" s="314">
        <f t="shared" si="30"/>
        <v>3.0999999999999943</v>
      </c>
      <c r="M3365" s="337"/>
    </row>
    <row r="3366" spans="1:13" s="71" customFormat="1" ht="26.4" customHeight="1">
      <c r="A3366" s="282">
        <v>678</v>
      </c>
      <c r="B3366" s="534"/>
      <c r="C3366" s="355" t="s">
        <v>3</v>
      </c>
      <c r="D3366" s="307" t="s">
        <v>3</v>
      </c>
      <c r="E3366" s="260" t="s">
        <v>4279</v>
      </c>
      <c r="F3366" s="352">
        <v>20571</v>
      </c>
      <c r="G3366" s="311">
        <v>1985</v>
      </c>
      <c r="H3366" s="340" t="s">
        <v>3</v>
      </c>
      <c r="I3366" s="313" t="s">
        <v>3</v>
      </c>
      <c r="J3366" s="350">
        <v>1.6</v>
      </c>
      <c r="K3366" s="350">
        <v>1.5</v>
      </c>
      <c r="L3366" s="314">
        <f t="shared" si="30"/>
        <v>0.10000000000000009</v>
      </c>
      <c r="M3366" s="337"/>
    </row>
    <row r="3367" spans="1:13" s="71" customFormat="1" ht="26.4" customHeight="1">
      <c r="A3367" s="282">
        <v>679</v>
      </c>
      <c r="B3367" s="534"/>
      <c r="C3367" s="355" t="s">
        <v>3</v>
      </c>
      <c r="D3367" s="307" t="s">
        <v>3</v>
      </c>
      <c r="E3367" s="260" t="s">
        <v>4280</v>
      </c>
      <c r="F3367" s="352">
        <v>20570</v>
      </c>
      <c r="G3367" s="311">
        <v>1985</v>
      </c>
      <c r="H3367" s="340" t="s">
        <v>3</v>
      </c>
      <c r="I3367" s="313" t="s">
        <v>3</v>
      </c>
      <c r="J3367" s="350">
        <v>12.9</v>
      </c>
      <c r="K3367" s="350">
        <v>12</v>
      </c>
      <c r="L3367" s="314">
        <f t="shared" si="30"/>
        <v>0.90000000000000036</v>
      </c>
      <c r="M3367" s="337"/>
    </row>
    <row r="3368" spans="1:13" s="71" customFormat="1" ht="26.4" customHeight="1">
      <c r="A3368" s="282">
        <v>680</v>
      </c>
      <c r="B3368" s="534"/>
      <c r="C3368" s="355" t="s">
        <v>1169</v>
      </c>
      <c r="D3368" s="307" t="s">
        <v>3769</v>
      </c>
      <c r="E3368" s="260" t="s">
        <v>4281</v>
      </c>
      <c r="F3368" s="352">
        <v>200321</v>
      </c>
      <c r="G3368" s="311">
        <v>1967</v>
      </c>
      <c r="H3368" s="340" t="s">
        <v>2658</v>
      </c>
      <c r="I3368" s="313">
        <v>160</v>
      </c>
      <c r="J3368" s="350">
        <v>5.6</v>
      </c>
      <c r="K3368" s="350">
        <v>4.4000000000000004</v>
      </c>
      <c r="L3368" s="314">
        <f t="shared" si="30"/>
        <v>1.1999999999999993</v>
      </c>
      <c r="M3368" s="337"/>
    </row>
    <row r="3369" spans="1:13" s="71" customFormat="1" ht="39.6">
      <c r="A3369" s="282">
        <v>681</v>
      </c>
      <c r="B3369" s="534"/>
      <c r="C3369" s="307" t="s">
        <v>3276</v>
      </c>
      <c r="D3369" s="307" t="s">
        <v>13285</v>
      </c>
      <c r="E3369" s="260" t="s">
        <v>4282</v>
      </c>
      <c r="F3369" s="352">
        <v>20153</v>
      </c>
      <c r="G3369" s="311">
        <v>1975</v>
      </c>
      <c r="H3369" s="340" t="s">
        <v>2658</v>
      </c>
      <c r="I3369" s="313">
        <v>4550</v>
      </c>
      <c r="J3369" s="350">
        <v>230.4</v>
      </c>
      <c r="K3369" s="350">
        <v>224</v>
      </c>
      <c r="L3369" s="314">
        <f t="shared" si="30"/>
        <v>6.4000000000000057</v>
      </c>
      <c r="M3369" s="337"/>
    </row>
    <row r="3370" spans="1:13" s="71" customFormat="1" ht="26.4" customHeight="1">
      <c r="A3370" s="282">
        <v>682</v>
      </c>
      <c r="B3370" s="534"/>
      <c r="C3370" s="307" t="s">
        <v>1790</v>
      </c>
      <c r="D3370" s="307" t="s">
        <v>4283</v>
      </c>
      <c r="E3370" s="260" t="s">
        <v>4284</v>
      </c>
      <c r="F3370" s="352">
        <v>20662</v>
      </c>
      <c r="G3370" s="311">
        <v>2005</v>
      </c>
      <c r="H3370" s="340" t="s">
        <v>2658</v>
      </c>
      <c r="I3370" s="313">
        <v>320</v>
      </c>
      <c r="J3370" s="350">
        <v>51.9</v>
      </c>
      <c r="K3370" s="350">
        <v>47.9</v>
      </c>
      <c r="L3370" s="314">
        <f t="shared" si="30"/>
        <v>4</v>
      </c>
      <c r="M3370" s="337"/>
    </row>
    <row r="3371" spans="1:13" s="71" customFormat="1" ht="26.4" customHeight="1">
      <c r="A3371" s="282">
        <v>683</v>
      </c>
      <c r="B3371" s="534"/>
      <c r="C3371" s="355" t="s">
        <v>3</v>
      </c>
      <c r="D3371" s="307" t="s">
        <v>3</v>
      </c>
      <c r="E3371" s="260" t="s">
        <v>4285</v>
      </c>
      <c r="F3371" s="352">
        <v>40015</v>
      </c>
      <c r="G3371" s="311">
        <v>1987</v>
      </c>
      <c r="H3371" s="340" t="s">
        <v>3</v>
      </c>
      <c r="I3371" s="313" t="s">
        <v>3</v>
      </c>
      <c r="J3371" s="350">
        <v>10.5</v>
      </c>
      <c r="K3371" s="350">
        <v>10</v>
      </c>
      <c r="L3371" s="314">
        <f t="shared" si="30"/>
        <v>0.5</v>
      </c>
      <c r="M3371" s="337"/>
    </row>
    <row r="3372" spans="1:13" s="71" customFormat="1" ht="26.4" customHeight="1">
      <c r="A3372" s="282">
        <v>684</v>
      </c>
      <c r="B3372" s="534"/>
      <c r="C3372" s="355" t="s">
        <v>1169</v>
      </c>
      <c r="D3372" s="307" t="s">
        <v>4286</v>
      </c>
      <c r="E3372" s="260" t="s">
        <v>4287</v>
      </c>
      <c r="F3372" s="352">
        <v>20533</v>
      </c>
      <c r="G3372" s="311">
        <v>1978</v>
      </c>
      <c r="H3372" s="340" t="s">
        <v>2658</v>
      </c>
      <c r="I3372" s="313">
        <v>1822</v>
      </c>
      <c r="J3372" s="350">
        <v>136.5</v>
      </c>
      <c r="K3372" s="350">
        <v>136.5</v>
      </c>
      <c r="L3372" s="314">
        <f t="shared" si="30"/>
        <v>0</v>
      </c>
      <c r="M3372" s="337"/>
    </row>
    <row r="3373" spans="1:13" s="71" customFormat="1" ht="26.4" customHeight="1">
      <c r="A3373" s="282">
        <v>685</v>
      </c>
      <c r="B3373" s="534"/>
      <c r="C3373" s="355" t="s">
        <v>1169</v>
      </c>
      <c r="D3373" s="307" t="s">
        <v>4288</v>
      </c>
      <c r="E3373" s="260" t="s">
        <v>4289</v>
      </c>
      <c r="F3373" s="352">
        <v>20583</v>
      </c>
      <c r="G3373" s="311">
        <v>1987</v>
      </c>
      <c r="H3373" s="340" t="s">
        <v>2658</v>
      </c>
      <c r="I3373" s="313">
        <v>1450</v>
      </c>
      <c r="J3373" s="350">
        <v>79.900000000000006</v>
      </c>
      <c r="K3373" s="350">
        <v>77.7</v>
      </c>
      <c r="L3373" s="314">
        <f t="shared" si="30"/>
        <v>2.2000000000000028</v>
      </c>
      <c r="M3373" s="337"/>
    </row>
    <row r="3374" spans="1:13" s="71" customFormat="1" ht="26.4" customHeight="1">
      <c r="A3374" s="282">
        <v>686</v>
      </c>
      <c r="B3374" s="534"/>
      <c r="C3374" s="307" t="s">
        <v>1790</v>
      </c>
      <c r="D3374" s="307" t="s">
        <v>4184</v>
      </c>
      <c r="E3374" s="260" t="s">
        <v>4290</v>
      </c>
      <c r="F3374" s="352">
        <v>20147</v>
      </c>
      <c r="G3374" s="311">
        <v>1975</v>
      </c>
      <c r="H3374" s="340" t="s">
        <v>2658</v>
      </c>
      <c r="I3374" s="313">
        <v>16</v>
      </c>
      <c r="J3374" s="350">
        <v>1.6</v>
      </c>
      <c r="K3374" s="350">
        <v>1.2</v>
      </c>
      <c r="L3374" s="314">
        <f t="shared" si="30"/>
        <v>0.40000000000000013</v>
      </c>
      <c r="M3374" s="337"/>
    </row>
    <row r="3375" spans="1:13" s="71" customFormat="1" ht="26.4" customHeight="1">
      <c r="A3375" s="282">
        <v>687</v>
      </c>
      <c r="B3375" s="534"/>
      <c r="C3375" s="355" t="s">
        <v>1169</v>
      </c>
      <c r="D3375" s="307" t="s">
        <v>4291</v>
      </c>
      <c r="E3375" s="260" t="s">
        <v>4292</v>
      </c>
      <c r="F3375" s="352">
        <v>20642</v>
      </c>
      <c r="G3375" s="311">
        <v>1996</v>
      </c>
      <c r="H3375" s="340" t="s">
        <v>2658</v>
      </c>
      <c r="I3375" s="313">
        <v>3.5</v>
      </c>
      <c r="J3375" s="350">
        <v>0.1</v>
      </c>
      <c r="K3375" s="350">
        <v>0.1</v>
      </c>
      <c r="L3375" s="314">
        <f t="shared" si="30"/>
        <v>0</v>
      </c>
      <c r="M3375" s="337"/>
    </row>
    <row r="3376" spans="1:13" s="71" customFormat="1" ht="26.4">
      <c r="A3376" s="282">
        <v>688</v>
      </c>
      <c r="B3376" s="534"/>
      <c r="C3376" s="355" t="s">
        <v>1169</v>
      </c>
      <c r="D3376" s="307" t="s">
        <v>12857</v>
      </c>
      <c r="E3376" s="361"/>
      <c r="F3376" s="352">
        <v>20584</v>
      </c>
      <c r="G3376" s="311">
        <v>1987</v>
      </c>
      <c r="H3376" s="340" t="s">
        <v>2658</v>
      </c>
      <c r="I3376" s="313">
        <v>1440</v>
      </c>
      <c r="J3376" s="350">
        <v>91.9</v>
      </c>
      <c r="K3376" s="350">
        <v>77.900000000000006</v>
      </c>
      <c r="L3376" s="314">
        <f t="shared" si="30"/>
        <v>14</v>
      </c>
      <c r="M3376" s="337"/>
    </row>
    <row r="3377" spans="1:13" s="71" customFormat="1" ht="26.4" customHeight="1">
      <c r="A3377" s="282">
        <v>689</v>
      </c>
      <c r="B3377" s="534"/>
      <c r="C3377" s="355" t="s">
        <v>1169</v>
      </c>
      <c r="D3377" s="307" t="s">
        <v>3967</v>
      </c>
      <c r="E3377" s="260" t="s">
        <v>4293</v>
      </c>
      <c r="F3377" s="362">
        <v>30032</v>
      </c>
      <c r="G3377" s="311">
        <v>1961</v>
      </c>
      <c r="H3377" s="340" t="s">
        <v>2658</v>
      </c>
      <c r="I3377" s="313">
        <v>2877</v>
      </c>
      <c r="J3377" s="350">
        <v>86.6</v>
      </c>
      <c r="K3377" s="350">
        <v>80.599999999999994</v>
      </c>
      <c r="L3377" s="314">
        <f t="shared" si="30"/>
        <v>6</v>
      </c>
      <c r="M3377" s="337"/>
    </row>
    <row r="3378" spans="1:13" s="71" customFormat="1" ht="26.4" customHeight="1">
      <c r="A3378" s="282">
        <v>690</v>
      </c>
      <c r="B3378" s="534"/>
      <c r="C3378" s="355" t="s">
        <v>1169</v>
      </c>
      <c r="D3378" s="307" t="s">
        <v>4294</v>
      </c>
      <c r="E3378" s="260" t="s">
        <v>4295</v>
      </c>
      <c r="F3378" s="362">
        <v>30041</v>
      </c>
      <c r="G3378" s="311">
        <v>1969</v>
      </c>
      <c r="H3378" s="340" t="s">
        <v>2658</v>
      </c>
      <c r="I3378" s="313">
        <v>100</v>
      </c>
      <c r="J3378" s="350">
        <v>1.6</v>
      </c>
      <c r="K3378" s="350">
        <v>1.5</v>
      </c>
      <c r="L3378" s="314">
        <f t="shared" si="30"/>
        <v>0.10000000000000009</v>
      </c>
      <c r="M3378" s="337"/>
    </row>
    <row r="3379" spans="1:13" s="71" customFormat="1" ht="26.4" customHeight="1">
      <c r="A3379" s="282">
        <v>691</v>
      </c>
      <c r="B3379" s="534"/>
      <c r="C3379" s="355" t="s">
        <v>1169</v>
      </c>
      <c r="D3379" s="307" t="s">
        <v>4296</v>
      </c>
      <c r="E3379" s="260" t="s">
        <v>4297</v>
      </c>
      <c r="F3379" s="362">
        <v>30034</v>
      </c>
      <c r="G3379" s="311">
        <v>1968</v>
      </c>
      <c r="H3379" s="340" t="s">
        <v>2658</v>
      </c>
      <c r="I3379" s="313">
        <v>1850</v>
      </c>
      <c r="J3379" s="350">
        <v>38.700000000000003</v>
      </c>
      <c r="K3379" s="350">
        <v>33.9</v>
      </c>
      <c r="L3379" s="314">
        <f t="shared" si="30"/>
        <v>4.8000000000000043</v>
      </c>
      <c r="M3379" s="337"/>
    </row>
    <row r="3380" spans="1:13" s="71" customFormat="1" ht="26.4" customHeight="1">
      <c r="A3380" s="282">
        <v>692</v>
      </c>
      <c r="B3380" s="534"/>
      <c r="C3380" s="355" t="s">
        <v>1169</v>
      </c>
      <c r="D3380" s="307" t="s">
        <v>4291</v>
      </c>
      <c r="E3380" s="260" t="s">
        <v>4298</v>
      </c>
      <c r="F3380" s="362">
        <v>30039</v>
      </c>
      <c r="G3380" s="311">
        <v>1968</v>
      </c>
      <c r="H3380" s="340" t="s">
        <v>2658</v>
      </c>
      <c r="I3380" s="313">
        <v>1300</v>
      </c>
      <c r="J3380" s="350">
        <v>17.899999999999999</v>
      </c>
      <c r="K3380" s="350">
        <v>17.399999999999999</v>
      </c>
      <c r="L3380" s="314">
        <f t="shared" si="30"/>
        <v>0.5</v>
      </c>
      <c r="M3380" s="337"/>
    </row>
    <row r="3381" spans="1:13" s="71" customFormat="1" ht="26.4" customHeight="1">
      <c r="A3381" s="282">
        <v>693</v>
      </c>
      <c r="B3381" s="534"/>
      <c r="C3381" s="355" t="s">
        <v>1169</v>
      </c>
      <c r="D3381" s="307" t="s">
        <v>3742</v>
      </c>
      <c r="E3381" s="260" t="s">
        <v>4299</v>
      </c>
      <c r="F3381" s="362">
        <v>30014</v>
      </c>
      <c r="G3381" s="311">
        <v>1968</v>
      </c>
      <c r="H3381" s="340" t="s">
        <v>2658</v>
      </c>
      <c r="I3381" s="313">
        <v>3225</v>
      </c>
      <c r="J3381" s="350">
        <v>46.6</v>
      </c>
      <c r="K3381" s="350">
        <v>45.3</v>
      </c>
      <c r="L3381" s="314">
        <f t="shared" si="30"/>
        <v>1.3000000000000043</v>
      </c>
      <c r="M3381" s="337"/>
    </row>
    <row r="3382" spans="1:13" s="71" customFormat="1" ht="26.4" customHeight="1">
      <c r="A3382" s="282">
        <v>694</v>
      </c>
      <c r="B3382" s="534"/>
      <c r="C3382" s="307" t="s">
        <v>4300</v>
      </c>
      <c r="D3382" s="307" t="s">
        <v>3351</v>
      </c>
      <c r="E3382" s="260" t="s">
        <v>4301</v>
      </c>
      <c r="F3382" s="362">
        <v>30015</v>
      </c>
      <c r="G3382" s="311">
        <v>1968</v>
      </c>
      <c r="H3382" s="340" t="s">
        <v>2658</v>
      </c>
      <c r="I3382" s="313">
        <v>1671</v>
      </c>
      <c r="J3382" s="350">
        <v>49.2</v>
      </c>
      <c r="K3382" s="350">
        <v>45.8</v>
      </c>
      <c r="L3382" s="314">
        <f t="shared" si="30"/>
        <v>3.4000000000000057</v>
      </c>
      <c r="M3382" s="337"/>
    </row>
    <row r="3383" spans="1:13" s="71" customFormat="1" ht="26.4" customHeight="1">
      <c r="A3383" s="282">
        <v>695</v>
      </c>
      <c r="B3383" s="534"/>
      <c r="C3383" s="307" t="s">
        <v>4302</v>
      </c>
      <c r="D3383" s="307" t="s">
        <v>4303</v>
      </c>
      <c r="E3383" s="260" t="s">
        <v>4304</v>
      </c>
      <c r="F3383" s="362">
        <v>30016</v>
      </c>
      <c r="G3383" s="311">
        <v>1968</v>
      </c>
      <c r="H3383" s="340" t="s">
        <v>2658</v>
      </c>
      <c r="I3383" s="313">
        <v>3840</v>
      </c>
      <c r="J3383" s="350">
        <v>148.5</v>
      </c>
      <c r="K3383" s="350">
        <v>129.9</v>
      </c>
      <c r="L3383" s="314">
        <f t="shared" si="30"/>
        <v>18.599999999999994</v>
      </c>
      <c r="M3383" s="337"/>
    </row>
    <row r="3384" spans="1:13" s="71" customFormat="1" ht="52.8">
      <c r="A3384" s="282">
        <v>696</v>
      </c>
      <c r="B3384" s="534"/>
      <c r="C3384" s="355" t="s">
        <v>1169</v>
      </c>
      <c r="D3384" s="307" t="s">
        <v>12858</v>
      </c>
      <c r="E3384" s="260" t="s">
        <v>13065</v>
      </c>
      <c r="F3384" s="362">
        <v>30009</v>
      </c>
      <c r="G3384" s="311">
        <v>1964</v>
      </c>
      <c r="H3384" s="340" t="s">
        <v>2658</v>
      </c>
      <c r="I3384" s="313">
        <v>1689</v>
      </c>
      <c r="J3384" s="350">
        <v>36.6</v>
      </c>
      <c r="K3384" s="350">
        <v>34.5</v>
      </c>
      <c r="L3384" s="314">
        <f t="shared" si="30"/>
        <v>2.1000000000000014</v>
      </c>
      <c r="M3384" s="337"/>
    </row>
    <row r="3385" spans="1:13" s="71" customFormat="1" ht="26.4" customHeight="1">
      <c r="A3385" s="282">
        <v>697</v>
      </c>
      <c r="B3385" s="534"/>
      <c r="C3385" s="307" t="s">
        <v>3495</v>
      </c>
      <c r="D3385" s="307" t="s">
        <v>3</v>
      </c>
      <c r="E3385" s="260" t="s">
        <v>4305</v>
      </c>
      <c r="F3385" s="362">
        <v>30012</v>
      </c>
      <c r="G3385" s="311">
        <v>1964</v>
      </c>
      <c r="H3385" s="340" t="s">
        <v>2658</v>
      </c>
      <c r="I3385" s="313">
        <v>400</v>
      </c>
      <c r="J3385" s="350">
        <v>9</v>
      </c>
      <c r="K3385" s="350">
        <v>8.8000000000000007</v>
      </c>
      <c r="L3385" s="314">
        <f t="shared" si="30"/>
        <v>0.19999999999999929</v>
      </c>
      <c r="M3385" s="337"/>
    </row>
    <row r="3386" spans="1:13" s="71" customFormat="1" ht="26.4" customHeight="1">
      <c r="A3386" s="282">
        <v>698</v>
      </c>
      <c r="B3386" s="534"/>
      <c r="C3386" s="355" t="s">
        <v>1169</v>
      </c>
      <c r="D3386" s="307" t="s">
        <v>3</v>
      </c>
      <c r="E3386" s="260" t="s">
        <v>4306</v>
      </c>
      <c r="F3386" s="362">
        <v>30042</v>
      </c>
      <c r="G3386" s="311">
        <v>1964</v>
      </c>
      <c r="H3386" s="340" t="s">
        <v>2658</v>
      </c>
      <c r="I3386" s="313">
        <v>207</v>
      </c>
      <c r="J3386" s="350">
        <v>9.4</v>
      </c>
      <c r="K3386" s="350">
        <v>8</v>
      </c>
      <c r="L3386" s="314">
        <f t="shared" si="30"/>
        <v>1.4000000000000004</v>
      </c>
      <c r="M3386" s="337"/>
    </row>
    <row r="3387" spans="1:13" s="71" customFormat="1" ht="26.4" customHeight="1">
      <c r="A3387" s="282">
        <v>699</v>
      </c>
      <c r="B3387" s="534"/>
      <c r="C3387" s="307" t="s">
        <v>3412</v>
      </c>
      <c r="D3387" s="307" t="s">
        <v>4307</v>
      </c>
      <c r="E3387" s="260" t="s">
        <v>4308</v>
      </c>
      <c r="F3387" s="362">
        <v>30003</v>
      </c>
      <c r="G3387" s="311">
        <v>1966</v>
      </c>
      <c r="H3387" s="340" t="s">
        <v>2658</v>
      </c>
      <c r="I3387" s="313">
        <v>237.5</v>
      </c>
      <c r="J3387" s="350">
        <v>4.9000000000000004</v>
      </c>
      <c r="K3387" s="350">
        <v>4.2</v>
      </c>
      <c r="L3387" s="314">
        <f t="shared" si="30"/>
        <v>0.70000000000000018</v>
      </c>
      <c r="M3387" s="337"/>
    </row>
    <row r="3388" spans="1:13" s="71" customFormat="1" ht="26.4" customHeight="1">
      <c r="A3388" s="282">
        <v>700</v>
      </c>
      <c r="B3388" s="534"/>
      <c r="C3388" s="355" t="s">
        <v>1169</v>
      </c>
      <c r="D3388" s="307" t="s">
        <v>3</v>
      </c>
      <c r="E3388" s="260" t="s">
        <v>4309</v>
      </c>
      <c r="F3388" s="362">
        <v>30045</v>
      </c>
      <c r="G3388" s="311">
        <v>1965</v>
      </c>
      <c r="H3388" s="340" t="s">
        <v>2658</v>
      </c>
      <c r="I3388" s="313">
        <v>386</v>
      </c>
      <c r="J3388" s="350">
        <v>14.8</v>
      </c>
      <c r="K3388" s="350">
        <v>13.2</v>
      </c>
      <c r="L3388" s="314">
        <f t="shared" si="30"/>
        <v>1.6000000000000014</v>
      </c>
      <c r="M3388" s="337"/>
    </row>
    <row r="3389" spans="1:13" s="71" customFormat="1" ht="26.4">
      <c r="A3389" s="282">
        <v>701</v>
      </c>
      <c r="B3389" s="534"/>
      <c r="C3389" s="355" t="s">
        <v>1169</v>
      </c>
      <c r="D3389" s="307" t="s">
        <v>12859</v>
      </c>
      <c r="E3389" s="260" t="s">
        <v>12683</v>
      </c>
      <c r="F3389" s="362">
        <v>30013</v>
      </c>
      <c r="G3389" s="311">
        <v>1965</v>
      </c>
      <c r="H3389" s="340" t="s">
        <v>2658</v>
      </c>
      <c r="I3389" s="313">
        <v>220</v>
      </c>
      <c r="J3389" s="350">
        <v>4.9000000000000004</v>
      </c>
      <c r="K3389" s="350">
        <v>4.2</v>
      </c>
      <c r="L3389" s="314">
        <f t="shared" si="30"/>
        <v>0.70000000000000018</v>
      </c>
      <c r="M3389" s="337"/>
    </row>
    <row r="3390" spans="1:13" s="71" customFormat="1" ht="39.6">
      <c r="A3390" s="282">
        <v>702</v>
      </c>
      <c r="B3390" s="534"/>
      <c r="C3390" s="355" t="s">
        <v>1169</v>
      </c>
      <c r="D3390" s="307" t="s">
        <v>12968</v>
      </c>
      <c r="E3390" s="260" t="s">
        <v>4310</v>
      </c>
      <c r="F3390" s="362">
        <v>30036</v>
      </c>
      <c r="G3390" s="311">
        <v>1966</v>
      </c>
      <c r="H3390" s="340" t="s">
        <v>2658</v>
      </c>
      <c r="I3390" s="313">
        <v>323.39999999999998</v>
      </c>
      <c r="J3390" s="350">
        <v>9.9</v>
      </c>
      <c r="K3390" s="350">
        <v>8.6</v>
      </c>
      <c r="L3390" s="314">
        <f t="shared" si="30"/>
        <v>1.3000000000000007</v>
      </c>
      <c r="M3390" s="337"/>
    </row>
    <row r="3391" spans="1:13" s="71" customFormat="1" ht="26.4" customHeight="1">
      <c r="A3391" s="282">
        <v>703</v>
      </c>
      <c r="B3391" s="534"/>
      <c r="C3391" s="355" t="s">
        <v>1169</v>
      </c>
      <c r="D3391" s="307" t="s">
        <v>3462</v>
      </c>
      <c r="E3391" s="260" t="s">
        <v>4311</v>
      </c>
      <c r="F3391" s="362">
        <v>30001</v>
      </c>
      <c r="G3391" s="311">
        <v>1966</v>
      </c>
      <c r="H3391" s="340" t="s">
        <v>2658</v>
      </c>
      <c r="I3391" s="313">
        <v>305</v>
      </c>
      <c r="J3391" s="350">
        <v>10.4</v>
      </c>
      <c r="K3391" s="350">
        <v>9.6999999999999993</v>
      </c>
      <c r="L3391" s="314">
        <f t="shared" si="30"/>
        <v>0.70000000000000107</v>
      </c>
      <c r="M3391" s="337"/>
    </row>
    <row r="3392" spans="1:13" s="71" customFormat="1" ht="26.4" customHeight="1">
      <c r="A3392" s="282">
        <v>704</v>
      </c>
      <c r="B3392" s="534"/>
      <c r="C3392" s="355" t="s">
        <v>1169</v>
      </c>
      <c r="D3392" s="307" t="s">
        <v>4291</v>
      </c>
      <c r="E3392" s="260" t="s">
        <v>4312</v>
      </c>
      <c r="F3392" s="362">
        <v>30002</v>
      </c>
      <c r="G3392" s="311">
        <v>1966</v>
      </c>
      <c r="H3392" s="340" t="s">
        <v>2658</v>
      </c>
      <c r="I3392" s="313">
        <v>235</v>
      </c>
      <c r="J3392" s="350">
        <v>4.2</v>
      </c>
      <c r="K3392" s="350">
        <v>4.0999999999999996</v>
      </c>
      <c r="L3392" s="314">
        <f t="shared" si="30"/>
        <v>0.10000000000000053</v>
      </c>
      <c r="M3392" s="337"/>
    </row>
    <row r="3393" spans="1:13" s="71" customFormat="1" ht="26.4" customHeight="1">
      <c r="A3393" s="282">
        <v>705</v>
      </c>
      <c r="B3393" s="534"/>
      <c r="C3393" s="307" t="s">
        <v>3276</v>
      </c>
      <c r="D3393" s="307" t="s">
        <v>4166</v>
      </c>
      <c r="E3393" s="260" t="s">
        <v>937</v>
      </c>
      <c r="F3393" s="362">
        <v>30044</v>
      </c>
      <c r="G3393" s="311">
        <v>1966</v>
      </c>
      <c r="H3393" s="340" t="s">
        <v>2658</v>
      </c>
      <c r="I3393" s="313">
        <v>121.3</v>
      </c>
      <c r="J3393" s="350">
        <v>4.5999999999999996</v>
      </c>
      <c r="K3393" s="350">
        <v>4.3</v>
      </c>
      <c r="L3393" s="314">
        <f t="shared" ref="L3393:L3456" si="31">J3393-K3393</f>
        <v>0.29999999999999982</v>
      </c>
      <c r="M3393" s="337"/>
    </row>
    <row r="3394" spans="1:13" s="71" customFormat="1" ht="26.4" customHeight="1">
      <c r="A3394" s="282">
        <v>706</v>
      </c>
      <c r="B3394" s="534"/>
      <c r="C3394" s="355" t="s">
        <v>1169</v>
      </c>
      <c r="D3394" s="307" t="s">
        <v>3902</v>
      </c>
      <c r="E3394" s="260" t="s">
        <v>4313</v>
      </c>
      <c r="F3394" s="362">
        <v>30038</v>
      </c>
      <c r="G3394" s="311">
        <v>1969</v>
      </c>
      <c r="H3394" s="340" t="s">
        <v>2658</v>
      </c>
      <c r="I3394" s="313">
        <v>242</v>
      </c>
      <c r="J3394" s="350">
        <v>5.6</v>
      </c>
      <c r="K3394" s="350">
        <v>5.4</v>
      </c>
      <c r="L3394" s="314">
        <f t="shared" si="31"/>
        <v>0.19999999999999929</v>
      </c>
      <c r="M3394" s="337"/>
    </row>
    <row r="3395" spans="1:13" s="71" customFormat="1" ht="26.4" customHeight="1">
      <c r="A3395" s="282">
        <v>707</v>
      </c>
      <c r="B3395" s="534"/>
      <c r="C3395" s="307" t="s">
        <v>3412</v>
      </c>
      <c r="D3395" s="307" t="s">
        <v>3409</v>
      </c>
      <c r="E3395" s="260" t="s">
        <v>937</v>
      </c>
      <c r="F3395" s="362">
        <v>30004</v>
      </c>
      <c r="G3395" s="311">
        <v>1967</v>
      </c>
      <c r="H3395" s="340" t="s">
        <v>2658</v>
      </c>
      <c r="I3395" s="313">
        <v>483</v>
      </c>
      <c r="J3395" s="350">
        <v>10.9</v>
      </c>
      <c r="K3395" s="350">
        <v>10.7</v>
      </c>
      <c r="L3395" s="314">
        <f t="shared" si="31"/>
        <v>0.20000000000000107</v>
      </c>
      <c r="M3395" s="337"/>
    </row>
    <row r="3396" spans="1:13" s="71" customFormat="1" ht="26.4" customHeight="1">
      <c r="A3396" s="282">
        <v>708</v>
      </c>
      <c r="B3396" s="534"/>
      <c r="C3396" s="355" t="s">
        <v>1169</v>
      </c>
      <c r="D3396" s="307" t="s">
        <v>3920</v>
      </c>
      <c r="E3396" s="260" t="s">
        <v>4314</v>
      </c>
      <c r="F3396" s="362">
        <v>30011</v>
      </c>
      <c r="G3396" s="311">
        <v>1967</v>
      </c>
      <c r="H3396" s="340" t="s">
        <v>2658</v>
      </c>
      <c r="I3396" s="313">
        <v>514</v>
      </c>
      <c r="J3396" s="350">
        <v>27.4</v>
      </c>
      <c r="K3396" s="350">
        <v>25.5</v>
      </c>
      <c r="L3396" s="314">
        <f t="shared" si="31"/>
        <v>1.8999999999999986</v>
      </c>
      <c r="M3396" s="337"/>
    </row>
    <row r="3397" spans="1:13" s="71" customFormat="1" ht="26.4" customHeight="1">
      <c r="A3397" s="282">
        <v>709</v>
      </c>
      <c r="B3397" s="534"/>
      <c r="C3397" s="307" t="s">
        <v>3276</v>
      </c>
      <c r="D3397" s="307" t="s">
        <v>3</v>
      </c>
      <c r="E3397" s="260" t="s">
        <v>4315</v>
      </c>
      <c r="F3397" s="362">
        <v>30006</v>
      </c>
      <c r="G3397" s="311">
        <v>1969</v>
      </c>
      <c r="H3397" s="340" t="s">
        <v>2658</v>
      </c>
      <c r="I3397" s="313">
        <v>1300</v>
      </c>
      <c r="J3397" s="350">
        <v>35.200000000000003</v>
      </c>
      <c r="K3397" s="350">
        <v>34.200000000000003</v>
      </c>
      <c r="L3397" s="314">
        <f t="shared" si="31"/>
        <v>1</v>
      </c>
      <c r="M3397" s="337"/>
    </row>
    <row r="3398" spans="1:13" s="71" customFormat="1" ht="26.4" customHeight="1">
      <c r="A3398" s="282">
        <v>710</v>
      </c>
      <c r="B3398" s="534"/>
      <c r="C3398" s="355" t="s">
        <v>1169</v>
      </c>
      <c r="D3398" s="307" t="s">
        <v>3</v>
      </c>
      <c r="E3398" s="260" t="s">
        <v>12684</v>
      </c>
      <c r="F3398" s="362">
        <v>30020</v>
      </c>
      <c r="G3398" s="311">
        <v>1968</v>
      </c>
      <c r="H3398" s="340" t="s">
        <v>2658</v>
      </c>
      <c r="I3398" s="313">
        <v>5848</v>
      </c>
      <c r="J3398" s="350">
        <v>191.5</v>
      </c>
      <c r="K3398" s="350">
        <v>183.2</v>
      </c>
      <c r="L3398" s="314">
        <f t="shared" si="31"/>
        <v>8.3000000000000114</v>
      </c>
      <c r="M3398" s="337"/>
    </row>
    <row r="3399" spans="1:13" s="71" customFormat="1" ht="26.4" customHeight="1">
      <c r="A3399" s="282">
        <v>711</v>
      </c>
      <c r="B3399" s="534"/>
      <c r="C3399" s="355" t="s">
        <v>1169</v>
      </c>
      <c r="D3399" s="307" t="s">
        <v>3</v>
      </c>
      <c r="E3399" s="260" t="s">
        <v>937</v>
      </c>
      <c r="F3399" s="362">
        <v>30007</v>
      </c>
      <c r="G3399" s="311">
        <v>1962</v>
      </c>
      <c r="H3399" s="340" t="s">
        <v>2658</v>
      </c>
      <c r="I3399" s="313">
        <v>2254</v>
      </c>
      <c r="J3399" s="350">
        <v>61.4</v>
      </c>
      <c r="K3399" s="350">
        <v>59.8</v>
      </c>
      <c r="L3399" s="314">
        <f t="shared" si="31"/>
        <v>1.6000000000000014</v>
      </c>
      <c r="M3399" s="337"/>
    </row>
    <row r="3400" spans="1:13" s="71" customFormat="1" ht="26.4" customHeight="1">
      <c r="A3400" s="282">
        <v>712</v>
      </c>
      <c r="B3400" s="534"/>
      <c r="C3400" s="355" t="s">
        <v>1169</v>
      </c>
      <c r="D3400" s="307" t="s">
        <v>1397</v>
      </c>
      <c r="E3400" s="260" t="s">
        <v>4316</v>
      </c>
      <c r="F3400" s="362">
        <v>30030</v>
      </c>
      <c r="G3400" s="311">
        <v>1962</v>
      </c>
      <c r="H3400" s="340" t="s">
        <v>2658</v>
      </c>
      <c r="I3400" s="313">
        <v>287</v>
      </c>
      <c r="J3400" s="350">
        <v>7.7</v>
      </c>
      <c r="K3400" s="350">
        <v>7.5</v>
      </c>
      <c r="L3400" s="314">
        <f t="shared" si="31"/>
        <v>0.20000000000000018</v>
      </c>
      <c r="M3400" s="337"/>
    </row>
    <row r="3401" spans="1:13" s="71" customFormat="1" ht="39.6">
      <c r="A3401" s="282">
        <v>713</v>
      </c>
      <c r="B3401" s="534"/>
      <c r="C3401" s="355" t="s">
        <v>1169</v>
      </c>
      <c r="D3401" s="307" t="s">
        <v>12860</v>
      </c>
      <c r="E3401" s="260" t="s">
        <v>4317</v>
      </c>
      <c r="F3401" s="362">
        <v>30019</v>
      </c>
      <c r="G3401" s="311">
        <v>1962</v>
      </c>
      <c r="H3401" s="340" t="s">
        <v>2658</v>
      </c>
      <c r="I3401" s="313">
        <v>195</v>
      </c>
      <c r="J3401" s="350">
        <v>6.6</v>
      </c>
      <c r="K3401" s="350">
        <v>5.6</v>
      </c>
      <c r="L3401" s="314">
        <f t="shared" si="31"/>
        <v>1</v>
      </c>
      <c r="M3401" s="337"/>
    </row>
    <row r="3402" spans="1:13" s="71" customFormat="1" ht="26.4" customHeight="1">
      <c r="A3402" s="282">
        <v>714</v>
      </c>
      <c r="B3402" s="534"/>
      <c r="C3402" s="355" t="s">
        <v>1169</v>
      </c>
      <c r="D3402" s="307" t="s">
        <v>3967</v>
      </c>
      <c r="E3402" s="260" t="s">
        <v>4318</v>
      </c>
      <c r="F3402" s="362">
        <v>30010</v>
      </c>
      <c r="G3402" s="311">
        <v>1962</v>
      </c>
      <c r="H3402" s="340" t="s">
        <v>2658</v>
      </c>
      <c r="I3402" s="313">
        <v>1296</v>
      </c>
      <c r="J3402" s="350">
        <v>71.2</v>
      </c>
      <c r="K3402" s="350">
        <v>69.2</v>
      </c>
      <c r="L3402" s="314">
        <f t="shared" si="31"/>
        <v>2</v>
      </c>
      <c r="M3402" s="337"/>
    </row>
    <row r="3403" spans="1:13" s="71" customFormat="1" ht="26.4" customHeight="1">
      <c r="A3403" s="282">
        <v>715</v>
      </c>
      <c r="B3403" s="534"/>
      <c r="C3403" s="355" t="s">
        <v>1169</v>
      </c>
      <c r="D3403" s="307" t="s">
        <v>3</v>
      </c>
      <c r="E3403" s="260" t="s">
        <v>4319</v>
      </c>
      <c r="F3403" s="362">
        <v>30018</v>
      </c>
      <c r="G3403" s="311">
        <v>1963</v>
      </c>
      <c r="H3403" s="340" t="s">
        <v>2658</v>
      </c>
      <c r="I3403" s="313">
        <v>415.8</v>
      </c>
      <c r="J3403" s="350">
        <v>17</v>
      </c>
      <c r="K3403" s="350">
        <v>14.4</v>
      </c>
      <c r="L3403" s="314">
        <f t="shared" si="31"/>
        <v>2.5999999999999996</v>
      </c>
      <c r="M3403" s="337"/>
    </row>
    <row r="3404" spans="1:13" s="71" customFormat="1" ht="26.4" customHeight="1">
      <c r="A3404" s="282">
        <v>716</v>
      </c>
      <c r="B3404" s="534"/>
      <c r="C3404" s="355" t="s">
        <v>1169</v>
      </c>
      <c r="D3404" s="307" t="s">
        <v>4320</v>
      </c>
      <c r="E3404" s="260" t="s">
        <v>13066</v>
      </c>
      <c r="F3404" s="362">
        <v>30040</v>
      </c>
      <c r="G3404" s="311">
        <v>1963</v>
      </c>
      <c r="H3404" s="340" t="s">
        <v>2658</v>
      </c>
      <c r="I3404" s="313">
        <v>383.5</v>
      </c>
      <c r="J3404" s="350">
        <v>15.7</v>
      </c>
      <c r="K3404" s="350">
        <v>13.3</v>
      </c>
      <c r="L3404" s="314">
        <f t="shared" si="31"/>
        <v>2.3999999999999986</v>
      </c>
      <c r="M3404" s="337"/>
    </row>
    <row r="3405" spans="1:13" s="71" customFormat="1" ht="26.4" customHeight="1">
      <c r="A3405" s="282">
        <v>717</v>
      </c>
      <c r="B3405" s="534"/>
      <c r="C3405" s="355" t="s">
        <v>1169</v>
      </c>
      <c r="D3405" s="307" t="s">
        <v>3438</v>
      </c>
      <c r="E3405" s="260" t="s">
        <v>4321</v>
      </c>
      <c r="F3405" s="362">
        <v>30091</v>
      </c>
      <c r="G3405" s="311">
        <v>1981</v>
      </c>
      <c r="H3405" s="340" t="s">
        <v>2658</v>
      </c>
      <c r="I3405" s="313">
        <v>40</v>
      </c>
      <c r="J3405" s="350">
        <v>2</v>
      </c>
      <c r="K3405" s="350">
        <v>1.8</v>
      </c>
      <c r="L3405" s="314">
        <f t="shared" si="31"/>
        <v>0.19999999999999996</v>
      </c>
      <c r="M3405" s="337"/>
    </row>
    <row r="3406" spans="1:13" s="71" customFormat="1" ht="26.4" customHeight="1">
      <c r="A3406" s="282">
        <v>718</v>
      </c>
      <c r="B3406" s="534"/>
      <c r="C3406" s="307" t="s">
        <v>3276</v>
      </c>
      <c r="D3406" s="307" t="s">
        <v>4166</v>
      </c>
      <c r="E3406" s="260" t="s">
        <v>4322</v>
      </c>
      <c r="F3406" s="362">
        <v>30093</v>
      </c>
      <c r="G3406" s="311">
        <v>1981</v>
      </c>
      <c r="H3406" s="340" t="s">
        <v>2658</v>
      </c>
      <c r="I3406" s="313">
        <v>216</v>
      </c>
      <c r="J3406" s="350">
        <v>12.8</v>
      </c>
      <c r="K3406" s="350">
        <v>10.8</v>
      </c>
      <c r="L3406" s="314">
        <f t="shared" si="31"/>
        <v>2</v>
      </c>
      <c r="M3406" s="337"/>
    </row>
    <row r="3407" spans="1:13" s="71" customFormat="1" ht="26.4" customHeight="1">
      <c r="A3407" s="282">
        <v>719</v>
      </c>
      <c r="B3407" s="534"/>
      <c r="C3407" s="355" t="s">
        <v>1169</v>
      </c>
      <c r="D3407" s="307" t="s">
        <v>3</v>
      </c>
      <c r="E3407" s="260" t="s">
        <v>4323</v>
      </c>
      <c r="F3407" s="362">
        <v>30092</v>
      </c>
      <c r="G3407" s="311">
        <v>1981</v>
      </c>
      <c r="H3407" s="340" t="s">
        <v>2658</v>
      </c>
      <c r="I3407" s="313">
        <v>104</v>
      </c>
      <c r="J3407" s="350">
        <v>5.3</v>
      </c>
      <c r="K3407" s="350">
        <v>4.5</v>
      </c>
      <c r="L3407" s="314">
        <f t="shared" si="31"/>
        <v>0.79999999999999982</v>
      </c>
      <c r="M3407" s="337"/>
    </row>
    <row r="3408" spans="1:13" s="71" customFormat="1" ht="26.4" customHeight="1">
      <c r="A3408" s="282">
        <v>720</v>
      </c>
      <c r="B3408" s="534"/>
      <c r="C3408" s="355" t="s">
        <v>1169</v>
      </c>
      <c r="D3408" s="307" t="s">
        <v>3920</v>
      </c>
      <c r="E3408" s="260" t="s">
        <v>4324</v>
      </c>
      <c r="F3408" s="362">
        <v>30097</v>
      </c>
      <c r="G3408" s="311">
        <v>1981</v>
      </c>
      <c r="H3408" s="340" t="s">
        <v>2658</v>
      </c>
      <c r="I3408" s="313">
        <v>50</v>
      </c>
      <c r="J3408" s="350">
        <v>8.6999999999999993</v>
      </c>
      <c r="K3408" s="350">
        <v>8.4</v>
      </c>
      <c r="L3408" s="314">
        <f t="shared" si="31"/>
        <v>0.29999999999999893</v>
      </c>
      <c r="M3408" s="337"/>
    </row>
    <row r="3409" spans="1:13" s="71" customFormat="1" ht="26.4" customHeight="1">
      <c r="A3409" s="282">
        <v>721</v>
      </c>
      <c r="B3409" s="534"/>
      <c r="C3409" s="307" t="s">
        <v>3336</v>
      </c>
      <c r="D3409" s="307" t="s">
        <v>4190</v>
      </c>
      <c r="E3409" s="260" t="s">
        <v>4325</v>
      </c>
      <c r="F3409" s="362">
        <v>30098</v>
      </c>
      <c r="G3409" s="311">
        <v>1981</v>
      </c>
      <c r="H3409" s="340" t="s">
        <v>2658</v>
      </c>
      <c r="I3409" s="313">
        <v>6385</v>
      </c>
      <c r="J3409" s="350">
        <v>398.8</v>
      </c>
      <c r="K3409" s="350">
        <v>398.8</v>
      </c>
      <c r="L3409" s="314">
        <f t="shared" si="31"/>
        <v>0</v>
      </c>
      <c r="M3409" s="337"/>
    </row>
    <row r="3410" spans="1:13" s="71" customFormat="1" ht="26.4" customHeight="1">
      <c r="A3410" s="282">
        <v>722</v>
      </c>
      <c r="B3410" s="534"/>
      <c r="C3410" s="355" t="s">
        <v>1169</v>
      </c>
      <c r="D3410" s="307" t="s">
        <v>4326</v>
      </c>
      <c r="E3410" s="260" t="s">
        <v>4327</v>
      </c>
      <c r="F3410" s="362">
        <v>30100</v>
      </c>
      <c r="G3410" s="311">
        <v>1982</v>
      </c>
      <c r="H3410" s="340" t="s">
        <v>2658</v>
      </c>
      <c r="I3410" s="313">
        <v>125</v>
      </c>
      <c r="J3410" s="350">
        <v>3.4</v>
      </c>
      <c r="K3410" s="350">
        <v>2.9</v>
      </c>
      <c r="L3410" s="314">
        <f t="shared" si="31"/>
        <v>0.5</v>
      </c>
      <c r="M3410" s="337"/>
    </row>
    <row r="3411" spans="1:13" s="71" customFormat="1" ht="39.6">
      <c r="A3411" s="282">
        <v>723</v>
      </c>
      <c r="B3411" s="534"/>
      <c r="C3411" s="355" t="s">
        <v>1169</v>
      </c>
      <c r="D3411" s="307" t="s">
        <v>12861</v>
      </c>
      <c r="E3411" s="260" t="s">
        <v>4328</v>
      </c>
      <c r="F3411" s="362">
        <v>30037</v>
      </c>
      <c r="G3411" s="311">
        <v>1965</v>
      </c>
      <c r="H3411" s="340" t="s">
        <v>2658</v>
      </c>
      <c r="I3411" s="313">
        <v>206</v>
      </c>
      <c r="J3411" s="350">
        <v>5.2</v>
      </c>
      <c r="K3411" s="350">
        <v>4.4000000000000004</v>
      </c>
      <c r="L3411" s="314">
        <f t="shared" si="31"/>
        <v>0.79999999999999982</v>
      </c>
      <c r="M3411" s="337"/>
    </row>
    <row r="3412" spans="1:13" s="71" customFormat="1" ht="26.4" customHeight="1">
      <c r="A3412" s="282">
        <v>724</v>
      </c>
      <c r="B3412" s="534"/>
      <c r="C3412" s="355" t="s">
        <v>1169</v>
      </c>
      <c r="D3412" s="307" t="s">
        <v>4329</v>
      </c>
      <c r="E3412" s="260" t="s">
        <v>4330</v>
      </c>
      <c r="F3412" s="362">
        <v>30043</v>
      </c>
      <c r="G3412" s="311">
        <v>1963</v>
      </c>
      <c r="H3412" s="340" t="s">
        <v>2658</v>
      </c>
      <c r="I3412" s="313">
        <v>192.2</v>
      </c>
      <c r="J3412" s="350">
        <v>5.8</v>
      </c>
      <c r="K3412" s="350">
        <v>5.6</v>
      </c>
      <c r="L3412" s="314">
        <f t="shared" si="31"/>
        <v>0.20000000000000018</v>
      </c>
      <c r="M3412" s="337"/>
    </row>
    <row r="3413" spans="1:13" s="71" customFormat="1" ht="26.4" customHeight="1">
      <c r="A3413" s="282">
        <v>725</v>
      </c>
      <c r="B3413" s="534"/>
      <c r="C3413" s="355" t="s">
        <v>1169</v>
      </c>
      <c r="D3413" s="307" t="s">
        <v>4331</v>
      </c>
      <c r="E3413" s="260" t="s">
        <v>4332</v>
      </c>
      <c r="F3413" s="362">
        <v>30031</v>
      </c>
      <c r="G3413" s="311">
        <v>1963</v>
      </c>
      <c r="H3413" s="340" t="s">
        <v>2658</v>
      </c>
      <c r="I3413" s="313">
        <v>287</v>
      </c>
      <c r="J3413" s="350">
        <v>60.9</v>
      </c>
      <c r="K3413" s="350">
        <v>56.7</v>
      </c>
      <c r="L3413" s="314">
        <f t="shared" si="31"/>
        <v>4.1999999999999957</v>
      </c>
      <c r="M3413" s="337"/>
    </row>
    <row r="3414" spans="1:13" s="71" customFormat="1" ht="26.4" customHeight="1">
      <c r="A3414" s="282">
        <v>726</v>
      </c>
      <c r="B3414" s="534"/>
      <c r="C3414" s="307" t="s">
        <v>3276</v>
      </c>
      <c r="D3414" s="307" t="s">
        <v>4333</v>
      </c>
      <c r="E3414" s="260" t="s">
        <v>4334</v>
      </c>
      <c r="F3414" s="362">
        <v>30017</v>
      </c>
      <c r="G3414" s="311">
        <v>1967</v>
      </c>
      <c r="H3414" s="340" t="s">
        <v>2658</v>
      </c>
      <c r="I3414" s="313">
        <v>3528.7</v>
      </c>
      <c r="J3414" s="350">
        <v>106.4</v>
      </c>
      <c r="K3414" s="350">
        <v>103.4</v>
      </c>
      <c r="L3414" s="314">
        <f t="shared" si="31"/>
        <v>3</v>
      </c>
      <c r="M3414" s="337"/>
    </row>
    <row r="3415" spans="1:13" s="71" customFormat="1" ht="26.4" customHeight="1">
      <c r="A3415" s="282">
        <v>727</v>
      </c>
      <c r="B3415" s="534"/>
      <c r="C3415" s="355" t="s">
        <v>1169</v>
      </c>
      <c r="D3415" s="307" t="s">
        <v>4335</v>
      </c>
      <c r="E3415" s="260" t="s">
        <v>4336</v>
      </c>
      <c r="F3415" s="362">
        <v>30046</v>
      </c>
      <c r="G3415" s="311">
        <v>1964</v>
      </c>
      <c r="H3415" s="340" t="s">
        <v>2658</v>
      </c>
      <c r="I3415" s="313">
        <v>1150</v>
      </c>
      <c r="J3415" s="350">
        <v>27.9</v>
      </c>
      <c r="K3415" s="350">
        <v>27.1</v>
      </c>
      <c r="L3415" s="314">
        <f t="shared" si="31"/>
        <v>0.79999999999999716</v>
      </c>
      <c r="M3415" s="337"/>
    </row>
    <row r="3416" spans="1:13" s="71" customFormat="1" ht="26.4" customHeight="1">
      <c r="A3416" s="282">
        <v>728</v>
      </c>
      <c r="B3416" s="534"/>
      <c r="C3416" s="355" t="s">
        <v>1169</v>
      </c>
      <c r="D3416" s="307" t="s">
        <v>3</v>
      </c>
      <c r="E3416" s="260" t="s">
        <v>4337</v>
      </c>
      <c r="F3416" s="362">
        <v>30008</v>
      </c>
      <c r="G3416" s="311">
        <v>1971</v>
      </c>
      <c r="H3416" s="340" t="s">
        <v>2658</v>
      </c>
      <c r="I3416" s="313">
        <v>183</v>
      </c>
      <c r="J3416" s="350">
        <v>6.4</v>
      </c>
      <c r="K3416" s="350">
        <v>5.4</v>
      </c>
      <c r="L3416" s="314">
        <f t="shared" si="31"/>
        <v>1</v>
      </c>
      <c r="M3416" s="337"/>
    </row>
    <row r="3417" spans="1:13" s="71" customFormat="1" ht="26.4" customHeight="1">
      <c r="A3417" s="282">
        <v>729</v>
      </c>
      <c r="B3417" s="534"/>
      <c r="C3417" s="355" t="s">
        <v>1169</v>
      </c>
      <c r="D3417" s="307" t="s">
        <v>3436</v>
      </c>
      <c r="E3417" s="260" t="s">
        <v>4338</v>
      </c>
      <c r="F3417" s="362">
        <v>30021</v>
      </c>
      <c r="G3417" s="311">
        <v>1972</v>
      </c>
      <c r="H3417" s="340" t="s">
        <v>2658</v>
      </c>
      <c r="I3417" s="313">
        <v>195</v>
      </c>
      <c r="J3417" s="350">
        <v>9.1999999999999993</v>
      </c>
      <c r="K3417" s="350">
        <v>7.8</v>
      </c>
      <c r="L3417" s="314">
        <f t="shared" si="31"/>
        <v>1.3999999999999995</v>
      </c>
      <c r="M3417" s="337"/>
    </row>
    <row r="3418" spans="1:13" s="71" customFormat="1" ht="26.4" customHeight="1">
      <c r="A3418" s="282">
        <v>730</v>
      </c>
      <c r="B3418" s="534"/>
      <c r="C3418" s="355" t="s">
        <v>1169</v>
      </c>
      <c r="D3418" s="307" t="s">
        <v>3436</v>
      </c>
      <c r="E3418" s="260" t="s">
        <v>4339</v>
      </c>
      <c r="F3418" s="362">
        <v>30023</v>
      </c>
      <c r="G3418" s="311">
        <v>1973</v>
      </c>
      <c r="H3418" s="340" t="s">
        <v>2658</v>
      </c>
      <c r="I3418" s="313">
        <v>62</v>
      </c>
      <c r="J3418" s="350">
        <v>4.0999999999999996</v>
      </c>
      <c r="K3418" s="350">
        <v>3.8</v>
      </c>
      <c r="L3418" s="314">
        <f t="shared" si="31"/>
        <v>0.29999999999999982</v>
      </c>
      <c r="M3418" s="337"/>
    </row>
    <row r="3419" spans="1:13" s="71" customFormat="1" ht="26.4" customHeight="1">
      <c r="A3419" s="282">
        <v>731</v>
      </c>
      <c r="B3419" s="534"/>
      <c r="C3419" s="355" t="s">
        <v>1169</v>
      </c>
      <c r="D3419" s="307" t="s">
        <v>4291</v>
      </c>
      <c r="E3419" s="260" t="s">
        <v>4340</v>
      </c>
      <c r="F3419" s="362">
        <v>30033</v>
      </c>
      <c r="G3419" s="311">
        <v>1972</v>
      </c>
      <c r="H3419" s="340" t="s">
        <v>2658</v>
      </c>
      <c r="I3419" s="313">
        <v>394.7</v>
      </c>
      <c r="J3419" s="350">
        <v>14</v>
      </c>
      <c r="K3419" s="350">
        <v>13.6</v>
      </c>
      <c r="L3419" s="314">
        <f t="shared" si="31"/>
        <v>0.40000000000000036</v>
      </c>
      <c r="M3419" s="337"/>
    </row>
    <row r="3420" spans="1:13" s="71" customFormat="1" ht="26.4" customHeight="1">
      <c r="A3420" s="282">
        <v>732</v>
      </c>
      <c r="B3420" s="534"/>
      <c r="C3420" s="307" t="s">
        <v>3495</v>
      </c>
      <c r="D3420" s="307" t="s">
        <v>4341</v>
      </c>
      <c r="E3420" s="260" t="s">
        <v>4342</v>
      </c>
      <c r="F3420" s="362">
        <v>30005</v>
      </c>
      <c r="G3420" s="311">
        <v>1973</v>
      </c>
      <c r="H3420" s="340" t="s">
        <v>2658</v>
      </c>
      <c r="I3420" s="313">
        <v>278.89999999999998</v>
      </c>
      <c r="J3420" s="350">
        <v>4.8</v>
      </c>
      <c r="K3420" s="350">
        <v>4.2</v>
      </c>
      <c r="L3420" s="314">
        <f t="shared" si="31"/>
        <v>0.59999999999999964</v>
      </c>
      <c r="M3420" s="337"/>
    </row>
    <row r="3421" spans="1:13" s="71" customFormat="1" ht="26.4" customHeight="1">
      <c r="A3421" s="282">
        <v>733</v>
      </c>
      <c r="B3421" s="534"/>
      <c r="C3421" s="355" t="s">
        <v>1169</v>
      </c>
      <c r="D3421" s="307" t="s">
        <v>3436</v>
      </c>
      <c r="E3421" s="260" t="s">
        <v>4343</v>
      </c>
      <c r="F3421" s="362">
        <v>30024</v>
      </c>
      <c r="G3421" s="311">
        <v>1973</v>
      </c>
      <c r="H3421" s="340" t="s">
        <v>2658</v>
      </c>
      <c r="I3421" s="313">
        <v>121</v>
      </c>
      <c r="J3421" s="350">
        <v>5.8</v>
      </c>
      <c r="K3421" s="350">
        <v>4.9000000000000004</v>
      </c>
      <c r="L3421" s="314">
        <f t="shared" si="31"/>
        <v>0.89999999999999947</v>
      </c>
      <c r="M3421" s="337"/>
    </row>
    <row r="3422" spans="1:13" s="71" customFormat="1" ht="26.4" customHeight="1">
      <c r="A3422" s="282">
        <v>734</v>
      </c>
      <c r="B3422" s="534"/>
      <c r="C3422" s="355" t="s">
        <v>1169</v>
      </c>
      <c r="D3422" s="307" t="s">
        <v>4344</v>
      </c>
      <c r="E3422" s="260" t="s">
        <v>4345</v>
      </c>
      <c r="F3422" s="362">
        <v>30035</v>
      </c>
      <c r="G3422" s="311">
        <v>1974</v>
      </c>
      <c r="H3422" s="340" t="s">
        <v>2658</v>
      </c>
      <c r="I3422" s="313">
        <v>210</v>
      </c>
      <c r="J3422" s="350">
        <v>8.5</v>
      </c>
      <c r="K3422" s="350">
        <v>7.4</v>
      </c>
      <c r="L3422" s="314">
        <f t="shared" si="31"/>
        <v>1.0999999999999996</v>
      </c>
      <c r="M3422" s="337"/>
    </row>
    <row r="3423" spans="1:13" s="71" customFormat="1" ht="26.4" customHeight="1">
      <c r="A3423" s="282">
        <v>735</v>
      </c>
      <c r="B3423" s="534"/>
      <c r="C3423" s="355" t="s">
        <v>1169</v>
      </c>
      <c r="D3423" s="307" t="s">
        <v>3436</v>
      </c>
      <c r="E3423" s="260" t="s">
        <v>4346</v>
      </c>
      <c r="F3423" s="362">
        <v>30029</v>
      </c>
      <c r="G3423" s="311">
        <v>1974</v>
      </c>
      <c r="H3423" s="340" t="s">
        <v>2658</v>
      </c>
      <c r="I3423" s="313">
        <v>95</v>
      </c>
      <c r="J3423" s="350">
        <v>3</v>
      </c>
      <c r="K3423" s="350">
        <v>2.9</v>
      </c>
      <c r="L3423" s="314">
        <f t="shared" si="31"/>
        <v>0.10000000000000009</v>
      </c>
      <c r="M3423" s="337"/>
    </row>
    <row r="3424" spans="1:13" s="71" customFormat="1" ht="26.4" customHeight="1">
      <c r="A3424" s="282">
        <v>736</v>
      </c>
      <c r="B3424" s="534"/>
      <c r="C3424" s="355" t="s">
        <v>1169</v>
      </c>
      <c r="D3424" s="307" t="s">
        <v>3436</v>
      </c>
      <c r="E3424" s="260" t="s">
        <v>4347</v>
      </c>
      <c r="F3424" s="362">
        <v>30025</v>
      </c>
      <c r="G3424" s="311">
        <v>1974</v>
      </c>
      <c r="H3424" s="340" t="s">
        <v>2658</v>
      </c>
      <c r="I3424" s="313">
        <v>118.5</v>
      </c>
      <c r="J3424" s="350">
        <v>3.8</v>
      </c>
      <c r="K3424" s="350">
        <v>3.5</v>
      </c>
      <c r="L3424" s="314">
        <f t="shared" si="31"/>
        <v>0.29999999999999982</v>
      </c>
      <c r="M3424" s="337"/>
    </row>
    <row r="3425" spans="1:13" s="71" customFormat="1" ht="26.4" customHeight="1">
      <c r="A3425" s="282">
        <v>737</v>
      </c>
      <c r="B3425" s="534"/>
      <c r="C3425" s="355" t="s">
        <v>1169</v>
      </c>
      <c r="D3425" s="307" t="s">
        <v>3436</v>
      </c>
      <c r="E3425" s="260" t="s">
        <v>4348</v>
      </c>
      <c r="F3425" s="362">
        <v>30027</v>
      </c>
      <c r="G3425" s="311">
        <v>1974</v>
      </c>
      <c r="H3425" s="340" t="s">
        <v>2658</v>
      </c>
      <c r="I3425" s="313">
        <v>72.5</v>
      </c>
      <c r="J3425" s="350">
        <v>1.9</v>
      </c>
      <c r="K3425" s="350">
        <v>1.7</v>
      </c>
      <c r="L3425" s="314">
        <f t="shared" si="31"/>
        <v>0.19999999999999996</v>
      </c>
      <c r="M3425" s="337"/>
    </row>
    <row r="3426" spans="1:13" s="71" customFormat="1" ht="26.4" customHeight="1">
      <c r="A3426" s="282">
        <v>738</v>
      </c>
      <c r="B3426" s="534"/>
      <c r="C3426" s="355" t="s">
        <v>1169</v>
      </c>
      <c r="D3426" s="307" t="s">
        <v>3436</v>
      </c>
      <c r="E3426" s="260" t="s">
        <v>4349</v>
      </c>
      <c r="F3426" s="362">
        <v>30026</v>
      </c>
      <c r="G3426" s="311">
        <v>1974</v>
      </c>
      <c r="H3426" s="340" t="s">
        <v>2658</v>
      </c>
      <c r="I3426" s="313">
        <v>89.5</v>
      </c>
      <c r="J3426" s="350">
        <v>2.1</v>
      </c>
      <c r="K3426" s="350">
        <v>1.8</v>
      </c>
      <c r="L3426" s="314">
        <f t="shared" si="31"/>
        <v>0.30000000000000004</v>
      </c>
      <c r="M3426" s="337"/>
    </row>
    <row r="3427" spans="1:13" s="71" customFormat="1" ht="26.4" customHeight="1">
      <c r="A3427" s="282">
        <v>739</v>
      </c>
      <c r="B3427" s="534"/>
      <c r="C3427" s="355" t="s">
        <v>1169</v>
      </c>
      <c r="D3427" s="307" t="s">
        <v>3436</v>
      </c>
      <c r="E3427" s="260" t="s">
        <v>4350</v>
      </c>
      <c r="F3427" s="362">
        <v>30028</v>
      </c>
      <c r="G3427" s="311">
        <v>1974</v>
      </c>
      <c r="H3427" s="340" t="s">
        <v>2658</v>
      </c>
      <c r="I3427" s="313">
        <v>70</v>
      </c>
      <c r="J3427" s="350">
        <v>1.7</v>
      </c>
      <c r="K3427" s="350">
        <v>1.6</v>
      </c>
      <c r="L3427" s="314">
        <f t="shared" si="31"/>
        <v>9.9999999999999867E-2</v>
      </c>
      <c r="M3427" s="337"/>
    </row>
    <row r="3428" spans="1:13" s="71" customFormat="1" ht="26.4" customHeight="1">
      <c r="A3428" s="282">
        <v>740</v>
      </c>
      <c r="B3428" s="534"/>
      <c r="C3428" s="355" t="s">
        <v>1169</v>
      </c>
      <c r="D3428" s="307" t="s">
        <v>3450</v>
      </c>
      <c r="E3428" s="260" t="s">
        <v>4351</v>
      </c>
      <c r="F3428" s="362">
        <v>30059</v>
      </c>
      <c r="G3428" s="311">
        <v>1977</v>
      </c>
      <c r="H3428" s="340" t="s">
        <v>2658</v>
      </c>
      <c r="I3428" s="313">
        <v>235.5</v>
      </c>
      <c r="J3428" s="350">
        <v>8</v>
      </c>
      <c r="K3428" s="350">
        <v>7.4</v>
      </c>
      <c r="L3428" s="314">
        <f t="shared" si="31"/>
        <v>0.59999999999999964</v>
      </c>
      <c r="M3428" s="337"/>
    </row>
    <row r="3429" spans="1:13" s="71" customFormat="1" ht="26.4" customHeight="1">
      <c r="A3429" s="282">
        <v>741</v>
      </c>
      <c r="B3429" s="534"/>
      <c r="C3429" s="355" t="s">
        <v>1169</v>
      </c>
      <c r="D3429" s="307" t="s">
        <v>4164</v>
      </c>
      <c r="E3429" s="260" t="s">
        <v>4352</v>
      </c>
      <c r="F3429" s="362">
        <v>30060</v>
      </c>
      <c r="G3429" s="311">
        <v>1977</v>
      </c>
      <c r="H3429" s="340" t="s">
        <v>2658</v>
      </c>
      <c r="I3429" s="313">
        <v>74</v>
      </c>
      <c r="J3429" s="350">
        <v>8.5</v>
      </c>
      <c r="K3429" s="350">
        <v>7.2</v>
      </c>
      <c r="L3429" s="314">
        <f t="shared" si="31"/>
        <v>1.2999999999999998</v>
      </c>
      <c r="M3429" s="337"/>
    </row>
    <row r="3430" spans="1:13" s="71" customFormat="1" ht="26.4" customHeight="1">
      <c r="A3430" s="282">
        <v>742</v>
      </c>
      <c r="B3430" s="534"/>
      <c r="C3430" s="355" t="s">
        <v>1169</v>
      </c>
      <c r="D3430" s="307" t="s">
        <v>13267</v>
      </c>
      <c r="E3430" s="260" t="s">
        <v>4353</v>
      </c>
      <c r="F3430" s="362">
        <v>30061</v>
      </c>
      <c r="G3430" s="311">
        <v>1977</v>
      </c>
      <c r="H3430" s="340" t="s">
        <v>2658</v>
      </c>
      <c r="I3430" s="313">
        <v>811</v>
      </c>
      <c r="J3430" s="350">
        <v>1.5</v>
      </c>
      <c r="K3430" s="350">
        <v>1.4</v>
      </c>
      <c r="L3430" s="314">
        <f t="shared" si="31"/>
        <v>0.10000000000000009</v>
      </c>
      <c r="M3430" s="337"/>
    </row>
    <row r="3431" spans="1:13" s="71" customFormat="1" ht="26.4" customHeight="1">
      <c r="A3431" s="282">
        <v>743</v>
      </c>
      <c r="B3431" s="534"/>
      <c r="C3431" s="355" t="s">
        <v>1169</v>
      </c>
      <c r="D3431" s="307" t="s">
        <v>13267</v>
      </c>
      <c r="E3431" s="260" t="s">
        <v>13067</v>
      </c>
      <c r="F3431" s="362">
        <v>30062</v>
      </c>
      <c r="G3431" s="311">
        <v>1977</v>
      </c>
      <c r="H3431" s="340" t="s">
        <v>2658</v>
      </c>
      <c r="I3431" s="313">
        <v>98</v>
      </c>
      <c r="J3431" s="350">
        <v>3.8</v>
      </c>
      <c r="K3431" s="350">
        <v>3.4</v>
      </c>
      <c r="L3431" s="314">
        <f t="shared" si="31"/>
        <v>0.39999999999999991</v>
      </c>
      <c r="M3431" s="337"/>
    </row>
    <row r="3432" spans="1:13" s="71" customFormat="1" ht="26.4" customHeight="1">
      <c r="A3432" s="282">
        <v>744</v>
      </c>
      <c r="B3432" s="534"/>
      <c r="C3432" s="355" t="s">
        <v>1169</v>
      </c>
      <c r="D3432" s="307" t="s">
        <v>3450</v>
      </c>
      <c r="E3432" s="260" t="s">
        <v>12685</v>
      </c>
      <c r="F3432" s="362">
        <v>30063</v>
      </c>
      <c r="G3432" s="311">
        <v>1977</v>
      </c>
      <c r="H3432" s="340" t="s">
        <v>2658</v>
      </c>
      <c r="I3432" s="313">
        <v>210</v>
      </c>
      <c r="J3432" s="350">
        <v>5</v>
      </c>
      <c r="K3432" s="350">
        <v>4.4000000000000004</v>
      </c>
      <c r="L3432" s="314">
        <f t="shared" si="31"/>
        <v>0.59999999999999964</v>
      </c>
      <c r="M3432" s="337"/>
    </row>
    <row r="3433" spans="1:13" s="71" customFormat="1" ht="26.4" customHeight="1">
      <c r="A3433" s="282">
        <v>745</v>
      </c>
      <c r="B3433" s="534"/>
      <c r="C3433" s="355" t="s">
        <v>1169</v>
      </c>
      <c r="D3433" s="307" t="s">
        <v>13267</v>
      </c>
      <c r="E3433" s="260" t="s">
        <v>13068</v>
      </c>
      <c r="F3433" s="362">
        <v>30064</v>
      </c>
      <c r="G3433" s="311">
        <v>1977</v>
      </c>
      <c r="H3433" s="340" t="s">
        <v>2658</v>
      </c>
      <c r="I3433" s="313">
        <v>82</v>
      </c>
      <c r="J3433" s="350">
        <v>3.8</v>
      </c>
      <c r="K3433" s="350">
        <v>3.3</v>
      </c>
      <c r="L3433" s="314">
        <f t="shared" si="31"/>
        <v>0.5</v>
      </c>
      <c r="M3433" s="337"/>
    </row>
    <row r="3434" spans="1:13" s="71" customFormat="1" ht="26.4" customHeight="1">
      <c r="A3434" s="282">
        <v>746</v>
      </c>
      <c r="B3434" s="534"/>
      <c r="C3434" s="355" t="s">
        <v>1169</v>
      </c>
      <c r="D3434" s="307" t="s">
        <v>13267</v>
      </c>
      <c r="E3434" s="260" t="s">
        <v>13068</v>
      </c>
      <c r="F3434" s="362">
        <v>30065</v>
      </c>
      <c r="G3434" s="311">
        <v>1977</v>
      </c>
      <c r="H3434" s="340" t="s">
        <v>2658</v>
      </c>
      <c r="I3434" s="313">
        <v>722</v>
      </c>
      <c r="J3434" s="350">
        <v>24.3</v>
      </c>
      <c r="K3434" s="350">
        <v>20.5</v>
      </c>
      <c r="L3434" s="314">
        <f t="shared" si="31"/>
        <v>3.8000000000000007</v>
      </c>
      <c r="M3434" s="337"/>
    </row>
    <row r="3435" spans="1:13" s="71" customFormat="1" ht="26.4" customHeight="1">
      <c r="A3435" s="282">
        <v>747</v>
      </c>
      <c r="B3435" s="534"/>
      <c r="C3435" s="355" t="s">
        <v>1169</v>
      </c>
      <c r="D3435" s="307" t="s">
        <v>13267</v>
      </c>
      <c r="E3435" s="260" t="s">
        <v>13069</v>
      </c>
      <c r="F3435" s="362">
        <v>30066</v>
      </c>
      <c r="G3435" s="311">
        <v>1977</v>
      </c>
      <c r="H3435" s="340" t="s">
        <v>2658</v>
      </c>
      <c r="I3435" s="313">
        <v>120</v>
      </c>
      <c r="J3435" s="350">
        <v>3.2</v>
      </c>
      <c r="K3435" s="350">
        <v>2.9</v>
      </c>
      <c r="L3435" s="314">
        <f t="shared" si="31"/>
        <v>0.30000000000000027</v>
      </c>
      <c r="M3435" s="337"/>
    </row>
    <row r="3436" spans="1:13" s="71" customFormat="1" ht="26.4" customHeight="1">
      <c r="A3436" s="282">
        <v>748</v>
      </c>
      <c r="B3436" s="534"/>
      <c r="C3436" s="355" t="s">
        <v>1169</v>
      </c>
      <c r="D3436" s="307" t="s">
        <v>4354</v>
      </c>
      <c r="E3436" s="260" t="s">
        <v>13070</v>
      </c>
      <c r="F3436" s="362">
        <v>30067</v>
      </c>
      <c r="G3436" s="311">
        <v>1977</v>
      </c>
      <c r="H3436" s="340" t="s">
        <v>2658</v>
      </c>
      <c r="I3436" s="313">
        <v>27.5</v>
      </c>
      <c r="J3436" s="350">
        <v>1.7</v>
      </c>
      <c r="K3436" s="350">
        <v>1.5</v>
      </c>
      <c r="L3436" s="314">
        <f t="shared" si="31"/>
        <v>0.19999999999999996</v>
      </c>
      <c r="M3436" s="337"/>
    </row>
    <row r="3437" spans="1:13" s="71" customFormat="1" ht="26.4" customHeight="1">
      <c r="A3437" s="282">
        <v>749</v>
      </c>
      <c r="B3437" s="534"/>
      <c r="C3437" s="355" t="s">
        <v>1169</v>
      </c>
      <c r="D3437" s="307" t="s">
        <v>3450</v>
      </c>
      <c r="E3437" s="260" t="s">
        <v>4355</v>
      </c>
      <c r="F3437" s="362">
        <v>30099</v>
      </c>
      <c r="G3437" s="311">
        <v>1982</v>
      </c>
      <c r="H3437" s="340" t="s">
        <v>2658</v>
      </c>
      <c r="I3437" s="313">
        <v>568</v>
      </c>
      <c r="J3437" s="350">
        <v>10.6</v>
      </c>
      <c r="K3437" s="350">
        <v>10.3</v>
      </c>
      <c r="L3437" s="314">
        <f t="shared" si="31"/>
        <v>0.29999999999999893</v>
      </c>
      <c r="M3437" s="337"/>
    </row>
    <row r="3438" spans="1:13" s="71" customFormat="1" ht="26.4" customHeight="1">
      <c r="A3438" s="282">
        <v>750</v>
      </c>
      <c r="B3438" s="534"/>
      <c r="C3438" s="355" t="s">
        <v>1169</v>
      </c>
      <c r="D3438" s="307" t="s">
        <v>12969</v>
      </c>
      <c r="E3438" s="260" t="s">
        <v>4356</v>
      </c>
      <c r="F3438" s="362">
        <v>30068</v>
      </c>
      <c r="G3438" s="311">
        <v>1977</v>
      </c>
      <c r="H3438" s="340" t="s">
        <v>2658</v>
      </c>
      <c r="I3438" s="313">
        <v>400</v>
      </c>
      <c r="J3438" s="350">
        <v>10.3</v>
      </c>
      <c r="K3438" s="350">
        <v>9.1999999999999993</v>
      </c>
      <c r="L3438" s="314">
        <f t="shared" si="31"/>
        <v>1.1000000000000014</v>
      </c>
      <c r="M3438" s="337"/>
    </row>
    <row r="3439" spans="1:13" s="71" customFormat="1" ht="27.75" customHeight="1">
      <c r="A3439" s="282">
        <v>751</v>
      </c>
      <c r="B3439" s="534"/>
      <c r="C3439" s="355" t="s">
        <v>1169</v>
      </c>
      <c r="D3439" s="307" t="s">
        <v>3436</v>
      </c>
      <c r="E3439" s="260" t="s">
        <v>4357</v>
      </c>
      <c r="F3439" s="362">
        <v>30022</v>
      </c>
      <c r="G3439" s="311">
        <v>1974</v>
      </c>
      <c r="H3439" s="340" t="s">
        <v>2658</v>
      </c>
      <c r="I3439" s="313">
        <v>132.5</v>
      </c>
      <c r="J3439" s="350">
        <v>2.7</v>
      </c>
      <c r="K3439" s="350">
        <v>2.4</v>
      </c>
      <c r="L3439" s="314">
        <f t="shared" si="31"/>
        <v>0.30000000000000027</v>
      </c>
      <c r="M3439" s="337"/>
    </row>
    <row r="3440" spans="1:13" s="71" customFormat="1" ht="26.4" customHeight="1">
      <c r="A3440" s="282">
        <v>752</v>
      </c>
      <c r="B3440" s="534"/>
      <c r="C3440" s="307" t="s">
        <v>3329</v>
      </c>
      <c r="D3440" s="307" t="s">
        <v>4358</v>
      </c>
      <c r="E3440" s="260" t="s">
        <v>4359</v>
      </c>
      <c r="F3440" s="362">
        <v>30052</v>
      </c>
      <c r="G3440" s="311">
        <v>1975</v>
      </c>
      <c r="H3440" s="340" t="s">
        <v>2658</v>
      </c>
      <c r="I3440" s="313">
        <v>84.4</v>
      </c>
      <c r="J3440" s="350">
        <v>1.3</v>
      </c>
      <c r="K3440" s="350">
        <v>1.2</v>
      </c>
      <c r="L3440" s="314">
        <f t="shared" si="31"/>
        <v>0.10000000000000009</v>
      </c>
      <c r="M3440" s="337"/>
    </row>
    <row r="3441" spans="1:13" s="71" customFormat="1" ht="26.4" customHeight="1">
      <c r="A3441" s="282">
        <v>753</v>
      </c>
      <c r="B3441" s="534"/>
      <c r="C3441" s="355" t="s">
        <v>1169</v>
      </c>
      <c r="D3441" s="307" t="s">
        <v>3436</v>
      </c>
      <c r="E3441" s="260" t="s">
        <v>4360</v>
      </c>
      <c r="F3441" s="362">
        <v>30053</v>
      </c>
      <c r="G3441" s="311">
        <v>1975</v>
      </c>
      <c r="H3441" s="340" t="s">
        <v>2658</v>
      </c>
      <c r="I3441" s="313">
        <v>74</v>
      </c>
      <c r="J3441" s="350">
        <v>3.8</v>
      </c>
      <c r="K3441" s="350">
        <v>3.2</v>
      </c>
      <c r="L3441" s="314">
        <f t="shared" si="31"/>
        <v>0.59999999999999964</v>
      </c>
      <c r="M3441" s="337"/>
    </row>
    <row r="3442" spans="1:13" s="71" customFormat="1" ht="26.4" customHeight="1">
      <c r="A3442" s="282">
        <v>754</v>
      </c>
      <c r="B3442" s="534"/>
      <c r="C3442" s="355" t="s">
        <v>1169</v>
      </c>
      <c r="D3442" s="307" t="s">
        <v>3436</v>
      </c>
      <c r="E3442" s="260" t="s">
        <v>4361</v>
      </c>
      <c r="F3442" s="362">
        <v>30054</v>
      </c>
      <c r="G3442" s="311">
        <v>975</v>
      </c>
      <c r="H3442" s="340" t="s">
        <v>2658</v>
      </c>
      <c r="I3442" s="313">
        <v>126</v>
      </c>
      <c r="J3442" s="350">
        <v>5.3</v>
      </c>
      <c r="K3442" s="350">
        <v>4.5</v>
      </c>
      <c r="L3442" s="314">
        <f t="shared" si="31"/>
        <v>0.79999999999999982</v>
      </c>
      <c r="M3442" s="337"/>
    </row>
    <row r="3443" spans="1:13" s="71" customFormat="1" ht="26.4" customHeight="1">
      <c r="A3443" s="282">
        <v>755</v>
      </c>
      <c r="B3443" s="534"/>
      <c r="C3443" s="355" t="s">
        <v>1169</v>
      </c>
      <c r="D3443" s="307" t="s">
        <v>1379</v>
      </c>
      <c r="E3443" s="260" t="s">
        <v>4362</v>
      </c>
      <c r="F3443" s="362">
        <v>30055</v>
      </c>
      <c r="G3443" s="311">
        <v>1975</v>
      </c>
      <c r="H3443" s="340" t="s">
        <v>2658</v>
      </c>
      <c r="I3443" s="313">
        <v>75</v>
      </c>
      <c r="J3443" s="350">
        <v>8</v>
      </c>
      <c r="K3443" s="350">
        <v>6.8</v>
      </c>
      <c r="L3443" s="314">
        <f t="shared" si="31"/>
        <v>1.2000000000000002</v>
      </c>
      <c r="M3443" s="337"/>
    </row>
    <row r="3444" spans="1:13" s="71" customFormat="1" ht="26.4" customHeight="1">
      <c r="A3444" s="282">
        <v>756</v>
      </c>
      <c r="B3444" s="534"/>
      <c r="C3444" s="355" t="s">
        <v>1169</v>
      </c>
      <c r="D3444" s="307" t="s">
        <v>1379</v>
      </c>
      <c r="E3444" s="260" t="s">
        <v>4362</v>
      </c>
      <c r="F3444" s="362">
        <v>30056</v>
      </c>
      <c r="G3444" s="311">
        <v>1975</v>
      </c>
      <c r="H3444" s="340" t="s">
        <v>2658</v>
      </c>
      <c r="I3444" s="313">
        <v>168</v>
      </c>
      <c r="J3444" s="350">
        <v>17.100000000000001</v>
      </c>
      <c r="K3444" s="350">
        <v>14.5</v>
      </c>
      <c r="L3444" s="314">
        <f t="shared" si="31"/>
        <v>2.6000000000000014</v>
      </c>
      <c r="M3444" s="337"/>
    </row>
    <row r="3445" spans="1:13" s="71" customFormat="1" ht="26.4" customHeight="1">
      <c r="A3445" s="282">
        <v>757</v>
      </c>
      <c r="B3445" s="534"/>
      <c r="C3445" s="355" t="s">
        <v>1169</v>
      </c>
      <c r="D3445" s="307" t="s">
        <v>3769</v>
      </c>
      <c r="E3445" s="260" t="s">
        <v>4363</v>
      </c>
      <c r="F3445" s="362">
        <v>30057</v>
      </c>
      <c r="G3445" s="311">
        <v>1975</v>
      </c>
      <c r="H3445" s="340" t="s">
        <v>2658</v>
      </c>
      <c r="I3445" s="313">
        <v>300</v>
      </c>
      <c r="J3445" s="350">
        <v>10.5</v>
      </c>
      <c r="K3445" s="350">
        <v>9.4</v>
      </c>
      <c r="L3445" s="314">
        <f t="shared" si="31"/>
        <v>1.0999999999999996</v>
      </c>
      <c r="M3445" s="337"/>
    </row>
    <row r="3446" spans="1:13" s="71" customFormat="1" ht="26.4" customHeight="1">
      <c r="A3446" s="282">
        <v>758</v>
      </c>
      <c r="B3446" s="534"/>
      <c r="C3446" s="355" t="s">
        <v>1169</v>
      </c>
      <c r="D3446" s="307" t="s">
        <v>1379</v>
      </c>
      <c r="E3446" s="260" t="s">
        <v>4364</v>
      </c>
      <c r="F3446" s="362">
        <v>30058</v>
      </c>
      <c r="G3446" s="311">
        <v>1976</v>
      </c>
      <c r="H3446" s="340" t="s">
        <v>2658</v>
      </c>
      <c r="I3446" s="313">
        <v>160</v>
      </c>
      <c r="J3446" s="350">
        <v>1.7</v>
      </c>
      <c r="K3446" s="350">
        <v>1.5</v>
      </c>
      <c r="L3446" s="314">
        <f t="shared" si="31"/>
        <v>0.19999999999999996</v>
      </c>
      <c r="M3446" s="337"/>
    </row>
    <row r="3447" spans="1:13" s="71" customFormat="1" ht="26.4" customHeight="1">
      <c r="A3447" s="282">
        <v>759</v>
      </c>
      <c r="B3447" s="534"/>
      <c r="C3447" s="307" t="s">
        <v>3276</v>
      </c>
      <c r="D3447" s="307" t="s">
        <v>4193</v>
      </c>
      <c r="E3447" s="260" t="s">
        <v>4365</v>
      </c>
      <c r="F3447" s="362">
        <v>30070</v>
      </c>
      <c r="G3447" s="311" t="s">
        <v>3</v>
      </c>
      <c r="H3447" s="340" t="s">
        <v>2658</v>
      </c>
      <c r="I3447" s="313">
        <v>122.1</v>
      </c>
      <c r="J3447" s="350">
        <v>14.4</v>
      </c>
      <c r="K3447" s="350">
        <v>14.4</v>
      </c>
      <c r="L3447" s="314">
        <f t="shared" si="31"/>
        <v>0</v>
      </c>
      <c r="M3447" s="337"/>
    </row>
    <row r="3448" spans="1:13" s="71" customFormat="1" ht="26.4" customHeight="1">
      <c r="A3448" s="282">
        <v>760</v>
      </c>
      <c r="B3448" s="534"/>
      <c r="C3448" s="307" t="s">
        <v>3276</v>
      </c>
      <c r="D3448" s="307" t="s">
        <v>4193</v>
      </c>
      <c r="E3448" s="260" t="s">
        <v>4365</v>
      </c>
      <c r="F3448" s="362">
        <v>30071</v>
      </c>
      <c r="G3448" s="311" t="s">
        <v>3</v>
      </c>
      <c r="H3448" s="340" t="s">
        <v>2658</v>
      </c>
      <c r="I3448" s="313">
        <v>96.9</v>
      </c>
      <c r="J3448" s="350">
        <v>24.2</v>
      </c>
      <c r="K3448" s="350">
        <v>23.1</v>
      </c>
      <c r="L3448" s="314">
        <f t="shared" si="31"/>
        <v>1.0999999999999979</v>
      </c>
      <c r="M3448" s="337"/>
    </row>
    <row r="3449" spans="1:13" s="71" customFormat="1" ht="26.4" customHeight="1">
      <c r="A3449" s="282">
        <v>761</v>
      </c>
      <c r="B3449" s="534"/>
      <c r="C3449" s="307" t="s">
        <v>3276</v>
      </c>
      <c r="D3449" s="307" t="s">
        <v>4193</v>
      </c>
      <c r="E3449" s="260" t="s">
        <v>4366</v>
      </c>
      <c r="F3449" s="362">
        <v>30072</v>
      </c>
      <c r="G3449" s="311" t="s">
        <v>3</v>
      </c>
      <c r="H3449" s="340" t="s">
        <v>2658</v>
      </c>
      <c r="I3449" s="313">
        <v>125</v>
      </c>
      <c r="J3449" s="350">
        <v>10.9</v>
      </c>
      <c r="K3449" s="350">
        <v>10.9</v>
      </c>
      <c r="L3449" s="314">
        <f t="shared" si="31"/>
        <v>0</v>
      </c>
      <c r="M3449" s="337"/>
    </row>
    <row r="3450" spans="1:13" s="71" customFormat="1" ht="26.4" customHeight="1">
      <c r="A3450" s="282">
        <v>762</v>
      </c>
      <c r="B3450" s="534"/>
      <c r="C3450" s="355" t="s">
        <v>1169</v>
      </c>
      <c r="D3450" s="307" t="s">
        <v>3345</v>
      </c>
      <c r="E3450" s="260" t="s">
        <v>4367</v>
      </c>
      <c r="F3450" s="362">
        <v>30075</v>
      </c>
      <c r="G3450" s="311">
        <v>1978</v>
      </c>
      <c r="H3450" s="340" t="s">
        <v>2658</v>
      </c>
      <c r="I3450" s="313">
        <v>100</v>
      </c>
      <c r="J3450" s="350">
        <v>3.9</v>
      </c>
      <c r="K3450" s="350">
        <v>3.4</v>
      </c>
      <c r="L3450" s="314">
        <f t="shared" si="31"/>
        <v>0.5</v>
      </c>
      <c r="M3450" s="337"/>
    </row>
    <row r="3451" spans="1:13" s="71" customFormat="1" ht="39.6">
      <c r="A3451" s="282">
        <v>763</v>
      </c>
      <c r="B3451" s="534"/>
      <c r="C3451" s="355" t="s">
        <v>1169</v>
      </c>
      <c r="D3451" s="307" t="s">
        <v>13271</v>
      </c>
      <c r="E3451" s="260" t="s">
        <v>4368</v>
      </c>
      <c r="F3451" s="362">
        <v>30069</v>
      </c>
      <c r="G3451" s="311">
        <v>1977</v>
      </c>
      <c r="H3451" s="340" t="s">
        <v>2658</v>
      </c>
      <c r="I3451" s="313">
        <v>2230</v>
      </c>
      <c r="J3451" s="350">
        <v>84.6</v>
      </c>
      <c r="K3451" s="350">
        <v>82.2</v>
      </c>
      <c r="L3451" s="314">
        <f t="shared" si="31"/>
        <v>2.3999999999999915</v>
      </c>
      <c r="M3451" s="337"/>
    </row>
    <row r="3452" spans="1:13" s="71" customFormat="1" ht="26.4" customHeight="1">
      <c r="A3452" s="282">
        <v>764</v>
      </c>
      <c r="B3452" s="534"/>
      <c r="C3452" s="355" t="s">
        <v>1169</v>
      </c>
      <c r="D3452" s="307" t="s">
        <v>4354</v>
      </c>
      <c r="E3452" s="260" t="s">
        <v>13071</v>
      </c>
      <c r="F3452" s="362">
        <v>30076</v>
      </c>
      <c r="G3452" s="311">
        <v>1978</v>
      </c>
      <c r="H3452" s="340" t="s">
        <v>2658</v>
      </c>
      <c r="I3452" s="313">
        <v>76</v>
      </c>
      <c r="J3452" s="350">
        <v>2.5</v>
      </c>
      <c r="K3452" s="350">
        <v>2.2000000000000002</v>
      </c>
      <c r="L3452" s="314">
        <f t="shared" si="31"/>
        <v>0.29999999999999982</v>
      </c>
      <c r="M3452" s="337"/>
    </row>
    <row r="3453" spans="1:13" s="332" customFormat="1" ht="26.4" customHeight="1">
      <c r="A3453" s="282">
        <v>765</v>
      </c>
      <c r="B3453" s="534"/>
      <c r="C3453" s="315" t="s">
        <v>1169</v>
      </c>
      <c r="D3453" s="313" t="s">
        <v>4354</v>
      </c>
      <c r="E3453" s="444" t="s">
        <v>13072</v>
      </c>
      <c r="F3453" s="362">
        <v>30077</v>
      </c>
      <c r="G3453" s="445">
        <v>1978</v>
      </c>
      <c r="H3453" s="340" t="s">
        <v>2658</v>
      </c>
      <c r="I3453" s="313">
        <v>80</v>
      </c>
      <c r="J3453" s="350">
        <v>3.1</v>
      </c>
      <c r="K3453" s="350">
        <v>2.7</v>
      </c>
      <c r="L3453" s="314">
        <f t="shared" si="31"/>
        <v>0.39999999999999991</v>
      </c>
      <c r="M3453" s="331"/>
    </row>
    <row r="3454" spans="1:13" s="71" customFormat="1" ht="26.4" customHeight="1">
      <c r="A3454" s="282">
        <v>766</v>
      </c>
      <c r="B3454" s="534"/>
      <c r="C3454" s="355" t="s">
        <v>1169</v>
      </c>
      <c r="D3454" s="307" t="s">
        <v>4354</v>
      </c>
      <c r="E3454" s="260" t="s">
        <v>13073</v>
      </c>
      <c r="F3454" s="362">
        <v>30078</v>
      </c>
      <c r="G3454" s="311">
        <v>1978</v>
      </c>
      <c r="H3454" s="340" t="s">
        <v>2658</v>
      </c>
      <c r="I3454" s="313">
        <v>70</v>
      </c>
      <c r="J3454" s="350">
        <v>1.7</v>
      </c>
      <c r="K3454" s="350">
        <v>1.5</v>
      </c>
      <c r="L3454" s="314">
        <f t="shared" si="31"/>
        <v>0.19999999999999996</v>
      </c>
      <c r="M3454" s="337"/>
    </row>
    <row r="3455" spans="1:13" s="71" customFormat="1" ht="26.4" customHeight="1">
      <c r="A3455" s="282">
        <v>767</v>
      </c>
      <c r="B3455" s="534"/>
      <c r="C3455" s="355" t="s">
        <v>1169</v>
      </c>
      <c r="D3455" s="307" t="s">
        <v>4354</v>
      </c>
      <c r="E3455" s="260" t="s">
        <v>13074</v>
      </c>
      <c r="F3455" s="362">
        <v>30079</v>
      </c>
      <c r="G3455" s="311">
        <v>1980</v>
      </c>
      <c r="H3455" s="340" t="s">
        <v>2658</v>
      </c>
      <c r="I3455" s="313">
        <v>64.099999999999994</v>
      </c>
      <c r="J3455" s="350">
        <v>13.2</v>
      </c>
      <c r="K3455" s="350">
        <v>12.3</v>
      </c>
      <c r="L3455" s="314">
        <f t="shared" si="31"/>
        <v>0.89999999999999858</v>
      </c>
      <c r="M3455" s="337"/>
    </row>
    <row r="3456" spans="1:13" s="71" customFormat="1" ht="26.4" customHeight="1">
      <c r="A3456" s="282">
        <v>768</v>
      </c>
      <c r="B3456" s="534"/>
      <c r="C3456" s="355" t="s">
        <v>1169</v>
      </c>
      <c r="D3456" s="307" t="s">
        <v>13270</v>
      </c>
      <c r="E3456" s="260" t="s">
        <v>13075</v>
      </c>
      <c r="F3456" s="362">
        <v>30080</v>
      </c>
      <c r="G3456" s="311">
        <v>1980</v>
      </c>
      <c r="H3456" s="340" t="s">
        <v>2658</v>
      </c>
      <c r="I3456" s="313">
        <v>20</v>
      </c>
      <c r="J3456" s="350">
        <v>2.7</v>
      </c>
      <c r="K3456" s="350">
        <v>2.4</v>
      </c>
      <c r="L3456" s="314">
        <f t="shared" si="31"/>
        <v>0.30000000000000027</v>
      </c>
      <c r="M3456" s="337"/>
    </row>
    <row r="3457" spans="1:13" s="71" customFormat="1" ht="26.4" customHeight="1">
      <c r="A3457" s="282">
        <v>769</v>
      </c>
      <c r="B3457" s="534"/>
      <c r="C3457" s="307" t="s">
        <v>3336</v>
      </c>
      <c r="D3457" s="307" t="s">
        <v>4166</v>
      </c>
      <c r="E3457" s="260" t="s">
        <v>13076</v>
      </c>
      <c r="F3457" s="362">
        <v>30081</v>
      </c>
      <c r="G3457" s="311">
        <v>1980</v>
      </c>
      <c r="H3457" s="340" t="s">
        <v>2658</v>
      </c>
      <c r="I3457" s="313">
        <v>187.7</v>
      </c>
      <c r="J3457" s="350">
        <v>7.4</v>
      </c>
      <c r="K3457" s="350">
        <v>6.3</v>
      </c>
      <c r="L3457" s="314">
        <f t="shared" ref="L3457:L3520" si="32">J3457-K3457</f>
        <v>1.1000000000000005</v>
      </c>
      <c r="M3457" s="337"/>
    </row>
    <row r="3458" spans="1:13" s="71" customFormat="1" ht="26.4" customHeight="1">
      <c r="A3458" s="282">
        <v>770</v>
      </c>
      <c r="B3458" s="534"/>
      <c r="C3458" s="307" t="s">
        <v>3336</v>
      </c>
      <c r="D3458" s="307" t="s">
        <v>4166</v>
      </c>
      <c r="E3458" s="260" t="s">
        <v>13077</v>
      </c>
      <c r="F3458" s="362">
        <v>30082</v>
      </c>
      <c r="G3458" s="311">
        <v>1980</v>
      </c>
      <c r="H3458" s="340" t="s">
        <v>2658</v>
      </c>
      <c r="I3458" s="313">
        <v>267</v>
      </c>
      <c r="J3458" s="350">
        <v>7.4</v>
      </c>
      <c r="K3458" s="350">
        <v>7.2</v>
      </c>
      <c r="L3458" s="314">
        <f t="shared" si="32"/>
        <v>0.20000000000000018</v>
      </c>
      <c r="M3458" s="337"/>
    </row>
    <row r="3459" spans="1:13" s="71" customFormat="1" ht="26.4" customHeight="1">
      <c r="A3459" s="282">
        <v>771</v>
      </c>
      <c r="B3459" s="534"/>
      <c r="C3459" s="307" t="s">
        <v>3276</v>
      </c>
      <c r="D3459" s="307" t="s">
        <v>4166</v>
      </c>
      <c r="E3459" s="260" t="s">
        <v>13078</v>
      </c>
      <c r="F3459" s="362">
        <v>30083</v>
      </c>
      <c r="G3459" s="311">
        <v>1980</v>
      </c>
      <c r="H3459" s="340" t="s">
        <v>2658</v>
      </c>
      <c r="I3459" s="313">
        <v>103</v>
      </c>
      <c r="J3459" s="350">
        <v>4.4000000000000004</v>
      </c>
      <c r="K3459" s="350">
        <v>3.8</v>
      </c>
      <c r="L3459" s="314">
        <f t="shared" si="32"/>
        <v>0.60000000000000053</v>
      </c>
      <c r="M3459" s="337"/>
    </row>
    <row r="3460" spans="1:13" s="71" customFormat="1" ht="26.4" customHeight="1">
      <c r="A3460" s="282">
        <v>772</v>
      </c>
      <c r="B3460" s="534"/>
      <c r="C3460" s="355" t="s">
        <v>1169</v>
      </c>
      <c r="D3460" s="307" t="s">
        <v>13270</v>
      </c>
      <c r="E3460" s="260" t="s">
        <v>12686</v>
      </c>
      <c r="F3460" s="362">
        <v>30084</v>
      </c>
      <c r="G3460" s="311">
        <v>1980</v>
      </c>
      <c r="H3460" s="340" t="s">
        <v>2658</v>
      </c>
      <c r="I3460" s="313">
        <v>60</v>
      </c>
      <c r="J3460" s="350">
        <v>1.8</v>
      </c>
      <c r="K3460" s="350">
        <v>1.6</v>
      </c>
      <c r="L3460" s="314">
        <f t="shared" si="32"/>
        <v>0.19999999999999996</v>
      </c>
      <c r="M3460" s="337"/>
    </row>
    <row r="3461" spans="1:13" s="71" customFormat="1" ht="26.4" customHeight="1">
      <c r="A3461" s="282">
        <v>773</v>
      </c>
      <c r="B3461" s="534"/>
      <c r="C3461" s="355" t="s">
        <v>1169</v>
      </c>
      <c r="D3461" s="307" t="s">
        <v>13270</v>
      </c>
      <c r="E3461" s="260" t="s">
        <v>12686</v>
      </c>
      <c r="F3461" s="362">
        <v>30085</v>
      </c>
      <c r="G3461" s="311">
        <v>1980</v>
      </c>
      <c r="H3461" s="340" t="s">
        <v>2658</v>
      </c>
      <c r="I3461" s="313">
        <v>25</v>
      </c>
      <c r="J3461" s="350">
        <v>9.1</v>
      </c>
      <c r="K3461" s="350">
        <v>8.5</v>
      </c>
      <c r="L3461" s="314">
        <f t="shared" si="32"/>
        <v>0.59999999999999964</v>
      </c>
      <c r="M3461" s="337"/>
    </row>
    <row r="3462" spans="1:13" s="71" customFormat="1" ht="26.4" customHeight="1">
      <c r="A3462" s="282">
        <v>774</v>
      </c>
      <c r="B3462" s="534"/>
      <c r="C3462" s="355" t="s">
        <v>1169</v>
      </c>
      <c r="D3462" s="307" t="s">
        <v>4286</v>
      </c>
      <c r="E3462" s="260" t="s">
        <v>4369</v>
      </c>
      <c r="F3462" s="362">
        <v>30086</v>
      </c>
      <c r="G3462" s="311">
        <v>1980</v>
      </c>
      <c r="H3462" s="340" t="s">
        <v>2658</v>
      </c>
      <c r="I3462" s="313">
        <v>48</v>
      </c>
      <c r="J3462" s="350">
        <v>2.5</v>
      </c>
      <c r="K3462" s="350">
        <v>2.2000000000000002</v>
      </c>
      <c r="L3462" s="314">
        <f t="shared" si="32"/>
        <v>0.29999999999999982</v>
      </c>
      <c r="M3462" s="337"/>
    </row>
    <row r="3463" spans="1:13" s="71" customFormat="1" ht="26.4" customHeight="1">
      <c r="A3463" s="282">
        <v>775</v>
      </c>
      <c r="B3463" s="534"/>
      <c r="C3463" s="307" t="s">
        <v>3276</v>
      </c>
      <c r="D3463" s="307" t="s">
        <v>4166</v>
      </c>
      <c r="E3463" s="260" t="s">
        <v>12687</v>
      </c>
      <c r="F3463" s="362">
        <v>30087</v>
      </c>
      <c r="G3463" s="311">
        <v>1980</v>
      </c>
      <c r="H3463" s="340" t="s">
        <v>2658</v>
      </c>
      <c r="I3463" s="313">
        <v>84</v>
      </c>
      <c r="J3463" s="350">
        <v>8.1</v>
      </c>
      <c r="K3463" s="350">
        <v>7.5</v>
      </c>
      <c r="L3463" s="314">
        <f t="shared" si="32"/>
        <v>0.59999999999999964</v>
      </c>
      <c r="M3463" s="337"/>
    </row>
    <row r="3464" spans="1:13" s="71" customFormat="1" ht="26.4" customHeight="1">
      <c r="A3464" s="282">
        <v>776</v>
      </c>
      <c r="B3464" s="534"/>
      <c r="C3464" s="355" t="s">
        <v>1169</v>
      </c>
      <c r="D3464" s="307" t="s">
        <v>13270</v>
      </c>
      <c r="E3464" s="260" t="s">
        <v>12688</v>
      </c>
      <c r="F3464" s="362">
        <v>30089</v>
      </c>
      <c r="G3464" s="311">
        <v>1980</v>
      </c>
      <c r="H3464" s="340" t="s">
        <v>2658</v>
      </c>
      <c r="I3464" s="313">
        <v>75</v>
      </c>
      <c r="J3464" s="350">
        <v>2.2000000000000002</v>
      </c>
      <c r="K3464" s="350">
        <v>2</v>
      </c>
      <c r="L3464" s="314">
        <f t="shared" si="32"/>
        <v>0.20000000000000018</v>
      </c>
      <c r="M3464" s="337"/>
    </row>
    <row r="3465" spans="1:13" s="71" customFormat="1" ht="26.4" customHeight="1">
      <c r="A3465" s="282">
        <v>777</v>
      </c>
      <c r="B3465" s="534"/>
      <c r="C3465" s="355" t="s">
        <v>1169</v>
      </c>
      <c r="D3465" s="307" t="s">
        <v>13270</v>
      </c>
      <c r="E3465" s="260" t="s">
        <v>4370</v>
      </c>
      <c r="F3465" s="362">
        <v>30088</v>
      </c>
      <c r="G3465" s="311">
        <v>1980</v>
      </c>
      <c r="H3465" s="340" t="s">
        <v>2658</v>
      </c>
      <c r="I3465" s="313">
        <v>25.4</v>
      </c>
      <c r="J3465" s="350">
        <v>3.4</v>
      </c>
      <c r="K3465" s="350">
        <v>3</v>
      </c>
      <c r="L3465" s="314">
        <f t="shared" si="32"/>
        <v>0.39999999999999991</v>
      </c>
      <c r="M3465" s="337"/>
    </row>
    <row r="3466" spans="1:13" s="71" customFormat="1" ht="39.6">
      <c r="A3466" s="282">
        <v>778</v>
      </c>
      <c r="B3466" s="534"/>
      <c r="C3466" s="355" t="s">
        <v>1169</v>
      </c>
      <c r="D3466" s="307" t="s">
        <v>13271</v>
      </c>
      <c r="E3466" s="260" t="s">
        <v>4371</v>
      </c>
      <c r="F3466" s="362">
        <v>30090</v>
      </c>
      <c r="G3466" s="311">
        <v>1981</v>
      </c>
      <c r="H3466" s="340" t="s">
        <v>2658</v>
      </c>
      <c r="I3466" s="313">
        <v>2543</v>
      </c>
      <c r="J3466" s="363">
        <v>284</v>
      </c>
      <c r="K3466" s="363">
        <v>274.89999999999998</v>
      </c>
      <c r="L3466" s="364">
        <f t="shared" si="32"/>
        <v>9.1000000000000227</v>
      </c>
      <c r="M3466" s="337"/>
    </row>
    <row r="3467" spans="1:13" s="71" customFormat="1" ht="26.4" customHeight="1">
      <c r="A3467" s="282">
        <v>779</v>
      </c>
      <c r="B3467" s="534"/>
      <c r="C3467" s="355" t="s">
        <v>1169</v>
      </c>
      <c r="D3467" s="307" t="s">
        <v>3</v>
      </c>
      <c r="E3467" s="260" t="s">
        <v>1885</v>
      </c>
      <c r="F3467" s="362">
        <v>30101</v>
      </c>
      <c r="G3467" s="311">
        <v>1982</v>
      </c>
      <c r="H3467" s="340" t="s">
        <v>2658</v>
      </c>
      <c r="I3467" s="313">
        <v>253</v>
      </c>
      <c r="J3467" s="350">
        <v>26</v>
      </c>
      <c r="K3467" s="350">
        <v>22</v>
      </c>
      <c r="L3467" s="314">
        <f t="shared" si="32"/>
        <v>4</v>
      </c>
      <c r="M3467" s="337"/>
    </row>
    <row r="3468" spans="1:13" s="71" customFormat="1" ht="26.4" customHeight="1">
      <c r="A3468" s="282">
        <v>780</v>
      </c>
      <c r="B3468" s="534"/>
      <c r="C3468" s="355" t="s">
        <v>1169</v>
      </c>
      <c r="D3468" s="307" t="s">
        <v>3</v>
      </c>
      <c r="E3468" s="260" t="s">
        <v>4372</v>
      </c>
      <c r="F3468" s="362">
        <v>30102</v>
      </c>
      <c r="G3468" s="311">
        <v>1983</v>
      </c>
      <c r="H3468" s="340" t="s">
        <v>2658</v>
      </c>
      <c r="I3468" s="313">
        <v>55.5</v>
      </c>
      <c r="J3468" s="350">
        <v>2.2000000000000002</v>
      </c>
      <c r="K3468" s="350">
        <v>1.9</v>
      </c>
      <c r="L3468" s="314">
        <f t="shared" si="32"/>
        <v>0.30000000000000027</v>
      </c>
      <c r="M3468" s="337"/>
    </row>
    <row r="3469" spans="1:13" s="71" customFormat="1" ht="26.4" customHeight="1">
      <c r="A3469" s="282">
        <v>781</v>
      </c>
      <c r="B3469" s="534"/>
      <c r="C3469" s="355" t="s">
        <v>1169</v>
      </c>
      <c r="D3469" s="307" t="s">
        <v>3</v>
      </c>
      <c r="E3469" s="260" t="s">
        <v>4373</v>
      </c>
      <c r="F3469" s="362">
        <v>30103</v>
      </c>
      <c r="G3469" s="311">
        <v>1983</v>
      </c>
      <c r="H3469" s="340" t="s">
        <v>2658</v>
      </c>
      <c r="I3469" s="313">
        <v>305.8</v>
      </c>
      <c r="J3469" s="350">
        <v>25.9</v>
      </c>
      <c r="K3469" s="350">
        <v>24.1</v>
      </c>
      <c r="L3469" s="314">
        <f t="shared" si="32"/>
        <v>1.7999999999999972</v>
      </c>
      <c r="M3469" s="337"/>
    </row>
    <row r="3470" spans="1:13" s="71" customFormat="1" ht="26.4" customHeight="1">
      <c r="A3470" s="282">
        <v>782</v>
      </c>
      <c r="B3470" s="534"/>
      <c r="C3470" s="355" t="s">
        <v>1169</v>
      </c>
      <c r="D3470" s="307" t="s">
        <v>3438</v>
      </c>
      <c r="E3470" s="260" t="s">
        <v>4374</v>
      </c>
      <c r="F3470" s="362">
        <v>30104</v>
      </c>
      <c r="G3470" s="311">
        <v>1983</v>
      </c>
      <c r="H3470" s="340" t="s">
        <v>2658</v>
      </c>
      <c r="I3470" s="313">
        <v>82.5</v>
      </c>
      <c r="J3470" s="350">
        <v>6.4</v>
      </c>
      <c r="K3470" s="350">
        <v>5.4</v>
      </c>
      <c r="L3470" s="314">
        <f t="shared" si="32"/>
        <v>1</v>
      </c>
      <c r="M3470" s="337"/>
    </row>
    <row r="3471" spans="1:13" s="71" customFormat="1" ht="26.4" customHeight="1">
      <c r="A3471" s="282">
        <v>783</v>
      </c>
      <c r="B3471" s="534"/>
      <c r="C3471" s="355" t="s">
        <v>1169</v>
      </c>
      <c r="D3471" s="307" t="s">
        <v>3438</v>
      </c>
      <c r="E3471" s="260" t="s">
        <v>12689</v>
      </c>
      <c r="F3471" s="362">
        <v>30106</v>
      </c>
      <c r="G3471" s="311">
        <v>1984</v>
      </c>
      <c r="H3471" s="340" t="s">
        <v>2658</v>
      </c>
      <c r="I3471" s="313">
        <v>68.7</v>
      </c>
      <c r="J3471" s="350">
        <v>3.5</v>
      </c>
      <c r="K3471" s="350">
        <v>3.1</v>
      </c>
      <c r="L3471" s="314">
        <f t="shared" si="32"/>
        <v>0.39999999999999991</v>
      </c>
      <c r="M3471" s="337"/>
    </row>
    <row r="3472" spans="1:13" s="71" customFormat="1" ht="26.4" customHeight="1">
      <c r="A3472" s="282">
        <v>784</v>
      </c>
      <c r="B3472" s="534"/>
      <c r="C3472" s="355" t="s">
        <v>1169</v>
      </c>
      <c r="D3472" s="307" t="s">
        <v>3</v>
      </c>
      <c r="E3472" s="260" t="s">
        <v>4375</v>
      </c>
      <c r="F3472" s="362">
        <v>30105</v>
      </c>
      <c r="G3472" s="311">
        <v>1983</v>
      </c>
      <c r="H3472" s="340" t="s">
        <v>2658</v>
      </c>
      <c r="I3472" s="313">
        <v>6159</v>
      </c>
      <c r="J3472" s="350">
        <v>610.5</v>
      </c>
      <c r="K3472" s="350">
        <v>593.5</v>
      </c>
      <c r="L3472" s="314">
        <f t="shared" si="32"/>
        <v>17</v>
      </c>
      <c r="M3472" s="337"/>
    </row>
    <row r="3473" spans="1:13" s="71" customFormat="1" ht="26.4" customHeight="1">
      <c r="A3473" s="282">
        <v>785</v>
      </c>
      <c r="B3473" s="534"/>
      <c r="C3473" s="355" t="s">
        <v>1169</v>
      </c>
      <c r="D3473" s="307" t="s">
        <v>3436</v>
      </c>
      <c r="E3473" s="260" t="s">
        <v>12690</v>
      </c>
      <c r="F3473" s="362">
        <v>30108</v>
      </c>
      <c r="G3473" s="311">
        <v>1984</v>
      </c>
      <c r="H3473" s="340" t="s">
        <v>2658</v>
      </c>
      <c r="I3473" s="313">
        <v>46</v>
      </c>
      <c r="J3473" s="350">
        <v>2.5</v>
      </c>
      <c r="K3473" s="350">
        <v>2.2000000000000002</v>
      </c>
      <c r="L3473" s="314">
        <f t="shared" si="32"/>
        <v>0.29999999999999982</v>
      </c>
      <c r="M3473" s="337"/>
    </row>
    <row r="3474" spans="1:13" s="71" customFormat="1" ht="26.4" customHeight="1">
      <c r="A3474" s="282">
        <v>786</v>
      </c>
      <c r="B3474" s="534"/>
      <c r="C3474" s="355" t="s">
        <v>1169</v>
      </c>
      <c r="D3474" s="307" t="s">
        <v>3438</v>
      </c>
      <c r="E3474" s="260" t="s">
        <v>12691</v>
      </c>
      <c r="F3474" s="362">
        <v>30107</v>
      </c>
      <c r="G3474" s="311">
        <v>1984</v>
      </c>
      <c r="H3474" s="340" t="s">
        <v>2658</v>
      </c>
      <c r="I3474" s="313">
        <v>87.1</v>
      </c>
      <c r="J3474" s="350">
        <v>5.9</v>
      </c>
      <c r="K3474" s="350">
        <v>5.5</v>
      </c>
      <c r="L3474" s="314">
        <f t="shared" si="32"/>
        <v>0.40000000000000036</v>
      </c>
      <c r="M3474" s="337"/>
    </row>
    <row r="3475" spans="1:13" s="71" customFormat="1" ht="26.4" customHeight="1">
      <c r="A3475" s="282">
        <v>787</v>
      </c>
      <c r="B3475" s="534"/>
      <c r="C3475" s="355" t="s">
        <v>1169</v>
      </c>
      <c r="D3475" s="307" t="s">
        <v>3436</v>
      </c>
      <c r="E3475" s="260" t="s">
        <v>12692</v>
      </c>
      <c r="F3475" s="362">
        <v>30109</v>
      </c>
      <c r="G3475" s="311">
        <v>1983</v>
      </c>
      <c r="H3475" s="340" t="s">
        <v>2658</v>
      </c>
      <c r="I3475" s="313">
        <v>181</v>
      </c>
      <c r="J3475" s="350">
        <v>14.8</v>
      </c>
      <c r="K3475" s="350">
        <v>14.4</v>
      </c>
      <c r="L3475" s="314">
        <f t="shared" si="32"/>
        <v>0.40000000000000036</v>
      </c>
      <c r="M3475" s="337"/>
    </row>
    <row r="3476" spans="1:13" s="71" customFormat="1" ht="26.4" customHeight="1">
      <c r="A3476" s="282">
        <v>788</v>
      </c>
      <c r="B3476" s="534"/>
      <c r="C3476" s="307" t="s">
        <v>3336</v>
      </c>
      <c r="D3476" s="307" t="s">
        <v>4166</v>
      </c>
      <c r="E3476" s="260" t="s">
        <v>12693</v>
      </c>
      <c r="F3476" s="362">
        <v>30110</v>
      </c>
      <c r="G3476" s="311">
        <v>1984</v>
      </c>
      <c r="H3476" s="340" t="s">
        <v>2658</v>
      </c>
      <c r="I3476" s="313">
        <v>132</v>
      </c>
      <c r="J3476" s="350">
        <v>13.8</v>
      </c>
      <c r="K3476" s="350">
        <v>12.9</v>
      </c>
      <c r="L3476" s="314">
        <f t="shared" si="32"/>
        <v>0.90000000000000036</v>
      </c>
      <c r="M3476" s="337"/>
    </row>
    <row r="3477" spans="1:13" s="71" customFormat="1" ht="26.4" customHeight="1">
      <c r="A3477" s="282">
        <v>789</v>
      </c>
      <c r="B3477" s="534"/>
      <c r="C3477" s="355" t="s">
        <v>1169</v>
      </c>
      <c r="D3477" s="307" t="s">
        <v>3345</v>
      </c>
      <c r="E3477" s="260" t="s">
        <v>4376</v>
      </c>
      <c r="F3477" s="362">
        <v>30111</v>
      </c>
      <c r="G3477" s="311">
        <v>1985</v>
      </c>
      <c r="H3477" s="340" t="s">
        <v>2658</v>
      </c>
      <c r="I3477" s="313">
        <v>31.25</v>
      </c>
      <c r="J3477" s="350">
        <v>2.7</v>
      </c>
      <c r="K3477" s="350">
        <v>2.2999999999999998</v>
      </c>
      <c r="L3477" s="314">
        <f t="shared" si="32"/>
        <v>0.40000000000000036</v>
      </c>
      <c r="M3477" s="337"/>
    </row>
    <row r="3478" spans="1:13" s="71" customFormat="1" ht="26.4" customHeight="1">
      <c r="A3478" s="282">
        <v>790</v>
      </c>
      <c r="B3478" s="534"/>
      <c r="C3478" s="355" t="s">
        <v>1169</v>
      </c>
      <c r="D3478" s="307" t="s">
        <v>3438</v>
      </c>
      <c r="E3478" s="260" t="s">
        <v>12694</v>
      </c>
      <c r="F3478" s="362">
        <v>30112</v>
      </c>
      <c r="G3478" s="311">
        <v>1985</v>
      </c>
      <c r="H3478" s="340" t="s">
        <v>2658</v>
      </c>
      <c r="I3478" s="313">
        <v>75</v>
      </c>
      <c r="J3478" s="350">
        <v>6</v>
      </c>
      <c r="K3478" s="350">
        <v>5.6</v>
      </c>
      <c r="L3478" s="314">
        <f t="shared" si="32"/>
        <v>0.40000000000000036</v>
      </c>
      <c r="M3478" s="337"/>
    </row>
    <row r="3479" spans="1:13" s="71" customFormat="1" ht="26.4" customHeight="1">
      <c r="A3479" s="282">
        <v>791</v>
      </c>
      <c r="B3479" s="534"/>
      <c r="C3479" s="355" t="s">
        <v>1169</v>
      </c>
      <c r="D3479" s="307" t="s">
        <v>3438</v>
      </c>
      <c r="E3479" s="260" t="s">
        <v>12695</v>
      </c>
      <c r="F3479" s="362">
        <v>30113</v>
      </c>
      <c r="G3479" s="311">
        <v>1986</v>
      </c>
      <c r="H3479" s="340" t="s">
        <v>2658</v>
      </c>
      <c r="I3479" s="313">
        <v>155</v>
      </c>
      <c r="J3479" s="350">
        <v>22.2</v>
      </c>
      <c r="K3479" s="350">
        <v>20.7</v>
      </c>
      <c r="L3479" s="314">
        <f t="shared" si="32"/>
        <v>1.5</v>
      </c>
      <c r="M3479" s="337"/>
    </row>
    <row r="3480" spans="1:13" s="71" customFormat="1" ht="26.4" customHeight="1">
      <c r="A3480" s="282">
        <v>792</v>
      </c>
      <c r="B3480" s="534"/>
      <c r="C3480" s="355" t="s">
        <v>1169</v>
      </c>
      <c r="D3480" s="307" t="s">
        <v>4377</v>
      </c>
      <c r="E3480" s="260" t="s">
        <v>4378</v>
      </c>
      <c r="F3480" s="362">
        <v>30114</v>
      </c>
      <c r="G3480" s="311">
        <v>1986</v>
      </c>
      <c r="H3480" s="340" t="s">
        <v>2658</v>
      </c>
      <c r="I3480" s="313">
        <v>256.8</v>
      </c>
      <c r="J3480" s="350">
        <v>9.9</v>
      </c>
      <c r="K3480" s="350">
        <v>9.6</v>
      </c>
      <c r="L3480" s="314">
        <f t="shared" si="32"/>
        <v>0.30000000000000071</v>
      </c>
      <c r="M3480" s="337"/>
    </row>
    <row r="3481" spans="1:13" s="71" customFormat="1" ht="26.4" customHeight="1">
      <c r="A3481" s="282">
        <v>793</v>
      </c>
      <c r="B3481" s="534"/>
      <c r="C3481" s="355" t="s">
        <v>1169</v>
      </c>
      <c r="D3481" s="307" t="s">
        <v>3512</v>
      </c>
      <c r="E3481" s="260" t="s">
        <v>4379</v>
      </c>
      <c r="F3481" s="362">
        <v>30115</v>
      </c>
      <c r="G3481" s="311">
        <v>1985</v>
      </c>
      <c r="H3481" s="340" t="s">
        <v>2658</v>
      </c>
      <c r="I3481" s="313">
        <v>755</v>
      </c>
      <c r="J3481" s="350">
        <v>32.4</v>
      </c>
      <c r="K3481" s="350">
        <v>27.5</v>
      </c>
      <c r="L3481" s="314">
        <f t="shared" si="32"/>
        <v>4.8999999999999986</v>
      </c>
      <c r="M3481" s="337"/>
    </row>
    <row r="3482" spans="1:13" s="71" customFormat="1" ht="26.4" customHeight="1">
      <c r="A3482" s="282">
        <v>794</v>
      </c>
      <c r="B3482" s="534"/>
      <c r="C3482" s="355" t="s">
        <v>1169</v>
      </c>
      <c r="D3482" s="307" t="s">
        <v>4335</v>
      </c>
      <c r="E3482" s="260" t="s">
        <v>12696</v>
      </c>
      <c r="F3482" s="362">
        <v>30116</v>
      </c>
      <c r="G3482" s="311">
        <v>1986</v>
      </c>
      <c r="H3482" s="340" t="s">
        <v>2658</v>
      </c>
      <c r="I3482" s="313">
        <v>155</v>
      </c>
      <c r="J3482" s="350">
        <v>14.1</v>
      </c>
      <c r="K3482" s="350">
        <v>12</v>
      </c>
      <c r="L3482" s="314">
        <f t="shared" si="32"/>
        <v>2.0999999999999996</v>
      </c>
      <c r="M3482" s="337"/>
    </row>
    <row r="3483" spans="1:13" s="71" customFormat="1" ht="26.4" customHeight="1">
      <c r="A3483" s="282">
        <v>795</v>
      </c>
      <c r="B3483" s="534"/>
      <c r="C3483" s="355" t="s">
        <v>1169</v>
      </c>
      <c r="D3483" s="307" t="s">
        <v>4291</v>
      </c>
      <c r="E3483" s="260" t="s">
        <v>12697</v>
      </c>
      <c r="F3483" s="362">
        <v>30117</v>
      </c>
      <c r="G3483" s="311">
        <v>1986</v>
      </c>
      <c r="H3483" s="340" t="s">
        <v>2658</v>
      </c>
      <c r="I3483" s="313">
        <v>68.2</v>
      </c>
      <c r="J3483" s="350">
        <v>14.1</v>
      </c>
      <c r="K3483" s="350">
        <v>13.1</v>
      </c>
      <c r="L3483" s="314">
        <f t="shared" si="32"/>
        <v>1</v>
      </c>
      <c r="M3483" s="337"/>
    </row>
    <row r="3484" spans="1:13" s="71" customFormat="1" ht="26.4" customHeight="1">
      <c r="A3484" s="282">
        <v>796</v>
      </c>
      <c r="B3484" s="534"/>
      <c r="C3484" s="355" t="s">
        <v>1169</v>
      </c>
      <c r="D3484" s="307" t="s">
        <v>4380</v>
      </c>
      <c r="E3484" s="260" t="s">
        <v>4381</v>
      </c>
      <c r="F3484" s="362">
        <v>30118</v>
      </c>
      <c r="G3484" s="311">
        <v>1986</v>
      </c>
      <c r="H3484" s="340" t="s">
        <v>2658</v>
      </c>
      <c r="I3484" s="313">
        <v>88.2</v>
      </c>
      <c r="J3484" s="350">
        <v>12.6</v>
      </c>
      <c r="K3484" s="350">
        <v>10.6</v>
      </c>
      <c r="L3484" s="314">
        <f t="shared" si="32"/>
        <v>2</v>
      </c>
      <c r="M3484" s="337"/>
    </row>
    <row r="3485" spans="1:13" s="71" customFormat="1" ht="26.4" customHeight="1">
      <c r="A3485" s="282">
        <v>797</v>
      </c>
      <c r="B3485" s="534"/>
      <c r="C3485" s="355" t="s">
        <v>1169</v>
      </c>
      <c r="D3485" s="307" t="s">
        <v>4380</v>
      </c>
      <c r="E3485" s="260" t="s">
        <v>12698</v>
      </c>
      <c r="F3485" s="362">
        <v>30119</v>
      </c>
      <c r="G3485" s="311">
        <v>1986</v>
      </c>
      <c r="H3485" s="340" t="s">
        <v>2658</v>
      </c>
      <c r="I3485" s="313">
        <v>731</v>
      </c>
      <c r="J3485" s="350">
        <v>48.7</v>
      </c>
      <c r="K3485" s="350">
        <v>45.3</v>
      </c>
      <c r="L3485" s="314">
        <f t="shared" si="32"/>
        <v>3.4000000000000057</v>
      </c>
      <c r="M3485" s="337"/>
    </row>
    <row r="3486" spans="1:13" s="71" customFormat="1" ht="26.4" customHeight="1">
      <c r="A3486" s="282">
        <v>798</v>
      </c>
      <c r="B3486" s="534"/>
      <c r="C3486" s="355" t="s">
        <v>1169</v>
      </c>
      <c r="D3486" s="307" t="s">
        <v>4382</v>
      </c>
      <c r="E3486" s="260" t="s">
        <v>4383</v>
      </c>
      <c r="F3486" s="362">
        <v>30120</v>
      </c>
      <c r="G3486" s="311">
        <v>1986</v>
      </c>
      <c r="H3486" s="340" t="s">
        <v>2658</v>
      </c>
      <c r="I3486" s="313">
        <v>113.1</v>
      </c>
      <c r="J3486" s="350">
        <v>17.7</v>
      </c>
      <c r="K3486" s="350">
        <v>16.399999999999999</v>
      </c>
      <c r="L3486" s="314">
        <f t="shared" si="32"/>
        <v>1.3000000000000007</v>
      </c>
      <c r="M3486" s="337"/>
    </row>
    <row r="3487" spans="1:13" s="71" customFormat="1" ht="26.4" customHeight="1">
      <c r="A3487" s="282">
        <v>799</v>
      </c>
      <c r="B3487" s="534"/>
      <c r="C3487" s="355" t="s">
        <v>1169</v>
      </c>
      <c r="D3487" s="307" t="s">
        <v>4380</v>
      </c>
      <c r="E3487" s="260" t="s">
        <v>4384</v>
      </c>
      <c r="F3487" s="362">
        <v>30121</v>
      </c>
      <c r="G3487" s="311">
        <v>1987</v>
      </c>
      <c r="H3487" s="340" t="s">
        <v>2658</v>
      </c>
      <c r="I3487" s="313">
        <v>99</v>
      </c>
      <c r="J3487" s="350">
        <v>12.7</v>
      </c>
      <c r="K3487" s="350">
        <v>10.8</v>
      </c>
      <c r="L3487" s="314">
        <f t="shared" si="32"/>
        <v>1.8999999999999986</v>
      </c>
      <c r="M3487" s="337"/>
    </row>
    <row r="3488" spans="1:13" s="71" customFormat="1" ht="26.4" customHeight="1">
      <c r="A3488" s="282">
        <v>800</v>
      </c>
      <c r="B3488" s="534"/>
      <c r="C3488" s="355" t="s">
        <v>1169</v>
      </c>
      <c r="D3488" s="307" t="s">
        <v>3436</v>
      </c>
      <c r="E3488" s="260" t="s">
        <v>12699</v>
      </c>
      <c r="F3488" s="362">
        <v>30122</v>
      </c>
      <c r="G3488" s="311">
        <v>1987</v>
      </c>
      <c r="H3488" s="340" t="s">
        <v>2658</v>
      </c>
      <c r="I3488" s="313">
        <v>123</v>
      </c>
      <c r="J3488" s="350">
        <v>1.2</v>
      </c>
      <c r="K3488" s="350">
        <v>1.1000000000000001</v>
      </c>
      <c r="L3488" s="314">
        <f t="shared" si="32"/>
        <v>9.9999999999999867E-2</v>
      </c>
      <c r="M3488" s="337"/>
    </row>
    <row r="3489" spans="1:13" s="71" customFormat="1" ht="26.4" customHeight="1">
      <c r="A3489" s="282">
        <v>801</v>
      </c>
      <c r="B3489" s="534"/>
      <c r="C3489" s="355" t="s">
        <v>1169</v>
      </c>
      <c r="D3489" s="307" t="s">
        <v>3438</v>
      </c>
      <c r="E3489" s="260" t="s">
        <v>12700</v>
      </c>
      <c r="F3489" s="362">
        <v>30123</v>
      </c>
      <c r="G3489" s="311">
        <v>1987</v>
      </c>
      <c r="H3489" s="340" t="s">
        <v>2658</v>
      </c>
      <c r="I3489" s="313">
        <v>57.3</v>
      </c>
      <c r="J3489" s="350">
        <v>6.9</v>
      </c>
      <c r="K3489" s="350">
        <v>6.4</v>
      </c>
      <c r="L3489" s="314">
        <f t="shared" si="32"/>
        <v>0.5</v>
      </c>
      <c r="M3489" s="337"/>
    </row>
    <row r="3490" spans="1:13" s="71" customFormat="1" ht="26.4">
      <c r="A3490" s="282">
        <v>802</v>
      </c>
      <c r="B3490" s="534"/>
      <c r="C3490" s="355" t="s">
        <v>1169</v>
      </c>
      <c r="D3490" s="307" t="s">
        <v>4385</v>
      </c>
      <c r="E3490" s="260" t="s">
        <v>12701</v>
      </c>
      <c r="F3490" s="362">
        <v>30124</v>
      </c>
      <c r="G3490" s="311">
        <v>1987</v>
      </c>
      <c r="H3490" s="340" t="s">
        <v>2658</v>
      </c>
      <c r="I3490" s="313">
        <v>125.1</v>
      </c>
      <c r="J3490" s="350">
        <v>3.9</v>
      </c>
      <c r="K3490" s="350">
        <v>3.4</v>
      </c>
      <c r="L3490" s="314">
        <f t="shared" si="32"/>
        <v>0.5</v>
      </c>
      <c r="M3490" s="337"/>
    </row>
    <row r="3491" spans="1:13" s="71" customFormat="1" ht="39" customHeight="1">
      <c r="A3491" s="282">
        <v>803</v>
      </c>
      <c r="B3491" s="534"/>
      <c r="C3491" s="355" t="s">
        <v>1169</v>
      </c>
      <c r="D3491" s="307" t="s">
        <v>4386</v>
      </c>
      <c r="E3491" s="260" t="s">
        <v>12702</v>
      </c>
      <c r="F3491" s="362">
        <v>30125</v>
      </c>
      <c r="G3491" s="311">
        <v>1987</v>
      </c>
      <c r="H3491" s="340" t="s">
        <v>2658</v>
      </c>
      <c r="I3491" s="313">
        <v>278.60000000000002</v>
      </c>
      <c r="J3491" s="350">
        <v>5</v>
      </c>
      <c r="K3491" s="350">
        <v>5</v>
      </c>
      <c r="L3491" s="314">
        <f t="shared" si="32"/>
        <v>0</v>
      </c>
      <c r="M3491" s="337"/>
    </row>
    <row r="3492" spans="1:13" s="71" customFormat="1" ht="26.4" customHeight="1">
      <c r="A3492" s="282">
        <v>804</v>
      </c>
      <c r="B3492" s="534"/>
      <c r="C3492" s="355" t="s">
        <v>1169</v>
      </c>
      <c r="D3492" s="307" t="s">
        <v>4288</v>
      </c>
      <c r="E3492" s="260" t="s">
        <v>4387</v>
      </c>
      <c r="F3492" s="362">
        <v>30126</v>
      </c>
      <c r="G3492" s="311">
        <v>1968</v>
      </c>
      <c r="H3492" s="340" t="s">
        <v>2658</v>
      </c>
      <c r="I3492" s="313">
        <v>1530</v>
      </c>
      <c r="J3492" s="350">
        <v>102.6</v>
      </c>
      <c r="K3492" s="350">
        <v>99.8</v>
      </c>
      <c r="L3492" s="314">
        <f t="shared" si="32"/>
        <v>2.7999999999999972</v>
      </c>
      <c r="M3492" s="337"/>
    </row>
    <row r="3493" spans="1:13" s="71" customFormat="1" ht="26.4" customHeight="1">
      <c r="A3493" s="282">
        <v>805</v>
      </c>
      <c r="B3493" s="534"/>
      <c r="C3493" s="355" t="s">
        <v>1169</v>
      </c>
      <c r="D3493" s="307" t="s">
        <v>3436</v>
      </c>
      <c r="E3493" s="260" t="s">
        <v>4388</v>
      </c>
      <c r="F3493" s="362">
        <v>30161</v>
      </c>
      <c r="G3493" s="311">
        <v>1966</v>
      </c>
      <c r="H3493" s="340" t="s">
        <v>2658</v>
      </c>
      <c r="I3493" s="313">
        <v>184</v>
      </c>
      <c r="J3493" s="350">
        <v>17.8</v>
      </c>
      <c r="K3493" s="350">
        <v>15.1</v>
      </c>
      <c r="L3493" s="314">
        <f t="shared" si="32"/>
        <v>2.7000000000000011</v>
      </c>
      <c r="M3493" s="337"/>
    </row>
    <row r="3494" spans="1:13" s="71" customFormat="1" ht="26.4" customHeight="1">
      <c r="A3494" s="282">
        <v>806</v>
      </c>
      <c r="B3494" s="534"/>
      <c r="C3494" s="355" t="s">
        <v>1169</v>
      </c>
      <c r="D3494" s="307" t="s">
        <v>3345</v>
      </c>
      <c r="E3494" s="260" t="s">
        <v>4389</v>
      </c>
      <c r="F3494" s="362">
        <v>30162</v>
      </c>
      <c r="G3494" s="311">
        <v>1975</v>
      </c>
      <c r="H3494" s="340" t="s">
        <v>2658</v>
      </c>
      <c r="I3494" s="313">
        <v>154</v>
      </c>
      <c r="J3494" s="350">
        <v>8.6999999999999993</v>
      </c>
      <c r="K3494" s="350">
        <v>8.1</v>
      </c>
      <c r="L3494" s="314">
        <f t="shared" si="32"/>
        <v>0.59999999999999964</v>
      </c>
      <c r="M3494" s="337"/>
    </row>
    <row r="3495" spans="1:13" s="71" customFormat="1" ht="26.4" customHeight="1">
      <c r="A3495" s="282">
        <v>807</v>
      </c>
      <c r="B3495" s="534"/>
      <c r="C3495" s="355" t="s">
        <v>1169</v>
      </c>
      <c r="D3495" s="307" t="s">
        <v>3345</v>
      </c>
      <c r="E3495" s="260" t="s">
        <v>4390</v>
      </c>
      <c r="F3495" s="362">
        <v>30163</v>
      </c>
      <c r="G3495" s="311">
        <v>1981</v>
      </c>
      <c r="H3495" s="340" t="s">
        <v>2658</v>
      </c>
      <c r="I3495" s="313">
        <v>85</v>
      </c>
      <c r="J3495" s="350">
        <v>6.5</v>
      </c>
      <c r="K3495" s="350">
        <v>5.5</v>
      </c>
      <c r="L3495" s="314">
        <f t="shared" si="32"/>
        <v>1</v>
      </c>
      <c r="M3495" s="337"/>
    </row>
    <row r="3496" spans="1:13" s="71" customFormat="1" ht="26.4" customHeight="1">
      <c r="A3496" s="282">
        <v>808</v>
      </c>
      <c r="B3496" s="534"/>
      <c r="C3496" s="355" t="s">
        <v>1169</v>
      </c>
      <c r="D3496" s="307" t="s">
        <v>3436</v>
      </c>
      <c r="E3496" s="260" t="s">
        <v>13079</v>
      </c>
      <c r="F3496" s="362">
        <v>30164</v>
      </c>
      <c r="G3496" s="311">
        <v>1981</v>
      </c>
      <c r="H3496" s="340" t="s">
        <v>2658</v>
      </c>
      <c r="I3496" s="313">
        <v>68</v>
      </c>
      <c r="J3496" s="350">
        <v>6</v>
      </c>
      <c r="K3496" s="350">
        <v>5.6</v>
      </c>
      <c r="L3496" s="314">
        <f t="shared" si="32"/>
        <v>0.40000000000000036</v>
      </c>
      <c r="M3496" s="337"/>
    </row>
    <row r="3497" spans="1:13" s="71" customFormat="1" ht="26.4" customHeight="1">
      <c r="A3497" s="282">
        <v>809</v>
      </c>
      <c r="B3497" s="534"/>
      <c r="C3497" s="355" t="s">
        <v>1169</v>
      </c>
      <c r="D3497" s="307" t="s">
        <v>3436</v>
      </c>
      <c r="E3497" s="260" t="s">
        <v>13080</v>
      </c>
      <c r="F3497" s="362">
        <v>30165</v>
      </c>
      <c r="G3497" s="311">
        <v>1981</v>
      </c>
      <c r="H3497" s="340" t="s">
        <v>2658</v>
      </c>
      <c r="I3497" s="313">
        <v>200</v>
      </c>
      <c r="J3497" s="350">
        <v>5.7</v>
      </c>
      <c r="K3497" s="350">
        <v>4.9000000000000004</v>
      </c>
      <c r="L3497" s="314">
        <f t="shared" si="32"/>
        <v>0.79999999999999982</v>
      </c>
      <c r="M3497" s="337"/>
    </row>
    <row r="3498" spans="1:13" s="71" customFormat="1" ht="26.4" customHeight="1">
      <c r="A3498" s="282">
        <v>810</v>
      </c>
      <c r="B3498" s="534"/>
      <c r="C3498" s="307" t="s">
        <v>3336</v>
      </c>
      <c r="D3498" s="307" t="s">
        <v>4166</v>
      </c>
      <c r="E3498" s="260" t="s">
        <v>4391</v>
      </c>
      <c r="F3498" s="362" t="s">
        <v>4392</v>
      </c>
      <c r="G3498" s="311">
        <v>1987</v>
      </c>
      <c r="H3498" s="340" t="s">
        <v>2658</v>
      </c>
      <c r="I3498" s="313">
        <v>165</v>
      </c>
      <c r="J3498" s="350">
        <v>4.8</v>
      </c>
      <c r="K3498" s="350">
        <v>4.8</v>
      </c>
      <c r="L3498" s="314">
        <f t="shared" si="32"/>
        <v>0</v>
      </c>
      <c r="M3498" s="337"/>
    </row>
    <row r="3499" spans="1:13" s="71" customFormat="1" ht="26.4" customHeight="1">
      <c r="A3499" s="282">
        <v>811</v>
      </c>
      <c r="B3499" s="534"/>
      <c r="C3499" s="355" t="s">
        <v>1169</v>
      </c>
      <c r="D3499" s="307" t="s">
        <v>3436</v>
      </c>
      <c r="E3499" s="260" t="s">
        <v>4393</v>
      </c>
      <c r="F3499" s="362">
        <v>30166</v>
      </c>
      <c r="G3499" s="311">
        <v>1987</v>
      </c>
      <c r="H3499" s="340" t="s">
        <v>2658</v>
      </c>
      <c r="I3499" s="313">
        <v>170.4</v>
      </c>
      <c r="J3499" s="350">
        <v>10.199999999999999</v>
      </c>
      <c r="K3499" s="350">
        <v>9.5</v>
      </c>
      <c r="L3499" s="314">
        <f t="shared" si="32"/>
        <v>0.69999999999999929</v>
      </c>
      <c r="M3499" s="337"/>
    </row>
    <row r="3500" spans="1:13" s="71" customFormat="1" ht="26.4" customHeight="1">
      <c r="A3500" s="282">
        <v>812</v>
      </c>
      <c r="B3500" s="534"/>
      <c r="C3500" s="355" t="s">
        <v>1169</v>
      </c>
      <c r="D3500" s="307" t="s">
        <v>3</v>
      </c>
      <c r="E3500" s="260" t="s">
        <v>4394</v>
      </c>
      <c r="F3500" s="362">
        <v>30167</v>
      </c>
      <c r="G3500" s="311">
        <v>1987</v>
      </c>
      <c r="H3500" s="340" t="s">
        <v>2658</v>
      </c>
      <c r="I3500" s="313">
        <v>755</v>
      </c>
      <c r="J3500" s="350">
        <v>3.9</v>
      </c>
      <c r="K3500" s="350">
        <v>3.3</v>
      </c>
      <c r="L3500" s="314">
        <f t="shared" si="32"/>
        <v>0.60000000000000009</v>
      </c>
      <c r="M3500" s="337"/>
    </row>
    <row r="3501" spans="1:13" s="71" customFormat="1" ht="26.4" customHeight="1">
      <c r="A3501" s="282">
        <v>813</v>
      </c>
      <c r="B3501" s="534"/>
      <c r="C3501" s="355" t="s">
        <v>1169</v>
      </c>
      <c r="D3501" s="307" t="s">
        <v>3436</v>
      </c>
      <c r="E3501" s="260" t="s">
        <v>4395</v>
      </c>
      <c r="F3501" s="362">
        <v>30168</v>
      </c>
      <c r="G3501" s="311">
        <v>1987</v>
      </c>
      <c r="H3501" s="340" t="s">
        <v>2658</v>
      </c>
      <c r="I3501" s="313">
        <v>76.2</v>
      </c>
      <c r="J3501" s="350">
        <v>5.4</v>
      </c>
      <c r="K3501" s="350">
        <v>5.3</v>
      </c>
      <c r="L3501" s="314">
        <f t="shared" si="32"/>
        <v>0.10000000000000053</v>
      </c>
      <c r="M3501" s="337"/>
    </row>
    <row r="3502" spans="1:13" s="71" customFormat="1" ht="26.4" customHeight="1">
      <c r="A3502" s="282">
        <v>814</v>
      </c>
      <c r="B3502" s="534"/>
      <c r="C3502" s="307" t="s">
        <v>3276</v>
      </c>
      <c r="D3502" s="307" t="s">
        <v>3</v>
      </c>
      <c r="E3502" s="260" t="s">
        <v>4396</v>
      </c>
      <c r="F3502" s="362">
        <v>30169</v>
      </c>
      <c r="G3502" s="311">
        <v>1987</v>
      </c>
      <c r="H3502" s="340" t="s">
        <v>2658</v>
      </c>
      <c r="I3502" s="313">
        <v>4470</v>
      </c>
      <c r="J3502" s="350">
        <v>448.9</v>
      </c>
      <c r="K3502" s="350">
        <v>380.3</v>
      </c>
      <c r="L3502" s="314">
        <f t="shared" si="32"/>
        <v>68.599999999999966</v>
      </c>
      <c r="M3502" s="337"/>
    </row>
    <row r="3503" spans="1:13" s="71" customFormat="1" ht="39.6">
      <c r="A3503" s="282">
        <v>815</v>
      </c>
      <c r="B3503" s="534"/>
      <c r="C3503" s="355" t="s">
        <v>1169</v>
      </c>
      <c r="D3503" s="307" t="s">
        <v>3436</v>
      </c>
      <c r="E3503" s="260" t="s">
        <v>4397</v>
      </c>
      <c r="F3503" s="362">
        <v>30170</v>
      </c>
      <c r="G3503" s="311">
        <v>1987</v>
      </c>
      <c r="H3503" s="340" t="s">
        <v>2658</v>
      </c>
      <c r="I3503" s="313">
        <v>45.7</v>
      </c>
      <c r="J3503" s="350">
        <v>4.8</v>
      </c>
      <c r="K3503" s="350">
        <v>4.0999999999999996</v>
      </c>
      <c r="L3503" s="314">
        <f t="shared" si="32"/>
        <v>0.70000000000000018</v>
      </c>
      <c r="M3503" s="337"/>
    </row>
    <row r="3504" spans="1:13" s="71" customFormat="1" ht="39.6">
      <c r="A3504" s="282">
        <v>816</v>
      </c>
      <c r="B3504" s="534"/>
      <c r="C3504" s="307" t="s">
        <v>3276</v>
      </c>
      <c r="D3504" s="307" t="s">
        <v>4166</v>
      </c>
      <c r="E3504" s="260" t="s">
        <v>4398</v>
      </c>
      <c r="F3504" s="362">
        <v>30171</v>
      </c>
      <c r="G3504" s="311">
        <v>1987</v>
      </c>
      <c r="H3504" s="340" t="s">
        <v>2658</v>
      </c>
      <c r="I3504" s="313">
        <v>325</v>
      </c>
      <c r="J3504" s="350">
        <v>15.3</v>
      </c>
      <c r="K3504" s="350">
        <v>13.4</v>
      </c>
      <c r="L3504" s="314">
        <f t="shared" si="32"/>
        <v>1.9000000000000004</v>
      </c>
      <c r="M3504" s="337"/>
    </row>
    <row r="3505" spans="1:13" s="71" customFormat="1" ht="39.6">
      <c r="A3505" s="282">
        <v>817</v>
      </c>
      <c r="B3505" s="534"/>
      <c r="C3505" s="307" t="s">
        <v>3276</v>
      </c>
      <c r="D3505" s="307" t="s">
        <v>4166</v>
      </c>
      <c r="E3505" s="260" t="s">
        <v>4399</v>
      </c>
      <c r="F3505" s="362">
        <v>30172</v>
      </c>
      <c r="G3505" s="311">
        <v>1987</v>
      </c>
      <c r="H3505" s="340" t="s">
        <v>2658</v>
      </c>
      <c r="I3505" s="313">
        <v>136.4</v>
      </c>
      <c r="J3505" s="350">
        <v>8.6999999999999993</v>
      </c>
      <c r="K3505" s="350">
        <v>7.6</v>
      </c>
      <c r="L3505" s="314">
        <f t="shared" si="32"/>
        <v>1.0999999999999996</v>
      </c>
      <c r="M3505" s="337"/>
    </row>
    <row r="3506" spans="1:13" s="71" customFormat="1" ht="26.4" customHeight="1">
      <c r="A3506" s="282">
        <v>818</v>
      </c>
      <c r="B3506" s="534"/>
      <c r="C3506" s="307" t="s">
        <v>3276</v>
      </c>
      <c r="D3506" s="307" t="s">
        <v>4193</v>
      </c>
      <c r="E3506" s="260" t="s">
        <v>4400</v>
      </c>
      <c r="F3506" s="362">
        <v>30173</v>
      </c>
      <c r="G3506" s="311">
        <v>1987</v>
      </c>
      <c r="H3506" s="340" t="s">
        <v>2658</v>
      </c>
      <c r="I3506" s="313">
        <v>12</v>
      </c>
      <c r="J3506" s="350">
        <v>8.1999999999999993</v>
      </c>
      <c r="K3506" s="350">
        <v>7.2</v>
      </c>
      <c r="L3506" s="314">
        <f t="shared" si="32"/>
        <v>0.99999999999999911</v>
      </c>
      <c r="M3506" s="337"/>
    </row>
    <row r="3507" spans="1:13" s="71" customFormat="1" ht="26.4" customHeight="1">
      <c r="A3507" s="282">
        <v>819</v>
      </c>
      <c r="B3507" s="534"/>
      <c r="C3507" s="307" t="s">
        <v>3276</v>
      </c>
      <c r="D3507" s="307" t="s">
        <v>4166</v>
      </c>
      <c r="E3507" s="260" t="s">
        <v>4401</v>
      </c>
      <c r="F3507" s="362">
        <v>30174</v>
      </c>
      <c r="G3507" s="311">
        <v>1987</v>
      </c>
      <c r="H3507" s="340" t="s">
        <v>2658</v>
      </c>
      <c r="I3507" s="313">
        <v>152</v>
      </c>
      <c r="J3507" s="350">
        <v>18</v>
      </c>
      <c r="K3507" s="350">
        <v>17.5</v>
      </c>
      <c r="L3507" s="314">
        <f t="shared" si="32"/>
        <v>0.5</v>
      </c>
      <c r="M3507" s="337"/>
    </row>
    <row r="3508" spans="1:13" s="71" customFormat="1" ht="26.4" customHeight="1">
      <c r="A3508" s="282">
        <v>820</v>
      </c>
      <c r="B3508" s="534"/>
      <c r="C3508" s="355" t="s">
        <v>1169</v>
      </c>
      <c r="D3508" s="307" t="s">
        <v>3438</v>
      </c>
      <c r="E3508" s="260" t="s">
        <v>4402</v>
      </c>
      <c r="F3508" s="362">
        <v>30175</v>
      </c>
      <c r="G3508" s="311">
        <v>1987</v>
      </c>
      <c r="H3508" s="340" t="s">
        <v>2658</v>
      </c>
      <c r="I3508" s="313">
        <v>46</v>
      </c>
      <c r="J3508" s="350">
        <v>3.6</v>
      </c>
      <c r="K3508" s="350">
        <v>3.1</v>
      </c>
      <c r="L3508" s="314">
        <f t="shared" si="32"/>
        <v>0.5</v>
      </c>
      <c r="M3508" s="337"/>
    </row>
    <row r="3509" spans="1:13" s="71" customFormat="1" ht="26.4" customHeight="1">
      <c r="A3509" s="282">
        <v>821</v>
      </c>
      <c r="B3509" s="534"/>
      <c r="C3509" s="355" t="s">
        <v>1169</v>
      </c>
      <c r="D3509" s="307" t="s">
        <v>4018</v>
      </c>
      <c r="E3509" s="260" t="s">
        <v>4403</v>
      </c>
      <c r="F3509" s="362">
        <v>30176</v>
      </c>
      <c r="G3509" s="311">
        <v>1987</v>
      </c>
      <c r="H3509" s="340" t="s">
        <v>2658</v>
      </c>
      <c r="I3509" s="313">
        <v>10</v>
      </c>
      <c r="J3509" s="350">
        <v>15.5</v>
      </c>
      <c r="K3509" s="350">
        <v>13.2</v>
      </c>
      <c r="L3509" s="314">
        <f t="shared" si="32"/>
        <v>2.3000000000000007</v>
      </c>
      <c r="M3509" s="337"/>
    </row>
    <row r="3510" spans="1:13" s="71" customFormat="1" ht="26.4" customHeight="1">
      <c r="A3510" s="282">
        <v>822</v>
      </c>
      <c r="B3510" s="534"/>
      <c r="C3510" s="355" t="s">
        <v>1169</v>
      </c>
      <c r="D3510" s="307" t="s">
        <v>4018</v>
      </c>
      <c r="E3510" s="260" t="s">
        <v>13081</v>
      </c>
      <c r="F3510" s="362">
        <v>30176</v>
      </c>
      <c r="G3510" s="311">
        <v>1987</v>
      </c>
      <c r="H3510" s="340" t="s">
        <v>2658</v>
      </c>
      <c r="I3510" s="313">
        <v>380</v>
      </c>
      <c r="J3510" s="350">
        <v>15.5</v>
      </c>
      <c r="K3510" s="350">
        <v>13.2</v>
      </c>
      <c r="L3510" s="314">
        <f t="shared" si="32"/>
        <v>2.3000000000000007</v>
      </c>
      <c r="M3510" s="337"/>
    </row>
    <row r="3511" spans="1:13" s="71" customFormat="1" ht="39.6">
      <c r="A3511" s="282">
        <v>823</v>
      </c>
      <c r="B3511" s="534"/>
      <c r="C3511" s="307" t="s">
        <v>3320</v>
      </c>
      <c r="D3511" s="307" t="s">
        <v>3351</v>
      </c>
      <c r="E3511" s="260" t="s">
        <v>4404</v>
      </c>
      <c r="F3511" s="362">
        <v>30177</v>
      </c>
      <c r="G3511" s="311">
        <v>1987</v>
      </c>
      <c r="H3511" s="340" t="s">
        <v>2658</v>
      </c>
      <c r="I3511" s="313">
        <v>127</v>
      </c>
      <c r="J3511" s="350">
        <v>9.3000000000000007</v>
      </c>
      <c r="K3511" s="350">
        <v>7.9</v>
      </c>
      <c r="L3511" s="314">
        <f t="shared" si="32"/>
        <v>1.4000000000000004</v>
      </c>
      <c r="M3511" s="337"/>
    </row>
    <row r="3512" spans="1:13" s="71" customFormat="1" ht="26.4" customHeight="1">
      <c r="A3512" s="282">
        <v>824</v>
      </c>
      <c r="B3512" s="534"/>
      <c r="C3512" s="307" t="s">
        <v>4300</v>
      </c>
      <c r="D3512" s="307" t="s">
        <v>3351</v>
      </c>
      <c r="E3512" s="260" t="s">
        <v>12779</v>
      </c>
      <c r="F3512" s="362">
        <v>30178</v>
      </c>
      <c r="G3512" s="311">
        <v>1987</v>
      </c>
      <c r="H3512" s="340" t="s">
        <v>2658</v>
      </c>
      <c r="I3512" s="313">
        <v>200</v>
      </c>
      <c r="J3512" s="350">
        <v>4.7</v>
      </c>
      <c r="K3512" s="350">
        <v>3.9</v>
      </c>
      <c r="L3512" s="314">
        <f t="shared" si="32"/>
        <v>0.80000000000000027</v>
      </c>
      <c r="M3512" s="337"/>
    </row>
    <row r="3513" spans="1:13" s="71" customFormat="1" ht="26.4" customHeight="1">
      <c r="A3513" s="282">
        <v>825</v>
      </c>
      <c r="B3513" s="534"/>
      <c r="C3513" s="355" t="s">
        <v>1169</v>
      </c>
      <c r="D3513" s="307" t="s">
        <v>4405</v>
      </c>
      <c r="E3513" s="260" t="s">
        <v>4406</v>
      </c>
      <c r="F3513" s="362">
        <v>30179</v>
      </c>
      <c r="G3513" s="311">
        <v>1987</v>
      </c>
      <c r="H3513" s="340" t="s">
        <v>2658</v>
      </c>
      <c r="I3513" s="313">
        <v>116.4</v>
      </c>
      <c r="J3513" s="350">
        <v>7.3</v>
      </c>
      <c r="K3513" s="350">
        <v>6.2</v>
      </c>
      <c r="L3513" s="314">
        <f t="shared" si="32"/>
        <v>1.0999999999999996</v>
      </c>
      <c r="M3513" s="337"/>
    </row>
    <row r="3514" spans="1:13" s="71" customFormat="1" ht="26.4" customHeight="1">
      <c r="A3514" s="282">
        <v>826</v>
      </c>
      <c r="B3514" s="534"/>
      <c r="C3514" s="307" t="s">
        <v>3495</v>
      </c>
      <c r="D3514" s="307" t="s">
        <v>4407</v>
      </c>
      <c r="E3514" s="260" t="s">
        <v>12780</v>
      </c>
      <c r="F3514" s="362">
        <v>30180</v>
      </c>
      <c r="G3514" s="311">
        <v>1987</v>
      </c>
      <c r="H3514" s="340" t="s">
        <v>2658</v>
      </c>
      <c r="I3514" s="313">
        <v>118.7</v>
      </c>
      <c r="J3514" s="350">
        <v>2</v>
      </c>
      <c r="K3514" s="350">
        <v>1.9</v>
      </c>
      <c r="L3514" s="314">
        <f t="shared" si="32"/>
        <v>0.10000000000000009</v>
      </c>
      <c r="M3514" s="337"/>
    </row>
    <row r="3515" spans="1:13" s="71" customFormat="1" ht="26.4" customHeight="1">
      <c r="A3515" s="282">
        <v>827</v>
      </c>
      <c r="B3515" s="534"/>
      <c r="C3515" s="307" t="s">
        <v>3495</v>
      </c>
      <c r="D3515" s="307" t="s">
        <v>4408</v>
      </c>
      <c r="E3515" s="260" t="s">
        <v>4409</v>
      </c>
      <c r="F3515" s="362">
        <v>30181</v>
      </c>
      <c r="G3515" s="311">
        <v>1987</v>
      </c>
      <c r="H3515" s="340" t="s">
        <v>2658</v>
      </c>
      <c r="I3515" s="313">
        <v>80.2</v>
      </c>
      <c r="J3515" s="350">
        <v>7.7</v>
      </c>
      <c r="K3515" s="350">
        <v>6.5</v>
      </c>
      <c r="L3515" s="314">
        <f t="shared" si="32"/>
        <v>1.2000000000000002</v>
      </c>
      <c r="M3515" s="337"/>
    </row>
    <row r="3516" spans="1:13" s="71" customFormat="1" ht="26.4" customHeight="1">
      <c r="A3516" s="282">
        <v>828</v>
      </c>
      <c r="B3516" s="534"/>
      <c r="C3516" s="307" t="s">
        <v>3495</v>
      </c>
      <c r="D3516" s="307" t="s">
        <v>4410</v>
      </c>
      <c r="E3516" s="260" t="s">
        <v>4411</v>
      </c>
      <c r="F3516" s="362">
        <v>30182</v>
      </c>
      <c r="G3516" s="311">
        <v>1987</v>
      </c>
      <c r="H3516" s="340" t="s">
        <v>2658</v>
      </c>
      <c r="I3516" s="313">
        <v>165</v>
      </c>
      <c r="J3516" s="350">
        <v>10.7</v>
      </c>
      <c r="K3516" s="350">
        <v>9.1</v>
      </c>
      <c r="L3516" s="314">
        <f t="shared" si="32"/>
        <v>1.5999999999999996</v>
      </c>
      <c r="M3516" s="337"/>
    </row>
    <row r="3517" spans="1:13" s="71" customFormat="1" ht="26.4">
      <c r="A3517" s="282">
        <v>829</v>
      </c>
      <c r="B3517" s="534"/>
      <c r="C3517" s="355" t="s">
        <v>1169</v>
      </c>
      <c r="D3517" s="307" t="s">
        <v>3436</v>
      </c>
      <c r="E3517" s="260" t="s">
        <v>4412</v>
      </c>
      <c r="F3517" s="362">
        <v>30183</v>
      </c>
      <c r="G3517" s="311">
        <v>1987</v>
      </c>
      <c r="H3517" s="340" t="s">
        <v>2658</v>
      </c>
      <c r="I3517" s="313">
        <v>255.7</v>
      </c>
      <c r="J3517" s="350">
        <v>17.8</v>
      </c>
      <c r="K3517" s="350">
        <v>15.1</v>
      </c>
      <c r="L3517" s="314">
        <f t="shared" si="32"/>
        <v>2.7000000000000011</v>
      </c>
      <c r="M3517" s="337"/>
    </row>
    <row r="3518" spans="1:13" s="71" customFormat="1" ht="39.6">
      <c r="A3518" s="282">
        <v>830</v>
      </c>
      <c r="B3518" s="534"/>
      <c r="C3518" s="355" t="s">
        <v>1169</v>
      </c>
      <c r="D3518" s="307" t="s">
        <v>3345</v>
      </c>
      <c r="E3518" s="260" t="s">
        <v>4413</v>
      </c>
      <c r="F3518" s="362">
        <v>30184</v>
      </c>
      <c r="G3518" s="311">
        <v>1987</v>
      </c>
      <c r="H3518" s="340" t="s">
        <v>2658</v>
      </c>
      <c r="I3518" s="313">
        <v>296</v>
      </c>
      <c r="J3518" s="350">
        <v>9.1</v>
      </c>
      <c r="K3518" s="350">
        <v>7.7</v>
      </c>
      <c r="L3518" s="314">
        <f t="shared" si="32"/>
        <v>1.3999999999999995</v>
      </c>
      <c r="M3518" s="337"/>
    </row>
    <row r="3519" spans="1:13" s="71" customFormat="1" ht="26.4">
      <c r="A3519" s="282">
        <v>831</v>
      </c>
      <c r="B3519" s="534"/>
      <c r="C3519" s="355" t="s">
        <v>1169</v>
      </c>
      <c r="D3519" s="307" t="s">
        <v>3436</v>
      </c>
      <c r="E3519" s="260" t="s">
        <v>4414</v>
      </c>
      <c r="F3519" s="362">
        <v>30185</v>
      </c>
      <c r="G3519" s="311">
        <v>1987</v>
      </c>
      <c r="H3519" s="340" t="s">
        <v>2658</v>
      </c>
      <c r="I3519" s="313">
        <v>57.6</v>
      </c>
      <c r="J3519" s="350">
        <v>9.3000000000000007</v>
      </c>
      <c r="K3519" s="350">
        <v>7.9</v>
      </c>
      <c r="L3519" s="314">
        <f t="shared" si="32"/>
        <v>1.4000000000000004</v>
      </c>
      <c r="M3519" s="337"/>
    </row>
    <row r="3520" spans="1:13" s="71" customFormat="1" ht="39.6">
      <c r="A3520" s="282">
        <v>832</v>
      </c>
      <c r="B3520" s="534"/>
      <c r="C3520" s="355" t="s">
        <v>1169</v>
      </c>
      <c r="D3520" s="307" t="s">
        <v>3469</v>
      </c>
      <c r="E3520" s="260" t="s">
        <v>13082</v>
      </c>
      <c r="F3520" s="362">
        <v>30186</v>
      </c>
      <c r="G3520" s="311">
        <v>1987</v>
      </c>
      <c r="H3520" s="340" t="s">
        <v>2658</v>
      </c>
      <c r="I3520" s="313">
        <v>329.24</v>
      </c>
      <c r="J3520" s="350">
        <v>96</v>
      </c>
      <c r="K3520" s="350">
        <v>89.3</v>
      </c>
      <c r="L3520" s="314">
        <f t="shared" si="32"/>
        <v>6.7000000000000028</v>
      </c>
      <c r="M3520" s="337"/>
    </row>
    <row r="3521" spans="1:13" s="71" customFormat="1" ht="26.4" customHeight="1">
      <c r="A3521" s="282">
        <v>833</v>
      </c>
      <c r="B3521" s="534"/>
      <c r="C3521" s="355" t="s">
        <v>1169</v>
      </c>
      <c r="D3521" s="307" t="s">
        <v>4415</v>
      </c>
      <c r="E3521" s="260" t="s">
        <v>4416</v>
      </c>
      <c r="F3521" s="362">
        <v>30188</v>
      </c>
      <c r="G3521" s="311">
        <v>1987</v>
      </c>
      <c r="H3521" s="340" t="s">
        <v>2658</v>
      </c>
      <c r="I3521" s="313">
        <v>1205</v>
      </c>
      <c r="J3521" s="350">
        <v>9.5</v>
      </c>
      <c r="K3521" s="350">
        <v>8.8000000000000007</v>
      </c>
      <c r="L3521" s="314">
        <f t="shared" ref="L3521:L3584" si="33">J3521-K3521</f>
        <v>0.69999999999999929</v>
      </c>
      <c r="M3521" s="337"/>
    </row>
    <row r="3522" spans="1:13" s="71" customFormat="1" ht="26.4" customHeight="1">
      <c r="A3522" s="282">
        <v>834</v>
      </c>
      <c r="B3522" s="534"/>
      <c r="C3522" s="355" t="s">
        <v>1169</v>
      </c>
      <c r="D3522" s="307" t="s">
        <v>3436</v>
      </c>
      <c r="E3522" s="260" t="s">
        <v>4417</v>
      </c>
      <c r="F3522" s="362">
        <v>30189</v>
      </c>
      <c r="G3522" s="311">
        <v>1987</v>
      </c>
      <c r="H3522" s="340" t="s">
        <v>2658</v>
      </c>
      <c r="I3522" s="313">
        <v>24</v>
      </c>
      <c r="J3522" s="350">
        <v>0.1</v>
      </c>
      <c r="K3522" s="350">
        <v>0.1</v>
      </c>
      <c r="L3522" s="314">
        <f t="shared" si="33"/>
        <v>0</v>
      </c>
      <c r="M3522" s="337"/>
    </row>
    <row r="3523" spans="1:13" s="71" customFormat="1" ht="26.4" customHeight="1">
      <c r="A3523" s="282">
        <v>835</v>
      </c>
      <c r="B3523" s="534"/>
      <c r="C3523" s="355" t="s">
        <v>1169</v>
      </c>
      <c r="D3523" s="307" t="s">
        <v>4418</v>
      </c>
      <c r="E3523" s="260" t="s">
        <v>4419</v>
      </c>
      <c r="F3523" s="362">
        <v>30190</v>
      </c>
      <c r="G3523" s="311">
        <v>1987</v>
      </c>
      <c r="H3523" s="340" t="s">
        <v>2658</v>
      </c>
      <c r="I3523" s="313">
        <v>1389</v>
      </c>
      <c r="J3523" s="350">
        <v>5.5</v>
      </c>
      <c r="K3523" s="350">
        <v>4.7</v>
      </c>
      <c r="L3523" s="314">
        <f t="shared" si="33"/>
        <v>0.79999999999999982</v>
      </c>
      <c r="M3523" s="337"/>
    </row>
    <row r="3524" spans="1:13" s="71" customFormat="1" ht="26.4" customHeight="1">
      <c r="A3524" s="282">
        <v>836</v>
      </c>
      <c r="B3524" s="534"/>
      <c r="C3524" s="307" t="s">
        <v>3276</v>
      </c>
      <c r="D3524" s="307" t="s">
        <v>4420</v>
      </c>
      <c r="E3524" s="260" t="s">
        <v>4421</v>
      </c>
      <c r="F3524" s="362">
        <v>30191</v>
      </c>
      <c r="G3524" s="311">
        <v>1987</v>
      </c>
      <c r="H3524" s="340" t="s">
        <v>2658</v>
      </c>
      <c r="I3524" s="313">
        <v>309</v>
      </c>
      <c r="J3524" s="350">
        <v>0.1</v>
      </c>
      <c r="K3524" s="350">
        <v>0.1</v>
      </c>
      <c r="L3524" s="314">
        <f t="shared" si="33"/>
        <v>0</v>
      </c>
      <c r="M3524" s="337"/>
    </row>
    <row r="3525" spans="1:13" s="71" customFormat="1" ht="26.4" customHeight="1">
      <c r="A3525" s="282">
        <v>837</v>
      </c>
      <c r="B3525" s="534"/>
      <c r="C3525" s="355" t="s">
        <v>1169</v>
      </c>
      <c r="D3525" s="307" t="s">
        <v>4422</v>
      </c>
      <c r="E3525" s="260" t="s">
        <v>4423</v>
      </c>
      <c r="F3525" s="362">
        <v>30192</v>
      </c>
      <c r="G3525" s="311">
        <v>1987</v>
      </c>
      <c r="H3525" s="340" t="s">
        <v>2658</v>
      </c>
      <c r="I3525" s="313">
        <v>53</v>
      </c>
      <c r="J3525" s="350">
        <v>0.1</v>
      </c>
      <c r="K3525" s="350">
        <v>0.1</v>
      </c>
      <c r="L3525" s="314">
        <f t="shared" si="33"/>
        <v>0</v>
      </c>
      <c r="M3525" s="337"/>
    </row>
    <row r="3526" spans="1:13" s="71" customFormat="1" ht="26.4" customHeight="1">
      <c r="A3526" s="282">
        <v>838</v>
      </c>
      <c r="B3526" s="534"/>
      <c r="C3526" s="355" t="s">
        <v>1169</v>
      </c>
      <c r="D3526" s="307" t="s">
        <v>3438</v>
      </c>
      <c r="E3526" s="260" t="s">
        <v>4424</v>
      </c>
      <c r="F3526" s="362">
        <v>30203</v>
      </c>
      <c r="G3526" s="311">
        <v>1987</v>
      </c>
      <c r="H3526" s="340" t="s">
        <v>2658</v>
      </c>
      <c r="I3526" s="313">
        <v>89.7</v>
      </c>
      <c r="J3526" s="350">
        <v>9</v>
      </c>
      <c r="K3526" s="350">
        <v>7.6</v>
      </c>
      <c r="L3526" s="314">
        <f t="shared" si="33"/>
        <v>1.4000000000000004</v>
      </c>
      <c r="M3526" s="337"/>
    </row>
    <row r="3527" spans="1:13" s="71" customFormat="1" ht="39.6">
      <c r="A3527" s="282">
        <v>839</v>
      </c>
      <c r="B3527" s="534"/>
      <c r="C3527" s="307" t="s">
        <v>3336</v>
      </c>
      <c r="D3527" s="307" t="s">
        <v>4425</v>
      </c>
      <c r="E3527" s="260" t="s">
        <v>12703</v>
      </c>
      <c r="F3527" s="362">
        <v>30193</v>
      </c>
      <c r="G3527" s="311">
        <v>1987</v>
      </c>
      <c r="H3527" s="340" t="s">
        <v>2658</v>
      </c>
      <c r="I3527" s="313">
        <v>910</v>
      </c>
      <c r="J3527" s="350">
        <v>10</v>
      </c>
      <c r="K3527" s="350">
        <v>8.5</v>
      </c>
      <c r="L3527" s="314">
        <f t="shared" si="33"/>
        <v>1.5</v>
      </c>
      <c r="M3527" s="337"/>
    </row>
    <row r="3528" spans="1:13" s="71" customFormat="1" ht="26.4" customHeight="1">
      <c r="A3528" s="282">
        <v>840</v>
      </c>
      <c r="B3528" s="534"/>
      <c r="C3528" s="355" t="s">
        <v>1169</v>
      </c>
      <c r="D3528" s="307" t="s">
        <v>3438</v>
      </c>
      <c r="E3528" s="260" t="s">
        <v>4426</v>
      </c>
      <c r="F3528" s="362">
        <v>30194</v>
      </c>
      <c r="G3528" s="311">
        <v>1987</v>
      </c>
      <c r="H3528" s="340" t="s">
        <v>2658</v>
      </c>
      <c r="I3528" s="313">
        <v>12</v>
      </c>
      <c r="J3528" s="350">
        <v>0.1</v>
      </c>
      <c r="K3528" s="350">
        <v>0.1</v>
      </c>
      <c r="L3528" s="314">
        <f t="shared" si="33"/>
        <v>0</v>
      </c>
      <c r="M3528" s="337"/>
    </row>
    <row r="3529" spans="1:13" s="71" customFormat="1" ht="26.4" customHeight="1">
      <c r="A3529" s="282">
        <v>841</v>
      </c>
      <c r="B3529" s="534"/>
      <c r="C3529" s="355" t="s">
        <v>1169</v>
      </c>
      <c r="D3529" s="307" t="s">
        <v>4291</v>
      </c>
      <c r="E3529" s="260" t="s">
        <v>4427</v>
      </c>
      <c r="F3529" s="362">
        <v>30195</v>
      </c>
      <c r="G3529" s="311">
        <v>1998</v>
      </c>
      <c r="H3529" s="340" t="s">
        <v>2658</v>
      </c>
      <c r="I3529" s="313">
        <v>18</v>
      </c>
      <c r="J3529" s="350">
        <v>0.1</v>
      </c>
      <c r="K3529" s="350">
        <v>0.1</v>
      </c>
      <c r="L3529" s="314">
        <f t="shared" si="33"/>
        <v>0</v>
      </c>
      <c r="M3529" s="337"/>
    </row>
    <row r="3530" spans="1:13" s="71" customFormat="1" ht="26.4" customHeight="1">
      <c r="A3530" s="282">
        <v>842</v>
      </c>
      <c r="B3530" s="534"/>
      <c r="C3530" s="355" t="s">
        <v>1169</v>
      </c>
      <c r="D3530" s="307" t="s">
        <v>4233</v>
      </c>
      <c r="E3530" s="260" t="s">
        <v>4428</v>
      </c>
      <c r="F3530" s="362">
        <v>30187</v>
      </c>
      <c r="G3530" s="311">
        <v>1998</v>
      </c>
      <c r="H3530" s="340" t="s">
        <v>2658</v>
      </c>
      <c r="I3530" s="313">
        <v>105</v>
      </c>
      <c r="J3530" s="350">
        <v>16.3</v>
      </c>
      <c r="K3530" s="350">
        <v>15.8</v>
      </c>
      <c r="L3530" s="314">
        <f t="shared" si="33"/>
        <v>0.5</v>
      </c>
      <c r="M3530" s="337"/>
    </row>
    <row r="3531" spans="1:13" s="71" customFormat="1" ht="26.4" customHeight="1">
      <c r="A3531" s="282">
        <v>843</v>
      </c>
      <c r="B3531" s="534"/>
      <c r="C3531" s="355" t="s">
        <v>1169</v>
      </c>
      <c r="D3531" s="307" t="s">
        <v>4422</v>
      </c>
      <c r="E3531" s="260" t="s">
        <v>4429</v>
      </c>
      <c r="F3531" s="362">
        <v>30156</v>
      </c>
      <c r="G3531" s="311">
        <v>1998</v>
      </c>
      <c r="H3531" s="340" t="s">
        <v>2658</v>
      </c>
      <c r="I3531" s="313">
        <v>105</v>
      </c>
      <c r="J3531" s="350">
        <v>59.2</v>
      </c>
      <c r="K3531" s="350">
        <v>50.2</v>
      </c>
      <c r="L3531" s="314">
        <f t="shared" si="33"/>
        <v>9</v>
      </c>
      <c r="M3531" s="337"/>
    </row>
    <row r="3532" spans="1:13" s="71" customFormat="1" ht="26.4" customHeight="1">
      <c r="A3532" s="282">
        <v>844</v>
      </c>
      <c r="B3532" s="534"/>
      <c r="C3532" s="355" t="s">
        <v>1169</v>
      </c>
      <c r="D3532" s="307" t="s">
        <v>4422</v>
      </c>
      <c r="E3532" s="260" t="s">
        <v>4430</v>
      </c>
      <c r="F3532" s="362">
        <v>30197</v>
      </c>
      <c r="G3532" s="311">
        <v>1998</v>
      </c>
      <c r="H3532" s="340" t="s">
        <v>2658</v>
      </c>
      <c r="I3532" s="313">
        <v>255</v>
      </c>
      <c r="J3532" s="350">
        <v>11.4</v>
      </c>
      <c r="K3532" s="350">
        <v>9.6999999999999993</v>
      </c>
      <c r="L3532" s="314">
        <f t="shared" si="33"/>
        <v>1.7000000000000011</v>
      </c>
      <c r="M3532" s="337"/>
    </row>
    <row r="3533" spans="1:13" s="71" customFormat="1" ht="26.4" customHeight="1">
      <c r="A3533" s="282">
        <v>845</v>
      </c>
      <c r="B3533" s="534"/>
      <c r="C3533" s="355" t="s">
        <v>1169</v>
      </c>
      <c r="D3533" s="307" t="s">
        <v>4422</v>
      </c>
      <c r="E3533" s="260" t="s">
        <v>4431</v>
      </c>
      <c r="F3533" s="362">
        <v>30198</v>
      </c>
      <c r="G3533" s="311">
        <v>1998</v>
      </c>
      <c r="H3533" s="340" t="s">
        <v>2658</v>
      </c>
      <c r="I3533" s="313">
        <v>75</v>
      </c>
      <c r="J3533" s="350">
        <v>17.3</v>
      </c>
      <c r="K3533" s="350">
        <v>14.6</v>
      </c>
      <c r="L3533" s="314">
        <f t="shared" si="33"/>
        <v>2.7000000000000011</v>
      </c>
      <c r="M3533" s="337"/>
    </row>
    <row r="3534" spans="1:13" s="71" customFormat="1" ht="26.4" customHeight="1">
      <c r="A3534" s="282">
        <v>846</v>
      </c>
      <c r="B3534" s="534"/>
      <c r="C3534" s="355" t="s">
        <v>1169</v>
      </c>
      <c r="D3534" s="307" t="s">
        <v>4432</v>
      </c>
      <c r="E3534" s="260" t="s">
        <v>4433</v>
      </c>
      <c r="F3534" s="362">
        <v>30199</v>
      </c>
      <c r="G3534" s="311">
        <v>1998</v>
      </c>
      <c r="H3534" s="340" t="s">
        <v>2658</v>
      </c>
      <c r="I3534" s="313">
        <v>141.5</v>
      </c>
      <c r="J3534" s="350">
        <v>8.3000000000000007</v>
      </c>
      <c r="K3534" s="350">
        <v>7</v>
      </c>
      <c r="L3534" s="314">
        <f t="shared" si="33"/>
        <v>1.3000000000000007</v>
      </c>
      <c r="M3534" s="337"/>
    </row>
    <row r="3535" spans="1:13" s="71" customFormat="1" ht="26.4" customHeight="1">
      <c r="A3535" s="282">
        <v>847</v>
      </c>
      <c r="B3535" s="534"/>
      <c r="C3535" s="355" t="s">
        <v>1169</v>
      </c>
      <c r="D3535" s="307" t="s">
        <v>4335</v>
      </c>
      <c r="E3535" s="260" t="s">
        <v>4434</v>
      </c>
      <c r="F3535" s="362">
        <v>30200</v>
      </c>
      <c r="G3535" s="311">
        <v>1998</v>
      </c>
      <c r="H3535" s="340" t="s">
        <v>2658</v>
      </c>
      <c r="I3535" s="313">
        <v>141</v>
      </c>
      <c r="J3535" s="350">
        <v>12</v>
      </c>
      <c r="K3535" s="350">
        <v>10.199999999999999</v>
      </c>
      <c r="L3535" s="314">
        <f t="shared" si="33"/>
        <v>1.8000000000000007</v>
      </c>
      <c r="M3535" s="337"/>
    </row>
    <row r="3536" spans="1:13" s="71" customFormat="1" ht="26.4" customHeight="1">
      <c r="A3536" s="282">
        <v>848</v>
      </c>
      <c r="B3536" s="534"/>
      <c r="C3536" s="355" t="s">
        <v>1169</v>
      </c>
      <c r="D3536" s="307" t="s">
        <v>4335</v>
      </c>
      <c r="E3536" s="260" t="s">
        <v>4435</v>
      </c>
      <c r="F3536" s="362">
        <v>30201</v>
      </c>
      <c r="G3536" s="311">
        <v>1998</v>
      </c>
      <c r="H3536" s="340" t="s">
        <v>2658</v>
      </c>
      <c r="I3536" s="313">
        <v>110</v>
      </c>
      <c r="J3536" s="350">
        <v>26.5</v>
      </c>
      <c r="K3536" s="350">
        <v>23.2</v>
      </c>
      <c r="L3536" s="314">
        <f t="shared" si="33"/>
        <v>3.3000000000000007</v>
      </c>
      <c r="M3536" s="337"/>
    </row>
    <row r="3537" spans="1:13" s="71" customFormat="1" ht="26.4" customHeight="1">
      <c r="A3537" s="282">
        <v>849</v>
      </c>
      <c r="B3537" s="534"/>
      <c r="C3537" s="355" t="s">
        <v>1169</v>
      </c>
      <c r="D3537" s="307" t="s">
        <v>3438</v>
      </c>
      <c r="E3537" s="260" t="s">
        <v>4436</v>
      </c>
      <c r="F3537" s="362">
        <v>30202</v>
      </c>
      <c r="G3537" s="311">
        <v>1998</v>
      </c>
      <c r="H3537" s="340" t="s">
        <v>2658</v>
      </c>
      <c r="I3537" s="313">
        <v>21</v>
      </c>
      <c r="J3537" s="350">
        <v>7.4</v>
      </c>
      <c r="K3537" s="350">
        <v>6.3</v>
      </c>
      <c r="L3537" s="314">
        <f t="shared" si="33"/>
        <v>1.1000000000000005</v>
      </c>
      <c r="M3537" s="337"/>
    </row>
    <row r="3538" spans="1:13" s="71" customFormat="1" ht="39.6">
      <c r="A3538" s="282">
        <v>850</v>
      </c>
      <c r="B3538" s="534"/>
      <c r="C3538" s="355" t="s">
        <v>1169</v>
      </c>
      <c r="D3538" s="307" t="s">
        <v>4437</v>
      </c>
      <c r="E3538" s="260" t="s">
        <v>12781</v>
      </c>
      <c r="F3538" s="362">
        <v>200191</v>
      </c>
      <c r="G3538" s="311">
        <v>1998</v>
      </c>
      <c r="H3538" s="340" t="s">
        <v>2658</v>
      </c>
      <c r="I3538" s="313">
        <v>21</v>
      </c>
      <c r="J3538" s="350">
        <v>45.4</v>
      </c>
      <c r="K3538" s="350">
        <v>38.4</v>
      </c>
      <c r="L3538" s="314">
        <f t="shared" si="33"/>
        <v>7</v>
      </c>
      <c r="M3538" s="337"/>
    </row>
    <row r="3539" spans="1:13" s="71" customFormat="1" ht="26.4" customHeight="1">
      <c r="A3539" s="282">
        <v>851</v>
      </c>
      <c r="B3539" s="534"/>
      <c r="C3539" s="355" t="s">
        <v>1169</v>
      </c>
      <c r="D3539" s="307" t="s">
        <v>3</v>
      </c>
      <c r="E3539" s="260" t="s">
        <v>4438</v>
      </c>
      <c r="F3539" s="362">
        <v>20016</v>
      </c>
      <c r="G3539" s="311">
        <v>1985</v>
      </c>
      <c r="H3539" s="340" t="s">
        <v>3</v>
      </c>
      <c r="I3539" s="313" t="s">
        <v>3</v>
      </c>
      <c r="J3539" s="350">
        <v>38.5</v>
      </c>
      <c r="K3539" s="350">
        <v>35.6</v>
      </c>
      <c r="L3539" s="314">
        <f t="shared" si="33"/>
        <v>2.8999999999999986</v>
      </c>
      <c r="M3539" s="337"/>
    </row>
    <row r="3540" spans="1:13" s="71" customFormat="1" ht="26.4" customHeight="1">
      <c r="A3540" s="282">
        <v>852</v>
      </c>
      <c r="B3540" s="534"/>
      <c r="C3540" s="355" t="s">
        <v>1169</v>
      </c>
      <c r="D3540" s="307" t="s">
        <v>3</v>
      </c>
      <c r="E3540" s="260" t="s">
        <v>12704</v>
      </c>
      <c r="F3540" s="362">
        <v>200301</v>
      </c>
      <c r="G3540" s="311">
        <v>1985</v>
      </c>
      <c r="H3540" s="340" t="s">
        <v>2658</v>
      </c>
      <c r="I3540" s="313">
        <v>264</v>
      </c>
      <c r="J3540" s="350">
        <v>11.7</v>
      </c>
      <c r="K3540" s="350">
        <v>10.9</v>
      </c>
      <c r="L3540" s="314">
        <f t="shared" si="33"/>
        <v>0.79999999999999893</v>
      </c>
      <c r="M3540" s="337"/>
    </row>
    <row r="3541" spans="1:13" s="71" customFormat="1" ht="26.4" customHeight="1">
      <c r="A3541" s="282">
        <v>853</v>
      </c>
      <c r="B3541" s="534"/>
      <c r="C3541" s="355" t="s">
        <v>1169</v>
      </c>
      <c r="D3541" s="307" t="s">
        <v>3967</v>
      </c>
      <c r="E3541" s="260" t="s">
        <v>4439</v>
      </c>
      <c r="F3541" s="362">
        <v>20040</v>
      </c>
      <c r="G3541" s="311">
        <v>1985</v>
      </c>
      <c r="H3541" s="340" t="s">
        <v>3</v>
      </c>
      <c r="I3541" s="313" t="s">
        <v>3</v>
      </c>
      <c r="J3541" s="350">
        <v>340</v>
      </c>
      <c r="K3541" s="350">
        <v>330.6</v>
      </c>
      <c r="L3541" s="314">
        <f t="shared" si="33"/>
        <v>9.3999999999999773</v>
      </c>
      <c r="M3541" s="337"/>
    </row>
    <row r="3542" spans="1:13" s="71" customFormat="1" ht="37.5" customHeight="1">
      <c r="A3542" s="282">
        <v>854</v>
      </c>
      <c r="B3542" s="534"/>
      <c r="C3542" s="307" t="s">
        <v>3495</v>
      </c>
      <c r="D3542" s="307" t="s">
        <v>4190</v>
      </c>
      <c r="E3542" s="260" t="s">
        <v>4440</v>
      </c>
      <c r="F3542" s="362">
        <v>301691</v>
      </c>
      <c r="G3542" s="311">
        <v>1985</v>
      </c>
      <c r="H3542" s="340" t="s">
        <v>2658</v>
      </c>
      <c r="I3542" s="313">
        <v>264</v>
      </c>
      <c r="J3542" s="350">
        <v>101.5</v>
      </c>
      <c r="K3542" s="350">
        <v>86</v>
      </c>
      <c r="L3542" s="314">
        <f t="shared" si="33"/>
        <v>15.5</v>
      </c>
      <c r="M3542" s="337"/>
    </row>
    <row r="3543" spans="1:13" s="71" customFormat="1" ht="26.4" customHeight="1">
      <c r="A3543" s="282">
        <v>855</v>
      </c>
      <c r="B3543" s="534"/>
      <c r="C3543" s="307" t="s">
        <v>3495</v>
      </c>
      <c r="D3543" s="307" t="s">
        <v>4190</v>
      </c>
      <c r="E3543" s="260" t="s">
        <v>13083</v>
      </c>
      <c r="F3543" s="362">
        <v>30155</v>
      </c>
      <c r="G3543" s="311">
        <v>1985</v>
      </c>
      <c r="H3543" s="340" t="s">
        <v>2658</v>
      </c>
      <c r="I3543" s="313">
        <v>45.7</v>
      </c>
      <c r="J3543" s="350">
        <v>17.8</v>
      </c>
      <c r="K3543" s="350">
        <v>13.1</v>
      </c>
      <c r="L3543" s="314">
        <f t="shared" si="33"/>
        <v>4.7000000000000011</v>
      </c>
      <c r="M3543" s="337"/>
    </row>
    <row r="3544" spans="1:13" s="71" customFormat="1" ht="26.4" customHeight="1">
      <c r="A3544" s="282">
        <v>856</v>
      </c>
      <c r="B3544" s="534"/>
      <c r="C3544" s="355" t="s">
        <v>1169</v>
      </c>
      <c r="D3544" s="307" t="s">
        <v>4441</v>
      </c>
      <c r="E3544" s="260" t="s">
        <v>4442</v>
      </c>
      <c r="F3544" s="362">
        <v>20599</v>
      </c>
      <c r="G3544" s="311">
        <v>1988</v>
      </c>
      <c r="H3544" s="365" t="s">
        <v>3</v>
      </c>
      <c r="I3544" s="313" t="s">
        <v>3</v>
      </c>
      <c r="J3544" s="350">
        <v>7.4</v>
      </c>
      <c r="K3544" s="350">
        <v>7.4</v>
      </c>
      <c r="L3544" s="314">
        <f t="shared" si="33"/>
        <v>0</v>
      </c>
      <c r="M3544" s="337"/>
    </row>
    <row r="3545" spans="1:13" s="71" customFormat="1" ht="26.4" customHeight="1">
      <c r="A3545" s="282">
        <v>857</v>
      </c>
      <c r="B3545" s="534"/>
      <c r="C3545" s="355" t="s">
        <v>1169</v>
      </c>
      <c r="D3545" s="307" t="s">
        <v>4443</v>
      </c>
      <c r="E3545" s="260" t="s">
        <v>4444</v>
      </c>
      <c r="F3545" s="362">
        <v>30145</v>
      </c>
      <c r="G3545" s="311">
        <v>1989</v>
      </c>
      <c r="H3545" s="365" t="s">
        <v>3</v>
      </c>
      <c r="I3545" s="313" t="s">
        <v>3</v>
      </c>
      <c r="J3545" s="350">
        <v>8.9</v>
      </c>
      <c r="K3545" s="350">
        <v>7.5</v>
      </c>
      <c r="L3545" s="314">
        <f t="shared" si="33"/>
        <v>1.4000000000000004</v>
      </c>
      <c r="M3545" s="337"/>
    </row>
    <row r="3546" spans="1:13" s="71" customFormat="1" ht="26.4" customHeight="1">
      <c r="A3546" s="282">
        <v>858</v>
      </c>
      <c r="B3546" s="534"/>
      <c r="C3546" s="355" t="s">
        <v>1169</v>
      </c>
      <c r="D3546" s="307" t="s">
        <v>4443</v>
      </c>
      <c r="E3546" s="260" t="s">
        <v>4445</v>
      </c>
      <c r="F3546" s="362">
        <v>301451</v>
      </c>
      <c r="G3546" s="311">
        <v>1989</v>
      </c>
      <c r="H3546" s="365" t="s">
        <v>3</v>
      </c>
      <c r="I3546" s="313" t="s">
        <v>3</v>
      </c>
      <c r="J3546" s="350">
        <v>7.1</v>
      </c>
      <c r="K3546" s="350">
        <v>6</v>
      </c>
      <c r="L3546" s="314">
        <f t="shared" si="33"/>
        <v>1.0999999999999996</v>
      </c>
      <c r="M3546" s="337"/>
    </row>
    <row r="3547" spans="1:13" s="71" customFormat="1" ht="26.4" customHeight="1">
      <c r="A3547" s="282">
        <v>859</v>
      </c>
      <c r="B3547" s="534"/>
      <c r="C3547" s="355" t="s">
        <v>1169</v>
      </c>
      <c r="D3547" s="307" t="s">
        <v>4443</v>
      </c>
      <c r="E3547" s="260" t="s">
        <v>4446</v>
      </c>
      <c r="F3547" s="362">
        <v>301452</v>
      </c>
      <c r="G3547" s="311">
        <v>1977</v>
      </c>
      <c r="H3547" s="365" t="s">
        <v>3</v>
      </c>
      <c r="I3547" s="313" t="s">
        <v>3</v>
      </c>
      <c r="J3547" s="350">
        <v>4.2</v>
      </c>
      <c r="K3547" s="350">
        <v>3.6</v>
      </c>
      <c r="L3547" s="314">
        <f t="shared" si="33"/>
        <v>0.60000000000000009</v>
      </c>
      <c r="M3547" s="337"/>
    </row>
    <row r="3548" spans="1:13" s="71" customFormat="1" ht="26.4" customHeight="1">
      <c r="A3548" s="282">
        <v>860</v>
      </c>
      <c r="B3548" s="534"/>
      <c r="C3548" s="355" t="s">
        <v>1169</v>
      </c>
      <c r="D3548" s="307" t="s">
        <v>4449</v>
      </c>
      <c r="E3548" s="260" t="s">
        <v>4447</v>
      </c>
      <c r="F3548" s="362">
        <v>70025</v>
      </c>
      <c r="G3548" s="311">
        <v>1977</v>
      </c>
      <c r="H3548" s="365" t="s">
        <v>3</v>
      </c>
      <c r="I3548" s="313" t="s">
        <v>3</v>
      </c>
      <c r="J3548" s="350">
        <v>1.4</v>
      </c>
      <c r="K3548" s="350">
        <v>1.3</v>
      </c>
      <c r="L3548" s="314">
        <f t="shared" si="33"/>
        <v>9.9999999999999867E-2</v>
      </c>
      <c r="M3548" s="337"/>
    </row>
    <row r="3549" spans="1:13" s="71" customFormat="1" ht="26.4" customHeight="1">
      <c r="A3549" s="282">
        <v>861</v>
      </c>
      <c r="B3549" s="534"/>
      <c r="C3549" s="355" t="s">
        <v>1169</v>
      </c>
      <c r="D3549" s="307" t="s">
        <v>12782</v>
      </c>
      <c r="E3549" s="260" t="s">
        <v>4448</v>
      </c>
      <c r="F3549" s="362">
        <v>70034</v>
      </c>
      <c r="G3549" s="311">
        <v>1989</v>
      </c>
      <c r="H3549" s="365" t="s">
        <v>3</v>
      </c>
      <c r="I3549" s="313" t="s">
        <v>3</v>
      </c>
      <c r="J3549" s="350">
        <v>1.6</v>
      </c>
      <c r="K3549" s="350">
        <v>1.5</v>
      </c>
      <c r="L3549" s="314">
        <f t="shared" si="33"/>
        <v>0.10000000000000009</v>
      </c>
      <c r="M3549" s="337"/>
    </row>
    <row r="3550" spans="1:13" s="71" customFormat="1" ht="26.4" customHeight="1">
      <c r="A3550" s="282">
        <v>862</v>
      </c>
      <c r="B3550" s="534"/>
      <c r="C3550" s="355" t="s">
        <v>1169</v>
      </c>
      <c r="D3550" s="307" t="s">
        <v>4449</v>
      </c>
      <c r="E3550" s="260" t="s">
        <v>4450</v>
      </c>
      <c r="F3550" s="362">
        <v>70028</v>
      </c>
      <c r="G3550" s="311">
        <v>1977</v>
      </c>
      <c r="H3550" s="365" t="s">
        <v>3</v>
      </c>
      <c r="I3550" s="313" t="s">
        <v>3</v>
      </c>
      <c r="J3550" s="350">
        <v>2.8</v>
      </c>
      <c r="K3550" s="350">
        <v>2.7</v>
      </c>
      <c r="L3550" s="314">
        <f t="shared" si="33"/>
        <v>9.9999999999999645E-2</v>
      </c>
      <c r="M3550" s="337"/>
    </row>
    <row r="3551" spans="1:13" s="71" customFormat="1" ht="26.4" customHeight="1">
      <c r="A3551" s="282">
        <v>863</v>
      </c>
      <c r="B3551" s="534"/>
      <c r="C3551" s="355" t="s">
        <v>1169</v>
      </c>
      <c r="D3551" s="307" t="s">
        <v>4451</v>
      </c>
      <c r="E3551" s="260" t="s">
        <v>2754</v>
      </c>
      <c r="F3551" s="362">
        <v>40013</v>
      </c>
      <c r="G3551" s="311">
        <v>1976</v>
      </c>
      <c r="H3551" s="365" t="s">
        <v>3</v>
      </c>
      <c r="I3551" s="313" t="s">
        <v>3</v>
      </c>
      <c r="J3551" s="350">
        <v>41.8</v>
      </c>
      <c r="K3551" s="350">
        <v>40.200000000000003</v>
      </c>
      <c r="L3551" s="314">
        <f t="shared" si="33"/>
        <v>1.5999999999999943</v>
      </c>
      <c r="M3551" s="337"/>
    </row>
    <row r="3552" spans="1:13" s="71" customFormat="1" ht="26.4" customHeight="1">
      <c r="A3552" s="282">
        <v>864</v>
      </c>
      <c r="B3552" s="534"/>
      <c r="C3552" s="307" t="s">
        <v>4452</v>
      </c>
      <c r="D3552" s="307" t="s">
        <v>4453</v>
      </c>
      <c r="E3552" s="260" t="s">
        <v>4454</v>
      </c>
      <c r="F3552" s="362">
        <v>70032</v>
      </c>
      <c r="G3552" s="311">
        <v>1976</v>
      </c>
      <c r="H3552" s="365" t="s">
        <v>3</v>
      </c>
      <c r="I3552" s="313" t="s">
        <v>3</v>
      </c>
      <c r="J3552" s="350">
        <v>2.6</v>
      </c>
      <c r="K3552" s="350">
        <v>2.5</v>
      </c>
      <c r="L3552" s="314">
        <f t="shared" si="33"/>
        <v>0.10000000000000009</v>
      </c>
      <c r="M3552" s="337"/>
    </row>
    <row r="3553" spans="1:13" s="71" customFormat="1" ht="26.4" customHeight="1">
      <c r="A3553" s="282">
        <v>865</v>
      </c>
      <c r="B3553" s="534"/>
      <c r="C3553" s="307" t="s">
        <v>4452</v>
      </c>
      <c r="D3553" s="307" t="s">
        <v>4453</v>
      </c>
      <c r="E3553" s="260" t="s">
        <v>4455</v>
      </c>
      <c r="F3553" s="362">
        <v>70033</v>
      </c>
      <c r="G3553" s="311">
        <v>1976</v>
      </c>
      <c r="H3553" s="365" t="s">
        <v>3</v>
      </c>
      <c r="I3553" s="313" t="s">
        <v>3</v>
      </c>
      <c r="J3553" s="350">
        <v>0.9</v>
      </c>
      <c r="K3553" s="350">
        <v>0.9</v>
      </c>
      <c r="L3553" s="314">
        <f t="shared" si="33"/>
        <v>0</v>
      </c>
      <c r="M3553" s="337"/>
    </row>
    <row r="3554" spans="1:13" s="71" customFormat="1" ht="26.4" customHeight="1">
      <c r="A3554" s="282">
        <v>866</v>
      </c>
      <c r="B3554" s="534"/>
      <c r="C3554" s="355" t="s">
        <v>1169</v>
      </c>
      <c r="D3554" s="307" t="s">
        <v>4443</v>
      </c>
      <c r="E3554" s="260" t="s">
        <v>4456</v>
      </c>
      <c r="F3554" s="362">
        <v>30159</v>
      </c>
      <c r="G3554" s="311">
        <v>1967</v>
      </c>
      <c r="H3554" s="365" t="s">
        <v>3</v>
      </c>
      <c r="I3554" s="313" t="s">
        <v>3</v>
      </c>
      <c r="J3554" s="350">
        <v>82.1</v>
      </c>
      <c r="K3554" s="350">
        <v>69.599999999999994</v>
      </c>
      <c r="L3554" s="314">
        <f t="shared" si="33"/>
        <v>12.5</v>
      </c>
      <c r="M3554" s="337"/>
    </row>
    <row r="3555" spans="1:13" s="71" customFormat="1" ht="26.4" customHeight="1">
      <c r="A3555" s="282">
        <v>867</v>
      </c>
      <c r="B3555" s="534"/>
      <c r="C3555" s="355" t="s">
        <v>1169</v>
      </c>
      <c r="D3555" s="307" t="s">
        <v>4443</v>
      </c>
      <c r="E3555" s="260" t="s">
        <v>4457</v>
      </c>
      <c r="F3555" s="362">
        <v>30160</v>
      </c>
      <c r="G3555" s="311">
        <v>1976</v>
      </c>
      <c r="H3555" s="365" t="s">
        <v>3</v>
      </c>
      <c r="I3555" s="313" t="s">
        <v>3</v>
      </c>
      <c r="J3555" s="350">
        <v>18.8</v>
      </c>
      <c r="K3555" s="350">
        <v>18.8</v>
      </c>
      <c r="L3555" s="314">
        <f t="shared" si="33"/>
        <v>0</v>
      </c>
      <c r="M3555" s="337"/>
    </row>
    <row r="3556" spans="1:13" s="71" customFormat="1" ht="38.25" customHeight="1">
      <c r="A3556" s="282">
        <v>868</v>
      </c>
      <c r="B3556" s="534"/>
      <c r="C3556" s="355" t="s">
        <v>1169</v>
      </c>
      <c r="D3556" s="307" t="s">
        <v>4458</v>
      </c>
      <c r="E3556" s="260" t="s">
        <v>12783</v>
      </c>
      <c r="F3556" s="362">
        <v>30204</v>
      </c>
      <c r="G3556" s="311">
        <v>1986</v>
      </c>
      <c r="H3556" s="340" t="s">
        <v>2658</v>
      </c>
      <c r="I3556" s="313">
        <v>264</v>
      </c>
      <c r="J3556" s="350">
        <v>64.8</v>
      </c>
      <c r="K3556" s="350">
        <v>63</v>
      </c>
      <c r="L3556" s="314">
        <f t="shared" si="33"/>
        <v>1.7999999999999972</v>
      </c>
      <c r="M3556" s="337"/>
    </row>
    <row r="3557" spans="1:13" s="71" customFormat="1" ht="26.4" customHeight="1">
      <c r="A3557" s="282">
        <v>869</v>
      </c>
      <c r="B3557" s="534"/>
      <c r="C3557" s="355" t="s">
        <v>1169</v>
      </c>
      <c r="D3557" s="307" t="s">
        <v>4451</v>
      </c>
      <c r="E3557" s="260" t="s">
        <v>964</v>
      </c>
      <c r="F3557" s="362">
        <v>20034</v>
      </c>
      <c r="G3557" s="311">
        <v>1972</v>
      </c>
      <c r="H3557" s="365" t="s">
        <v>3</v>
      </c>
      <c r="I3557" s="313" t="s">
        <v>3</v>
      </c>
      <c r="J3557" s="350">
        <v>31.6</v>
      </c>
      <c r="K3557" s="350">
        <v>30.7</v>
      </c>
      <c r="L3557" s="314">
        <f t="shared" si="33"/>
        <v>0.90000000000000213</v>
      </c>
      <c r="M3557" s="337"/>
    </row>
    <row r="3558" spans="1:13" s="71" customFormat="1" ht="26.4" customHeight="1">
      <c r="A3558" s="282">
        <v>870</v>
      </c>
      <c r="B3558" s="534"/>
      <c r="C3558" s="355" t="s">
        <v>1169</v>
      </c>
      <c r="D3558" s="307" t="s">
        <v>4459</v>
      </c>
      <c r="E3558" s="260" t="s">
        <v>4460</v>
      </c>
      <c r="F3558" s="362">
        <v>70006</v>
      </c>
      <c r="G3558" s="311">
        <v>1976</v>
      </c>
      <c r="H3558" s="365" t="s">
        <v>3</v>
      </c>
      <c r="I3558" s="313" t="s">
        <v>3</v>
      </c>
      <c r="J3558" s="350">
        <v>2.6</v>
      </c>
      <c r="K3558" s="350">
        <v>2.4</v>
      </c>
      <c r="L3558" s="314">
        <f t="shared" si="33"/>
        <v>0.20000000000000018</v>
      </c>
      <c r="M3558" s="337"/>
    </row>
    <row r="3559" spans="1:13" s="71" customFormat="1" ht="26.4" customHeight="1">
      <c r="A3559" s="282">
        <v>871</v>
      </c>
      <c r="B3559" s="534"/>
      <c r="C3559" s="355" t="s">
        <v>1169</v>
      </c>
      <c r="D3559" s="307" t="s">
        <v>3269</v>
      </c>
      <c r="E3559" s="260" t="s">
        <v>4461</v>
      </c>
      <c r="F3559" s="362">
        <v>20572</v>
      </c>
      <c r="G3559" s="311">
        <v>1976</v>
      </c>
      <c r="H3559" s="365" t="s">
        <v>3</v>
      </c>
      <c r="I3559" s="313" t="s">
        <v>3</v>
      </c>
      <c r="J3559" s="350">
        <v>36.700000000000003</v>
      </c>
      <c r="K3559" s="350">
        <v>35</v>
      </c>
      <c r="L3559" s="314">
        <f t="shared" si="33"/>
        <v>1.7000000000000028</v>
      </c>
      <c r="M3559" s="337"/>
    </row>
    <row r="3560" spans="1:13" s="71" customFormat="1" ht="26.4" customHeight="1">
      <c r="A3560" s="282">
        <v>872</v>
      </c>
      <c r="B3560" s="534"/>
      <c r="C3560" s="355" t="s">
        <v>1169</v>
      </c>
      <c r="D3560" s="307" t="s">
        <v>3269</v>
      </c>
      <c r="E3560" s="260" t="s">
        <v>4462</v>
      </c>
      <c r="F3560" s="362">
        <v>20641</v>
      </c>
      <c r="G3560" s="311">
        <v>1976</v>
      </c>
      <c r="H3560" s="365" t="s">
        <v>3</v>
      </c>
      <c r="I3560" s="313" t="s">
        <v>3</v>
      </c>
      <c r="J3560" s="350">
        <v>3.6</v>
      </c>
      <c r="K3560" s="350">
        <v>3.4</v>
      </c>
      <c r="L3560" s="314">
        <f t="shared" si="33"/>
        <v>0.20000000000000018</v>
      </c>
      <c r="M3560" s="337"/>
    </row>
    <row r="3561" spans="1:13" s="71" customFormat="1" ht="26.4" customHeight="1">
      <c r="A3561" s="282">
        <v>873</v>
      </c>
      <c r="B3561" s="534"/>
      <c r="C3561" s="355" t="s">
        <v>1169</v>
      </c>
      <c r="D3561" s="307" t="s">
        <v>4451</v>
      </c>
      <c r="E3561" s="260" t="s">
        <v>4463</v>
      </c>
      <c r="F3561" s="362">
        <v>20032</v>
      </c>
      <c r="G3561" s="311">
        <v>1976</v>
      </c>
      <c r="H3561" s="365" t="s">
        <v>3</v>
      </c>
      <c r="I3561" s="313" t="s">
        <v>3</v>
      </c>
      <c r="J3561" s="350">
        <v>9.3000000000000007</v>
      </c>
      <c r="K3561" s="350">
        <v>9</v>
      </c>
      <c r="L3561" s="314">
        <f t="shared" si="33"/>
        <v>0.30000000000000071</v>
      </c>
      <c r="M3561" s="337"/>
    </row>
    <row r="3562" spans="1:13" s="71" customFormat="1" ht="26.4" customHeight="1">
      <c r="A3562" s="282">
        <v>874</v>
      </c>
      <c r="B3562" s="534"/>
      <c r="C3562" s="355" t="s">
        <v>1169</v>
      </c>
      <c r="D3562" s="307" t="s">
        <v>4451</v>
      </c>
      <c r="E3562" s="260" t="s">
        <v>4464</v>
      </c>
      <c r="F3562" s="362">
        <v>20024</v>
      </c>
      <c r="G3562" s="311">
        <v>1976</v>
      </c>
      <c r="H3562" s="365" t="s">
        <v>3</v>
      </c>
      <c r="I3562" s="313" t="s">
        <v>3</v>
      </c>
      <c r="J3562" s="350">
        <v>37</v>
      </c>
      <c r="K3562" s="350">
        <v>35.9</v>
      </c>
      <c r="L3562" s="314">
        <f t="shared" si="33"/>
        <v>1.1000000000000014</v>
      </c>
      <c r="M3562" s="337"/>
    </row>
    <row r="3563" spans="1:13" s="71" customFormat="1" ht="26.4" customHeight="1">
      <c r="A3563" s="282">
        <v>875</v>
      </c>
      <c r="B3563" s="534"/>
      <c r="C3563" s="307" t="s">
        <v>3412</v>
      </c>
      <c r="D3563" s="307" t="s">
        <v>4453</v>
      </c>
      <c r="E3563" s="260" t="s">
        <v>13084</v>
      </c>
      <c r="F3563" s="362">
        <v>90748</v>
      </c>
      <c r="G3563" s="311">
        <v>1976</v>
      </c>
      <c r="H3563" s="365" t="s">
        <v>3</v>
      </c>
      <c r="I3563" s="313" t="s">
        <v>3</v>
      </c>
      <c r="J3563" s="350">
        <v>158.6</v>
      </c>
      <c r="K3563" s="350">
        <v>158.6</v>
      </c>
      <c r="L3563" s="314">
        <f t="shared" si="33"/>
        <v>0</v>
      </c>
      <c r="M3563" s="337"/>
    </row>
    <row r="3564" spans="1:13" s="71" customFormat="1" ht="26.4" customHeight="1">
      <c r="A3564" s="282">
        <v>876</v>
      </c>
      <c r="B3564" s="534"/>
      <c r="C3564" s="355" t="s">
        <v>1169</v>
      </c>
      <c r="D3564" s="307" t="s">
        <v>3269</v>
      </c>
      <c r="E3564" s="260" t="s">
        <v>4465</v>
      </c>
      <c r="F3564" s="362">
        <v>20051</v>
      </c>
      <c r="G3564" s="311">
        <v>1976</v>
      </c>
      <c r="H3564" s="365" t="s">
        <v>3</v>
      </c>
      <c r="I3564" s="313" t="s">
        <v>3</v>
      </c>
      <c r="J3564" s="350">
        <v>5.6</v>
      </c>
      <c r="K3564" s="350">
        <v>5.2</v>
      </c>
      <c r="L3564" s="314">
        <f t="shared" si="33"/>
        <v>0.39999999999999947</v>
      </c>
      <c r="M3564" s="337"/>
    </row>
    <row r="3565" spans="1:13" s="71" customFormat="1" ht="26.4" customHeight="1">
      <c r="A3565" s="282">
        <v>877</v>
      </c>
      <c r="B3565" s="534"/>
      <c r="C3565" s="355" t="s">
        <v>1169</v>
      </c>
      <c r="D3565" s="307" t="s">
        <v>4466</v>
      </c>
      <c r="E3565" s="260" t="s">
        <v>4467</v>
      </c>
      <c r="F3565" s="362">
        <v>70011</v>
      </c>
      <c r="G3565" s="311">
        <v>1976</v>
      </c>
      <c r="H3565" s="365" t="s">
        <v>3</v>
      </c>
      <c r="I3565" s="313" t="s">
        <v>3</v>
      </c>
      <c r="J3565" s="350">
        <v>5.0999999999999996</v>
      </c>
      <c r="K3565" s="350">
        <v>4.7</v>
      </c>
      <c r="L3565" s="314">
        <f t="shared" si="33"/>
        <v>0.39999999999999947</v>
      </c>
      <c r="M3565" s="337"/>
    </row>
    <row r="3566" spans="1:13" s="71" customFormat="1" ht="26.4" customHeight="1">
      <c r="A3566" s="282">
        <v>878</v>
      </c>
      <c r="B3566" s="534"/>
      <c r="C3566" s="355" t="s">
        <v>1169</v>
      </c>
      <c r="D3566" s="307" t="s">
        <v>3</v>
      </c>
      <c r="E3566" s="260" t="s">
        <v>4468</v>
      </c>
      <c r="F3566" s="362">
        <v>301651</v>
      </c>
      <c r="G3566" s="311">
        <v>1976</v>
      </c>
      <c r="H3566" s="365" t="s">
        <v>3</v>
      </c>
      <c r="I3566" s="313" t="s">
        <v>3</v>
      </c>
      <c r="J3566" s="350">
        <v>10.5</v>
      </c>
      <c r="K3566" s="350">
        <v>8.9</v>
      </c>
      <c r="L3566" s="314">
        <f t="shared" si="33"/>
        <v>1.5999999999999996</v>
      </c>
      <c r="M3566" s="337"/>
    </row>
    <row r="3567" spans="1:13" s="71" customFormat="1" ht="26.4" customHeight="1">
      <c r="A3567" s="282">
        <v>879</v>
      </c>
      <c r="B3567" s="534"/>
      <c r="C3567" s="355" t="s">
        <v>1169</v>
      </c>
      <c r="D3567" s="307" t="s">
        <v>4466</v>
      </c>
      <c r="E3567" s="260" t="s">
        <v>4469</v>
      </c>
      <c r="F3567" s="362">
        <v>30095</v>
      </c>
      <c r="G3567" s="311">
        <v>1976</v>
      </c>
      <c r="H3567" s="365" t="s">
        <v>3</v>
      </c>
      <c r="I3567" s="313" t="s">
        <v>3</v>
      </c>
      <c r="J3567" s="350">
        <v>1.2</v>
      </c>
      <c r="K3567" s="350">
        <v>1.1000000000000001</v>
      </c>
      <c r="L3567" s="314">
        <f t="shared" si="33"/>
        <v>9.9999999999999867E-2</v>
      </c>
      <c r="M3567" s="337"/>
    </row>
    <row r="3568" spans="1:13" s="71" customFormat="1" ht="26.4" customHeight="1">
      <c r="A3568" s="282">
        <v>880</v>
      </c>
      <c r="B3568" s="534"/>
      <c r="C3568" s="355" t="s">
        <v>1169</v>
      </c>
      <c r="D3568" s="307" t="s">
        <v>4466</v>
      </c>
      <c r="E3568" s="260" t="s">
        <v>4470</v>
      </c>
      <c r="F3568" s="362">
        <v>30096</v>
      </c>
      <c r="G3568" s="311">
        <v>1976</v>
      </c>
      <c r="H3568" s="365" t="s">
        <v>3</v>
      </c>
      <c r="I3568" s="313" t="s">
        <v>3</v>
      </c>
      <c r="J3568" s="350">
        <v>48.7</v>
      </c>
      <c r="K3568" s="350">
        <v>45</v>
      </c>
      <c r="L3568" s="314">
        <f t="shared" si="33"/>
        <v>3.7000000000000028</v>
      </c>
      <c r="M3568" s="337"/>
    </row>
    <row r="3569" spans="1:13" s="71" customFormat="1" ht="26.4" customHeight="1">
      <c r="A3569" s="282">
        <v>881</v>
      </c>
      <c r="B3569" s="534"/>
      <c r="C3569" s="355" t="s">
        <v>1169</v>
      </c>
      <c r="D3569" s="307" t="s">
        <v>3967</v>
      </c>
      <c r="E3569" s="260" t="s">
        <v>4471</v>
      </c>
      <c r="F3569" s="362">
        <v>20037</v>
      </c>
      <c r="G3569" s="311">
        <v>1976</v>
      </c>
      <c r="H3569" s="365" t="s">
        <v>3</v>
      </c>
      <c r="I3569" s="313" t="s">
        <v>3</v>
      </c>
      <c r="J3569" s="350">
        <v>3.4</v>
      </c>
      <c r="K3569" s="350">
        <v>3.2</v>
      </c>
      <c r="L3569" s="314">
        <f t="shared" si="33"/>
        <v>0.19999999999999973</v>
      </c>
      <c r="M3569" s="337"/>
    </row>
    <row r="3570" spans="1:13" s="71" customFormat="1" ht="26.4" customHeight="1">
      <c r="A3570" s="282">
        <v>882</v>
      </c>
      <c r="B3570" s="534"/>
      <c r="C3570" s="355" t="s">
        <v>1169</v>
      </c>
      <c r="D3570" s="307" t="s">
        <v>3269</v>
      </c>
      <c r="E3570" s="260" t="s">
        <v>4472</v>
      </c>
      <c r="F3570" s="362">
        <v>90439</v>
      </c>
      <c r="G3570" s="311">
        <v>1976</v>
      </c>
      <c r="H3570" s="365" t="s">
        <v>3</v>
      </c>
      <c r="I3570" s="313" t="s">
        <v>3</v>
      </c>
      <c r="J3570" s="350">
        <v>6.8</v>
      </c>
      <c r="K3570" s="350">
        <v>6.8</v>
      </c>
      <c r="L3570" s="314">
        <f t="shared" si="33"/>
        <v>0</v>
      </c>
      <c r="M3570" s="337"/>
    </row>
    <row r="3571" spans="1:13" s="71" customFormat="1" ht="26.4" customHeight="1">
      <c r="A3571" s="282">
        <v>883</v>
      </c>
      <c r="B3571" s="534"/>
      <c r="C3571" s="355" t="s">
        <v>1169</v>
      </c>
      <c r="D3571" s="307" t="s">
        <v>3967</v>
      </c>
      <c r="E3571" s="260" t="s">
        <v>4473</v>
      </c>
      <c r="F3571" s="362">
        <v>30142</v>
      </c>
      <c r="G3571" s="311">
        <v>1973</v>
      </c>
      <c r="H3571" s="365" t="s">
        <v>3</v>
      </c>
      <c r="I3571" s="313" t="s">
        <v>3</v>
      </c>
      <c r="J3571" s="350">
        <v>54.4</v>
      </c>
      <c r="K3571" s="350">
        <v>46.1</v>
      </c>
      <c r="L3571" s="314">
        <f t="shared" si="33"/>
        <v>8.2999999999999972</v>
      </c>
      <c r="M3571" s="337"/>
    </row>
    <row r="3572" spans="1:13" s="71" customFormat="1" ht="26.4" customHeight="1">
      <c r="A3572" s="282">
        <v>884</v>
      </c>
      <c r="B3572" s="534"/>
      <c r="C3572" s="355" t="s">
        <v>1169</v>
      </c>
      <c r="D3572" s="307" t="s">
        <v>3967</v>
      </c>
      <c r="E3572" s="260" t="s">
        <v>4474</v>
      </c>
      <c r="F3572" s="362">
        <v>30141</v>
      </c>
      <c r="G3572" s="311">
        <v>1976</v>
      </c>
      <c r="H3572" s="365" t="s">
        <v>3</v>
      </c>
      <c r="I3572" s="313" t="s">
        <v>3</v>
      </c>
      <c r="J3572" s="350">
        <v>13.6</v>
      </c>
      <c r="K3572" s="350">
        <v>11.6</v>
      </c>
      <c r="L3572" s="314">
        <f t="shared" si="33"/>
        <v>2</v>
      </c>
      <c r="M3572" s="337"/>
    </row>
    <row r="3573" spans="1:13" s="71" customFormat="1" ht="26.4" customHeight="1">
      <c r="A3573" s="282">
        <v>885</v>
      </c>
      <c r="B3573" s="534"/>
      <c r="C3573" s="355" t="s">
        <v>1169</v>
      </c>
      <c r="D3573" s="307" t="s">
        <v>3269</v>
      </c>
      <c r="E3573" s="260" t="s">
        <v>4475</v>
      </c>
      <c r="F3573" s="362">
        <v>20569</v>
      </c>
      <c r="G3573" s="311">
        <v>1968</v>
      </c>
      <c r="H3573" s="365" t="s">
        <v>3</v>
      </c>
      <c r="I3573" s="313" t="s">
        <v>3</v>
      </c>
      <c r="J3573" s="350">
        <v>29.6</v>
      </c>
      <c r="K3573" s="350">
        <v>27.4</v>
      </c>
      <c r="L3573" s="314">
        <f t="shared" si="33"/>
        <v>2.2000000000000028</v>
      </c>
      <c r="M3573" s="337"/>
    </row>
    <row r="3574" spans="1:13" s="71" customFormat="1" ht="26.4" customHeight="1">
      <c r="A3574" s="282">
        <v>886</v>
      </c>
      <c r="B3574" s="534"/>
      <c r="C3574" s="355" t="s">
        <v>1169</v>
      </c>
      <c r="D3574" s="307" t="s">
        <v>4476</v>
      </c>
      <c r="E3574" s="260" t="s">
        <v>4477</v>
      </c>
      <c r="F3574" s="362">
        <v>90756</v>
      </c>
      <c r="G3574" s="311">
        <v>1968</v>
      </c>
      <c r="H3574" s="365" t="s">
        <v>3</v>
      </c>
      <c r="I3574" s="313" t="s">
        <v>3</v>
      </c>
      <c r="J3574" s="350">
        <v>82</v>
      </c>
      <c r="K3574" s="350">
        <v>59.4</v>
      </c>
      <c r="L3574" s="314">
        <f t="shared" si="33"/>
        <v>22.6</v>
      </c>
      <c r="M3574" s="337"/>
    </row>
    <row r="3575" spans="1:13" s="71" customFormat="1" ht="26.4" customHeight="1">
      <c r="A3575" s="282">
        <v>887</v>
      </c>
      <c r="B3575" s="534"/>
      <c r="C3575" s="355" t="s">
        <v>1169</v>
      </c>
      <c r="D3575" s="307" t="s">
        <v>4478</v>
      </c>
      <c r="E3575" s="260" t="s">
        <v>4479</v>
      </c>
      <c r="F3575" s="362">
        <v>70024</v>
      </c>
      <c r="G3575" s="311">
        <v>1970</v>
      </c>
      <c r="H3575" s="365" t="s">
        <v>3</v>
      </c>
      <c r="I3575" s="313" t="s">
        <v>3</v>
      </c>
      <c r="J3575" s="350">
        <v>92.5</v>
      </c>
      <c r="K3575" s="350">
        <v>87.6</v>
      </c>
      <c r="L3575" s="314">
        <f t="shared" si="33"/>
        <v>4.9000000000000057</v>
      </c>
      <c r="M3575" s="337"/>
    </row>
    <row r="3576" spans="1:13" s="71" customFormat="1" ht="26.4" customHeight="1">
      <c r="A3576" s="282">
        <v>888</v>
      </c>
      <c r="B3576" s="534"/>
      <c r="C3576" s="355" t="s">
        <v>1169</v>
      </c>
      <c r="D3576" s="307" t="s">
        <v>3967</v>
      </c>
      <c r="E3576" s="260" t="s">
        <v>4480</v>
      </c>
      <c r="F3576" s="362">
        <v>40017</v>
      </c>
      <c r="G3576" s="311">
        <v>1971</v>
      </c>
      <c r="H3576" s="365" t="s">
        <v>3</v>
      </c>
      <c r="I3576" s="313" t="s">
        <v>3</v>
      </c>
      <c r="J3576" s="350">
        <v>9.6999999999999993</v>
      </c>
      <c r="K3576" s="350">
        <v>8.1999999999999993</v>
      </c>
      <c r="L3576" s="314">
        <f t="shared" si="33"/>
        <v>1.5</v>
      </c>
      <c r="M3576" s="337"/>
    </row>
    <row r="3577" spans="1:13" s="71" customFormat="1" ht="26.4" customHeight="1">
      <c r="A3577" s="282">
        <v>889</v>
      </c>
      <c r="B3577" s="534"/>
      <c r="C3577" s="355" t="s">
        <v>1169</v>
      </c>
      <c r="D3577" s="307" t="s">
        <v>3967</v>
      </c>
      <c r="E3577" s="260" t="s">
        <v>4481</v>
      </c>
      <c r="F3577" s="362">
        <v>20038</v>
      </c>
      <c r="G3577" s="311">
        <v>1976</v>
      </c>
      <c r="H3577" s="365" t="s">
        <v>3</v>
      </c>
      <c r="I3577" s="313" t="s">
        <v>3</v>
      </c>
      <c r="J3577" s="350">
        <v>26.4</v>
      </c>
      <c r="K3577" s="350">
        <v>25.4</v>
      </c>
      <c r="L3577" s="314">
        <f t="shared" si="33"/>
        <v>1</v>
      </c>
      <c r="M3577" s="337"/>
    </row>
    <row r="3578" spans="1:13" s="71" customFormat="1" ht="26.4" customHeight="1">
      <c r="A3578" s="282">
        <v>890</v>
      </c>
      <c r="B3578" s="534"/>
      <c r="C3578" s="355" t="s">
        <v>1169</v>
      </c>
      <c r="D3578" s="307" t="s">
        <v>3967</v>
      </c>
      <c r="E3578" s="260" t="s">
        <v>4482</v>
      </c>
      <c r="F3578" s="362">
        <v>20033</v>
      </c>
      <c r="G3578" s="311">
        <v>1976</v>
      </c>
      <c r="H3578" s="365" t="s">
        <v>3</v>
      </c>
      <c r="I3578" s="313" t="s">
        <v>3</v>
      </c>
      <c r="J3578" s="350">
        <v>38.1</v>
      </c>
      <c r="K3578" s="350">
        <v>36.299999999999997</v>
      </c>
      <c r="L3578" s="314">
        <f t="shared" si="33"/>
        <v>1.8000000000000043</v>
      </c>
      <c r="M3578" s="337"/>
    </row>
    <row r="3579" spans="1:13" s="71" customFormat="1" ht="26.4" customHeight="1">
      <c r="A3579" s="282">
        <v>891</v>
      </c>
      <c r="B3579" s="534"/>
      <c r="C3579" s="355" t="s">
        <v>1169</v>
      </c>
      <c r="D3579" s="307" t="s">
        <v>3967</v>
      </c>
      <c r="E3579" s="260" t="s">
        <v>4483</v>
      </c>
      <c r="F3579" s="362">
        <v>20039</v>
      </c>
      <c r="G3579" s="311">
        <v>1976</v>
      </c>
      <c r="H3579" s="365" t="s">
        <v>3</v>
      </c>
      <c r="I3579" s="313" t="s">
        <v>3</v>
      </c>
      <c r="J3579" s="350">
        <v>414.7</v>
      </c>
      <c r="K3579" s="350">
        <v>351.4</v>
      </c>
      <c r="L3579" s="314">
        <f t="shared" si="33"/>
        <v>63.300000000000011</v>
      </c>
      <c r="M3579" s="337"/>
    </row>
    <row r="3580" spans="1:13" s="71" customFormat="1" ht="26.4" customHeight="1">
      <c r="A3580" s="282">
        <v>892</v>
      </c>
      <c r="B3580" s="534"/>
      <c r="C3580" s="355" t="s">
        <v>1169</v>
      </c>
      <c r="D3580" s="307" t="s">
        <v>3967</v>
      </c>
      <c r="E3580" s="260" t="s">
        <v>13381</v>
      </c>
      <c r="F3580" s="362">
        <v>30148</v>
      </c>
      <c r="G3580" s="311">
        <v>1976</v>
      </c>
      <c r="H3580" s="365" t="s">
        <v>3</v>
      </c>
      <c r="I3580" s="313" t="s">
        <v>3</v>
      </c>
      <c r="J3580" s="350">
        <v>3.5</v>
      </c>
      <c r="K3580" s="350">
        <v>3</v>
      </c>
      <c r="L3580" s="314">
        <f t="shared" si="33"/>
        <v>0.5</v>
      </c>
      <c r="M3580" s="337"/>
    </row>
    <row r="3581" spans="1:13" s="71" customFormat="1" ht="26.4" customHeight="1">
      <c r="A3581" s="282">
        <v>893</v>
      </c>
      <c r="B3581" s="534"/>
      <c r="C3581" s="355" t="s">
        <v>1169</v>
      </c>
      <c r="D3581" s="307" t="s">
        <v>3967</v>
      </c>
      <c r="E3581" s="260" t="s">
        <v>4484</v>
      </c>
      <c r="F3581" s="362">
        <v>70010</v>
      </c>
      <c r="G3581" s="311">
        <v>1976</v>
      </c>
      <c r="H3581" s="365" t="s">
        <v>3</v>
      </c>
      <c r="I3581" s="313" t="s">
        <v>3</v>
      </c>
      <c r="J3581" s="350">
        <v>36.700000000000003</v>
      </c>
      <c r="K3581" s="350">
        <v>32.700000000000003</v>
      </c>
      <c r="L3581" s="314">
        <f t="shared" si="33"/>
        <v>4</v>
      </c>
      <c r="M3581" s="337"/>
    </row>
    <row r="3582" spans="1:13" s="71" customFormat="1" ht="26.4" customHeight="1">
      <c r="A3582" s="282">
        <v>894</v>
      </c>
      <c r="B3582" s="534"/>
      <c r="C3582" s="355" t="s">
        <v>1169</v>
      </c>
      <c r="D3582" s="307" t="s">
        <v>3967</v>
      </c>
      <c r="E3582" s="260" t="s">
        <v>4485</v>
      </c>
      <c r="F3582" s="362">
        <v>20028</v>
      </c>
      <c r="G3582" s="311">
        <v>1976</v>
      </c>
      <c r="H3582" s="365" t="s">
        <v>3</v>
      </c>
      <c r="I3582" s="313" t="s">
        <v>3</v>
      </c>
      <c r="J3582" s="350">
        <v>43.6</v>
      </c>
      <c r="K3582" s="350">
        <v>31.7</v>
      </c>
      <c r="L3582" s="314">
        <f t="shared" si="33"/>
        <v>11.900000000000002</v>
      </c>
      <c r="M3582" s="337"/>
    </row>
    <row r="3583" spans="1:13" s="71" customFormat="1" ht="26.4" customHeight="1">
      <c r="A3583" s="282">
        <v>895</v>
      </c>
      <c r="B3583" s="534"/>
      <c r="C3583" s="355" t="s">
        <v>1169</v>
      </c>
      <c r="D3583" s="307" t="s">
        <v>3967</v>
      </c>
      <c r="E3583" s="260" t="s">
        <v>4486</v>
      </c>
      <c r="F3583" s="362">
        <v>20029</v>
      </c>
      <c r="G3583" s="311">
        <v>1976</v>
      </c>
      <c r="H3583" s="365" t="s">
        <v>3</v>
      </c>
      <c r="I3583" s="313" t="s">
        <v>3</v>
      </c>
      <c r="J3583" s="350">
        <v>47.2</v>
      </c>
      <c r="K3583" s="350">
        <v>39.9</v>
      </c>
      <c r="L3583" s="314">
        <f t="shared" si="33"/>
        <v>7.3000000000000043</v>
      </c>
      <c r="M3583" s="337"/>
    </row>
    <row r="3584" spans="1:13" s="71" customFormat="1" ht="26.4" customHeight="1">
      <c r="A3584" s="282">
        <v>896</v>
      </c>
      <c r="B3584" s="534"/>
      <c r="C3584" s="355" t="s">
        <v>1169</v>
      </c>
      <c r="D3584" s="307" t="s">
        <v>3967</v>
      </c>
      <c r="E3584" s="260" t="s">
        <v>4487</v>
      </c>
      <c r="F3584" s="362">
        <v>20041</v>
      </c>
      <c r="G3584" s="311">
        <v>1976</v>
      </c>
      <c r="H3584" s="365" t="s">
        <v>3</v>
      </c>
      <c r="I3584" s="313" t="s">
        <v>3</v>
      </c>
      <c r="J3584" s="350">
        <v>45.2</v>
      </c>
      <c r="K3584" s="350">
        <v>38.299999999999997</v>
      </c>
      <c r="L3584" s="314">
        <f t="shared" si="33"/>
        <v>6.9000000000000057</v>
      </c>
      <c r="M3584" s="337"/>
    </row>
    <row r="3585" spans="1:13" s="71" customFormat="1" ht="26.4" customHeight="1">
      <c r="A3585" s="282">
        <v>897</v>
      </c>
      <c r="B3585" s="534"/>
      <c r="C3585" s="355" t="s">
        <v>1169</v>
      </c>
      <c r="D3585" s="307" t="s">
        <v>3967</v>
      </c>
      <c r="E3585" s="260" t="s">
        <v>4488</v>
      </c>
      <c r="F3585" s="362">
        <v>30146</v>
      </c>
      <c r="G3585" s="311">
        <v>1976</v>
      </c>
      <c r="H3585" s="365" t="s">
        <v>3</v>
      </c>
      <c r="I3585" s="313" t="s">
        <v>3</v>
      </c>
      <c r="J3585" s="350">
        <v>19.2</v>
      </c>
      <c r="K3585" s="350">
        <v>16.2</v>
      </c>
      <c r="L3585" s="314">
        <f t="shared" ref="L3585:L3595" si="34">J3585-K3585</f>
        <v>3</v>
      </c>
      <c r="M3585" s="337"/>
    </row>
    <row r="3586" spans="1:13" s="71" customFormat="1" ht="26.4" customHeight="1">
      <c r="A3586" s="282">
        <v>898</v>
      </c>
      <c r="B3586" s="534"/>
      <c r="C3586" s="355" t="s">
        <v>1169</v>
      </c>
      <c r="D3586" s="307" t="s">
        <v>3967</v>
      </c>
      <c r="E3586" s="260" t="s">
        <v>4489</v>
      </c>
      <c r="F3586" s="362">
        <v>30140</v>
      </c>
      <c r="G3586" s="311">
        <v>1976</v>
      </c>
      <c r="H3586" s="365" t="s">
        <v>3</v>
      </c>
      <c r="I3586" s="313" t="s">
        <v>3</v>
      </c>
      <c r="J3586" s="350">
        <v>85.8</v>
      </c>
      <c r="K3586" s="350">
        <v>71.8</v>
      </c>
      <c r="L3586" s="314">
        <f t="shared" si="34"/>
        <v>14</v>
      </c>
      <c r="M3586" s="337"/>
    </row>
    <row r="3587" spans="1:13" s="71" customFormat="1" ht="26.4" customHeight="1">
      <c r="A3587" s="282">
        <v>899</v>
      </c>
      <c r="B3587" s="534"/>
      <c r="C3587" s="355" t="s">
        <v>1169</v>
      </c>
      <c r="D3587" s="307" t="s">
        <v>3967</v>
      </c>
      <c r="E3587" s="260" t="s">
        <v>4490</v>
      </c>
      <c r="F3587" s="362">
        <v>30031</v>
      </c>
      <c r="G3587" s="311">
        <v>2006</v>
      </c>
      <c r="H3587" s="365" t="s">
        <v>3</v>
      </c>
      <c r="I3587" s="313" t="s">
        <v>3</v>
      </c>
      <c r="J3587" s="350">
        <v>2</v>
      </c>
      <c r="K3587" s="350">
        <v>1.7</v>
      </c>
      <c r="L3587" s="314">
        <f t="shared" si="34"/>
        <v>0.30000000000000004</v>
      </c>
      <c r="M3587" s="337"/>
    </row>
    <row r="3588" spans="1:13" s="71" customFormat="1" ht="26.4" customHeight="1">
      <c r="A3588" s="282">
        <v>900</v>
      </c>
      <c r="B3588" s="534"/>
      <c r="C3588" s="355" t="s">
        <v>1169</v>
      </c>
      <c r="D3588" s="307" t="s">
        <v>3967</v>
      </c>
      <c r="E3588" s="260" t="s">
        <v>4491</v>
      </c>
      <c r="F3588" s="362">
        <v>30158</v>
      </c>
      <c r="G3588" s="311">
        <v>1976</v>
      </c>
      <c r="H3588" s="365" t="s">
        <v>3</v>
      </c>
      <c r="I3588" s="313" t="s">
        <v>3</v>
      </c>
      <c r="J3588" s="350">
        <v>91.2</v>
      </c>
      <c r="K3588" s="350">
        <v>88.5</v>
      </c>
      <c r="L3588" s="314">
        <f t="shared" si="34"/>
        <v>2.7000000000000028</v>
      </c>
      <c r="M3588" s="337"/>
    </row>
    <row r="3589" spans="1:13" s="71" customFormat="1" ht="26.4" customHeight="1">
      <c r="A3589" s="282">
        <v>901</v>
      </c>
      <c r="B3589" s="534"/>
      <c r="C3589" s="355" t="s">
        <v>1169</v>
      </c>
      <c r="D3589" s="307" t="s">
        <v>3967</v>
      </c>
      <c r="E3589" s="260" t="s">
        <v>4492</v>
      </c>
      <c r="F3589" s="362">
        <v>30150</v>
      </c>
      <c r="G3589" s="311">
        <v>1976</v>
      </c>
      <c r="H3589" s="365" t="s">
        <v>3</v>
      </c>
      <c r="I3589" s="313" t="s">
        <v>3</v>
      </c>
      <c r="J3589" s="350">
        <v>16.7</v>
      </c>
      <c r="K3589" s="350">
        <v>0.2</v>
      </c>
      <c r="L3589" s="314">
        <f t="shared" si="34"/>
        <v>16.5</v>
      </c>
      <c r="M3589" s="337"/>
    </row>
    <row r="3590" spans="1:13" s="71" customFormat="1" ht="26.4" customHeight="1">
      <c r="A3590" s="282">
        <v>902</v>
      </c>
      <c r="B3590" s="534"/>
      <c r="C3590" s="355" t="s">
        <v>1169</v>
      </c>
      <c r="D3590" s="307" t="s">
        <v>3967</v>
      </c>
      <c r="E3590" s="260" t="s">
        <v>4493</v>
      </c>
      <c r="F3590" s="362">
        <v>30137</v>
      </c>
      <c r="G3590" s="311">
        <v>1976</v>
      </c>
      <c r="H3590" s="365" t="s">
        <v>3</v>
      </c>
      <c r="I3590" s="313" t="s">
        <v>3</v>
      </c>
      <c r="J3590" s="350">
        <v>4.7</v>
      </c>
      <c r="K3590" s="350">
        <v>4.7</v>
      </c>
      <c r="L3590" s="314">
        <f t="shared" si="34"/>
        <v>0</v>
      </c>
      <c r="M3590" s="337"/>
    </row>
    <row r="3591" spans="1:13" s="71" customFormat="1" ht="26.4" customHeight="1">
      <c r="A3591" s="282">
        <v>903</v>
      </c>
      <c r="B3591" s="534"/>
      <c r="C3591" s="355" t="s">
        <v>1169</v>
      </c>
      <c r="D3591" s="307" t="s">
        <v>3967</v>
      </c>
      <c r="E3591" s="260" t="s">
        <v>4494</v>
      </c>
      <c r="F3591" s="362">
        <v>301432</v>
      </c>
      <c r="G3591" s="311">
        <v>1969</v>
      </c>
      <c r="H3591" s="365" t="s">
        <v>3</v>
      </c>
      <c r="I3591" s="313" t="s">
        <v>3</v>
      </c>
      <c r="J3591" s="350">
        <v>32.1</v>
      </c>
      <c r="K3591" s="350">
        <v>4.7</v>
      </c>
      <c r="L3591" s="314">
        <f t="shared" si="34"/>
        <v>27.400000000000002</v>
      </c>
      <c r="M3591" s="337"/>
    </row>
    <row r="3592" spans="1:13" s="71" customFormat="1" ht="26.4" customHeight="1">
      <c r="A3592" s="282">
        <v>904</v>
      </c>
      <c r="B3592" s="534"/>
      <c r="C3592" s="355" t="s">
        <v>1169</v>
      </c>
      <c r="D3592" s="307" t="s">
        <v>3967</v>
      </c>
      <c r="E3592" s="260" t="s">
        <v>13085</v>
      </c>
      <c r="F3592" s="362">
        <v>30133</v>
      </c>
      <c r="G3592" s="311">
        <v>1967</v>
      </c>
      <c r="H3592" s="365" t="s">
        <v>3</v>
      </c>
      <c r="I3592" s="313" t="s">
        <v>3</v>
      </c>
      <c r="J3592" s="350">
        <v>133.19999999999999</v>
      </c>
      <c r="K3592" s="350">
        <v>112.8</v>
      </c>
      <c r="L3592" s="314">
        <f t="shared" si="34"/>
        <v>20.399999999999991</v>
      </c>
      <c r="M3592" s="337"/>
    </row>
    <row r="3593" spans="1:13" s="71" customFormat="1" ht="26.4" customHeight="1">
      <c r="A3593" s="282">
        <v>905</v>
      </c>
      <c r="B3593" s="534"/>
      <c r="C3593" s="355" t="s">
        <v>1169</v>
      </c>
      <c r="D3593" s="307" t="s">
        <v>4495</v>
      </c>
      <c r="E3593" s="260" t="s">
        <v>4496</v>
      </c>
      <c r="F3593" s="362">
        <v>206632</v>
      </c>
      <c r="G3593" s="311">
        <v>1976</v>
      </c>
      <c r="H3593" s="365" t="s">
        <v>3</v>
      </c>
      <c r="I3593" s="313" t="s">
        <v>3</v>
      </c>
      <c r="J3593" s="350">
        <v>246.2</v>
      </c>
      <c r="K3593" s="350">
        <v>221.5</v>
      </c>
      <c r="L3593" s="314">
        <f t="shared" si="34"/>
        <v>24.699999999999989</v>
      </c>
      <c r="M3593" s="337"/>
    </row>
    <row r="3594" spans="1:13" s="71" customFormat="1" ht="26.4" customHeight="1">
      <c r="A3594" s="282">
        <v>906</v>
      </c>
      <c r="B3594" s="534"/>
      <c r="C3594" s="355" t="s">
        <v>1169</v>
      </c>
      <c r="D3594" s="307" t="s">
        <v>3512</v>
      </c>
      <c r="E3594" s="260" t="s">
        <v>4496</v>
      </c>
      <c r="F3594" s="362">
        <v>206631</v>
      </c>
      <c r="G3594" s="311">
        <v>1976</v>
      </c>
      <c r="H3594" s="365" t="s">
        <v>3</v>
      </c>
      <c r="I3594" s="313" t="s">
        <v>3</v>
      </c>
      <c r="J3594" s="350">
        <v>625.79999999999995</v>
      </c>
      <c r="K3594" s="350">
        <v>553.70000000000005</v>
      </c>
      <c r="L3594" s="314">
        <f t="shared" si="34"/>
        <v>72.099999999999909</v>
      </c>
      <c r="M3594" s="337"/>
    </row>
    <row r="3595" spans="1:13" s="71" customFormat="1" ht="26.4" customHeight="1">
      <c r="A3595" s="282">
        <v>907</v>
      </c>
      <c r="B3595" s="534"/>
      <c r="C3595" s="355" t="s">
        <v>1169</v>
      </c>
      <c r="D3595" s="307" t="s">
        <v>3269</v>
      </c>
      <c r="E3595" s="260" t="s">
        <v>2667</v>
      </c>
      <c r="F3595" s="362">
        <v>30073</v>
      </c>
      <c r="G3595" s="311">
        <v>1976</v>
      </c>
      <c r="H3595" s="365" t="s">
        <v>3</v>
      </c>
      <c r="I3595" s="313" t="s">
        <v>3</v>
      </c>
      <c r="J3595" s="350">
        <v>14.6</v>
      </c>
      <c r="K3595" s="350">
        <v>13.9</v>
      </c>
      <c r="L3595" s="314">
        <f t="shared" si="34"/>
        <v>0.69999999999999929</v>
      </c>
      <c r="M3595" s="337"/>
    </row>
    <row r="3596" spans="1:13" s="71" customFormat="1" ht="26.4" customHeight="1">
      <c r="A3596" s="324" t="s">
        <v>3</v>
      </c>
      <c r="B3596" s="341" t="s">
        <v>4</v>
      </c>
      <c r="C3596" s="342" t="s">
        <v>3</v>
      </c>
      <c r="D3596" s="342" t="s">
        <v>3</v>
      </c>
      <c r="E3596" s="343" t="s">
        <v>3</v>
      </c>
      <c r="F3596" s="344" t="s">
        <v>3</v>
      </c>
      <c r="G3596" s="345" t="s">
        <v>3</v>
      </c>
      <c r="H3596" s="423" t="s">
        <v>3</v>
      </c>
      <c r="I3596" s="343" t="s">
        <v>3</v>
      </c>
      <c r="J3596" s="366">
        <f>SUM(J2689:J3595)</f>
        <v>25961.699999999975</v>
      </c>
      <c r="K3596" s="366">
        <f>SUM(K2689:K3595)</f>
        <v>21354.5</v>
      </c>
      <c r="L3596" s="366">
        <f>SUM(L2689:L3595)</f>
        <v>4607.1999999999816</v>
      </c>
      <c r="M3596" s="337"/>
    </row>
    <row r="3597" spans="1:13" s="71" customFormat="1" ht="26.4" customHeight="1">
      <c r="A3597" s="282">
        <v>1</v>
      </c>
      <c r="B3597" s="536" t="s">
        <v>12845</v>
      </c>
      <c r="C3597" s="335" t="s">
        <v>15</v>
      </c>
      <c r="D3597" s="333" t="s">
        <v>4497</v>
      </c>
      <c r="E3597" s="367" t="s">
        <v>4498</v>
      </c>
      <c r="F3597" s="334">
        <v>864</v>
      </c>
      <c r="G3597" s="311">
        <v>1999</v>
      </c>
      <c r="H3597" s="368" t="s">
        <v>1149</v>
      </c>
      <c r="I3597" s="313">
        <v>801.6</v>
      </c>
      <c r="J3597" s="314">
        <v>100.45</v>
      </c>
      <c r="K3597" s="314">
        <v>57.38223</v>
      </c>
      <c r="L3597" s="336">
        <f t="shared" ref="L3597:L3660" si="35">J3597-K3597</f>
        <v>43.067770000000003</v>
      </c>
      <c r="M3597" s="337"/>
    </row>
    <row r="3598" spans="1:13" s="71" customFormat="1" ht="26.4" customHeight="1">
      <c r="A3598" s="282">
        <v>2</v>
      </c>
      <c r="B3598" s="537"/>
      <c r="C3598" s="333" t="s">
        <v>15</v>
      </c>
      <c r="D3598" s="333" t="s">
        <v>4499</v>
      </c>
      <c r="E3598" s="367" t="s">
        <v>4500</v>
      </c>
      <c r="F3598" s="334">
        <v>118</v>
      </c>
      <c r="G3598" s="311">
        <v>1964</v>
      </c>
      <c r="H3598" s="368" t="s">
        <v>1149</v>
      </c>
      <c r="I3598" s="313">
        <v>179.9</v>
      </c>
      <c r="J3598" s="314">
        <v>5.9201800000000002</v>
      </c>
      <c r="K3598" s="314">
        <v>4.0423999999999998</v>
      </c>
      <c r="L3598" s="336">
        <f t="shared" si="35"/>
        <v>1.8777800000000004</v>
      </c>
      <c r="M3598" s="337"/>
    </row>
    <row r="3599" spans="1:13" s="71" customFormat="1" ht="26.4" customHeight="1">
      <c r="A3599" s="282">
        <v>3</v>
      </c>
      <c r="B3599" s="537"/>
      <c r="C3599" s="333" t="s">
        <v>15</v>
      </c>
      <c r="D3599" s="333" t="s">
        <v>4501</v>
      </c>
      <c r="E3599" s="367" t="s">
        <v>4502</v>
      </c>
      <c r="F3599" s="334">
        <v>1320</v>
      </c>
      <c r="G3599" s="311">
        <v>1978</v>
      </c>
      <c r="H3599" s="368" t="s">
        <v>1149</v>
      </c>
      <c r="I3599" s="313">
        <v>70.900000000000006</v>
      </c>
      <c r="J3599" s="314">
        <v>20.53</v>
      </c>
      <c r="K3599" s="314">
        <v>20.45185</v>
      </c>
      <c r="L3599" s="336">
        <f t="shared" si="35"/>
        <v>7.815000000000083E-2</v>
      </c>
      <c r="M3599" s="337"/>
    </row>
    <row r="3600" spans="1:13" s="71" customFormat="1" ht="26.4" customHeight="1">
      <c r="A3600" s="282">
        <v>4</v>
      </c>
      <c r="B3600" s="537"/>
      <c r="C3600" s="333" t="s">
        <v>15</v>
      </c>
      <c r="D3600" s="333" t="s">
        <v>4503</v>
      </c>
      <c r="E3600" s="367" t="s">
        <v>4504</v>
      </c>
      <c r="F3600" s="334">
        <v>1478</v>
      </c>
      <c r="G3600" s="311">
        <v>1981</v>
      </c>
      <c r="H3600" s="368" t="s">
        <v>1149</v>
      </c>
      <c r="I3600" s="313">
        <v>33.799999999999997</v>
      </c>
      <c r="J3600" s="314">
        <v>9.2629999999999999</v>
      </c>
      <c r="K3600" s="314">
        <v>9.0548500000000001</v>
      </c>
      <c r="L3600" s="336">
        <f t="shared" si="35"/>
        <v>0.20814999999999984</v>
      </c>
      <c r="M3600" s="337"/>
    </row>
    <row r="3601" spans="1:13" s="71" customFormat="1" ht="26.4" customHeight="1">
      <c r="A3601" s="282">
        <v>5</v>
      </c>
      <c r="B3601" s="537"/>
      <c r="C3601" s="333" t="s">
        <v>15</v>
      </c>
      <c r="D3601" s="333" t="s">
        <v>4505</v>
      </c>
      <c r="E3601" s="367" t="s">
        <v>4506</v>
      </c>
      <c r="F3601" s="334">
        <v>514</v>
      </c>
      <c r="G3601" s="311">
        <v>1996</v>
      </c>
      <c r="H3601" s="368" t="s">
        <v>1149</v>
      </c>
      <c r="I3601" s="313">
        <v>6.7</v>
      </c>
      <c r="J3601" s="314">
        <v>5.5170000000000003</v>
      </c>
      <c r="K3601" s="314">
        <v>5.4338499999999996</v>
      </c>
      <c r="L3601" s="336">
        <f t="shared" si="35"/>
        <v>8.3150000000000723E-2</v>
      </c>
      <c r="M3601" s="337"/>
    </row>
    <row r="3602" spans="1:13" s="71" customFormat="1" ht="26.4" customHeight="1">
      <c r="A3602" s="282">
        <v>6</v>
      </c>
      <c r="B3602" s="537"/>
      <c r="C3602" s="333" t="s">
        <v>15</v>
      </c>
      <c r="D3602" s="333" t="s">
        <v>4507</v>
      </c>
      <c r="E3602" s="367" t="s">
        <v>4508</v>
      </c>
      <c r="F3602" s="334">
        <v>121</v>
      </c>
      <c r="G3602" s="311">
        <v>1968</v>
      </c>
      <c r="H3602" s="368" t="s">
        <v>1149</v>
      </c>
      <c r="I3602" s="313">
        <v>148.69999999999999</v>
      </c>
      <c r="J3602" s="314">
        <v>21.684000000000001</v>
      </c>
      <c r="K3602" s="314">
        <v>21.407150000000001</v>
      </c>
      <c r="L3602" s="336">
        <f t="shared" si="35"/>
        <v>0.2768499999999996</v>
      </c>
      <c r="M3602" s="337"/>
    </row>
    <row r="3603" spans="1:13" s="71" customFormat="1" ht="26.4" customHeight="1">
      <c r="A3603" s="282">
        <v>7</v>
      </c>
      <c r="B3603" s="537"/>
      <c r="C3603" s="333" t="s">
        <v>15</v>
      </c>
      <c r="D3603" s="333" t="s">
        <v>4507</v>
      </c>
      <c r="E3603" s="367" t="s">
        <v>12634</v>
      </c>
      <c r="F3603" s="334">
        <v>230</v>
      </c>
      <c r="G3603" s="311">
        <v>1998</v>
      </c>
      <c r="H3603" s="368" t="s">
        <v>1136</v>
      </c>
      <c r="I3603" s="313">
        <v>148.69999999999999</v>
      </c>
      <c r="J3603" s="314">
        <v>756.65</v>
      </c>
      <c r="K3603" s="314">
        <v>511.79201</v>
      </c>
      <c r="L3603" s="336">
        <f t="shared" si="35"/>
        <v>244.85798999999997</v>
      </c>
      <c r="M3603" s="337"/>
    </row>
    <row r="3604" spans="1:13" s="71" customFormat="1" ht="26.4" customHeight="1">
      <c r="A3604" s="282">
        <v>8</v>
      </c>
      <c r="B3604" s="537"/>
      <c r="C3604" s="333" t="s">
        <v>15</v>
      </c>
      <c r="D3604" s="333" t="s">
        <v>4507</v>
      </c>
      <c r="E3604" s="367" t="s">
        <v>4509</v>
      </c>
      <c r="F3604" s="334">
        <v>231</v>
      </c>
      <c r="G3604" s="311">
        <v>1998</v>
      </c>
      <c r="H3604" s="368" t="s">
        <v>1149</v>
      </c>
      <c r="I3604" s="313">
        <v>148.69999999999999</v>
      </c>
      <c r="J3604" s="314">
        <v>208.221</v>
      </c>
      <c r="K3604" s="314">
        <v>204.92462</v>
      </c>
      <c r="L3604" s="336">
        <f t="shared" si="35"/>
        <v>3.2963799999999992</v>
      </c>
      <c r="M3604" s="337"/>
    </row>
    <row r="3605" spans="1:13" s="71" customFormat="1" ht="26.4" customHeight="1">
      <c r="A3605" s="282">
        <v>9</v>
      </c>
      <c r="B3605" s="537"/>
      <c r="C3605" s="333" t="s">
        <v>15</v>
      </c>
      <c r="D3605" s="333" t="s">
        <v>4510</v>
      </c>
      <c r="E3605" s="367" t="s">
        <v>4511</v>
      </c>
      <c r="F3605" s="334">
        <v>1697</v>
      </c>
      <c r="G3605" s="311">
        <v>1978</v>
      </c>
      <c r="H3605" s="368" t="s">
        <v>1149</v>
      </c>
      <c r="I3605" s="313">
        <v>15.7</v>
      </c>
      <c r="J3605" s="314">
        <v>11.916399999999999</v>
      </c>
      <c r="K3605" s="314">
        <v>11.783569999999999</v>
      </c>
      <c r="L3605" s="336">
        <f t="shared" si="35"/>
        <v>0.13283000000000023</v>
      </c>
      <c r="M3605" s="337"/>
    </row>
    <row r="3606" spans="1:13" s="71" customFormat="1" ht="26.4" customHeight="1">
      <c r="A3606" s="282">
        <v>10</v>
      </c>
      <c r="B3606" s="537"/>
      <c r="C3606" s="333" t="s">
        <v>15</v>
      </c>
      <c r="D3606" s="333" t="s">
        <v>4512</v>
      </c>
      <c r="E3606" s="367" t="s">
        <v>4513</v>
      </c>
      <c r="F3606" s="334">
        <v>1634</v>
      </c>
      <c r="G3606" s="311">
        <v>1985</v>
      </c>
      <c r="H3606" s="368" t="s">
        <v>1149</v>
      </c>
      <c r="I3606" s="313">
        <v>48</v>
      </c>
      <c r="J3606" s="314">
        <v>18.523399999999999</v>
      </c>
      <c r="K3606" s="314">
        <v>18.16525</v>
      </c>
      <c r="L3606" s="336">
        <f t="shared" si="35"/>
        <v>0.35814999999999841</v>
      </c>
      <c r="M3606" s="337"/>
    </row>
    <row r="3607" spans="1:13" s="71" customFormat="1" ht="26.4" customHeight="1">
      <c r="A3607" s="282">
        <v>11</v>
      </c>
      <c r="B3607" s="537"/>
      <c r="C3607" s="333" t="s">
        <v>15</v>
      </c>
      <c r="D3607" s="333" t="s">
        <v>4514</v>
      </c>
      <c r="E3607" s="367" t="s">
        <v>4515</v>
      </c>
      <c r="F3607" s="334">
        <v>587</v>
      </c>
      <c r="G3607" s="311">
        <v>1963</v>
      </c>
      <c r="H3607" s="368" t="s">
        <v>1149</v>
      </c>
      <c r="I3607" s="313">
        <v>44</v>
      </c>
      <c r="J3607" s="314">
        <v>3.55</v>
      </c>
      <c r="K3607" s="314">
        <v>3.4718399999999998</v>
      </c>
      <c r="L3607" s="336">
        <f t="shared" si="35"/>
        <v>7.8160000000000007E-2</v>
      </c>
      <c r="M3607" s="337"/>
    </row>
    <row r="3608" spans="1:13" s="71" customFormat="1" ht="26.4" customHeight="1">
      <c r="A3608" s="282">
        <v>12</v>
      </c>
      <c r="B3608" s="537"/>
      <c r="C3608" s="333" t="s">
        <v>15</v>
      </c>
      <c r="D3608" s="333" t="s">
        <v>4516</v>
      </c>
      <c r="E3608" s="367" t="s">
        <v>4517</v>
      </c>
      <c r="F3608" s="334">
        <v>296</v>
      </c>
      <c r="G3608" s="311">
        <v>1967</v>
      </c>
      <c r="H3608" s="368" t="s">
        <v>1149</v>
      </c>
      <c r="I3608" s="313">
        <v>27.7</v>
      </c>
      <c r="J3608" s="314">
        <v>33.520000000000003</v>
      </c>
      <c r="K3608" s="314">
        <v>33.10971</v>
      </c>
      <c r="L3608" s="336">
        <f t="shared" si="35"/>
        <v>0.41029000000000337</v>
      </c>
      <c r="M3608" s="337"/>
    </row>
    <row r="3609" spans="1:13" s="71" customFormat="1" ht="26.4" customHeight="1">
      <c r="A3609" s="282">
        <v>13</v>
      </c>
      <c r="B3609" s="537"/>
      <c r="C3609" s="333" t="s">
        <v>15</v>
      </c>
      <c r="D3609" s="333" t="s">
        <v>4518</v>
      </c>
      <c r="E3609" s="367" t="s">
        <v>13086</v>
      </c>
      <c r="F3609" s="334">
        <v>256</v>
      </c>
      <c r="G3609" s="311">
        <v>1960</v>
      </c>
      <c r="H3609" s="368" t="s">
        <v>1149</v>
      </c>
      <c r="I3609" s="313">
        <v>58.8</v>
      </c>
      <c r="J3609" s="314">
        <v>3.48272</v>
      </c>
      <c r="K3609" s="314">
        <v>3.2883</v>
      </c>
      <c r="L3609" s="336">
        <f t="shared" si="35"/>
        <v>0.19442000000000004</v>
      </c>
      <c r="M3609" s="337"/>
    </row>
    <row r="3610" spans="1:13" s="71" customFormat="1" ht="26.4" customHeight="1">
      <c r="A3610" s="282">
        <v>14</v>
      </c>
      <c r="B3610" s="537"/>
      <c r="C3610" s="333" t="s">
        <v>4519</v>
      </c>
      <c r="D3610" s="333" t="s">
        <v>4520</v>
      </c>
      <c r="E3610" s="367" t="s">
        <v>13087</v>
      </c>
      <c r="F3610" s="334">
        <v>674</v>
      </c>
      <c r="G3610" s="311">
        <v>2002</v>
      </c>
      <c r="H3610" s="368" t="s">
        <v>1149</v>
      </c>
      <c r="I3610" s="313">
        <v>279.39999999999998</v>
      </c>
      <c r="J3610" s="314">
        <v>16.95</v>
      </c>
      <c r="K3610" s="314">
        <v>16.63344</v>
      </c>
      <c r="L3610" s="336">
        <f t="shared" si="35"/>
        <v>0.31655999999999906</v>
      </c>
      <c r="M3610" s="337"/>
    </row>
    <row r="3611" spans="1:13" s="71" customFormat="1" ht="26.4" customHeight="1">
      <c r="A3611" s="282">
        <v>15</v>
      </c>
      <c r="B3611" s="537"/>
      <c r="C3611" s="333" t="s">
        <v>4519</v>
      </c>
      <c r="D3611" s="333" t="s">
        <v>4521</v>
      </c>
      <c r="E3611" s="367" t="s">
        <v>4522</v>
      </c>
      <c r="F3611" s="334">
        <v>622</v>
      </c>
      <c r="G3611" s="311">
        <v>1970</v>
      </c>
      <c r="H3611" s="368" t="s">
        <v>1149</v>
      </c>
      <c r="I3611" s="313">
        <v>227.4</v>
      </c>
      <c r="J3611" s="314">
        <v>242.39</v>
      </c>
      <c r="K3611" s="314">
        <v>241.99189999999999</v>
      </c>
      <c r="L3611" s="336">
        <f t="shared" si="35"/>
        <v>0.39809999999999945</v>
      </c>
      <c r="M3611" s="337"/>
    </row>
    <row r="3612" spans="1:13" s="71" customFormat="1" ht="26.4" customHeight="1">
      <c r="A3612" s="282">
        <v>16</v>
      </c>
      <c r="B3612" s="537"/>
      <c r="C3612" s="333" t="s">
        <v>4519</v>
      </c>
      <c r="D3612" s="333" t="s">
        <v>4523</v>
      </c>
      <c r="E3612" s="367" t="s">
        <v>4524</v>
      </c>
      <c r="F3612" s="334">
        <v>2083</v>
      </c>
      <c r="G3612" s="311">
        <v>1999</v>
      </c>
      <c r="H3612" s="368" t="s">
        <v>1149</v>
      </c>
      <c r="I3612" s="313">
        <v>17</v>
      </c>
      <c r="J3612" s="314">
        <v>2.69</v>
      </c>
      <c r="K3612" s="314">
        <v>1.77915</v>
      </c>
      <c r="L3612" s="336">
        <f t="shared" si="35"/>
        <v>0.91084999999999994</v>
      </c>
      <c r="M3612" s="337"/>
    </row>
    <row r="3613" spans="1:13" s="71" customFormat="1" ht="26.4" customHeight="1">
      <c r="A3613" s="282">
        <v>17</v>
      </c>
      <c r="B3613" s="537"/>
      <c r="C3613" s="333" t="s">
        <v>4519</v>
      </c>
      <c r="D3613" s="333" t="s">
        <v>4525</v>
      </c>
      <c r="E3613" s="260" t="s">
        <v>4526</v>
      </c>
      <c r="F3613" s="334">
        <v>141</v>
      </c>
      <c r="G3613" s="311">
        <v>2008</v>
      </c>
      <c r="H3613" s="368" t="s">
        <v>3</v>
      </c>
      <c r="I3613" s="485" t="s">
        <v>3</v>
      </c>
      <c r="J3613" s="314">
        <v>5.3633800000000003</v>
      </c>
      <c r="K3613" s="314">
        <v>2.6149200000000001</v>
      </c>
      <c r="L3613" s="336">
        <f t="shared" si="35"/>
        <v>2.7484600000000001</v>
      </c>
      <c r="M3613" s="337"/>
    </row>
    <row r="3614" spans="1:13" s="71" customFormat="1" ht="26.4" customHeight="1">
      <c r="A3614" s="282">
        <v>18</v>
      </c>
      <c r="B3614" s="537"/>
      <c r="C3614" s="333" t="s">
        <v>4519</v>
      </c>
      <c r="D3614" s="333" t="s">
        <v>4525</v>
      </c>
      <c r="E3614" s="260" t="s">
        <v>4527</v>
      </c>
      <c r="F3614" s="334">
        <v>145</v>
      </c>
      <c r="G3614" s="311">
        <v>1992</v>
      </c>
      <c r="H3614" s="368" t="s">
        <v>3</v>
      </c>
      <c r="I3614" s="485" t="s">
        <v>3</v>
      </c>
      <c r="J3614" s="314">
        <v>1.5452600000000001</v>
      </c>
      <c r="K3614" s="314">
        <v>1.5452600000000001</v>
      </c>
      <c r="L3614" s="336">
        <f t="shared" si="35"/>
        <v>0</v>
      </c>
      <c r="M3614" s="337"/>
    </row>
    <row r="3615" spans="1:13" s="71" customFormat="1" ht="26.4" customHeight="1">
      <c r="A3615" s="282">
        <v>19</v>
      </c>
      <c r="B3615" s="537"/>
      <c r="C3615" s="333" t="s">
        <v>4519</v>
      </c>
      <c r="D3615" s="333" t="s">
        <v>4525</v>
      </c>
      <c r="E3615" s="260" t="s">
        <v>4527</v>
      </c>
      <c r="F3615" s="334">
        <v>146</v>
      </c>
      <c r="G3615" s="311">
        <v>1992</v>
      </c>
      <c r="H3615" s="368" t="s">
        <v>3</v>
      </c>
      <c r="I3615" s="485" t="s">
        <v>3</v>
      </c>
      <c r="J3615" s="314">
        <v>0.95235999999999998</v>
      </c>
      <c r="K3615" s="314">
        <v>0.95235999999999998</v>
      </c>
      <c r="L3615" s="336">
        <f t="shared" si="35"/>
        <v>0</v>
      </c>
      <c r="M3615" s="337"/>
    </row>
    <row r="3616" spans="1:13" s="71" customFormat="1" ht="26.4" customHeight="1">
      <c r="A3616" s="282">
        <v>20</v>
      </c>
      <c r="B3616" s="537"/>
      <c r="C3616" s="333" t="s">
        <v>4519</v>
      </c>
      <c r="D3616" s="333" t="s">
        <v>4525</v>
      </c>
      <c r="E3616" s="260" t="s">
        <v>4528</v>
      </c>
      <c r="F3616" s="334">
        <v>161</v>
      </c>
      <c r="G3616" s="311">
        <v>1992</v>
      </c>
      <c r="H3616" s="368" t="s">
        <v>1136</v>
      </c>
      <c r="I3616" s="313" t="s">
        <v>3</v>
      </c>
      <c r="J3616" s="314">
        <v>1.1599999999999999</v>
      </c>
      <c r="K3616" s="314">
        <v>1.1100300000000001</v>
      </c>
      <c r="L3616" s="336">
        <f t="shared" si="35"/>
        <v>4.9969999999999848E-2</v>
      </c>
      <c r="M3616" s="337"/>
    </row>
    <row r="3617" spans="1:13" s="71" customFormat="1" ht="26.4" customHeight="1">
      <c r="A3617" s="282">
        <v>21</v>
      </c>
      <c r="B3617" s="537"/>
      <c r="C3617" s="333" t="s">
        <v>4519</v>
      </c>
      <c r="D3617" s="333" t="s">
        <v>4525</v>
      </c>
      <c r="E3617" s="367" t="s">
        <v>13088</v>
      </c>
      <c r="F3617" s="334">
        <v>373</v>
      </c>
      <c r="G3617" s="311">
        <v>1969</v>
      </c>
      <c r="H3617" s="368" t="s">
        <v>1149</v>
      </c>
      <c r="I3617" s="313">
        <v>391.08</v>
      </c>
      <c r="J3617" s="314">
        <v>92.790999999999997</v>
      </c>
      <c r="K3617" s="314">
        <v>92.62415</v>
      </c>
      <c r="L3617" s="336">
        <f t="shared" si="35"/>
        <v>0.16684999999999661</v>
      </c>
      <c r="M3617" s="337"/>
    </row>
    <row r="3618" spans="1:13" s="71" customFormat="1" ht="26.4" customHeight="1">
      <c r="A3618" s="282">
        <v>22</v>
      </c>
      <c r="B3618" s="537"/>
      <c r="C3618" s="333" t="s">
        <v>4519</v>
      </c>
      <c r="D3618" s="333" t="s">
        <v>4525</v>
      </c>
      <c r="E3618" s="367" t="s">
        <v>4529</v>
      </c>
      <c r="F3618" s="334">
        <v>1452</v>
      </c>
      <c r="G3618" s="311">
        <v>1980</v>
      </c>
      <c r="H3618" s="368" t="s">
        <v>1149</v>
      </c>
      <c r="I3618" s="313">
        <v>167</v>
      </c>
      <c r="J3618" s="314">
        <v>152.88900000000001</v>
      </c>
      <c r="K3618" s="314">
        <v>152.88900000000001</v>
      </c>
      <c r="L3618" s="336">
        <f t="shared" si="35"/>
        <v>0</v>
      </c>
      <c r="M3618" s="337"/>
    </row>
    <row r="3619" spans="1:13" s="71" customFormat="1" ht="26.4" customHeight="1">
      <c r="A3619" s="282">
        <v>23</v>
      </c>
      <c r="B3619" s="537"/>
      <c r="C3619" s="333" t="s">
        <v>4519</v>
      </c>
      <c r="D3619" s="333" t="s">
        <v>4525</v>
      </c>
      <c r="E3619" s="367" t="s">
        <v>4530</v>
      </c>
      <c r="F3619" s="334">
        <v>351</v>
      </c>
      <c r="G3619" s="311">
        <v>1969</v>
      </c>
      <c r="H3619" s="368" t="s">
        <v>1149</v>
      </c>
      <c r="I3619" s="313">
        <v>132</v>
      </c>
      <c r="J3619" s="314">
        <v>50.244</v>
      </c>
      <c r="K3619" s="314">
        <v>50.160850000000003</v>
      </c>
      <c r="L3619" s="336">
        <f t="shared" si="35"/>
        <v>8.3149999999996282E-2</v>
      </c>
      <c r="M3619" s="337"/>
    </row>
    <row r="3620" spans="1:13" s="71" customFormat="1" ht="26.4" customHeight="1">
      <c r="A3620" s="282">
        <v>24</v>
      </c>
      <c r="B3620" s="537"/>
      <c r="C3620" s="333" t="s">
        <v>4519</v>
      </c>
      <c r="D3620" s="333" t="s">
        <v>4525</v>
      </c>
      <c r="E3620" s="367" t="s">
        <v>4531</v>
      </c>
      <c r="F3620" s="334">
        <v>352</v>
      </c>
      <c r="G3620" s="311">
        <v>1969</v>
      </c>
      <c r="H3620" s="368" t="s">
        <v>1149</v>
      </c>
      <c r="I3620" s="313">
        <v>6575.99</v>
      </c>
      <c r="J3620" s="314">
        <v>646.13486</v>
      </c>
      <c r="K3620" s="314">
        <v>487.80511999999999</v>
      </c>
      <c r="L3620" s="336">
        <f t="shared" si="35"/>
        <v>158.32974000000002</v>
      </c>
      <c r="M3620" s="337"/>
    </row>
    <row r="3621" spans="1:13" s="71" customFormat="1" ht="26.4" customHeight="1">
      <c r="A3621" s="282">
        <v>25</v>
      </c>
      <c r="B3621" s="537"/>
      <c r="C3621" s="333" t="s">
        <v>4519</v>
      </c>
      <c r="D3621" s="333" t="s">
        <v>4525</v>
      </c>
      <c r="E3621" s="367" t="s">
        <v>4532</v>
      </c>
      <c r="F3621" s="334">
        <v>353</v>
      </c>
      <c r="G3621" s="311">
        <v>1969</v>
      </c>
      <c r="H3621" s="368" t="s">
        <v>1149</v>
      </c>
      <c r="I3621" s="313">
        <v>489</v>
      </c>
      <c r="J3621" s="314">
        <v>549.50127999999995</v>
      </c>
      <c r="K3621" s="314">
        <v>336.5847</v>
      </c>
      <c r="L3621" s="336">
        <f t="shared" si="35"/>
        <v>212.91657999999995</v>
      </c>
      <c r="M3621" s="337"/>
    </row>
    <row r="3622" spans="1:13" s="71" customFormat="1" ht="26.4" customHeight="1">
      <c r="A3622" s="282">
        <v>26</v>
      </c>
      <c r="B3622" s="537"/>
      <c r="C3622" s="333" t="s">
        <v>4519</v>
      </c>
      <c r="D3622" s="333" t="s">
        <v>4525</v>
      </c>
      <c r="E3622" s="367" t="s">
        <v>4533</v>
      </c>
      <c r="F3622" s="334">
        <v>354</v>
      </c>
      <c r="G3622" s="311">
        <v>1969</v>
      </c>
      <c r="H3622" s="368" t="s">
        <v>1149</v>
      </c>
      <c r="I3622" s="313">
        <v>489</v>
      </c>
      <c r="J3622" s="314">
        <v>137.27500000000001</v>
      </c>
      <c r="K3622" s="314">
        <v>111.65346</v>
      </c>
      <c r="L3622" s="336">
        <f t="shared" si="35"/>
        <v>25.62154000000001</v>
      </c>
      <c r="M3622" s="337"/>
    </row>
    <row r="3623" spans="1:13" s="71" customFormat="1" ht="26.4" customHeight="1">
      <c r="A3623" s="282">
        <v>27</v>
      </c>
      <c r="B3623" s="537"/>
      <c r="C3623" s="333" t="s">
        <v>4519</v>
      </c>
      <c r="D3623" s="333" t="s">
        <v>4525</v>
      </c>
      <c r="E3623" s="367" t="s">
        <v>4532</v>
      </c>
      <c r="F3623" s="334">
        <v>355</v>
      </c>
      <c r="G3623" s="311">
        <v>1969</v>
      </c>
      <c r="H3623" s="368" t="s">
        <v>1149</v>
      </c>
      <c r="I3623" s="313">
        <v>489</v>
      </c>
      <c r="J3623" s="314">
        <v>18.395800000000001</v>
      </c>
      <c r="K3623" s="314">
        <v>15.503019999999999</v>
      </c>
      <c r="L3623" s="336">
        <f t="shared" si="35"/>
        <v>2.8927800000000019</v>
      </c>
      <c r="M3623" s="337"/>
    </row>
    <row r="3624" spans="1:13" s="71" customFormat="1" ht="26.4" customHeight="1">
      <c r="A3624" s="282">
        <v>28</v>
      </c>
      <c r="B3624" s="537"/>
      <c r="C3624" s="333" t="s">
        <v>4519</v>
      </c>
      <c r="D3624" s="333" t="s">
        <v>4525</v>
      </c>
      <c r="E3624" s="367" t="s">
        <v>4534</v>
      </c>
      <c r="F3624" s="334">
        <v>356</v>
      </c>
      <c r="G3624" s="311">
        <v>1969</v>
      </c>
      <c r="H3624" s="368" t="s">
        <v>1149</v>
      </c>
      <c r="I3624" s="313">
        <v>532</v>
      </c>
      <c r="J3624" s="314">
        <v>37.796340000000001</v>
      </c>
      <c r="K3624" s="314">
        <v>37.77131</v>
      </c>
      <c r="L3624" s="336">
        <f t="shared" si="35"/>
        <v>2.5030000000000996E-2</v>
      </c>
      <c r="M3624" s="337"/>
    </row>
    <row r="3625" spans="1:13" s="71" customFormat="1" ht="26.4" customHeight="1">
      <c r="A3625" s="282">
        <v>29</v>
      </c>
      <c r="B3625" s="537"/>
      <c r="C3625" s="333" t="s">
        <v>4519</v>
      </c>
      <c r="D3625" s="333" t="s">
        <v>4525</v>
      </c>
      <c r="E3625" s="367" t="s">
        <v>4535</v>
      </c>
      <c r="F3625" s="334">
        <v>357</v>
      </c>
      <c r="G3625" s="311">
        <v>1969</v>
      </c>
      <c r="H3625" s="368" t="s">
        <v>1149</v>
      </c>
      <c r="I3625" s="313">
        <v>318.81</v>
      </c>
      <c r="J3625" s="314">
        <v>64.849000000000004</v>
      </c>
      <c r="K3625" s="314">
        <v>64.682149999999993</v>
      </c>
      <c r="L3625" s="336">
        <f t="shared" si="35"/>
        <v>0.16685000000001082</v>
      </c>
      <c r="M3625" s="337"/>
    </row>
    <row r="3626" spans="1:13" s="71" customFormat="1" ht="26.4" customHeight="1">
      <c r="A3626" s="282">
        <v>30</v>
      </c>
      <c r="B3626" s="537"/>
      <c r="C3626" s="333" t="s">
        <v>4519</v>
      </c>
      <c r="D3626" s="333" t="s">
        <v>4525</v>
      </c>
      <c r="E3626" s="367" t="s">
        <v>2690</v>
      </c>
      <c r="F3626" s="334">
        <v>358</v>
      </c>
      <c r="G3626" s="311">
        <v>1969</v>
      </c>
      <c r="H3626" s="368" t="s">
        <v>1136</v>
      </c>
      <c r="I3626" s="313">
        <v>212.3</v>
      </c>
      <c r="J3626" s="314">
        <v>73.665840000000003</v>
      </c>
      <c r="K3626" s="314">
        <v>63.108379999999997</v>
      </c>
      <c r="L3626" s="336">
        <f t="shared" si="35"/>
        <v>10.557460000000006</v>
      </c>
      <c r="M3626" s="337"/>
    </row>
    <row r="3627" spans="1:13" s="71" customFormat="1" ht="26.4" customHeight="1">
      <c r="A3627" s="282">
        <v>31</v>
      </c>
      <c r="B3627" s="537"/>
      <c r="C3627" s="333" t="s">
        <v>4519</v>
      </c>
      <c r="D3627" s="333" t="s">
        <v>4525</v>
      </c>
      <c r="E3627" s="260" t="s">
        <v>4536</v>
      </c>
      <c r="F3627" s="310">
        <v>361</v>
      </c>
      <c r="G3627" s="445">
        <v>1969</v>
      </c>
      <c r="H3627" s="368" t="s">
        <v>1136</v>
      </c>
      <c r="I3627" s="313">
        <v>100</v>
      </c>
      <c r="J3627" s="314">
        <v>8.5510000000000002</v>
      </c>
      <c r="K3627" s="314">
        <v>6.0354299999999999</v>
      </c>
      <c r="L3627" s="336">
        <f t="shared" si="35"/>
        <v>2.5155700000000003</v>
      </c>
      <c r="M3627" s="337"/>
    </row>
    <row r="3628" spans="1:13" s="71" customFormat="1" ht="26.4" customHeight="1">
      <c r="A3628" s="282">
        <v>32</v>
      </c>
      <c r="B3628" s="537"/>
      <c r="C3628" s="333" t="s">
        <v>4519</v>
      </c>
      <c r="D3628" s="333" t="s">
        <v>4525</v>
      </c>
      <c r="E3628" s="367" t="s">
        <v>4537</v>
      </c>
      <c r="F3628" s="334">
        <v>363</v>
      </c>
      <c r="G3628" s="311">
        <v>1969</v>
      </c>
      <c r="H3628" s="368" t="s">
        <v>1136</v>
      </c>
      <c r="I3628" s="313">
        <v>172.2</v>
      </c>
      <c r="J3628" s="314">
        <v>12.946</v>
      </c>
      <c r="K3628" s="314">
        <v>10.24869</v>
      </c>
      <c r="L3628" s="336">
        <f t="shared" si="35"/>
        <v>2.6973099999999999</v>
      </c>
      <c r="M3628" s="337"/>
    </row>
    <row r="3629" spans="1:13" s="71" customFormat="1" ht="26.4" customHeight="1">
      <c r="A3629" s="282">
        <v>33</v>
      </c>
      <c r="B3629" s="537"/>
      <c r="C3629" s="333" t="s">
        <v>4519</v>
      </c>
      <c r="D3629" s="333" t="s">
        <v>4525</v>
      </c>
      <c r="E3629" s="367" t="s">
        <v>2690</v>
      </c>
      <c r="F3629" s="334">
        <v>364</v>
      </c>
      <c r="G3629" s="311">
        <v>1969</v>
      </c>
      <c r="H3629" s="368" t="s">
        <v>1136</v>
      </c>
      <c r="I3629" s="313">
        <v>213.32</v>
      </c>
      <c r="J3629" s="314">
        <v>3.93499</v>
      </c>
      <c r="K3629" s="314">
        <v>3.88489</v>
      </c>
      <c r="L3629" s="336">
        <f t="shared" si="35"/>
        <v>5.0100000000000033E-2</v>
      </c>
      <c r="M3629" s="337"/>
    </row>
    <row r="3630" spans="1:13" s="71" customFormat="1" ht="26.4" customHeight="1">
      <c r="A3630" s="282">
        <v>34</v>
      </c>
      <c r="B3630" s="537"/>
      <c r="C3630" s="333" t="s">
        <v>4519</v>
      </c>
      <c r="D3630" s="333" t="s">
        <v>4525</v>
      </c>
      <c r="E3630" s="367" t="s">
        <v>2690</v>
      </c>
      <c r="F3630" s="334">
        <v>807</v>
      </c>
      <c r="G3630" s="311">
        <v>1969</v>
      </c>
      <c r="H3630" s="368" t="s">
        <v>1136</v>
      </c>
      <c r="I3630" s="313">
        <v>211.63</v>
      </c>
      <c r="J3630" s="314">
        <v>2.5870000000000002</v>
      </c>
      <c r="K3630" s="314">
        <v>2.5870000000000002</v>
      </c>
      <c r="L3630" s="336">
        <f t="shared" si="35"/>
        <v>0</v>
      </c>
      <c r="M3630" s="337"/>
    </row>
    <row r="3631" spans="1:13" s="71" customFormat="1" ht="26.4" customHeight="1">
      <c r="A3631" s="282">
        <v>35</v>
      </c>
      <c r="B3631" s="537"/>
      <c r="C3631" s="333" t="s">
        <v>4519</v>
      </c>
      <c r="D3631" s="333" t="s">
        <v>4525</v>
      </c>
      <c r="E3631" s="367" t="s">
        <v>2690</v>
      </c>
      <c r="F3631" s="334">
        <v>808</v>
      </c>
      <c r="G3631" s="311">
        <v>1969</v>
      </c>
      <c r="H3631" s="368" t="s">
        <v>1136</v>
      </c>
      <c r="I3631" s="313">
        <v>215.56</v>
      </c>
      <c r="J3631" s="314">
        <v>1.587</v>
      </c>
      <c r="K3631" s="314">
        <v>1.4870000000000001</v>
      </c>
      <c r="L3631" s="336">
        <f t="shared" si="35"/>
        <v>9.9999999999999867E-2</v>
      </c>
      <c r="M3631" s="337"/>
    </row>
    <row r="3632" spans="1:13" s="71" customFormat="1" ht="26.4" customHeight="1">
      <c r="A3632" s="282">
        <v>36</v>
      </c>
      <c r="B3632" s="537"/>
      <c r="C3632" s="333" t="s">
        <v>4519</v>
      </c>
      <c r="D3632" s="333" t="s">
        <v>4525</v>
      </c>
      <c r="E3632" s="367" t="s">
        <v>13089</v>
      </c>
      <c r="F3632" s="334">
        <v>365</v>
      </c>
      <c r="G3632" s="311">
        <v>1969</v>
      </c>
      <c r="H3632" s="368" t="s">
        <v>1136</v>
      </c>
      <c r="I3632" s="313" t="s">
        <v>3</v>
      </c>
      <c r="J3632" s="314">
        <v>1.97</v>
      </c>
      <c r="K3632" s="314">
        <v>1.97</v>
      </c>
      <c r="L3632" s="336">
        <f t="shared" si="35"/>
        <v>0</v>
      </c>
      <c r="M3632" s="337"/>
    </row>
    <row r="3633" spans="1:13" s="71" customFormat="1" ht="26.4" customHeight="1">
      <c r="A3633" s="282">
        <v>37</v>
      </c>
      <c r="B3633" s="537"/>
      <c r="C3633" s="333" t="s">
        <v>4519</v>
      </c>
      <c r="D3633" s="333" t="s">
        <v>4525</v>
      </c>
      <c r="E3633" s="367" t="s">
        <v>4538</v>
      </c>
      <c r="F3633" s="334">
        <v>367</v>
      </c>
      <c r="G3633" s="311">
        <v>1969</v>
      </c>
      <c r="H3633" s="368" t="s">
        <v>1149</v>
      </c>
      <c r="I3633" s="313">
        <v>41.78</v>
      </c>
      <c r="J3633" s="314">
        <v>3.9154</v>
      </c>
      <c r="K3633" s="314">
        <v>3.9154</v>
      </c>
      <c r="L3633" s="336">
        <f t="shared" si="35"/>
        <v>0</v>
      </c>
      <c r="M3633" s="337"/>
    </row>
    <row r="3634" spans="1:13" s="71" customFormat="1" ht="26.4" customHeight="1">
      <c r="A3634" s="282">
        <v>38</v>
      </c>
      <c r="B3634" s="537"/>
      <c r="C3634" s="333" t="s">
        <v>4519</v>
      </c>
      <c r="D3634" s="333" t="s">
        <v>4525</v>
      </c>
      <c r="E3634" s="367" t="s">
        <v>4539</v>
      </c>
      <c r="F3634" s="334">
        <v>368</v>
      </c>
      <c r="G3634" s="311">
        <v>1969</v>
      </c>
      <c r="H3634" s="368" t="s">
        <v>1149</v>
      </c>
      <c r="I3634" s="313">
        <v>25006.35</v>
      </c>
      <c r="J3634" s="314">
        <v>78.34</v>
      </c>
      <c r="K3634" s="314">
        <v>78.34</v>
      </c>
      <c r="L3634" s="336">
        <f t="shared" si="35"/>
        <v>0</v>
      </c>
      <c r="M3634" s="337"/>
    </row>
    <row r="3635" spans="1:13" s="71" customFormat="1" ht="26.4" customHeight="1">
      <c r="A3635" s="282">
        <v>39</v>
      </c>
      <c r="B3635" s="537"/>
      <c r="C3635" s="333" t="s">
        <v>4519</v>
      </c>
      <c r="D3635" s="333" t="s">
        <v>4525</v>
      </c>
      <c r="E3635" s="367" t="s">
        <v>4540</v>
      </c>
      <c r="F3635" s="334">
        <v>371</v>
      </c>
      <c r="G3635" s="311">
        <v>1969</v>
      </c>
      <c r="H3635" s="368" t="s">
        <v>2658</v>
      </c>
      <c r="I3635" s="313">
        <v>220</v>
      </c>
      <c r="J3635" s="314">
        <v>35.389000000000003</v>
      </c>
      <c r="K3635" s="314">
        <v>35.389000000000003</v>
      </c>
      <c r="L3635" s="336">
        <f t="shared" si="35"/>
        <v>0</v>
      </c>
      <c r="M3635" s="337"/>
    </row>
    <row r="3636" spans="1:13" s="71" customFormat="1" ht="26.4" customHeight="1">
      <c r="A3636" s="282">
        <v>40</v>
      </c>
      <c r="B3636" s="537"/>
      <c r="C3636" s="333" t="s">
        <v>4519</v>
      </c>
      <c r="D3636" s="333" t="s">
        <v>4525</v>
      </c>
      <c r="E3636" s="260" t="s">
        <v>4541</v>
      </c>
      <c r="F3636" s="334">
        <v>375</v>
      </c>
      <c r="G3636" s="311">
        <v>1969</v>
      </c>
      <c r="H3636" s="369" t="s">
        <v>3243</v>
      </c>
      <c r="I3636" s="313" t="s">
        <v>3</v>
      </c>
      <c r="J3636" s="314">
        <v>15.872999999999999</v>
      </c>
      <c r="K3636" s="314">
        <v>13.61908</v>
      </c>
      <c r="L3636" s="336">
        <f t="shared" si="35"/>
        <v>2.253919999999999</v>
      </c>
      <c r="M3636" s="337"/>
    </row>
    <row r="3637" spans="1:13" s="71" customFormat="1" ht="26.4" customHeight="1">
      <c r="A3637" s="282">
        <v>41</v>
      </c>
      <c r="B3637" s="537"/>
      <c r="C3637" s="333" t="s">
        <v>4519</v>
      </c>
      <c r="D3637" s="333" t="s">
        <v>4525</v>
      </c>
      <c r="E3637" s="260" t="s">
        <v>4542</v>
      </c>
      <c r="F3637" s="334">
        <v>376</v>
      </c>
      <c r="G3637" s="311">
        <v>1969</v>
      </c>
      <c r="H3637" s="369" t="s">
        <v>3243</v>
      </c>
      <c r="I3637" s="313" t="s">
        <v>3</v>
      </c>
      <c r="J3637" s="314">
        <v>27.146000000000001</v>
      </c>
      <c r="K3637" s="314">
        <v>19.698119999999999</v>
      </c>
      <c r="L3637" s="336">
        <f t="shared" si="35"/>
        <v>7.4478800000000014</v>
      </c>
      <c r="M3637" s="337"/>
    </row>
    <row r="3638" spans="1:13" s="71" customFormat="1" ht="26.4" customHeight="1">
      <c r="A3638" s="282">
        <v>42</v>
      </c>
      <c r="B3638" s="537"/>
      <c r="C3638" s="333" t="s">
        <v>4519</v>
      </c>
      <c r="D3638" s="333" t="s">
        <v>4525</v>
      </c>
      <c r="E3638" s="260" t="s">
        <v>13090</v>
      </c>
      <c r="F3638" s="334">
        <v>379</v>
      </c>
      <c r="G3638" s="311">
        <v>1969</v>
      </c>
      <c r="H3638" s="369" t="s">
        <v>2658</v>
      </c>
      <c r="I3638" s="313">
        <v>1050</v>
      </c>
      <c r="J3638" s="314">
        <v>21.83522</v>
      </c>
      <c r="K3638" s="314">
        <v>21.760249999999999</v>
      </c>
      <c r="L3638" s="336">
        <f t="shared" si="35"/>
        <v>7.4970000000000425E-2</v>
      </c>
      <c r="M3638" s="337"/>
    </row>
    <row r="3639" spans="1:13" s="71" customFormat="1" ht="26.4" customHeight="1">
      <c r="A3639" s="282">
        <v>43</v>
      </c>
      <c r="B3639" s="537"/>
      <c r="C3639" s="333" t="s">
        <v>4519</v>
      </c>
      <c r="D3639" s="333" t="s">
        <v>4525</v>
      </c>
      <c r="E3639" s="260" t="s">
        <v>4543</v>
      </c>
      <c r="F3639" s="334">
        <v>380</v>
      </c>
      <c r="G3639" s="311">
        <v>1969</v>
      </c>
      <c r="H3639" s="369" t="s">
        <v>2658</v>
      </c>
      <c r="I3639" s="313">
        <v>20</v>
      </c>
      <c r="J3639" s="314">
        <v>14.707800000000001</v>
      </c>
      <c r="K3639" s="314">
        <v>14.682779999999999</v>
      </c>
      <c r="L3639" s="336">
        <f t="shared" si="35"/>
        <v>2.5020000000001374E-2</v>
      </c>
      <c r="M3639" s="337"/>
    </row>
    <row r="3640" spans="1:13" s="71" customFormat="1" ht="26.4" customHeight="1">
      <c r="A3640" s="282">
        <v>44</v>
      </c>
      <c r="B3640" s="537"/>
      <c r="C3640" s="333" t="s">
        <v>4519</v>
      </c>
      <c r="D3640" s="333" t="s">
        <v>4525</v>
      </c>
      <c r="E3640" s="260" t="s">
        <v>4544</v>
      </c>
      <c r="F3640" s="334">
        <v>382</v>
      </c>
      <c r="G3640" s="311">
        <v>1969</v>
      </c>
      <c r="H3640" s="369" t="s">
        <v>3243</v>
      </c>
      <c r="I3640" s="313" t="s">
        <v>3243</v>
      </c>
      <c r="J3640" s="314">
        <v>108.902</v>
      </c>
      <c r="K3640" s="314">
        <v>101.56479</v>
      </c>
      <c r="L3640" s="336">
        <f t="shared" si="35"/>
        <v>7.3372099999999989</v>
      </c>
      <c r="M3640" s="337"/>
    </row>
    <row r="3641" spans="1:13" s="71" customFormat="1" ht="26.4" customHeight="1">
      <c r="A3641" s="282">
        <v>45</v>
      </c>
      <c r="B3641" s="537"/>
      <c r="C3641" s="333" t="s">
        <v>4519</v>
      </c>
      <c r="D3641" s="333" t="s">
        <v>4525</v>
      </c>
      <c r="E3641" s="260" t="s">
        <v>4483</v>
      </c>
      <c r="F3641" s="334">
        <v>383</v>
      </c>
      <c r="G3641" s="311">
        <v>1969</v>
      </c>
      <c r="H3641" s="369" t="s">
        <v>3243</v>
      </c>
      <c r="I3641" s="313" t="s">
        <v>3243</v>
      </c>
      <c r="J3641" s="314">
        <v>97.347999999999999</v>
      </c>
      <c r="K3641" s="314">
        <v>77.347880000000004</v>
      </c>
      <c r="L3641" s="336">
        <f t="shared" si="35"/>
        <v>20.000119999999995</v>
      </c>
      <c r="M3641" s="337"/>
    </row>
    <row r="3642" spans="1:13" s="71" customFormat="1" ht="26.4" customHeight="1">
      <c r="A3642" s="282">
        <v>46</v>
      </c>
      <c r="B3642" s="537"/>
      <c r="C3642" s="333" t="s">
        <v>4519</v>
      </c>
      <c r="D3642" s="333" t="s">
        <v>4525</v>
      </c>
      <c r="E3642" s="260" t="s">
        <v>4545</v>
      </c>
      <c r="F3642" s="334">
        <v>385</v>
      </c>
      <c r="G3642" s="311">
        <v>1969</v>
      </c>
      <c r="H3642" s="369" t="s">
        <v>3243</v>
      </c>
      <c r="I3642" s="313" t="s">
        <v>3243</v>
      </c>
      <c r="J3642" s="314">
        <v>34.594929999999998</v>
      </c>
      <c r="K3642" s="314">
        <v>33.797730000000001</v>
      </c>
      <c r="L3642" s="336">
        <f t="shared" si="35"/>
        <v>0.79719999999999658</v>
      </c>
      <c r="M3642" s="337"/>
    </row>
    <row r="3643" spans="1:13" s="71" customFormat="1" ht="26.4" customHeight="1">
      <c r="A3643" s="282">
        <v>47</v>
      </c>
      <c r="B3643" s="537"/>
      <c r="C3643" s="333" t="s">
        <v>4519</v>
      </c>
      <c r="D3643" s="333" t="s">
        <v>4525</v>
      </c>
      <c r="E3643" s="367" t="s">
        <v>4546</v>
      </c>
      <c r="F3643" s="334">
        <v>509</v>
      </c>
      <c r="G3643" s="311">
        <v>1969</v>
      </c>
      <c r="H3643" s="369" t="s">
        <v>3243</v>
      </c>
      <c r="I3643" s="313" t="s">
        <v>3</v>
      </c>
      <c r="J3643" s="314">
        <v>0.88336000000000003</v>
      </c>
      <c r="K3643" s="314">
        <v>0.85833000000000004</v>
      </c>
      <c r="L3643" s="336">
        <f t="shared" si="35"/>
        <v>2.5029999999999997E-2</v>
      </c>
      <c r="M3643" s="337"/>
    </row>
    <row r="3644" spans="1:13" s="71" customFormat="1" ht="26.4" customHeight="1">
      <c r="A3644" s="282">
        <v>48</v>
      </c>
      <c r="B3644" s="537"/>
      <c r="C3644" s="333" t="s">
        <v>4519</v>
      </c>
      <c r="D3644" s="333" t="s">
        <v>4525</v>
      </c>
      <c r="E3644" s="367" t="s">
        <v>4546</v>
      </c>
      <c r="F3644" s="334">
        <v>829</v>
      </c>
      <c r="G3644" s="311">
        <v>1969</v>
      </c>
      <c r="H3644" s="369" t="s">
        <v>3243</v>
      </c>
      <c r="I3644" s="313" t="s">
        <v>3</v>
      </c>
      <c r="J3644" s="314">
        <v>1.0833600000000001</v>
      </c>
      <c r="K3644" s="314">
        <v>1.0083599999999999</v>
      </c>
      <c r="L3644" s="336">
        <f t="shared" si="35"/>
        <v>7.5000000000000178E-2</v>
      </c>
      <c r="M3644" s="337"/>
    </row>
    <row r="3645" spans="1:13" s="71" customFormat="1" ht="26.4" customHeight="1">
      <c r="A3645" s="282">
        <v>49</v>
      </c>
      <c r="B3645" s="537"/>
      <c r="C3645" s="333" t="s">
        <v>4519</v>
      </c>
      <c r="D3645" s="333" t="s">
        <v>4525</v>
      </c>
      <c r="E3645" s="367" t="s">
        <v>4546</v>
      </c>
      <c r="F3645" s="334">
        <v>830</v>
      </c>
      <c r="G3645" s="311">
        <v>1969</v>
      </c>
      <c r="H3645" s="369" t="s">
        <v>3243</v>
      </c>
      <c r="I3645" s="313" t="s">
        <v>3</v>
      </c>
      <c r="J3645" s="314">
        <v>1.0833600000000001</v>
      </c>
      <c r="K3645" s="314">
        <v>1.0083599999999999</v>
      </c>
      <c r="L3645" s="336">
        <f t="shared" si="35"/>
        <v>7.5000000000000178E-2</v>
      </c>
      <c r="M3645" s="337"/>
    </row>
    <row r="3646" spans="1:13" s="71" customFormat="1" ht="26.4" customHeight="1">
      <c r="A3646" s="282">
        <v>50</v>
      </c>
      <c r="B3646" s="537"/>
      <c r="C3646" s="333" t="s">
        <v>4519</v>
      </c>
      <c r="D3646" s="333" t="s">
        <v>4525</v>
      </c>
      <c r="E3646" s="367" t="s">
        <v>4546</v>
      </c>
      <c r="F3646" s="334">
        <v>831</v>
      </c>
      <c r="G3646" s="311">
        <v>1969</v>
      </c>
      <c r="H3646" s="369" t="s">
        <v>3243</v>
      </c>
      <c r="I3646" s="313" t="s">
        <v>3</v>
      </c>
      <c r="J3646" s="314">
        <v>1.0833600000000001</v>
      </c>
      <c r="K3646" s="314">
        <v>1.0083599999999999</v>
      </c>
      <c r="L3646" s="336">
        <f t="shared" si="35"/>
        <v>7.5000000000000178E-2</v>
      </c>
      <c r="M3646" s="337"/>
    </row>
    <row r="3647" spans="1:13" s="71" customFormat="1" ht="26.4" customHeight="1">
      <c r="A3647" s="282">
        <v>51</v>
      </c>
      <c r="B3647" s="537"/>
      <c r="C3647" s="333" t="s">
        <v>4519</v>
      </c>
      <c r="D3647" s="333" t="s">
        <v>4525</v>
      </c>
      <c r="E3647" s="367" t="s">
        <v>4546</v>
      </c>
      <c r="F3647" s="334">
        <v>832</v>
      </c>
      <c r="G3647" s="311">
        <v>1969</v>
      </c>
      <c r="H3647" s="369" t="s">
        <v>3243</v>
      </c>
      <c r="I3647" s="313" t="s">
        <v>3</v>
      </c>
      <c r="J3647" s="314">
        <v>1.0833600000000001</v>
      </c>
      <c r="K3647" s="314">
        <v>1.0083599999999999</v>
      </c>
      <c r="L3647" s="336">
        <f t="shared" si="35"/>
        <v>7.5000000000000178E-2</v>
      </c>
      <c r="M3647" s="337"/>
    </row>
    <row r="3648" spans="1:13" s="71" customFormat="1" ht="26.4" customHeight="1">
      <c r="A3648" s="282">
        <v>52</v>
      </c>
      <c r="B3648" s="537"/>
      <c r="C3648" s="333" t="s">
        <v>4519</v>
      </c>
      <c r="D3648" s="333" t="s">
        <v>4525</v>
      </c>
      <c r="E3648" s="367" t="s">
        <v>4546</v>
      </c>
      <c r="F3648" s="334">
        <v>833</v>
      </c>
      <c r="G3648" s="311">
        <v>1969</v>
      </c>
      <c r="H3648" s="369" t="s">
        <v>3243</v>
      </c>
      <c r="I3648" s="313" t="s">
        <v>3</v>
      </c>
      <c r="J3648" s="314">
        <v>1.0833600000000001</v>
      </c>
      <c r="K3648" s="314">
        <v>1.0083599999999999</v>
      </c>
      <c r="L3648" s="336">
        <f t="shared" si="35"/>
        <v>7.5000000000000178E-2</v>
      </c>
      <c r="M3648" s="337"/>
    </row>
    <row r="3649" spans="1:13" s="71" customFormat="1" ht="26.4" customHeight="1">
      <c r="A3649" s="282">
        <v>53</v>
      </c>
      <c r="B3649" s="537"/>
      <c r="C3649" s="333" t="s">
        <v>4519</v>
      </c>
      <c r="D3649" s="333" t="s">
        <v>4525</v>
      </c>
      <c r="E3649" s="367" t="s">
        <v>4546</v>
      </c>
      <c r="F3649" s="334">
        <v>834</v>
      </c>
      <c r="G3649" s="311">
        <v>1969</v>
      </c>
      <c r="H3649" s="369" t="s">
        <v>3243</v>
      </c>
      <c r="I3649" s="313" t="s">
        <v>3</v>
      </c>
      <c r="J3649" s="314">
        <v>1.0833600000000001</v>
      </c>
      <c r="K3649" s="314">
        <v>1.0083599999999999</v>
      </c>
      <c r="L3649" s="336">
        <f t="shared" si="35"/>
        <v>7.5000000000000178E-2</v>
      </c>
      <c r="M3649" s="337"/>
    </row>
    <row r="3650" spans="1:13" s="71" customFormat="1" ht="26.4" customHeight="1">
      <c r="A3650" s="282">
        <v>54</v>
      </c>
      <c r="B3650" s="537"/>
      <c r="C3650" s="333" t="s">
        <v>4519</v>
      </c>
      <c r="D3650" s="333" t="s">
        <v>4525</v>
      </c>
      <c r="E3650" s="367" t="s">
        <v>4546</v>
      </c>
      <c r="F3650" s="334">
        <v>835</v>
      </c>
      <c r="G3650" s="311">
        <v>1969</v>
      </c>
      <c r="H3650" s="369" t="s">
        <v>3243</v>
      </c>
      <c r="I3650" s="313" t="s">
        <v>3</v>
      </c>
      <c r="J3650" s="314">
        <v>1.0833600000000001</v>
      </c>
      <c r="K3650" s="314">
        <v>1.0083599999999999</v>
      </c>
      <c r="L3650" s="336">
        <f t="shared" si="35"/>
        <v>7.5000000000000178E-2</v>
      </c>
      <c r="M3650" s="337"/>
    </row>
    <row r="3651" spans="1:13" s="71" customFormat="1" ht="26.4" customHeight="1">
      <c r="A3651" s="282">
        <v>55</v>
      </c>
      <c r="B3651" s="537"/>
      <c r="C3651" s="333" t="s">
        <v>4519</v>
      </c>
      <c r="D3651" s="333" t="s">
        <v>4525</v>
      </c>
      <c r="E3651" s="367" t="s">
        <v>4546</v>
      </c>
      <c r="F3651" s="334">
        <v>836</v>
      </c>
      <c r="G3651" s="311">
        <v>1969</v>
      </c>
      <c r="H3651" s="369" t="s">
        <v>3243</v>
      </c>
      <c r="I3651" s="313" t="s">
        <v>3</v>
      </c>
      <c r="J3651" s="314">
        <v>1.0833600000000001</v>
      </c>
      <c r="K3651" s="314">
        <v>1.0083599999999999</v>
      </c>
      <c r="L3651" s="336">
        <f t="shared" si="35"/>
        <v>7.5000000000000178E-2</v>
      </c>
      <c r="M3651" s="337"/>
    </row>
    <row r="3652" spans="1:13" s="71" customFormat="1" ht="26.4" customHeight="1">
      <c r="A3652" s="282">
        <v>56</v>
      </c>
      <c r="B3652" s="537"/>
      <c r="C3652" s="333" t="s">
        <v>4519</v>
      </c>
      <c r="D3652" s="333" t="s">
        <v>4525</v>
      </c>
      <c r="E3652" s="367" t="s">
        <v>4546</v>
      </c>
      <c r="F3652" s="334">
        <v>837</v>
      </c>
      <c r="G3652" s="311">
        <v>1969</v>
      </c>
      <c r="H3652" s="369" t="s">
        <v>3243</v>
      </c>
      <c r="I3652" s="313" t="s">
        <v>3</v>
      </c>
      <c r="J3652" s="314">
        <v>1.0833600000000001</v>
      </c>
      <c r="K3652" s="314">
        <v>1.0083599999999999</v>
      </c>
      <c r="L3652" s="336">
        <f t="shared" si="35"/>
        <v>7.5000000000000178E-2</v>
      </c>
      <c r="M3652" s="337"/>
    </row>
    <row r="3653" spans="1:13" s="71" customFormat="1" ht="26.4" customHeight="1">
      <c r="A3653" s="282">
        <v>57</v>
      </c>
      <c r="B3653" s="537"/>
      <c r="C3653" s="333" t="s">
        <v>4519</v>
      </c>
      <c r="D3653" s="333" t="s">
        <v>4525</v>
      </c>
      <c r="E3653" s="367" t="s">
        <v>4546</v>
      </c>
      <c r="F3653" s="334">
        <v>838</v>
      </c>
      <c r="G3653" s="311">
        <v>1969</v>
      </c>
      <c r="H3653" s="369" t="s">
        <v>3243</v>
      </c>
      <c r="I3653" s="313" t="s">
        <v>3</v>
      </c>
      <c r="J3653" s="314">
        <v>1.0833600000000001</v>
      </c>
      <c r="K3653" s="314">
        <v>1.0083599999999999</v>
      </c>
      <c r="L3653" s="336">
        <f t="shared" si="35"/>
        <v>7.5000000000000178E-2</v>
      </c>
      <c r="M3653" s="337"/>
    </row>
    <row r="3654" spans="1:13" s="71" customFormat="1" ht="26.4" customHeight="1">
      <c r="A3654" s="282">
        <v>58</v>
      </c>
      <c r="B3654" s="537"/>
      <c r="C3654" s="333" t="s">
        <v>4519</v>
      </c>
      <c r="D3654" s="333" t="s">
        <v>4525</v>
      </c>
      <c r="E3654" s="367" t="s">
        <v>4546</v>
      </c>
      <c r="F3654" s="334">
        <v>839</v>
      </c>
      <c r="G3654" s="311">
        <v>1969</v>
      </c>
      <c r="H3654" s="369" t="s">
        <v>3243</v>
      </c>
      <c r="I3654" s="313" t="s">
        <v>3</v>
      </c>
      <c r="J3654" s="314">
        <v>1.0833600000000001</v>
      </c>
      <c r="K3654" s="314">
        <v>1.0083599999999999</v>
      </c>
      <c r="L3654" s="336">
        <f t="shared" si="35"/>
        <v>7.5000000000000178E-2</v>
      </c>
      <c r="M3654" s="337"/>
    </row>
    <row r="3655" spans="1:13" s="71" customFormat="1" ht="26.4" customHeight="1">
      <c r="A3655" s="282">
        <v>59</v>
      </c>
      <c r="B3655" s="537"/>
      <c r="C3655" s="333" t="s">
        <v>4519</v>
      </c>
      <c r="D3655" s="333" t="s">
        <v>4525</v>
      </c>
      <c r="E3655" s="367" t="s">
        <v>4547</v>
      </c>
      <c r="F3655" s="334">
        <v>840</v>
      </c>
      <c r="G3655" s="311">
        <v>1969</v>
      </c>
      <c r="H3655" s="368" t="s">
        <v>1149</v>
      </c>
      <c r="I3655" s="313">
        <v>7</v>
      </c>
      <c r="J3655" s="314">
        <v>0.5</v>
      </c>
      <c r="K3655" s="314">
        <v>0.24812000000000001</v>
      </c>
      <c r="L3655" s="336">
        <f t="shared" si="35"/>
        <v>0.25187999999999999</v>
      </c>
      <c r="M3655" s="337"/>
    </row>
    <row r="3656" spans="1:13" s="71" customFormat="1" ht="26.4" customHeight="1">
      <c r="A3656" s="282">
        <v>60</v>
      </c>
      <c r="B3656" s="537"/>
      <c r="C3656" s="333" t="s">
        <v>4519</v>
      </c>
      <c r="D3656" s="333" t="s">
        <v>4525</v>
      </c>
      <c r="E3656" s="367" t="s">
        <v>4548</v>
      </c>
      <c r="F3656" s="334">
        <v>841</v>
      </c>
      <c r="G3656" s="311">
        <v>1969</v>
      </c>
      <c r="H3656" s="368" t="s">
        <v>1149</v>
      </c>
      <c r="I3656" s="313">
        <v>11.01</v>
      </c>
      <c r="J3656" s="314">
        <v>0.5</v>
      </c>
      <c r="K3656" s="314">
        <v>0.24812000000000001</v>
      </c>
      <c r="L3656" s="336">
        <f t="shared" si="35"/>
        <v>0.25187999999999999</v>
      </c>
      <c r="M3656" s="337"/>
    </row>
    <row r="3657" spans="1:13" s="71" customFormat="1" ht="26.4" customHeight="1">
      <c r="A3657" s="282">
        <v>61</v>
      </c>
      <c r="B3657" s="537"/>
      <c r="C3657" s="333" t="s">
        <v>4519</v>
      </c>
      <c r="D3657" s="333" t="s">
        <v>4525</v>
      </c>
      <c r="E3657" s="367" t="s">
        <v>4549</v>
      </c>
      <c r="F3657" s="334">
        <v>377</v>
      </c>
      <c r="G3657" s="311">
        <v>1969</v>
      </c>
      <c r="H3657" s="368" t="s">
        <v>1149</v>
      </c>
      <c r="I3657" s="313">
        <v>37</v>
      </c>
      <c r="J3657" s="314">
        <v>11.97418</v>
      </c>
      <c r="K3657" s="314">
        <v>11.899179999999999</v>
      </c>
      <c r="L3657" s="336">
        <f t="shared" si="35"/>
        <v>7.5000000000001066E-2</v>
      </c>
      <c r="M3657" s="337"/>
    </row>
    <row r="3658" spans="1:13" s="71" customFormat="1" ht="26.4" customHeight="1">
      <c r="A3658" s="282">
        <v>62</v>
      </c>
      <c r="B3658" s="537"/>
      <c r="C3658" s="333" t="s">
        <v>4519</v>
      </c>
      <c r="D3658" s="333" t="s">
        <v>4525</v>
      </c>
      <c r="E3658" s="367" t="s">
        <v>4550</v>
      </c>
      <c r="F3658" s="334">
        <v>842</v>
      </c>
      <c r="G3658" s="311">
        <v>2007</v>
      </c>
      <c r="H3658" s="368" t="s">
        <v>1149</v>
      </c>
      <c r="I3658" s="313">
        <v>25</v>
      </c>
      <c r="J3658" s="314">
        <v>0.6</v>
      </c>
      <c r="K3658" s="314">
        <v>0.29774</v>
      </c>
      <c r="L3658" s="336">
        <f t="shared" si="35"/>
        <v>0.30225999999999997</v>
      </c>
      <c r="M3658" s="337"/>
    </row>
    <row r="3659" spans="1:13" s="71" customFormat="1" ht="26.4" customHeight="1">
      <c r="A3659" s="282">
        <v>63</v>
      </c>
      <c r="B3659" s="537"/>
      <c r="C3659" s="333" t="s">
        <v>4519</v>
      </c>
      <c r="D3659" s="333" t="s">
        <v>4525</v>
      </c>
      <c r="E3659" s="367" t="s">
        <v>4551</v>
      </c>
      <c r="F3659" s="334">
        <v>842</v>
      </c>
      <c r="G3659" s="311">
        <v>2007</v>
      </c>
      <c r="H3659" s="368" t="s">
        <v>1149</v>
      </c>
      <c r="I3659" s="313">
        <v>41.78</v>
      </c>
      <c r="J3659" s="314">
        <v>0.5</v>
      </c>
      <c r="K3659" s="314">
        <v>0.24812000000000001</v>
      </c>
      <c r="L3659" s="336">
        <f t="shared" si="35"/>
        <v>0.25187999999999999</v>
      </c>
      <c r="M3659" s="337"/>
    </row>
    <row r="3660" spans="1:13" s="71" customFormat="1" ht="26.4" customHeight="1">
      <c r="A3660" s="282">
        <v>64</v>
      </c>
      <c r="B3660" s="537"/>
      <c r="C3660" s="333" t="s">
        <v>4519</v>
      </c>
      <c r="D3660" s="333" t="s">
        <v>4525</v>
      </c>
      <c r="E3660" s="367" t="s">
        <v>4551</v>
      </c>
      <c r="F3660" s="334">
        <v>844</v>
      </c>
      <c r="G3660" s="311">
        <v>2007</v>
      </c>
      <c r="H3660" s="368" t="s">
        <v>1149</v>
      </c>
      <c r="I3660" s="313">
        <v>41.78</v>
      </c>
      <c r="J3660" s="314">
        <v>0.5</v>
      </c>
      <c r="K3660" s="314">
        <v>0.24812000000000001</v>
      </c>
      <c r="L3660" s="336">
        <f t="shared" si="35"/>
        <v>0.25187999999999999</v>
      </c>
      <c r="M3660" s="337"/>
    </row>
    <row r="3661" spans="1:13" s="71" customFormat="1" ht="26.4" customHeight="1">
      <c r="A3661" s="282">
        <v>65</v>
      </c>
      <c r="B3661" s="537"/>
      <c r="C3661" s="333" t="s">
        <v>4519</v>
      </c>
      <c r="D3661" s="333" t="s">
        <v>4525</v>
      </c>
      <c r="E3661" s="367" t="s">
        <v>4551</v>
      </c>
      <c r="F3661" s="334">
        <v>845</v>
      </c>
      <c r="G3661" s="311">
        <v>2007</v>
      </c>
      <c r="H3661" s="368" t="s">
        <v>1149</v>
      </c>
      <c r="I3661" s="313">
        <v>41.78</v>
      </c>
      <c r="J3661" s="314">
        <v>0.5</v>
      </c>
      <c r="K3661" s="314">
        <v>0.24812000000000001</v>
      </c>
      <c r="L3661" s="336">
        <f t="shared" ref="L3661:L3724" si="36">J3661-K3661</f>
        <v>0.25187999999999999</v>
      </c>
      <c r="M3661" s="337"/>
    </row>
    <row r="3662" spans="1:13" s="71" customFormat="1" ht="26.4" customHeight="1">
      <c r="A3662" s="282">
        <v>66</v>
      </c>
      <c r="B3662" s="537"/>
      <c r="C3662" s="333" t="s">
        <v>4519</v>
      </c>
      <c r="D3662" s="333" t="s">
        <v>4525</v>
      </c>
      <c r="E3662" s="367" t="s">
        <v>4552</v>
      </c>
      <c r="F3662" s="334">
        <v>846</v>
      </c>
      <c r="G3662" s="311">
        <v>2007</v>
      </c>
      <c r="H3662" s="368" t="s">
        <v>1149</v>
      </c>
      <c r="I3662" s="313">
        <v>172.2</v>
      </c>
      <c r="J3662" s="314">
        <v>0.5</v>
      </c>
      <c r="K3662" s="314">
        <v>0.24812000000000001</v>
      </c>
      <c r="L3662" s="336">
        <f t="shared" si="36"/>
        <v>0.25187999999999999</v>
      </c>
      <c r="M3662" s="337"/>
    </row>
    <row r="3663" spans="1:13" s="71" customFormat="1" ht="26.4" customHeight="1">
      <c r="A3663" s="282">
        <v>67</v>
      </c>
      <c r="B3663" s="537"/>
      <c r="C3663" s="333" t="s">
        <v>4519</v>
      </c>
      <c r="D3663" s="333" t="s">
        <v>4525</v>
      </c>
      <c r="E3663" s="367" t="s">
        <v>4553</v>
      </c>
      <c r="F3663" s="334">
        <v>847</v>
      </c>
      <c r="G3663" s="311">
        <v>2007</v>
      </c>
      <c r="H3663" s="368" t="s">
        <v>3</v>
      </c>
      <c r="I3663" s="485" t="s">
        <v>3</v>
      </c>
      <c r="J3663" s="314">
        <v>0.3</v>
      </c>
      <c r="K3663" s="314">
        <v>0.3</v>
      </c>
      <c r="L3663" s="336">
        <f t="shared" si="36"/>
        <v>0</v>
      </c>
      <c r="M3663" s="337"/>
    </row>
    <row r="3664" spans="1:13" s="71" customFormat="1" ht="26.4" customHeight="1">
      <c r="A3664" s="282">
        <v>68</v>
      </c>
      <c r="B3664" s="537"/>
      <c r="C3664" s="333" t="s">
        <v>4519</v>
      </c>
      <c r="D3664" s="333" t="s">
        <v>4525</v>
      </c>
      <c r="E3664" s="367" t="s">
        <v>4553</v>
      </c>
      <c r="F3664" s="334">
        <v>848</v>
      </c>
      <c r="G3664" s="311">
        <v>2007</v>
      </c>
      <c r="H3664" s="368" t="s">
        <v>3</v>
      </c>
      <c r="I3664" s="485" t="s">
        <v>3</v>
      </c>
      <c r="J3664" s="314">
        <v>0.3</v>
      </c>
      <c r="K3664" s="314">
        <v>0.3</v>
      </c>
      <c r="L3664" s="336">
        <f t="shared" si="36"/>
        <v>0</v>
      </c>
      <c r="M3664" s="337"/>
    </row>
    <row r="3665" spans="1:13" s="71" customFormat="1" ht="26.4" customHeight="1">
      <c r="A3665" s="282">
        <v>69</v>
      </c>
      <c r="B3665" s="537"/>
      <c r="C3665" s="333" t="s">
        <v>4519</v>
      </c>
      <c r="D3665" s="333" t="s">
        <v>4525</v>
      </c>
      <c r="E3665" s="367" t="s">
        <v>4554</v>
      </c>
      <c r="F3665" s="334">
        <v>2251</v>
      </c>
      <c r="G3665" s="311">
        <v>2009</v>
      </c>
      <c r="H3665" s="368" t="s">
        <v>1149</v>
      </c>
      <c r="I3665" s="313">
        <v>489</v>
      </c>
      <c r="J3665" s="314">
        <v>3</v>
      </c>
      <c r="K3665" s="314">
        <v>3</v>
      </c>
      <c r="L3665" s="336">
        <f t="shared" si="36"/>
        <v>0</v>
      </c>
      <c r="M3665" s="337"/>
    </row>
    <row r="3666" spans="1:13" s="71" customFormat="1" ht="26.4" customHeight="1">
      <c r="A3666" s="282">
        <v>70</v>
      </c>
      <c r="B3666" s="537"/>
      <c r="C3666" s="333" t="s">
        <v>4519</v>
      </c>
      <c r="D3666" s="333" t="s">
        <v>4525</v>
      </c>
      <c r="E3666" s="367" t="s">
        <v>4555</v>
      </c>
      <c r="F3666" s="334">
        <v>2252</v>
      </c>
      <c r="G3666" s="311">
        <v>2009</v>
      </c>
      <c r="H3666" s="368" t="s">
        <v>1149</v>
      </c>
      <c r="I3666" s="313">
        <v>489</v>
      </c>
      <c r="J3666" s="314">
        <v>3</v>
      </c>
      <c r="K3666" s="314">
        <v>3</v>
      </c>
      <c r="L3666" s="336">
        <f t="shared" si="36"/>
        <v>0</v>
      </c>
      <c r="M3666" s="337"/>
    </row>
    <row r="3667" spans="1:13" s="71" customFormat="1" ht="26.4" customHeight="1">
      <c r="A3667" s="282">
        <v>71</v>
      </c>
      <c r="B3667" s="537"/>
      <c r="C3667" s="333" t="s">
        <v>4519</v>
      </c>
      <c r="D3667" s="333" t="s">
        <v>4525</v>
      </c>
      <c r="E3667" s="260" t="s">
        <v>4556</v>
      </c>
      <c r="F3667" s="310">
        <v>3601</v>
      </c>
      <c r="G3667" s="445">
        <v>1969</v>
      </c>
      <c r="H3667" s="368" t="s">
        <v>1136</v>
      </c>
      <c r="I3667" s="313">
        <v>50</v>
      </c>
      <c r="J3667" s="314">
        <v>5.9560000000000004</v>
      </c>
      <c r="K3667" s="314">
        <v>5.9560000000000004</v>
      </c>
      <c r="L3667" s="336">
        <f t="shared" si="36"/>
        <v>0</v>
      </c>
      <c r="M3667" s="337"/>
    </row>
    <row r="3668" spans="1:13" s="71" customFormat="1" ht="26.4" customHeight="1">
      <c r="A3668" s="282">
        <v>72</v>
      </c>
      <c r="B3668" s="537"/>
      <c r="C3668" s="333" t="s">
        <v>4519</v>
      </c>
      <c r="D3668" s="333" t="s">
        <v>4525</v>
      </c>
      <c r="E3668" s="367" t="s">
        <v>4557</v>
      </c>
      <c r="F3668" s="334">
        <v>3631</v>
      </c>
      <c r="G3668" s="311">
        <v>1969</v>
      </c>
      <c r="H3668" s="368" t="s">
        <v>1149</v>
      </c>
      <c r="I3668" s="313">
        <v>172.2</v>
      </c>
      <c r="J3668" s="314">
        <v>9.5990000000000002</v>
      </c>
      <c r="K3668" s="314">
        <v>8.0071700000000003</v>
      </c>
      <c r="L3668" s="336">
        <f t="shared" si="36"/>
        <v>1.5918299999999999</v>
      </c>
      <c r="M3668" s="337"/>
    </row>
    <row r="3669" spans="1:13" s="71" customFormat="1" ht="26.4" customHeight="1">
      <c r="A3669" s="282">
        <v>73</v>
      </c>
      <c r="B3669" s="537"/>
      <c r="C3669" s="333" t="s">
        <v>4519</v>
      </c>
      <c r="D3669" s="333" t="s">
        <v>4525</v>
      </c>
      <c r="E3669" s="367" t="s">
        <v>4557</v>
      </c>
      <c r="F3669" s="334">
        <v>3632</v>
      </c>
      <c r="G3669" s="311">
        <v>1969</v>
      </c>
      <c r="H3669" s="368" t="s">
        <v>1149</v>
      </c>
      <c r="I3669" s="313">
        <v>172.2</v>
      </c>
      <c r="J3669" s="314">
        <v>9.2981800000000003</v>
      </c>
      <c r="K3669" s="314">
        <v>7.8158300000000001</v>
      </c>
      <c r="L3669" s="336">
        <f t="shared" si="36"/>
        <v>1.4823500000000003</v>
      </c>
      <c r="M3669" s="337"/>
    </row>
    <row r="3670" spans="1:13" s="71" customFormat="1" ht="26.4" customHeight="1">
      <c r="A3670" s="282">
        <v>74</v>
      </c>
      <c r="B3670" s="537"/>
      <c r="C3670" s="333" t="s">
        <v>4519</v>
      </c>
      <c r="D3670" s="333" t="s">
        <v>4525</v>
      </c>
      <c r="E3670" s="367" t="s">
        <v>4558</v>
      </c>
      <c r="F3670" s="334">
        <v>3634</v>
      </c>
      <c r="G3670" s="311">
        <v>1969</v>
      </c>
      <c r="H3670" s="368" t="s">
        <v>3</v>
      </c>
      <c r="I3670" s="313" t="s">
        <v>3</v>
      </c>
      <c r="J3670" s="314">
        <v>2.0038200000000002</v>
      </c>
      <c r="K3670" s="314">
        <v>2.0038200000000002</v>
      </c>
      <c r="L3670" s="336">
        <f t="shared" si="36"/>
        <v>0</v>
      </c>
      <c r="M3670" s="337"/>
    </row>
    <row r="3671" spans="1:13" s="71" customFormat="1" ht="26.4" customHeight="1">
      <c r="A3671" s="282">
        <v>75</v>
      </c>
      <c r="B3671" s="537"/>
      <c r="C3671" s="333" t="s">
        <v>4519</v>
      </c>
      <c r="D3671" s="333" t="s">
        <v>4525</v>
      </c>
      <c r="E3671" s="367" t="s">
        <v>4559</v>
      </c>
      <c r="F3671" s="334">
        <v>3641</v>
      </c>
      <c r="G3671" s="311">
        <v>1969</v>
      </c>
      <c r="H3671" s="368" t="s">
        <v>3</v>
      </c>
      <c r="I3671" s="313" t="s">
        <v>3</v>
      </c>
      <c r="J3671" s="314">
        <v>1.5</v>
      </c>
      <c r="K3671" s="314">
        <v>1.5</v>
      </c>
      <c r="L3671" s="336">
        <f t="shared" si="36"/>
        <v>0</v>
      </c>
      <c r="M3671" s="337"/>
    </row>
    <row r="3672" spans="1:13" s="71" customFormat="1" ht="26.4" customHeight="1">
      <c r="A3672" s="282">
        <v>76</v>
      </c>
      <c r="B3672" s="537"/>
      <c r="C3672" s="333" t="s">
        <v>4519</v>
      </c>
      <c r="D3672" s="333" t="s">
        <v>4525</v>
      </c>
      <c r="E3672" s="367" t="s">
        <v>4559</v>
      </c>
      <c r="F3672" s="334">
        <v>3651</v>
      </c>
      <c r="G3672" s="311">
        <v>1969</v>
      </c>
      <c r="H3672" s="368" t="s">
        <v>3</v>
      </c>
      <c r="I3672" s="313" t="s">
        <v>3</v>
      </c>
      <c r="J3672" s="314">
        <v>1.482</v>
      </c>
      <c r="K3672" s="314">
        <v>1.482</v>
      </c>
      <c r="L3672" s="336">
        <f t="shared" si="36"/>
        <v>0</v>
      </c>
      <c r="M3672" s="337"/>
    </row>
    <row r="3673" spans="1:13" s="71" customFormat="1" ht="26.4" customHeight="1">
      <c r="A3673" s="282">
        <v>77</v>
      </c>
      <c r="B3673" s="537"/>
      <c r="C3673" s="333" t="s">
        <v>4519</v>
      </c>
      <c r="D3673" s="333" t="s">
        <v>4525</v>
      </c>
      <c r="E3673" s="367" t="s">
        <v>4540</v>
      </c>
      <c r="F3673" s="334">
        <v>3711</v>
      </c>
      <c r="G3673" s="311">
        <v>1969</v>
      </c>
      <c r="H3673" s="368" t="s">
        <v>1149</v>
      </c>
      <c r="I3673" s="313">
        <v>250</v>
      </c>
      <c r="J3673" s="314">
        <v>16.7</v>
      </c>
      <c r="K3673" s="314">
        <v>16.637499999999999</v>
      </c>
      <c r="L3673" s="336">
        <f t="shared" si="36"/>
        <v>6.25E-2</v>
      </c>
      <c r="M3673" s="337"/>
    </row>
    <row r="3674" spans="1:13" s="71" customFormat="1" ht="26.4" customHeight="1">
      <c r="A3674" s="282">
        <v>78</v>
      </c>
      <c r="B3674" s="537"/>
      <c r="C3674" s="333" t="s">
        <v>4519</v>
      </c>
      <c r="D3674" s="333" t="s">
        <v>4525</v>
      </c>
      <c r="E3674" s="367" t="s">
        <v>4540</v>
      </c>
      <c r="F3674" s="334">
        <v>3712</v>
      </c>
      <c r="G3674" s="311">
        <v>1969</v>
      </c>
      <c r="H3674" s="368" t="s">
        <v>1149</v>
      </c>
      <c r="I3674" s="313">
        <v>100</v>
      </c>
      <c r="J3674" s="314">
        <v>76.941999999999993</v>
      </c>
      <c r="K3674" s="314">
        <v>76.571920000000006</v>
      </c>
      <c r="L3674" s="336">
        <f t="shared" si="36"/>
        <v>0.37007999999998731</v>
      </c>
      <c r="M3674" s="337"/>
    </row>
    <row r="3675" spans="1:13" s="71" customFormat="1" ht="26.4" customHeight="1">
      <c r="A3675" s="282">
        <v>79</v>
      </c>
      <c r="B3675" s="537"/>
      <c r="C3675" s="333" t="s">
        <v>4519</v>
      </c>
      <c r="D3675" s="333" t="s">
        <v>4525</v>
      </c>
      <c r="E3675" s="367" t="s">
        <v>4540</v>
      </c>
      <c r="F3675" s="334">
        <v>3713</v>
      </c>
      <c r="G3675" s="311">
        <v>1969</v>
      </c>
      <c r="H3675" s="368" t="s">
        <v>1149</v>
      </c>
      <c r="I3675" s="313">
        <v>300</v>
      </c>
      <c r="J3675" s="314">
        <v>47.906999999999996</v>
      </c>
      <c r="K3675" s="314">
        <v>47.838290000000001</v>
      </c>
      <c r="L3675" s="336">
        <f t="shared" si="36"/>
        <v>6.870999999999583E-2</v>
      </c>
      <c r="M3675" s="337"/>
    </row>
    <row r="3676" spans="1:13" s="71" customFormat="1" ht="26.4" customHeight="1">
      <c r="A3676" s="282">
        <v>80</v>
      </c>
      <c r="B3676" s="537"/>
      <c r="C3676" s="333" t="s">
        <v>4519</v>
      </c>
      <c r="D3676" s="333" t="s">
        <v>4525</v>
      </c>
      <c r="E3676" s="367" t="s">
        <v>4560</v>
      </c>
      <c r="F3676" s="334">
        <v>30000</v>
      </c>
      <c r="G3676" s="311">
        <v>1969</v>
      </c>
      <c r="H3676" s="368" t="s">
        <v>1149</v>
      </c>
      <c r="I3676" s="313">
        <v>7</v>
      </c>
      <c r="J3676" s="314">
        <v>9.0850000000000009</v>
      </c>
      <c r="K3676" s="314">
        <v>9.0225000000000009</v>
      </c>
      <c r="L3676" s="336">
        <f t="shared" si="36"/>
        <v>6.25E-2</v>
      </c>
      <c r="M3676" s="337"/>
    </row>
    <row r="3677" spans="1:13" s="71" customFormat="1" ht="26.4" customHeight="1">
      <c r="A3677" s="282">
        <v>81</v>
      </c>
      <c r="B3677" s="537"/>
      <c r="C3677" s="333" t="s">
        <v>4519</v>
      </c>
      <c r="D3677" s="333" t="s">
        <v>4525</v>
      </c>
      <c r="E3677" s="367" t="s">
        <v>13091</v>
      </c>
      <c r="F3677" s="334">
        <v>2250</v>
      </c>
      <c r="G3677" s="311">
        <v>2009</v>
      </c>
      <c r="H3677" s="368" t="s">
        <v>1149</v>
      </c>
      <c r="I3677" s="313">
        <v>146</v>
      </c>
      <c r="J3677" s="314">
        <v>4.83</v>
      </c>
      <c r="K3677" s="314">
        <v>0</v>
      </c>
      <c r="L3677" s="336">
        <f t="shared" si="36"/>
        <v>4.83</v>
      </c>
      <c r="M3677" s="337"/>
    </row>
    <row r="3678" spans="1:13" s="71" customFormat="1" ht="26.4" customHeight="1">
      <c r="A3678" s="282">
        <v>82</v>
      </c>
      <c r="B3678" s="537"/>
      <c r="C3678" s="333" t="s">
        <v>4519</v>
      </c>
      <c r="D3678" s="333" t="s">
        <v>4561</v>
      </c>
      <c r="E3678" s="367" t="s">
        <v>4562</v>
      </c>
      <c r="F3678" s="334">
        <v>706</v>
      </c>
      <c r="G3678" s="311">
        <v>2002</v>
      </c>
      <c r="H3678" s="368" t="s">
        <v>1149</v>
      </c>
      <c r="I3678" s="313">
        <v>2688</v>
      </c>
      <c r="J3678" s="314">
        <v>81.4876</v>
      </c>
      <c r="K3678" s="314">
        <v>79.730720000000005</v>
      </c>
      <c r="L3678" s="336">
        <f t="shared" si="36"/>
        <v>1.7568799999999953</v>
      </c>
      <c r="M3678" s="337"/>
    </row>
    <row r="3679" spans="1:13" s="71" customFormat="1" ht="26.4" customHeight="1">
      <c r="A3679" s="282">
        <v>83</v>
      </c>
      <c r="B3679" s="537"/>
      <c r="C3679" s="333" t="s">
        <v>15</v>
      </c>
      <c r="D3679" s="333" t="s">
        <v>4563</v>
      </c>
      <c r="E3679" s="260" t="s">
        <v>4564</v>
      </c>
      <c r="F3679" s="334">
        <v>6</v>
      </c>
      <c r="G3679" s="311">
        <v>1991</v>
      </c>
      <c r="H3679" s="368" t="s">
        <v>2658</v>
      </c>
      <c r="I3679" s="313">
        <v>83</v>
      </c>
      <c r="J3679" s="314">
        <v>1.8191600000000001</v>
      </c>
      <c r="K3679" s="314">
        <v>1.81101</v>
      </c>
      <c r="L3679" s="336">
        <f t="shared" si="36"/>
        <v>8.1500000000001016E-3</v>
      </c>
      <c r="M3679" s="337"/>
    </row>
    <row r="3680" spans="1:13" s="71" customFormat="1" ht="26.4" customHeight="1">
      <c r="A3680" s="282">
        <v>84</v>
      </c>
      <c r="B3680" s="537"/>
      <c r="C3680" s="333" t="s">
        <v>15</v>
      </c>
      <c r="D3680" s="333" t="s">
        <v>4565</v>
      </c>
      <c r="E3680" s="260" t="s">
        <v>4566</v>
      </c>
      <c r="F3680" s="334">
        <v>7</v>
      </c>
      <c r="G3680" s="311">
        <v>1989</v>
      </c>
      <c r="H3680" s="368" t="s">
        <v>2658</v>
      </c>
      <c r="I3680" s="313">
        <v>11</v>
      </c>
      <c r="J3680" s="314">
        <v>39.563290000000002</v>
      </c>
      <c r="K3680" s="314">
        <v>34.64329</v>
      </c>
      <c r="L3680" s="336">
        <f t="shared" si="36"/>
        <v>4.9200000000000017</v>
      </c>
      <c r="M3680" s="337"/>
    </row>
    <row r="3681" spans="1:13" s="71" customFormat="1" ht="26.4" customHeight="1">
      <c r="A3681" s="282">
        <v>85</v>
      </c>
      <c r="B3681" s="537"/>
      <c r="C3681" s="333" t="s">
        <v>15</v>
      </c>
      <c r="D3681" s="448" t="s">
        <v>4567</v>
      </c>
      <c r="E3681" s="260" t="s">
        <v>4568</v>
      </c>
      <c r="F3681" s="334">
        <v>15</v>
      </c>
      <c r="G3681" s="311">
        <v>2000</v>
      </c>
      <c r="H3681" s="368" t="s">
        <v>3243</v>
      </c>
      <c r="I3681" s="313" t="s">
        <v>3</v>
      </c>
      <c r="J3681" s="314">
        <v>0.68799999999999994</v>
      </c>
      <c r="K3681" s="314">
        <v>0</v>
      </c>
      <c r="L3681" s="336">
        <f t="shared" si="36"/>
        <v>0.68799999999999994</v>
      </c>
      <c r="M3681" s="337"/>
    </row>
    <row r="3682" spans="1:13" s="71" customFormat="1" ht="26.4" customHeight="1">
      <c r="A3682" s="282">
        <v>86</v>
      </c>
      <c r="B3682" s="537"/>
      <c r="C3682" s="333" t="s">
        <v>15</v>
      </c>
      <c r="D3682" s="448" t="s">
        <v>4569</v>
      </c>
      <c r="E3682" s="260" t="s">
        <v>4568</v>
      </c>
      <c r="F3682" s="334">
        <v>16</v>
      </c>
      <c r="G3682" s="311">
        <v>2000</v>
      </c>
      <c r="H3682" s="368" t="s">
        <v>3243</v>
      </c>
      <c r="I3682" s="313" t="s">
        <v>3</v>
      </c>
      <c r="J3682" s="314">
        <v>0.68799999999999994</v>
      </c>
      <c r="K3682" s="314">
        <v>0</v>
      </c>
      <c r="L3682" s="336">
        <f t="shared" si="36"/>
        <v>0.68799999999999994</v>
      </c>
      <c r="M3682" s="337"/>
    </row>
    <row r="3683" spans="1:13" s="71" customFormat="1" ht="26.4" customHeight="1">
      <c r="A3683" s="282">
        <v>87</v>
      </c>
      <c r="B3683" s="537"/>
      <c r="C3683" s="333" t="s">
        <v>15</v>
      </c>
      <c r="D3683" s="333" t="s">
        <v>4570</v>
      </c>
      <c r="E3683" s="260" t="s">
        <v>4571</v>
      </c>
      <c r="F3683" s="334">
        <v>19</v>
      </c>
      <c r="G3683" s="311">
        <v>2000</v>
      </c>
      <c r="H3683" s="368" t="s">
        <v>3243</v>
      </c>
      <c r="I3683" s="485" t="s">
        <v>3</v>
      </c>
      <c r="J3683" s="314">
        <v>1.1135999999999999</v>
      </c>
      <c r="K3683" s="314">
        <v>1.1091200000000001</v>
      </c>
      <c r="L3683" s="336">
        <f t="shared" si="36"/>
        <v>4.4799999999998175E-3</v>
      </c>
      <c r="M3683" s="337"/>
    </row>
    <row r="3684" spans="1:13" s="71" customFormat="1" ht="26.4" customHeight="1">
      <c r="A3684" s="282">
        <v>88</v>
      </c>
      <c r="B3684" s="537"/>
      <c r="C3684" s="333" t="s">
        <v>15</v>
      </c>
      <c r="D3684" s="333" t="s">
        <v>4570</v>
      </c>
      <c r="E3684" s="260" t="s">
        <v>4571</v>
      </c>
      <c r="F3684" s="334">
        <v>20</v>
      </c>
      <c r="G3684" s="311">
        <v>2000</v>
      </c>
      <c r="H3684" s="368" t="s">
        <v>3243</v>
      </c>
      <c r="I3684" s="485" t="s">
        <v>3</v>
      </c>
      <c r="J3684" s="314">
        <v>1.1135999999999999</v>
      </c>
      <c r="K3684" s="314">
        <v>1.1091200000000001</v>
      </c>
      <c r="L3684" s="336">
        <f t="shared" si="36"/>
        <v>4.4799999999998175E-3</v>
      </c>
      <c r="M3684" s="337"/>
    </row>
    <row r="3685" spans="1:13" s="71" customFormat="1" ht="26.4" customHeight="1">
      <c r="A3685" s="282">
        <v>89</v>
      </c>
      <c r="B3685" s="537"/>
      <c r="C3685" s="333" t="s">
        <v>15</v>
      </c>
      <c r="D3685" s="333" t="s">
        <v>4570</v>
      </c>
      <c r="E3685" s="260" t="s">
        <v>4571</v>
      </c>
      <c r="F3685" s="334">
        <v>21</v>
      </c>
      <c r="G3685" s="311">
        <v>2000</v>
      </c>
      <c r="H3685" s="368" t="s">
        <v>3243</v>
      </c>
      <c r="I3685" s="485" t="s">
        <v>3</v>
      </c>
      <c r="J3685" s="314">
        <v>1.1135999999999999</v>
      </c>
      <c r="K3685" s="314">
        <v>1.1091200000000001</v>
      </c>
      <c r="L3685" s="336">
        <f t="shared" si="36"/>
        <v>4.4799999999998175E-3</v>
      </c>
      <c r="M3685" s="337"/>
    </row>
    <row r="3686" spans="1:13" s="71" customFormat="1" ht="26.4" customHeight="1">
      <c r="A3686" s="282">
        <v>90</v>
      </c>
      <c r="B3686" s="537"/>
      <c r="C3686" s="333" t="s">
        <v>15</v>
      </c>
      <c r="D3686" s="333" t="s">
        <v>4570</v>
      </c>
      <c r="E3686" s="260" t="s">
        <v>4571</v>
      </c>
      <c r="F3686" s="334">
        <v>22</v>
      </c>
      <c r="G3686" s="311">
        <v>2000</v>
      </c>
      <c r="H3686" s="368" t="s">
        <v>3243</v>
      </c>
      <c r="I3686" s="485" t="s">
        <v>3</v>
      </c>
      <c r="J3686" s="314">
        <v>1.1135999999999999</v>
      </c>
      <c r="K3686" s="314">
        <v>1.1091200000000001</v>
      </c>
      <c r="L3686" s="336">
        <f t="shared" si="36"/>
        <v>4.4799999999998175E-3</v>
      </c>
      <c r="M3686" s="337"/>
    </row>
    <row r="3687" spans="1:13" s="71" customFormat="1" ht="26.4" customHeight="1">
      <c r="A3687" s="282">
        <v>91</v>
      </c>
      <c r="B3687" s="537"/>
      <c r="C3687" s="333" t="s">
        <v>15</v>
      </c>
      <c r="D3687" s="333" t="s">
        <v>4570</v>
      </c>
      <c r="E3687" s="260" t="s">
        <v>4571</v>
      </c>
      <c r="F3687" s="334">
        <v>23</v>
      </c>
      <c r="G3687" s="311">
        <v>2000</v>
      </c>
      <c r="H3687" s="368" t="s">
        <v>3243</v>
      </c>
      <c r="I3687" s="485" t="s">
        <v>3</v>
      </c>
      <c r="J3687" s="314">
        <v>1.1135999999999999</v>
      </c>
      <c r="K3687" s="314">
        <v>1.1091200000000001</v>
      </c>
      <c r="L3687" s="336">
        <f t="shared" si="36"/>
        <v>4.4799999999998175E-3</v>
      </c>
      <c r="M3687" s="337"/>
    </row>
    <row r="3688" spans="1:13" s="71" customFormat="1" ht="26.4" customHeight="1">
      <c r="A3688" s="282">
        <v>92</v>
      </c>
      <c r="B3688" s="537"/>
      <c r="C3688" s="333" t="s">
        <v>15</v>
      </c>
      <c r="D3688" s="333" t="s">
        <v>4572</v>
      </c>
      <c r="E3688" s="260" t="s">
        <v>4573</v>
      </c>
      <c r="F3688" s="334">
        <v>48</v>
      </c>
      <c r="G3688" s="311">
        <v>1963</v>
      </c>
      <c r="H3688" s="368" t="s">
        <v>2658</v>
      </c>
      <c r="I3688" s="313">
        <v>450</v>
      </c>
      <c r="J3688" s="314">
        <v>12.135199999999999</v>
      </c>
      <c r="K3688" s="314">
        <v>2.46</v>
      </c>
      <c r="L3688" s="336">
        <f t="shared" si="36"/>
        <v>9.6752000000000002</v>
      </c>
      <c r="M3688" s="337"/>
    </row>
    <row r="3689" spans="1:13" s="71" customFormat="1" ht="26.4" customHeight="1">
      <c r="A3689" s="282">
        <v>93</v>
      </c>
      <c r="B3689" s="537"/>
      <c r="C3689" s="333" t="s">
        <v>15</v>
      </c>
      <c r="D3689" s="333" t="s">
        <v>4574</v>
      </c>
      <c r="E3689" s="260" t="s">
        <v>4575</v>
      </c>
      <c r="F3689" s="334">
        <v>56</v>
      </c>
      <c r="G3689" s="311">
        <v>1973</v>
      </c>
      <c r="H3689" s="368" t="s">
        <v>2658</v>
      </c>
      <c r="I3689" s="313">
        <v>31</v>
      </c>
      <c r="J3689" s="314">
        <v>1.44672</v>
      </c>
      <c r="K3689" s="314">
        <v>1.44672</v>
      </c>
      <c r="L3689" s="336">
        <f t="shared" si="36"/>
        <v>0</v>
      </c>
      <c r="M3689" s="337"/>
    </row>
    <row r="3690" spans="1:13" s="71" customFormat="1" ht="26.4" customHeight="1">
      <c r="A3690" s="282">
        <v>94</v>
      </c>
      <c r="B3690" s="537"/>
      <c r="C3690" s="333" t="s">
        <v>15</v>
      </c>
      <c r="D3690" s="333" t="s">
        <v>4576</v>
      </c>
      <c r="E3690" s="260" t="s">
        <v>4577</v>
      </c>
      <c r="F3690" s="334">
        <v>57</v>
      </c>
      <c r="G3690" s="311">
        <v>1991</v>
      </c>
      <c r="H3690" s="368" t="s">
        <v>2658</v>
      </c>
      <c r="I3690" s="313">
        <v>1200</v>
      </c>
      <c r="J3690" s="314">
        <v>27.475930000000002</v>
      </c>
      <c r="K3690" s="314">
        <v>19.509060000000002</v>
      </c>
      <c r="L3690" s="336">
        <f t="shared" si="36"/>
        <v>7.9668700000000001</v>
      </c>
      <c r="M3690" s="337"/>
    </row>
    <row r="3691" spans="1:13" s="71" customFormat="1" ht="26.4" customHeight="1">
      <c r="A3691" s="282">
        <v>95</v>
      </c>
      <c r="B3691" s="537"/>
      <c r="C3691" s="333" t="s">
        <v>15</v>
      </c>
      <c r="D3691" s="333" t="s">
        <v>4578</v>
      </c>
      <c r="E3691" s="260" t="s">
        <v>13092</v>
      </c>
      <c r="F3691" s="334">
        <v>64</v>
      </c>
      <c r="G3691" s="311">
        <v>1965</v>
      </c>
      <c r="H3691" s="368" t="s">
        <v>2658</v>
      </c>
      <c r="I3691" s="313">
        <v>1250</v>
      </c>
      <c r="J3691" s="314">
        <v>21.085640000000001</v>
      </c>
      <c r="K3691" s="314">
        <v>19.905000000000001</v>
      </c>
      <c r="L3691" s="336">
        <f t="shared" si="36"/>
        <v>1.1806400000000004</v>
      </c>
      <c r="M3691" s="337"/>
    </row>
    <row r="3692" spans="1:13" s="71" customFormat="1" ht="26.4" customHeight="1">
      <c r="A3692" s="282">
        <v>96</v>
      </c>
      <c r="B3692" s="537"/>
      <c r="C3692" s="333" t="s">
        <v>15</v>
      </c>
      <c r="D3692" s="333" t="s">
        <v>4574</v>
      </c>
      <c r="E3692" s="260" t="s">
        <v>4579</v>
      </c>
      <c r="F3692" s="334">
        <v>94</v>
      </c>
      <c r="G3692" s="311">
        <v>1973</v>
      </c>
      <c r="H3692" s="368" t="s">
        <v>2658</v>
      </c>
      <c r="I3692" s="313">
        <v>28</v>
      </c>
      <c r="J3692" s="314">
        <v>2.8181099999999999</v>
      </c>
      <c r="K3692" s="314">
        <v>2.8181099999999999</v>
      </c>
      <c r="L3692" s="336">
        <f t="shared" si="36"/>
        <v>0</v>
      </c>
      <c r="M3692" s="337"/>
    </row>
    <row r="3693" spans="1:13" s="71" customFormat="1" ht="26.4" customHeight="1">
      <c r="A3693" s="282">
        <v>97</v>
      </c>
      <c r="B3693" s="537"/>
      <c r="C3693" s="333" t="s">
        <v>15</v>
      </c>
      <c r="D3693" s="333" t="s">
        <v>4580</v>
      </c>
      <c r="E3693" s="260" t="s">
        <v>4581</v>
      </c>
      <c r="F3693" s="334">
        <v>119</v>
      </c>
      <c r="G3693" s="311">
        <v>1965</v>
      </c>
      <c r="H3693" s="368" t="s">
        <v>2658</v>
      </c>
      <c r="I3693" s="313">
        <v>1200</v>
      </c>
      <c r="J3693" s="314">
        <v>31.05904</v>
      </c>
      <c r="K3693" s="314">
        <v>0.94435999999999998</v>
      </c>
      <c r="L3693" s="336">
        <f t="shared" si="36"/>
        <v>30.11468</v>
      </c>
      <c r="M3693" s="337"/>
    </row>
    <row r="3694" spans="1:13" s="71" customFormat="1" ht="26.4" customHeight="1">
      <c r="A3694" s="282">
        <v>98</v>
      </c>
      <c r="B3694" s="537"/>
      <c r="C3694" s="333" t="s">
        <v>15</v>
      </c>
      <c r="D3694" s="333" t="s">
        <v>4580</v>
      </c>
      <c r="E3694" s="260" t="s">
        <v>4582</v>
      </c>
      <c r="F3694" s="334">
        <v>120</v>
      </c>
      <c r="G3694" s="311">
        <v>1968</v>
      </c>
      <c r="H3694" s="368" t="s">
        <v>2658</v>
      </c>
      <c r="I3694" s="313">
        <v>30</v>
      </c>
      <c r="J3694" s="314">
        <v>23.812999999999999</v>
      </c>
      <c r="K3694" s="314">
        <v>23.229700000000001</v>
      </c>
      <c r="L3694" s="336">
        <f t="shared" si="36"/>
        <v>0.58329999999999771</v>
      </c>
      <c r="M3694" s="337"/>
    </row>
    <row r="3695" spans="1:13" s="71" customFormat="1" ht="26.4" customHeight="1">
      <c r="A3695" s="282">
        <v>99</v>
      </c>
      <c r="B3695" s="537"/>
      <c r="C3695" s="333" t="s">
        <v>15</v>
      </c>
      <c r="D3695" s="333" t="s">
        <v>4583</v>
      </c>
      <c r="E3695" s="260" t="s">
        <v>4584</v>
      </c>
      <c r="F3695" s="334">
        <v>123</v>
      </c>
      <c r="G3695" s="311">
        <v>1968</v>
      </c>
      <c r="H3695" s="368" t="s">
        <v>2658</v>
      </c>
      <c r="I3695" s="313">
        <v>400</v>
      </c>
      <c r="J3695" s="314">
        <v>400.66199999999998</v>
      </c>
      <c r="K3695" s="314">
        <v>382.60444000000001</v>
      </c>
      <c r="L3695" s="336">
        <f t="shared" si="36"/>
        <v>18.057559999999967</v>
      </c>
      <c r="M3695" s="337"/>
    </row>
    <row r="3696" spans="1:13" s="71" customFormat="1" ht="26.4" customHeight="1">
      <c r="A3696" s="282">
        <v>100</v>
      </c>
      <c r="B3696" s="537"/>
      <c r="C3696" s="333" t="s">
        <v>15</v>
      </c>
      <c r="D3696" s="333" t="s">
        <v>4585</v>
      </c>
      <c r="E3696" s="260" t="s">
        <v>4586</v>
      </c>
      <c r="F3696" s="334">
        <v>124</v>
      </c>
      <c r="G3696" s="311">
        <v>1968</v>
      </c>
      <c r="H3696" s="368" t="s">
        <v>2658</v>
      </c>
      <c r="I3696" s="313">
        <v>1400</v>
      </c>
      <c r="J3696" s="314">
        <v>59.292000000000002</v>
      </c>
      <c r="K3696" s="314">
        <v>58.81982</v>
      </c>
      <c r="L3696" s="336">
        <f t="shared" si="36"/>
        <v>0.4721800000000016</v>
      </c>
      <c r="M3696" s="337"/>
    </row>
    <row r="3697" spans="1:13" s="71" customFormat="1" ht="26.4" customHeight="1">
      <c r="A3697" s="282">
        <v>101</v>
      </c>
      <c r="B3697" s="537"/>
      <c r="C3697" s="333" t="s">
        <v>15</v>
      </c>
      <c r="D3697" s="333" t="s">
        <v>4587</v>
      </c>
      <c r="E3697" s="260" t="s">
        <v>4588</v>
      </c>
      <c r="F3697" s="334">
        <v>136</v>
      </c>
      <c r="G3697" s="311">
        <v>1968</v>
      </c>
      <c r="H3697" s="368" t="s">
        <v>2658</v>
      </c>
      <c r="I3697" s="313">
        <v>30</v>
      </c>
      <c r="J3697" s="314">
        <v>36.399000000000001</v>
      </c>
      <c r="K3697" s="314">
        <v>36.257269999999998</v>
      </c>
      <c r="L3697" s="336">
        <f t="shared" si="36"/>
        <v>0.14173000000000258</v>
      </c>
      <c r="M3697" s="337"/>
    </row>
    <row r="3698" spans="1:13" s="71" customFormat="1" ht="26.4" customHeight="1">
      <c r="A3698" s="282">
        <v>102</v>
      </c>
      <c r="B3698" s="537"/>
      <c r="C3698" s="333" t="s">
        <v>15</v>
      </c>
      <c r="D3698" s="333" t="s">
        <v>4587</v>
      </c>
      <c r="E3698" s="260" t="s">
        <v>4589</v>
      </c>
      <c r="F3698" s="334">
        <v>138</v>
      </c>
      <c r="G3698" s="311">
        <v>1968</v>
      </c>
      <c r="H3698" s="368" t="s">
        <v>2658</v>
      </c>
      <c r="I3698" s="313">
        <v>20</v>
      </c>
      <c r="J3698" s="314">
        <v>41.112000000000002</v>
      </c>
      <c r="K3698" s="314">
        <v>40.970269999999999</v>
      </c>
      <c r="L3698" s="336">
        <f t="shared" si="36"/>
        <v>0.14173000000000258</v>
      </c>
      <c r="M3698" s="337"/>
    </row>
    <row r="3699" spans="1:13" s="71" customFormat="1" ht="26.4" customHeight="1">
      <c r="A3699" s="282">
        <v>103</v>
      </c>
      <c r="B3699" s="537"/>
      <c r="C3699" s="333" t="s">
        <v>15</v>
      </c>
      <c r="D3699" s="333" t="s">
        <v>4574</v>
      </c>
      <c r="E3699" s="260" t="s">
        <v>4590</v>
      </c>
      <c r="F3699" s="334">
        <v>140</v>
      </c>
      <c r="G3699" s="311">
        <v>1968</v>
      </c>
      <c r="H3699" s="368" t="s">
        <v>2658</v>
      </c>
      <c r="I3699" s="313">
        <v>100</v>
      </c>
      <c r="J3699" s="314">
        <v>130.69904</v>
      </c>
      <c r="K3699" s="314">
        <v>122.17413000000001</v>
      </c>
      <c r="L3699" s="336">
        <f t="shared" si="36"/>
        <v>8.5249099999999913</v>
      </c>
      <c r="M3699" s="337"/>
    </row>
    <row r="3700" spans="1:13" s="71" customFormat="1" ht="26.4" customHeight="1">
      <c r="A3700" s="282">
        <v>104</v>
      </c>
      <c r="B3700" s="537"/>
      <c r="C3700" s="333" t="s">
        <v>15</v>
      </c>
      <c r="D3700" s="333" t="s">
        <v>3</v>
      </c>
      <c r="E3700" s="260" t="s">
        <v>4591</v>
      </c>
      <c r="F3700" s="334">
        <v>174</v>
      </c>
      <c r="G3700" s="311">
        <v>1970</v>
      </c>
      <c r="H3700" s="368" t="s">
        <v>2658</v>
      </c>
      <c r="I3700" s="313">
        <v>4079</v>
      </c>
      <c r="J3700" s="314">
        <v>101.17469</v>
      </c>
      <c r="K3700" s="314">
        <v>65.685100000000006</v>
      </c>
      <c r="L3700" s="336">
        <f t="shared" si="36"/>
        <v>35.489589999999993</v>
      </c>
      <c r="M3700" s="337"/>
    </row>
    <row r="3701" spans="1:13" s="71" customFormat="1" ht="26.4" customHeight="1">
      <c r="A3701" s="282">
        <v>105</v>
      </c>
      <c r="B3701" s="537"/>
      <c r="C3701" s="333" t="s">
        <v>15</v>
      </c>
      <c r="D3701" s="333" t="s">
        <v>3</v>
      </c>
      <c r="E3701" s="260" t="s">
        <v>4592</v>
      </c>
      <c r="F3701" s="334">
        <v>186</v>
      </c>
      <c r="G3701" s="311">
        <v>1964</v>
      </c>
      <c r="H3701" s="368" t="s">
        <v>2658</v>
      </c>
      <c r="I3701" s="313">
        <v>1100</v>
      </c>
      <c r="J3701" s="314">
        <v>101.07644000000001</v>
      </c>
      <c r="K3701" s="314">
        <v>101.07644000000001</v>
      </c>
      <c r="L3701" s="336">
        <f t="shared" si="36"/>
        <v>0</v>
      </c>
      <c r="M3701" s="337"/>
    </row>
    <row r="3702" spans="1:13" s="71" customFormat="1" ht="26.4" customHeight="1">
      <c r="A3702" s="282">
        <v>106</v>
      </c>
      <c r="B3702" s="537"/>
      <c r="C3702" s="333" t="s">
        <v>15</v>
      </c>
      <c r="D3702" s="333" t="s">
        <v>4593</v>
      </c>
      <c r="E3702" s="260" t="s">
        <v>4594</v>
      </c>
      <c r="F3702" s="334">
        <v>202</v>
      </c>
      <c r="G3702" s="311">
        <v>1982</v>
      </c>
      <c r="H3702" s="368" t="s">
        <v>2658</v>
      </c>
      <c r="I3702" s="313">
        <v>12</v>
      </c>
      <c r="J3702" s="314">
        <v>1.07108</v>
      </c>
      <c r="K3702" s="314">
        <v>0.82357999999999998</v>
      </c>
      <c r="L3702" s="336">
        <f t="shared" si="36"/>
        <v>0.24750000000000005</v>
      </c>
      <c r="M3702" s="337"/>
    </row>
    <row r="3703" spans="1:13" s="71" customFormat="1" ht="26.4" customHeight="1">
      <c r="A3703" s="282">
        <v>107</v>
      </c>
      <c r="B3703" s="537"/>
      <c r="C3703" s="333" t="s">
        <v>15</v>
      </c>
      <c r="D3703" s="333" t="s">
        <v>4595</v>
      </c>
      <c r="E3703" s="260" t="s">
        <v>4596</v>
      </c>
      <c r="F3703" s="334">
        <v>232</v>
      </c>
      <c r="G3703" s="311">
        <v>1999</v>
      </c>
      <c r="H3703" s="368" t="s">
        <v>2658</v>
      </c>
      <c r="I3703" s="313">
        <v>2837</v>
      </c>
      <c r="J3703" s="314">
        <v>431.108</v>
      </c>
      <c r="K3703" s="314">
        <v>184.72432000000001</v>
      </c>
      <c r="L3703" s="336">
        <f t="shared" si="36"/>
        <v>246.38368</v>
      </c>
      <c r="M3703" s="337"/>
    </row>
    <row r="3704" spans="1:13" s="71" customFormat="1" ht="26.4" customHeight="1">
      <c r="A3704" s="282">
        <v>108</v>
      </c>
      <c r="B3704" s="537"/>
      <c r="C3704" s="333" t="s">
        <v>15</v>
      </c>
      <c r="D3704" s="333" t="s">
        <v>3</v>
      </c>
      <c r="E3704" s="260" t="s">
        <v>12862</v>
      </c>
      <c r="F3704" s="334">
        <v>248</v>
      </c>
      <c r="G3704" s="311">
        <v>2000</v>
      </c>
      <c r="H3704" s="368" t="s">
        <v>2658</v>
      </c>
      <c r="I3704" s="313">
        <v>808</v>
      </c>
      <c r="J3704" s="314">
        <v>1078.05</v>
      </c>
      <c r="K3704" s="314">
        <v>936.89083000000005</v>
      </c>
      <c r="L3704" s="336">
        <f t="shared" si="36"/>
        <v>141.1591699999999</v>
      </c>
      <c r="M3704" s="337"/>
    </row>
    <row r="3705" spans="1:13" s="71" customFormat="1" ht="26.4" customHeight="1">
      <c r="A3705" s="282">
        <v>109</v>
      </c>
      <c r="B3705" s="537"/>
      <c r="C3705" s="333" t="s">
        <v>15</v>
      </c>
      <c r="D3705" s="333" t="s">
        <v>3</v>
      </c>
      <c r="E3705" s="260" t="s">
        <v>13093</v>
      </c>
      <c r="F3705" s="334">
        <v>249</v>
      </c>
      <c r="G3705" s="311">
        <v>2000</v>
      </c>
      <c r="H3705" s="368" t="s">
        <v>2658</v>
      </c>
      <c r="I3705" s="313">
        <v>110</v>
      </c>
      <c r="J3705" s="314">
        <v>26.32</v>
      </c>
      <c r="K3705" s="314">
        <v>25.417999999999999</v>
      </c>
      <c r="L3705" s="336">
        <f t="shared" si="36"/>
        <v>0.90200000000000102</v>
      </c>
      <c r="M3705" s="337"/>
    </row>
    <row r="3706" spans="1:13" s="71" customFormat="1" ht="26.4" customHeight="1">
      <c r="A3706" s="282">
        <v>110</v>
      </c>
      <c r="B3706" s="537"/>
      <c r="C3706" s="333" t="s">
        <v>15</v>
      </c>
      <c r="D3706" s="333" t="s">
        <v>4583</v>
      </c>
      <c r="E3706" s="260" t="s">
        <v>13094</v>
      </c>
      <c r="F3706" s="334">
        <v>251</v>
      </c>
      <c r="G3706" s="311">
        <v>1975</v>
      </c>
      <c r="H3706" s="368" t="s">
        <v>2658</v>
      </c>
      <c r="I3706" s="313">
        <v>2480</v>
      </c>
      <c r="J3706" s="314">
        <v>65.010400000000004</v>
      </c>
      <c r="K3706" s="314">
        <v>63.452129999999997</v>
      </c>
      <c r="L3706" s="336">
        <f t="shared" si="36"/>
        <v>1.5582700000000074</v>
      </c>
      <c r="M3706" s="337"/>
    </row>
    <row r="3707" spans="1:13" s="71" customFormat="1" ht="26.4" customHeight="1">
      <c r="A3707" s="282">
        <v>111</v>
      </c>
      <c r="B3707" s="537"/>
      <c r="C3707" s="333" t="s">
        <v>15</v>
      </c>
      <c r="D3707" s="333" t="s">
        <v>4597</v>
      </c>
      <c r="E3707" s="260" t="s">
        <v>13095</v>
      </c>
      <c r="F3707" s="334">
        <v>252</v>
      </c>
      <c r="G3707" s="311">
        <v>1988</v>
      </c>
      <c r="H3707" s="368" t="s">
        <v>2658</v>
      </c>
      <c r="I3707" s="313">
        <v>204</v>
      </c>
      <c r="J3707" s="314">
        <v>4.0804</v>
      </c>
      <c r="K3707" s="314">
        <v>3.9692799999999999</v>
      </c>
      <c r="L3707" s="336">
        <f t="shared" si="36"/>
        <v>0.11112000000000011</v>
      </c>
      <c r="M3707" s="337"/>
    </row>
    <row r="3708" spans="1:13" s="71" customFormat="1" ht="26.4" customHeight="1">
      <c r="A3708" s="282">
        <v>112</v>
      </c>
      <c r="B3708" s="537"/>
      <c r="C3708" s="333" t="s">
        <v>15</v>
      </c>
      <c r="D3708" s="333" t="s">
        <v>4574</v>
      </c>
      <c r="E3708" s="260" t="s">
        <v>13096</v>
      </c>
      <c r="F3708" s="334">
        <v>253</v>
      </c>
      <c r="G3708" s="311">
        <v>1999</v>
      </c>
      <c r="H3708" s="368" t="s">
        <v>2658</v>
      </c>
      <c r="I3708" s="313">
        <v>48</v>
      </c>
      <c r="J3708" s="314">
        <v>0.90847999999999995</v>
      </c>
      <c r="K3708" s="314">
        <v>0.88624000000000003</v>
      </c>
      <c r="L3708" s="336">
        <f t="shared" si="36"/>
        <v>2.2239999999999926E-2</v>
      </c>
      <c r="M3708" s="337"/>
    </row>
    <row r="3709" spans="1:13" s="71" customFormat="1" ht="26.4" customHeight="1">
      <c r="A3709" s="282">
        <v>113</v>
      </c>
      <c r="B3709" s="537"/>
      <c r="C3709" s="333" t="s">
        <v>15</v>
      </c>
      <c r="D3709" s="333" t="s">
        <v>3</v>
      </c>
      <c r="E3709" s="260" t="s">
        <v>4598</v>
      </c>
      <c r="F3709" s="334">
        <v>254</v>
      </c>
      <c r="G3709" s="311">
        <v>1988</v>
      </c>
      <c r="H3709" s="368" t="s">
        <v>2658</v>
      </c>
      <c r="I3709" s="313">
        <v>80</v>
      </c>
      <c r="J3709" s="314">
        <v>1.9656800000000001</v>
      </c>
      <c r="K3709" s="314">
        <v>1.86568</v>
      </c>
      <c r="L3709" s="336">
        <f t="shared" si="36"/>
        <v>0.10000000000000009</v>
      </c>
      <c r="M3709" s="337"/>
    </row>
    <row r="3710" spans="1:13" s="71" customFormat="1" ht="26.4" customHeight="1">
      <c r="A3710" s="282">
        <v>114</v>
      </c>
      <c r="B3710" s="537"/>
      <c r="C3710" s="333" t="s">
        <v>15</v>
      </c>
      <c r="D3710" s="333" t="s">
        <v>4599</v>
      </c>
      <c r="E3710" s="260" t="s">
        <v>4600</v>
      </c>
      <c r="F3710" s="334">
        <v>255</v>
      </c>
      <c r="G3710" s="311">
        <v>1960</v>
      </c>
      <c r="H3710" s="368" t="s">
        <v>2658</v>
      </c>
      <c r="I3710" s="313">
        <v>530</v>
      </c>
      <c r="J3710" s="314">
        <v>20.210999999999999</v>
      </c>
      <c r="K3710" s="314">
        <v>20.210999999999999</v>
      </c>
      <c r="L3710" s="336">
        <f t="shared" si="36"/>
        <v>0</v>
      </c>
      <c r="M3710" s="337"/>
    </row>
    <row r="3711" spans="1:13" s="71" customFormat="1" ht="26.4" customHeight="1">
      <c r="A3711" s="282">
        <v>115</v>
      </c>
      <c r="B3711" s="537"/>
      <c r="C3711" s="333" t="s">
        <v>15</v>
      </c>
      <c r="D3711" s="333" t="s">
        <v>4599</v>
      </c>
      <c r="E3711" s="260" t="s">
        <v>4601</v>
      </c>
      <c r="F3711" s="334">
        <v>257</v>
      </c>
      <c r="G3711" s="311">
        <v>1960</v>
      </c>
      <c r="H3711" s="368" t="s">
        <v>2658</v>
      </c>
      <c r="I3711" s="313">
        <v>360</v>
      </c>
      <c r="J3711" s="314">
        <v>10.75872</v>
      </c>
      <c r="K3711" s="314">
        <v>10.75872</v>
      </c>
      <c r="L3711" s="336">
        <f t="shared" si="36"/>
        <v>0</v>
      </c>
      <c r="M3711" s="337"/>
    </row>
    <row r="3712" spans="1:13" s="71" customFormat="1" ht="26.4" customHeight="1">
      <c r="A3712" s="282">
        <v>116</v>
      </c>
      <c r="B3712" s="537"/>
      <c r="C3712" s="333" t="s">
        <v>15</v>
      </c>
      <c r="D3712" s="333" t="s">
        <v>4574</v>
      </c>
      <c r="E3712" s="260" t="s">
        <v>4602</v>
      </c>
      <c r="F3712" s="334">
        <v>258</v>
      </c>
      <c r="G3712" s="311">
        <v>1969</v>
      </c>
      <c r="H3712" s="368" t="s">
        <v>2658</v>
      </c>
      <c r="I3712" s="313">
        <v>300</v>
      </c>
      <c r="J3712" s="314">
        <v>9.3983000000000008</v>
      </c>
      <c r="K3712" s="314">
        <v>9.3983000000000008</v>
      </c>
      <c r="L3712" s="336">
        <f t="shared" si="36"/>
        <v>0</v>
      </c>
      <c r="M3712" s="337"/>
    </row>
    <row r="3713" spans="1:13" s="71" customFormat="1" ht="26.4" customHeight="1">
      <c r="A3713" s="282">
        <v>117</v>
      </c>
      <c r="B3713" s="537"/>
      <c r="C3713" s="333" t="s">
        <v>15</v>
      </c>
      <c r="D3713" s="333" t="s">
        <v>4574</v>
      </c>
      <c r="E3713" s="260" t="s">
        <v>4603</v>
      </c>
      <c r="F3713" s="334">
        <v>260</v>
      </c>
      <c r="G3713" s="311">
        <v>1969</v>
      </c>
      <c r="H3713" s="368" t="s">
        <v>2658</v>
      </c>
      <c r="I3713" s="313">
        <v>100</v>
      </c>
      <c r="J3713" s="314">
        <v>4.19252</v>
      </c>
      <c r="K3713" s="314">
        <v>3.5587200000000001</v>
      </c>
      <c r="L3713" s="336">
        <f t="shared" si="36"/>
        <v>0.63379999999999992</v>
      </c>
      <c r="M3713" s="337"/>
    </row>
    <row r="3714" spans="1:13" s="71" customFormat="1" ht="26.4" customHeight="1">
      <c r="A3714" s="282">
        <v>118</v>
      </c>
      <c r="B3714" s="537"/>
      <c r="C3714" s="333" t="s">
        <v>15</v>
      </c>
      <c r="D3714" s="333" t="s">
        <v>4595</v>
      </c>
      <c r="E3714" s="260" t="s">
        <v>4604</v>
      </c>
      <c r="F3714" s="334">
        <v>261</v>
      </c>
      <c r="G3714" s="311">
        <v>1969</v>
      </c>
      <c r="H3714" s="368" t="s">
        <v>2658</v>
      </c>
      <c r="I3714" s="313">
        <v>300</v>
      </c>
      <c r="J3714" s="314">
        <v>11.065020000000001</v>
      </c>
      <c r="K3714" s="314">
        <v>10.364890000000001</v>
      </c>
      <c r="L3714" s="336">
        <f t="shared" si="36"/>
        <v>0.7001299999999997</v>
      </c>
      <c r="M3714" s="337"/>
    </row>
    <row r="3715" spans="1:13" s="71" customFormat="1" ht="26.4" customHeight="1">
      <c r="A3715" s="282">
        <v>119</v>
      </c>
      <c r="B3715" s="537"/>
      <c r="C3715" s="333" t="s">
        <v>15</v>
      </c>
      <c r="D3715" s="333" t="s">
        <v>4605</v>
      </c>
      <c r="E3715" s="260" t="s">
        <v>12705</v>
      </c>
      <c r="F3715" s="334">
        <v>264</v>
      </c>
      <c r="G3715" s="311">
        <v>2000</v>
      </c>
      <c r="H3715" s="368" t="s">
        <v>2658</v>
      </c>
      <c r="I3715" s="313">
        <v>1373</v>
      </c>
      <c r="J3715" s="314">
        <v>99.6</v>
      </c>
      <c r="K3715" s="314">
        <v>63.952849999999998</v>
      </c>
      <c r="L3715" s="336">
        <f t="shared" si="36"/>
        <v>35.647149999999996</v>
      </c>
      <c r="M3715" s="337"/>
    </row>
    <row r="3716" spans="1:13" s="71" customFormat="1" ht="26.4" customHeight="1">
      <c r="A3716" s="282">
        <v>120</v>
      </c>
      <c r="B3716" s="537"/>
      <c r="C3716" s="333" t="s">
        <v>15</v>
      </c>
      <c r="D3716" s="333" t="s">
        <v>4606</v>
      </c>
      <c r="E3716" s="260" t="s">
        <v>4607</v>
      </c>
      <c r="F3716" s="334">
        <v>265</v>
      </c>
      <c r="G3716" s="311">
        <v>1959</v>
      </c>
      <c r="H3716" s="368" t="s">
        <v>2658</v>
      </c>
      <c r="I3716" s="313">
        <v>2200</v>
      </c>
      <c r="J3716" s="314">
        <v>288.7</v>
      </c>
      <c r="K3716" s="314">
        <v>288.62385</v>
      </c>
      <c r="L3716" s="336">
        <f t="shared" si="36"/>
        <v>7.6149999999984175E-2</v>
      </c>
      <c r="M3716" s="337"/>
    </row>
    <row r="3717" spans="1:13" s="71" customFormat="1" ht="26.4" customHeight="1">
      <c r="A3717" s="282">
        <v>121</v>
      </c>
      <c r="B3717" s="537"/>
      <c r="C3717" s="333" t="s">
        <v>15</v>
      </c>
      <c r="D3717" s="333" t="s">
        <v>4606</v>
      </c>
      <c r="E3717" s="260" t="s">
        <v>4608</v>
      </c>
      <c r="F3717" s="334">
        <v>266</v>
      </c>
      <c r="G3717" s="311">
        <v>1959</v>
      </c>
      <c r="H3717" s="368" t="s">
        <v>2658</v>
      </c>
      <c r="I3717" s="313">
        <v>1000</v>
      </c>
      <c r="J3717" s="314">
        <v>204.86904000000001</v>
      </c>
      <c r="K3717" s="314">
        <v>204.78588999999999</v>
      </c>
      <c r="L3717" s="336">
        <f t="shared" si="36"/>
        <v>8.3150000000017599E-2</v>
      </c>
      <c r="M3717" s="337"/>
    </row>
    <row r="3718" spans="1:13" s="71" customFormat="1" ht="26.4" customHeight="1">
      <c r="A3718" s="282">
        <v>122</v>
      </c>
      <c r="B3718" s="537"/>
      <c r="C3718" s="333" t="s">
        <v>15</v>
      </c>
      <c r="D3718" s="333" t="s">
        <v>4609</v>
      </c>
      <c r="E3718" s="260" t="s">
        <v>4610</v>
      </c>
      <c r="F3718" s="334">
        <v>267</v>
      </c>
      <c r="G3718" s="311">
        <v>1959</v>
      </c>
      <c r="H3718" s="368" t="s">
        <v>2658</v>
      </c>
      <c r="I3718" s="313">
        <v>700</v>
      </c>
      <c r="J3718" s="314">
        <v>61.996000000000002</v>
      </c>
      <c r="K3718" s="314">
        <v>61.954149999999998</v>
      </c>
      <c r="L3718" s="336">
        <f t="shared" si="36"/>
        <v>4.1850000000003718E-2</v>
      </c>
      <c r="M3718" s="337"/>
    </row>
    <row r="3719" spans="1:13" s="332" customFormat="1" ht="26.4" customHeight="1">
      <c r="A3719" s="282">
        <v>123</v>
      </c>
      <c r="B3719" s="537"/>
      <c r="C3719" s="313" t="s">
        <v>15</v>
      </c>
      <c r="D3719" s="313" t="s">
        <v>4611</v>
      </c>
      <c r="E3719" s="260" t="s">
        <v>13097</v>
      </c>
      <c r="F3719" s="310">
        <v>268</v>
      </c>
      <c r="G3719" s="311">
        <v>1953</v>
      </c>
      <c r="H3719" s="368" t="s">
        <v>2658</v>
      </c>
      <c r="I3719" s="313">
        <v>600</v>
      </c>
      <c r="J3719" s="314">
        <v>7.2320000000000002</v>
      </c>
      <c r="K3719" s="314">
        <v>6.7824299999999997</v>
      </c>
      <c r="L3719" s="314">
        <f t="shared" si="36"/>
        <v>0.44957000000000047</v>
      </c>
      <c r="M3719" s="331"/>
    </row>
    <row r="3720" spans="1:13" s="71" customFormat="1" ht="26.4" customHeight="1">
      <c r="A3720" s="282">
        <v>124</v>
      </c>
      <c r="B3720" s="537"/>
      <c r="C3720" s="333" t="s">
        <v>15</v>
      </c>
      <c r="D3720" s="333" t="s">
        <v>4612</v>
      </c>
      <c r="E3720" s="260" t="s">
        <v>13098</v>
      </c>
      <c r="F3720" s="334">
        <v>269</v>
      </c>
      <c r="G3720" s="311">
        <v>1953</v>
      </c>
      <c r="H3720" s="368" t="s">
        <v>2658</v>
      </c>
      <c r="I3720" s="313">
        <v>1000</v>
      </c>
      <c r="J3720" s="314">
        <v>10.96</v>
      </c>
      <c r="K3720" s="314">
        <v>10.96</v>
      </c>
      <c r="L3720" s="336">
        <f t="shared" si="36"/>
        <v>0</v>
      </c>
      <c r="M3720" s="337"/>
    </row>
    <row r="3721" spans="1:13" s="71" customFormat="1" ht="26.4" customHeight="1">
      <c r="A3721" s="282">
        <v>125</v>
      </c>
      <c r="B3721" s="537"/>
      <c r="C3721" s="333" t="s">
        <v>15</v>
      </c>
      <c r="D3721" s="333" t="s">
        <v>4613</v>
      </c>
      <c r="E3721" s="260" t="s">
        <v>13099</v>
      </c>
      <c r="F3721" s="334">
        <v>270</v>
      </c>
      <c r="G3721" s="311">
        <v>1953</v>
      </c>
      <c r="H3721" s="368" t="s">
        <v>2658</v>
      </c>
      <c r="I3721" s="313">
        <v>700</v>
      </c>
      <c r="J3721" s="314">
        <v>4.8220000000000001</v>
      </c>
      <c r="K3721" s="314">
        <v>4.8220000000000001</v>
      </c>
      <c r="L3721" s="336">
        <f t="shared" si="36"/>
        <v>0</v>
      </c>
      <c r="M3721" s="337"/>
    </row>
    <row r="3722" spans="1:13" s="71" customFormat="1" ht="26.4" customHeight="1">
      <c r="A3722" s="282">
        <v>126</v>
      </c>
      <c r="B3722" s="537"/>
      <c r="C3722" s="333" t="s">
        <v>15</v>
      </c>
      <c r="D3722" s="333" t="s">
        <v>4614</v>
      </c>
      <c r="E3722" s="260" t="s">
        <v>4615</v>
      </c>
      <c r="F3722" s="334">
        <v>271</v>
      </c>
      <c r="G3722" s="311">
        <v>1953</v>
      </c>
      <c r="H3722" s="368" t="s">
        <v>2658</v>
      </c>
      <c r="I3722" s="313">
        <v>460</v>
      </c>
      <c r="J3722" s="314">
        <v>3.5950799999999998</v>
      </c>
      <c r="K3722" s="314">
        <v>3.5950799999999998</v>
      </c>
      <c r="L3722" s="336">
        <f t="shared" si="36"/>
        <v>0</v>
      </c>
      <c r="M3722" s="337"/>
    </row>
    <row r="3723" spans="1:13" s="71" customFormat="1" ht="26.4" customHeight="1">
      <c r="A3723" s="282">
        <v>127</v>
      </c>
      <c r="B3723" s="537"/>
      <c r="C3723" s="333" t="s">
        <v>15</v>
      </c>
      <c r="D3723" s="333" t="s">
        <v>4616</v>
      </c>
      <c r="E3723" s="260" t="s">
        <v>4617</v>
      </c>
      <c r="F3723" s="334">
        <v>272</v>
      </c>
      <c r="G3723" s="311">
        <v>1953</v>
      </c>
      <c r="H3723" s="368" t="s">
        <v>2658</v>
      </c>
      <c r="I3723" s="313">
        <v>560</v>
      </c>
      <c r="J3723" s="314">
        <v>3.59</v>
      </c>
      <c r="K3723" s="314">
        <v>3.59</v>
      </c>
      <c r="L3723" s="336">
        <f t="shared" si="36"/>
        <v>0</v>
      </c>
      <c r="M3723" s="337"/>
    </row>
    <row r="3724" spans="1:13" s="71" customFormat="1" ht="26.4" customHeight="1">
      <c r="A3724" s="282">
        <v>128</v>
      </c>
      <c r="B3724" s="537"/>
      <c r="C3724" s="333" t="s">
        <v>15</v>
      </c>
      <c r="D3724" s="307" t="s">
        <v>4618</v>
      </c>
      <c r="E3724" s="260" t="s">
        <v>4619</v>
      </c>
      <c r="F3724" s="334">
        <v>273</v>
      </c>
      <c r="G3724" s="311">
        <v>1953</v>
      </c>
      <c r="H3724" s="368" t="s">
        <v>2658</v>
      </c>
      <c r="I3724" s="313">
        <v>560</v>
      </c>
      <c r="J3724" s="314">
        <v>3.3681000000000001</v>
      </c>
      <c r="K3724" s="314">
        <v>3.3681000000000001</v>
      </c>
      <c r="L3724" s="336">
        <f t="shared" si="36"/>
        <v>0</v>
      </c>
      <c r="M3724" s="337"/>
    </row>
    <row r="3725" spans="1:13" s="71" customFormat="1" ht="26.4" customHeight="1">
      <c r="A3725" s="282">
        <v>129</v>
      </c>
      <c r="B3725" s="537"/>
      <c r="C3725" s="333" t="s">
        <v>15</v>
      </c>
      <c r="D3725" s="307" t="s">
        <v>4620</v>
      </c>
      <c r="E3725" s="260" t="s">
        <v>4621</v>
      </c>
      <c r="F3725" s="334">
        <v>274</v>
      </c>
      <c r="G3725" s="311">
        <v>1953</v>
      </c>
      <c r="H3725" s="368" t="s">
        <v>2658</v>
      </c>
      <c r="I3725" s="313">
        <v>1410</v>
      </c>
      <c r="J3725" s="314">
        <v>8.6866000000000003</v>
      </c>
      <c r="K3725" s="314">
        <v>8.0948799999999999</v>
      </c>
      <c r="L3725" s="336">
        <f t="shared" ref="L3725:L3788" si="37">J3725-K3725</f>
        <v>0.59172000000000047</v>
      </c>
      <c r="M3725" s="337"/>
    </row>
    <row r="3726" spans="1:13" s="71" customFormat="1" ht="36.75" customHeight="1">
      <c r="A3726" s="282">
        <v>130</v>
      </c>
      <c r="B3726" s="537"/>
      <c r="C3726" s="333" t="s">
        <v>15</v>
      </c>
      <c r="D3726" s="333" t="s">
        <v>4622</v>
      </c>
      <c r="E3726" s="260" t="s">
        <v>13100</v>
      </c>
      <c r="F3726" s="334">
        <v>275</v>
      </c>
      <c r="G3726" s="311">
        <v>1953</v>
      </c>
      <c r="H3726" s="368" t="s">
        <v>2658</v>
      </c>
      <c r="I3726" s="313">
        <v>630</v>
      </c>
      <c r="J3726" s="314">
        <v>1.9854799999999999</v>
      </c>
      <c r="K3726" s="314">
        <v>1.9854799999999999</v>
      </c>
      <c r="L3726" s="336">
        <f t="shared" si="37"/>
        <v>0</v>
      </c>
      <c r="M3726" s="337"/>
    </row>
    <row r="3727" spans="1:13" s="71" customFormat="1" ht="26.4" customHeight="1">
      <c r="A3727" s="282">
        <v>131</v>
      </c>
      <c r="B3727" s="537"/>
      <c r="C3727" s="333" t="s">
        <v>15</v>
      </c>
      <c r="D3727" s="333" t="s">
        <v>4623</v>
      </c>
      <c r="E3727" s="260" t="s">
        <v>4624</v>
      </c>
      <c r="F3727" s="334">
        <v>276</v>
      </c>
      <c r="G3727" s="311">
        <v>1953</v>
      </c>
      <c r="H3727" s="368" t="s">
        <v>2658</v>
      </c>
      <c r="I3727" s="313">
        <v>80</v>
      </c>
      <c r="J3727" s="314">
        <v>0.53098000000000001</v>
      </c>
      <c r="K3727" s="314">
        <v>0.48226999999999998</v>
      </c>
      <c r="L3727" s="336">
        <f t="shared" si="37"/>
        <v>4.8710000000000031E-2</v>
      </c>
      <c r="M3727" s="337"/>
    </row>
    <row r="3728" spans="1:13" s="71" customFormat="1" ht="26.4" customHeight="1">
      <c r="A3728" s="282">
        <v>132</v>
      </c>
      <c r="B3728" s="537"/>
      <c r="C3728" s="333" t="s">
        <v>15</v>
      </c>
      <c r="D3728" s="333" t="s">
        <v>4625</v>
      </c>
      <c r="E3728" s="260" t="s">
        <v>4626</v>
      </c>
      <c r="F3728" s="334">
        <v>277</v>
      </c>
      <c r="G3728" s="311">
        <v>1961</v>
      </c>
      <c r="H3728" s="368" t="s">
        <v>2658</v>
      </c>
      <c r="I3728" s="313">
        <v>1650</v>
      </c>
      <c r="J3728" s="314">
        <v>8.6579800000000002</v>
      </c>
      <c r="K3728" s="314">
        <v>8.6579800000000002</v>
      </c>
      <c r="L3728" s="336">
        <f t="shared" si="37"/>
        <v>0</v>
      </c>
      <c r="M3728" s="337"/>
    </row>
    <row r="3729" spans="1:13" s="71" customFormat="1" ht="26.4" customHeight="1">
      <c r="A3729" s="282">
        <v>133</v>
      </c>
      <c r="B3729" s="537"/>
      <c r="C3729" s="333" t="s">
        <v>15</v>
      </c>
      <c r="D3729" s="333" t="s">
        <v>4627</v>
      </c>
      <c r="E3729" s="260" t="s">
        <v>4628</v>
      </c>
      <c r="F3729" s="334">
        <v>278</v>
      </c>
      <c r="G3729" s="311">
        <v>1961</v>
      </c>
      <c r="H3729" s="368" t="s">
        <v>2658</v>
      </c>
      <c r="I3729" s="313">
        <v>400</v>
      </c>
      <c r="J3729" s="314">
        <v>10.5571</v>
      </c>
      <c r="K3729" s="314">
        <v>10.5571</v>
      </c>
      <c r="L3729" s="336">
        <f t="shared" si="37"/>
        <v>0</v>
      </c>
      <c r="M3729" s="337"/>
    </row>
    <row r="3730" spans="1:13" s="71" customFormat="1" ht="26.4" customHeight="1">
      <c r="A3730" s="282">
        <v>134</v>
      </c>
      <c r="B3730" s="537"/>
      <c r="C3730" s="333" t="s">
        <v>15</v>
      </c>
      <c r="D3730" s="333" t="s">
        <v>4595</v>
      </c>
      <c r="E3730" s="260" t="s">
        <v>4629</v>
      </c>
      <c r="F3730" s="334">
        <v>281</v>
      </c>
      <c r="G3730" s="311">
        <v>1963</v>
      </c>
      <c r="H3730" s="368" t="s">
        <v>2658</v>
      </c>
      <c r="I3730" s="313">
        <v>5700</v>
      </c>
      <c r="J3730" s="314">
        <v>47.802599999999998</v>
      </c>
      <c r="K3730" s="314">
        <v>47.802599999999998</v>
      </c>
      <c r="L3730" s="336">
        <f t="shared" si="37"/>
        <v>0</v>
      </c>
      <c r="M3730" s="337"/>
    </row>
    <row r="3731" spans="1:13" s="71" customFormat="1" ht="26.4" customHeight="1">
      <c r="A3731" s="282">
        <v>135</v>
      </c>
      <c r="B3731" s="537"/>
      <c r="C3731" s="333" t="s">
        <v>15</v>
      </c>
      <c r="D3731" s="333" t="s">
        <v>4630</v>
      </c>
      <c r="E3731" s="260" t="s">
        <v>4631</v>
      </c>
      <c r="F3731" s="334">
        <v>282</v>
      </c>
      <c r="G3731" s="311">
        <v>1961</v>
      </c>
      <c r="H3731" s="368" t="s">
        <v>2658</v>
      </c>
      <c r="I3731" s="313">
        <v>160</v>
      </c>
      <c r="J3731" s="314">
        <v>4.5164999999999997</v>
      </c>
      <c r="K3731" s="314">
        <v>4.5164999999999997</v>
      </c>
      <c r="L3731" s="336">
        <f t="shared" si="37"/>
        <v>0</v>
      </c>
      <c r="M3731" s="337"/>
    </row>
    <row r="3732" spans="1:13" s="71" customFormat="1" ht="26.4" customHeight="1">
      <c r="A3732" s="282">
        <v>136</v>
      </c>
      <c r="B3732" s="537"/>
      <c r="C3732" s="333" t="s">
        <v>15</v>
      </c>
      <c r="D3732" s="333" t="s">
        <v>4632</v>
      </c>
      <c r="E3732" s="260" t="s">
        <v>4633</v>
      </c>
      <c r="F3732" s="334">
        <v>283</v>
      </c>
      <c r="G3732" s="311">
        <v>1961</v>
      </c>
      <c r="H3732" s="368" t="s">
        <v>2658</v>
      </c>
      <c r="I3732" s="313">
        <v>140</v>
      </c>
      <c r="J3732" s="314">
        <v>8.6401199999999996</v>
      </c>
      <c r="K3732" s="314">
        <v>8.0514100000000006</v>
      </c>
      <c r="L3732" s="336">
        <f t="shared" si="37"/>
        <v>0.58870999999999896</v>
      </c>
      <c r="M3732" s="337"/>
    </row>
    <row r="3733" spans="1:13" s="71" customFormat="1" ht="26.4" customHeight="1">
      <c r="A3733" s="282">
        <v>137</v>
      </c>
      <c r="B3733" s="537"/>
      <c r="C3733" s="333" t="s">
        <v>15</v>
      </c>
      <c r="D3733" s="333" t="s">
        <v>4634</v>
      </c>
      <c r="E3733" s="260" t="s">
        <v>4635</v>
      </c>
      <c r="F3733" s="334">
        <v>284</v>
      </c>
      <c r="G3733" s="311">
        <v>1961</v>
      </c>
      <c r="H3733" s="368" t="s">
        <v>2658</v>
      </c>
      <c r="I3733" s="313">
        <v>100</v>
      </c>
      <c r="J3733" s="314">
        <v>5.1760400000000004</v>
      </c>
      <c r="K3733" s="314">
        <v>5.1760400000000004</v>
      </c>
      <c r="L3733" s="336">
        <f t="shared" si="37"/>
        <v>0</v>
      </c>
      <c r="M3733" s="337"/>
    </row>
    <row r="3734" spans="1:13" s="71" customFormat="1" ht="26.4" customHeight="1">
      <c r="A3734" s="282">
        <v>138</v>
      </c>
      <c r="B3734" s="537"/>
      <c r="C3734" s="333" t="s">
        <v>15</v>
      </c>
      <c r="D3734" s="333" t="s">
        <v>4636</v>
      </c>
      <c r="E3734" s="260" t="s">
        <v>13101</v>
      </c>
      <c r="F3734" s="334">
        <v>285</v>
      </c>
      <c r="G3734" s="311">
        <v>1961</v>
      </c>
      <c r="H3734" s="368" t="s">
        <v>2658</v>
      </c>
      <c r="I3734" s="313">
        <v>400</v>
      </c>
      <c r="J3734" s="314">
        <v>10.6571</v>
      </c>
      <c r="K3734" s="314">
        <v>10.6571</v>
      </c>
      <c r="L3734" s="336">
        <f t="shared" si="37"/>
        <v>0</v>
      </c>
      <c r="M3734" s="337"/>
    </row>
    <row r="3735" spans="1:13" s="71" customFormat="1" ht="26.4" customHeight="1">
      <c r="A3735" s="282">
        <v>139</v>
      </c>
      <c r="B3735" s="537"/>
      <c r="C3735" s="333" t="s">
        <v>15</v>
      </c>
      <c r="D3735" s="333" t="s">
        <v>4627</v>
      </c>
      <c r="E3735" s="260" t="s">
        <v>4637</v>
      </c>
      <c r="F3735" s="334">
        <v>286</v>
      </c>
      <c r="G3735" s="311">
        <v>1961</v>
      </c>
      <c r="H3735" s="368" t="s">
        <v>2658</v>
      </c>
      <c r="I3735" s="313">
        <v>200</v>
      </c>
      <c r="J3735" s="314">
        <v>5.2851400000000002</v>
      </c>
      <c r="K3735" s="314">
        <v>5.2851400000000002</v>
      </c>
      <c r="L3735" s="336">
        <f t="shared" si="37"/>
        <v>0</v>
      </c>
      <c r="M3735" s="337"/>
    </row>
    <row r="3736" spans="1:13" s="71" customFormat="1" ht="26.4" customHeight="1">
      <c r="A3736" s="282">
        <v>140</v>
      </c>
      <c r="B3736" s="537"/>
      <c r="C3736" s="333" t="s">
        <v>15</v>
      </c>
      <c r="D3736" s="333" t="s">
        <v>4638</v>
      </c>
      <c r="E3736" s="260" t="s">
        <v>4639</v>
      </c>
      <c r="F3736" s="334">
        <v>288</v>
      </c>
      <c r="G3736" s="311">
        <v>1957</v>
      </c>
      <c r="H3736" s="368" t="s">
        <v>2658</v>
      </c>
      <c r="I3736" s="313">
        <v>100</v>
      </c>
      <c r="J3736" s="314">
        <v>3.6994400000000001</v>
      </c>
      <c r="K3736" s="314">
        <v>3.6994400000000001</v>
      </c>
      <c r="L3736" s="336">
        <f t="shared" si="37"/>
        <v>0</v>
      </c>
      <c r="M3736" s="337"/>
    </row>
    <row r="3737" spans="1:13" s="71" customFormat="1" ht="26.4" customHeight="1">
      <c r="A3737" s="282">
        <v>141</v>
      </c>
      <c r="B3737" s="537"/>
      <c r="C3737" s="333" t="s">
        <v>15</v>
      </c>
      <c r="D3737" s="333" t="s">
        <v>3</v>
      </c>
      <c r="E3737" s="260" t="s">
        <v>4640</v>
      </c>
      <c r="F3737" s="334">
        <v>289</v>
      </c>
      <c r="G3737" s="311">
        <v>1961</v>
      </c>
      <c r="H3737" s="368" t="s">
        <v>2658</v>
      </c>
      <c r="I3737" s="313">
        <v>750</v>
      </c>
      <c r="J3737" s="314">
        <v>18.726859999999999</v>
      </c>
      <c r="K3737" s="314">
        <v>18.726859999999999</v>
      </c>
      <c r="L3737" s="336">
        <f t="shared" si="37"/>
        <v>0</v>
      </c>
      <c r="M3737" s="337"/>
    </row>
    <row r="3738" spans="1:13" s="71" customFormat="1" ht="26.4" customHeight="1">
      <c r="A3738" s="282">
        <v>142</v>
      </c>
      <c r="B3738" s="537"/>
      <c r="C3738" s="333" t="s">
        <v>15</v>
      </c>
      <c r="D3738" s="333" t="s">
        <v>4634</v>
      </c>
      <c r="E3738" s="260" t="s">
        <v>4641</v>
      </c>
      <c r="F3738" s="334">
        <v>290</v>
      </c>
      <c r="G3738" s="311">
        <v>1988</v>
      </c>
      <c r="H3738" s="368" t="s">
        <v>2658</v>
      </c>
      <c r="I3738" s="313">
        <v>222</v>
      </c>
      <c r="J3738" s="314">
        <v>10.805999999999999</v>
      </c>
      <c r="K3738" s="314">
        <v>10.069520000000001</v>
      </c>
      <c r="L3738" s="336">
        <f t="shared" si="37"/>
        <v>0.73647999999999847</v>
      </c>
      <c r="M3738" s="337"/>
    </row>
    <row r="3739" spans="1:13" s="71" customFormat="1" ht="26.4" customHeight="1">
      <c r="A3739" s="282">
        <v>143</v>
      </c>
      <c r="B3739" s="537"/>
      <c r="C3739" s="333" t="s">
        <v>15</v>
      </c>
      <c r="D3739" s="333" t="s">
        <v>4632</v>
      </c>
      <c r="E3739" s="260" t="s">
        <v>4642</v>
      </c>
      <c r="F3739" s="334">
        <v>291</v>
      </c>
      <c r="G3739" s="311">
        <v>1994</v>
      </c>
      <c r="H3739" s="368" t="s">
        <v>2658</v>
      </c>
      <c r="I3739" s="313">
        <v>450</v>
      </c>
      <c r="J3739" s="314">
        <v>0.67415000000000003</v>
      </c>
      <c r="K3739" s="314">
        <v>0.62836000000000003</v>
      </c>
      <c r="L3739" s="336">
        <f t="shared" si="37"/>
        <v>4.5789999999999997E-2</v>
      </c>
      <c r="M3739" s="337"/>
    </row>
    <row r="3740" spans="1:13" s="71" customFormat="1" ht="26.4" customHeight="1">
      <c r="A3740" s="282">
        <v>144</v>
      </c>
      <c r="B3740" s="537"/>
      <c r="C3740" s="333" t="s">
        <v>15</v>
      </c>
      <c r="D3740" s="333" t="s">
        <v>4595</v>
      </c>
      <c r="E3740" s="260" t="s">
        <v>4643</v>
      </c>
      <c r="F3740" s="334">
        <v>292</v>
      </c>
      <c r="G3740" s="311">
        <v>1984</v>
      </c>
      <c r="H3740" s="368" t="s">
        <v>2658</v>
      </c>
      <c r="I3740" s="313">
        <v>320</v>
      </c>
      <c r="J3740" s="314">
        <v>0.93015999999999999</v>
      </c>
      <c r="K3740" s="314">
        <v>0.85518000000000005</v>
      </c>
      <c r="L3740" s="336">
        <f t="shared" si="37"/>
        <v>7.4979999999999936E-2</v>
      </c>
      <c r="M3740" s="337"/>
    </row>
    <row r="3741" spans="1:13" s="71" customFormat="1" ht="26.4" customHeight="1">
      <c r="A3741" s="282">
        <v>145</v>
      </c>
      <c r="B3741" s="537"/>
      <c r="C3741" s="333" t="s">
        <v>15</v>
      </c>
      <c r="D3741" s="333" t="s">
        <v>4644</v>
      </c>
      <c r="E3741" s="260" t="s">
        <v>13102</v>
      </c>
      <c r="F3741" s="334">
        <v>293</v>
      </c>
      <c r="G3741" s="311">
        <v>1961</v>
      </c>
      <c r="H3741" s="368" t="s">
        <v>2658</v>
      </c>
      <c r="I3741" s="313">
        <v>1200</v>
      </c>
      <c r="J3741" s="314">
        <v>68.917599999999993</v>
      </c>
      <c r="K3741" s="314">
        <v>66.667569999999998</v>
      </c>
      <c r="L3741" s="336">
        <f t="shared" si="37"/>
        <v>2.2500299999999953</v>
      </c>
      <c r="M3741" s="337"/>
    </row>
    <row r="3742" spans="1:13" s="71" customFormat="1" ht="26.4" customHeight="1">
      <c r="A3742" s="282">
        <v>146</v>
      </c>
      <c r="B3742" s="537"/>
      <c r="C3742" s="333" t="s">
        <v>15</v>
      </c>
      <c r="D3742" s="333" t="s">
        <v>4595</v>
      </c>
      <c r="E3742" s="260" t="s">
        <v>4645</v>
      </c>
      <c r="F3742" s="334">
        <v>294</v>
      </c>
      <c r="G3742" s="311">
        <v>1968</v>
      </c>
      <c r="H3742" s="368" t="s">
        <v>2658</v>
      </c>
      <c r="I3742" s="313">
        <v>2600</v>
      </c>
      <c r="J3742" s="314">
        <v>3.9494600000000002</v>
      </c>
      <c r="K3742" s="314">
        <v>3.9494600000000002</v>
      </c>
      <c r="L3742" s="336">
        <f t="shared" si="37"/>
        <v>0</v>
      </c>
      <c r="M3742" s="337"/>
    </row>
    <row r="3743" spans="1:13" s="71" customFormat="1" ht="26.4" customHeight="1">
      <c r="A3743" s="282">
        <v>147</v>
      </c>
      <c r="B3743" s="537"/>
      <c r="C3743" s="333" t="s">
        <v>15</v>
      </c>
      <c r="D3743" s="333" t="s">
        <v>3</v>
      </c>
      <c r="E3743" s="260" t="s">
        <v>4646</v>
      </c>
      <c r="F3743" s="334">
        <v>295</v>
      </c>
      <c r="G3743" s="311">
        <v>1994</v>
      </c>
      <c r="H3743" s="368" t="s">
        <v>2658</v>
      </c>
      <c r="I3743" s="313">
        <v>5360</v>
      </c>
      <c r="J3743" s="314">
        <v>1.1537999999999999</v>
      </c>
      <c r="K3743" s="314">
        <v>1.1537999999999999</v>
      </c>
      <c r="L3743" s="336">
        <f t="shared" si="37"/>
        <v>0</v>
      </c>
      <c r="M3743" s="337"/>
    </row>
    <row r="3744" spans="1:13" s="71" customFormat="1" ht="26.4" customHeight="1">
      <c r="A3744" s="282">
        <v>148</v>
      </c>
      <c r="B3744" s="537"/>
      <c r="C3744" s="333" t="s">
        <v>15</v>
      </c>
      <c r="D3744" s="333" t="s">
        <v>4647</v>
      </c>
      <c r="E3744" s="260" t="s">
        <v>4648</v>
      </c>
      <c r="F3744" s="334">
        <v>297</v>
      </c>
      <c r="G3744" s="311">
        <v>1959</v>
      </c>
      <c r="H3744" s="368" t="s">
        <v>2658</v>
      </c>
      <c r="I3744" s="313">
        <v>80</v>
      </c>
      <c r="J3744" s="314">
        <v>11.53008</v>
      </c>
      <c r="K3744" s="314">
        <v>11.46363</v>
      </c>
      <c r="L3744" s="336">
        <f t="shared" si="37"/>
        <v>6.6449999999999676E-2</v>
      </c>
      <c r="M3744" s="337"/>
    </row>
    <row r="3745" spans="1:13" s="71" customFormat="1" ht="26.4" customHeight="1">
      <c r="A3745" s="282">
        <v>149</v>
      </c>
      <c r="B3745" s="537"/>
      <c r="C3745" s="333" t="s">
        <v>15</v>
      </c>
      <c r="D3745" s="333" t="s">
        <v>4647</v>
      </c>
      <c r="E3745" s="260" t="s">
        <v>4649</v>
      </c>
      <c r="F3745" s="334">
        <v>298</v>
      </c>
      <c r="G3745" s="311">
        <v>1958</v>
      </c>
      <c r="H3745" s="368" t="s">
        <v>2658</v>
      </c>
      <c r="I3745" s="313">
        <v>1200</v>
      </c>
      <c r="J3745" s="314">
        <v>35.684040000000003</v>
      </c>
      <c r="K3745" s="314">
        <v>33.552590000000002</v>
      </c>
      <c r="L3745" s="336">
        <f t="shared" si="37"/>
        <v>2.131450000000001</v>
      </c>
      <c r="M3745" s="337"/>
    </row>
    <row r="3746" spans="1:13" s="71" customFormat="1" ht="26.4" customHeight="1">
      <c r="A3746" s="282">
        <v>150</v>
      </c>
      <c r="B3746" s="537"/>
      <c r="C3746" s="333" t="s">
        <v>15</v>
      </c>
      <c r="D3746" s="333" t="s">
        <v>4647</v>
      </c>
      <c r="E3746" s="260" t="s">
        <v>4650</v>
      </c>
      <c r="F3746" s="334">
        <v>299</v>
      </c>
      <c r="G3746" s="311">
        <v>1952</v>
      </c>
      <c r="H3746" s="368" t="s">
        <v>2658</v>
      </c>
      <c r="I3746" s="313">
        <v>80</v>
      </c>
      <c r="J3746" s="314">
        <v>9.2917199999999998</v>
      </c>
      <c r="K3746" s="314">
        <v>9.2917199999999998</v>
      </c>
      <c r="L3746" s="336">
        <f t="shared" si="37"/>
        <v>0</v>
      </c>
      <c r="M3746" s="337"/>
    </row>
    <row r="3747" spans="1:13" s="71" customFormat="1" ht="26.4" customHeight="1">
      <c r="A3747" s="282">
        <v>151</v>
      </c>
      <c r="B3747" s="537"/>
      <c r="C3747" s="333" t="s">
        <v>15</v>
      </c>
      <c r="D3747" s="333" t="s">
        <v>4647</v>
      </c>
      <c r="E3747" s="260" t="s">
        <v>4651</v>
      </c>
      <c r="F3747" s="334">
        <v>300</v>
      </c>
      <c r="G3747" s="311">
        <v>1950</v>
      </c>
      <c r="H3747" s="368" t="s">
        <v>2658</v>
      </c>
      <c r="I3747" s="313">
        <v>480</v>
      </c>
      <c r="J3747" s="314">
        <v>5.1087199999999999</v>
      </c>
      <c r="K3747" s="314">
        <v>5.1087199999999999</v>
      </c>
      <c r="L3747" s="336">
        <f t="shared" si="37"/>
        <v>0</v>
      </c>
      <c r="M3747" s="337"/>
    </row>
    <row r="3748" spans="1:13" s="71" customFormat="1" ht="26.4" customHeight="1">
      <c r="A3748" s="282">
        <v>152</v>
      </c>
      <c r="B3748" s="537"/>
      <c r="C3748" s="333" t="s">
        <v>15</v>
      </c>
      <c r="D3748" s="333" t="s">
        <v>4606</v>
      </c>
      <c r="E3748" s="260" t="s">
        <v>4652</v>
      </c>
      <c r="F3748" s="334">
        <v>301</v>
      </c>
      <c r="G3748" s="311">
        <v>1958</v>
      </c>
      <c r="H3748" s="368" t="s">
        <v>2658</v>
      </c>
      <c r="I3748" s="313">
        <v>200</v>
      </c>
      <c r="J3748" s="314">
        <v>46.064999999999998</v>
      </c>
      <c r="K3748" s="314">
        <v>45.592820000000003</v>
      </c>
      <c r="L3748" s="336">
        <f t="shared" si="37"/>
        <v>0.47217999999999449</v>
      </c>
      <c r="M3748" s="337"/>
    </row>
    <row r="3749" spans="1:13" s="71" customFormat="1" ht="26.4" customHeight="1">
      <c r="A3749" s="282">
        <v>153</v>
      </c>
      <c r="B3749" s="537"/>
      <c r="C3749" s="333" t="s">
        <v>15</v>
      </c>
      <c r="D3749" s="333" t="s">
        <v>4606</v>
      </c>
      <c r="E3749" s="260" t="s">
        <v>4653</v>
      </c>
      <c r="F3749" s="334">
        <v>302</v>
      </c>
      <c r="G3749" s="311">
        <v>1957</v>
      </c>
      <c r="H3749" s="368" t="s">
        <v>2658</v>
      </c>
      <c r="I3749" s="313">
        <v>400</v>
      </c>
      <c r="J3749" s="314">
        <v>9.42</v>
      </c>
      <c r="K3749" s="314">
        <v>9.3043899999999997</v>
      </c>
      <c r="L3749" s="336">
        <f t="shared" si="37"/>
        <v>0.11561000000000021</v>
      </c>
      <c r="M3749" s="337"/>
    </row>
    <row r="3750" spans="1:13" s="71" customFormat="1" ht="26.4" customHeight="1">
      <c r="A3750" s="282">
        <v>154</v>
      </c>
      <c r="B3750" s="537"/>
      <c r="C3750" s="333" t="s">
        <v>15</v>
      </c>
      <c r="D3750" s="333" t="s">
        <v>4606</v>
      </c>
      <c r="E3750" s="260" t="s">
        <v>4654</v>
      </c>
      <c r="F3750" s="334">
        <v>303</v>
      </c>
      <c r="G3750" s="311">
        <v>1930</v>
      </c>
      <c r="H3750" s="368" t="s">
        <v>2658</v>
      </c>
      <c r="I3750" s="313">
        <v>80</v>
      </c>
      <c r="J3750" s="314">
        <v>5.6353600000000004</v>
      </c>
      <c r="K3750" s="314">
        <v>5.50739</v>
      </c>
      <c r="L3750" s="336">
        <f t="shared" si="37"/>
        <v>0.12797000000000036</v>
      </c>
      <c r="M3750" s="337"/>
    </row>
    <row r="3751" spans="1:13" s="71" customFormat="1" ht="26.4" customHeight="1">
      <c r="A3751" s="282">
        <v>155</v>
      </c>
      <c r="B3751" s="537"/>
      <c r="C3751" s="333" t="s">
        <v>15</v>
      </c>
      <c r="D3751" s="333" t="s">
        <v>4606</v>
      </c>
      <c r="E3751" s="260" t="s">
        <v>4655</v>
      </c>
      <c r="F3751" s="334">
        <v>304</v>
      </c>
      <c r="G3751" s="311">
        <v>1962</v>
      </c>
      <c r="H3751" s="368" t="s">
        <v>2658</v>
      </c>
      <c r="I3751" s="313">
        <v>800</v>
      </c>
      <c r="J3751" s="314">
        <v>40.465000000000003</v>
      </c>
      <c r="K3751" s="314">
        <v>39.048270000000002</v>
      </c>
      <c r="L3751" s="336">
        <f t="shared" si="37"/>
        <v>1.4167300000000012</v>
      </c>
      <c r="M3751" s="337"/>
    </row>
    <row r="3752" spans="1:13" s="71" customFormat="1" ht="26.4" customHeight="1">
      <c r="A3752" s="282">
        <v>156</v>
      </c>
      <c r="B3752" s="537"/>
      <c r="C3752" s="333" t="s">
        <v>15</v>
      </c>
      <c r="D3752" s="333" t="s">
        <v>4606</v>
      </c>
      <c r="E3752" s="260" t="s">
        <v>4656</v>
      </c>
      <c r="F3752" s="334">
        <v>305</v>
      </c>
      <c r="G3752" s="311">
        <v>1962</v>
      </c>
      <c r="H3752" s="368" t="s">
        <v>2658</v>
      </c>
      <c r="I3752" s="313">
        <v>400</v>
      </c>
      <c r="J3752" s="314">
        <v>19.379719999999999</v>
      </c>
      <c r="K3752" s="314">
        <v>19.29975</v>
      </c>
      <c r="L3752" s="336">
        <f t="shared" si="37"/>
        <v>7.996999999999943E-2</v>
      </c>
      <c r="M3752" s="337"/>
    </row>
    <row r="3753" spans="1:13" s="71" customFormat="1" ht="26.4" customHeight="1">
      <c r="A3753" s="282">
        <v>157</v>
      </c>
      <c r="B3753" s="537"/>
      <c r="C3753" s="333" t="s">
        <v>15</v>
      </c>
      <c r="D3753" s="333" t="s">
        <v>4606</v>
      </c>
      <c r="E3753" s="260" t="s">
        <v>4657</v>
      </c>
      <c r="F3753" s="334">
        <v>306</v>
      </c>
      <c r="G3753" s="311">
        <v>1962</v>
      </c>
      <c r="H3753" s="368" t="s">
        <v>2658</v>
      </c>
      <c r="I3753" s="313">
        <v>1100</v>
      </c>
      <c r="J3753" s="314">
        <v>55.371000000000002</v>
      </c>
      <c r="K3753" s="314">
        <v>54.898820000000001</v>
      </c>
      <c r="L3753" s="336">
        <f t="shared" si="37"/>
        <v>0.4721800000000016</v>
      </c>
      <c r="M3753" s="337"/>
    </row>
    <row r="3754" spans="1:13" s="71" customFormat="1" ht="26.4" customHeight="1">
      <c r="A3754" s="282">
        <v>158</v>
      </c>
      <c r="B3754" s="537"/>
      <c r="C3754" s="333" t="s">
        <v>15</v>
      </c>
      <c r="D3754" s="333" t="s">
        <v>4658</v>
      </c>
      <c r="E3754" s="260" t="s">
        <v>13103</v>
      </c>
      <c r="F3754" s="334">
        <v>307</v>
      </c>
      <c r="G3754" s="311">
        <v>1958</v>
      </c>
      <c r="H3754" s="368" t="s">
        <v>2658</v>
      </c>
      <c r="I3754" s="313">
        <v>100</v>
      </c>
      <c r="J3754" s="314">
        <v>21.975999999999999</v>
      </c>
      <c r="K3754" s="314">
        <v>21.235050000000001</v>
      </c>
      <c r="L3754" s="336">
        <f t="shared" si="37"/>
        <v>0.740949999999998</v>
      </c>
      <c r="M3754" s="337"/>
    </row>
    <row r="3755" spans="1:13" s="71" customFormat="1" ht="26.4" customHeight="1">
      <c r="A3755" s="282">
        <v>159</v>
      </c>
      <c r="B3755" s="537"/>
      <c r="C3755" s="333" t="s">
        <v>15</v>
      </c>
      <c r="D3755" s="333" t="s">
        <v>4658</v>
      </c>
      <c r="E3755" s="260" t="s">
        <v>4659</v>
      </c>
      <c r="F3755" s="334">
        <v>308</v>
      </c>
      <c r="G3755" s="311">
        <v>1960</v>
      </c>
      <c r="H3755" s="368" t="s">
        <v>2658</v>
      </c>
      <c r="I3755" s="313">
        <v>370</v>
      </c>
      <c r="J3755" s="314">
        <v>4.47872</v>
      </c>
      <c r="K3755" s="314">
        <v>4.47872</v>
      </c>
      <c r="L3755" s="336">
        <f t="shared" si="37"/>
        <v>0</v>
      </c>
      <c r="M3755" s="337"/>
    </row>
    <row r="3756" spans="1:13" s="71" customFormat="1" ht="26.4" customHeight="1">
      <c r="A3756" s="282">
        <v>160</v>
      </c>
      <c r="B3756" s="537"/>
      <c r="C3756" s="333" t="s">
        <v>15</v>
      </c>
      <c r="D3756" s="333" t="s">
        <v>4658</v>
      </c>
      <c r="E3756" s="260" t="s">
        <v>4660</v>
      </c>
      <c r="F3756" s="334">
        <v>309</v>
      </c>
      <c r="G3756" s="311">
        <v>1957</v>
      </c>
      <c r="H3756" s="368" t="s">
        <v>2658</v>
      </c>
      <c r="I3756" s="313">
        <v>30</v>
      </c>
      <c r="J3756" s="314">
        <v>1.9557199999999999</v>
      </c>
      <c r="K3756" s="314">
        <v>1.9557199999999999</v>
      </c>
      <c r="L3756" s="336">
        <f t="shared" si="37"/>
        <v>0</v>
      </c>
      <c r="M3756" s="337"/>
    </row>
    <row r="3757" spans="1:13" s="71" customFormat="1" ht="26.4" customHeight="1">
      <c r="A3757" s="282">
        <v>161</v>
      </c>
      <c r="B3757" s="537"/>
      <c r="C3757" s="333" t="s">
        <v>15</v>
      </c>
      <c r="D3757" s="307" t="s">
        <v>4661</v>
      </c>
      <c r="E3757" s="260" t="s">
        <v>4662</v>
      </c>
      <c r="F3757" s="334">
        <v>310</v>
      </c>
      <c r="G3757" s="311">
        <v>1956</v>
      </c>
      <c r="H3757" s="368" t="s">
        <v>2658</v>
      </c>
      <c r="I3757" s="313">
        <v>1700</v>
      </c>
      <c r="J3757" s="314">
        <v>19.199000000000002</v>
      </c>
      <c r="K3757" s="314">
        <v>18.632269999999998</v>
      </c>
      <c r="L3757" s="336">
        <f t="shared" si="37"/>
        <v>0.56673000000000329</v>
      </c>
      <c r="M3757" s="337"/>
    </row>
    <row r="3758" spans="1:13" s="71" customFormat="1" ht="26.4" customHeight="1">
      <c r="A3758" s="282">
        <v>162</v>
      </c>
      <c r="B3758" s="537"/>
      <c r="C3758" s="333" t="s">
        <v>15</v>
      </c>
      <c r="D3758" s="307" t="s">
        <v>4663</v>
      </c>
      <c r="E3758" s="260" t="s">
        <v>4664</v>
      </c>
      <c r="F3758" s="334">
        <v>311</v>
      </c>
      <c r="G3758" s="311">
        <v>1958</v>
      </c>
      <c r="H3758" s="368" t="s">
        <v>2658</v>
      </c>
      <c r="I3758" s="313">
        <v>350</v>
      </c>
      <c r="J3758" s="314">
        <v>10.426080000000001</v>
      </c>
      <c r="K3758" s="314">
        <v>9.8737300000000001</v>
      </c>
      <c r="L3758" s="336">
        <f t="shared" si="37"/>
        <v>0.55235000000000056</v>
      </c>
      <c r="M3758" s="337"/>
    </row>
    <row r="3759" spans="1:13" s="71" customFormat="1" ht="26.4" customHeight="1">
      <c r="A3759" s="282">
        <v>163</v>
      </c>
      <c r="B3759" s="537"/>
      <c r="C3759" s="333" t="s">
        <v>15</v>
      </c>
      <c r="D3759" s="307" t="s">
        <v>4665</v>
      </c>
      <c r="E3759" s="260" t="s">
        <v>12706</v>
      </c>
      <c r="F3759" s="334">
        <v>312</v>
      </c>
      <c r="G3759" s="311">
        <v>1955</v>
      </c>
      <c r="H3759" s="368" t="s">
        <v>2658</v>
      </c>
      <c r="I3759" s="313">
        <v>800</v>
      </c>
      <c r="J3759" s="314">
        <v>15.96616</v>
      </c>
      <c r="K3759" s="314">
        <v>15.65006</v>
      </c>
      <c r="L3759" s="336">
        <f t="shared" si="37"/>
        <v>0.31610000000000049</v>
      </c>
      <c r="M3759" s="337"/>
    </row>
    <row r="3760" spans="1:13" s="71" customFormat="1" ht="26.4" customHeight="1">
      <c r="A3760" s="282">
        <v>164</v>
      </c>
      <c r="B3760" s="537"/>
      <c r="C3760" s="333" t="s">
        <v>15</v>
      </c>
      <c r="D3760" s="307" t="s">
        <v>4665</v>
      </c>
      <c r="E3760" s="260" t="s">
        <v>4666</v>
      </c>
      <c r="F3760" s="334">
        <v>313</v>
      </c>
      <c r="G3760" s="311">
        <v>1956</v>
      </c>
      <c r="H3760" s="368" t="s">
        <v>2658</v>
      </c>
      <c r="I3760" s="313">
        <v>57</v>
      </c>
      <c r="J3760" s="314">
        <v>4.8421599999999998</v>
      </c>
      <c r="K3760" s="314">
        <v>4.5854600000000003</v>
      </c>
      <c r="L3760" s="336">
        <f t="shared" si="37"/>
        <v>0.25669999999999948</v>
      </c>
      <c r="M3760" s="337"/>
    </row>
    <row r="3761" spans="1:13" s="71" customFormat="1" ht="26.4">
      <c r="A3761" s="282">
        <v>165</v>
      </c>
      <c r="B3761" s="537"/>
      <c r="C3761" s="333" t="s">
        <v>15</v>
      </c>
      <c r="D3761" s="307" t="s">
        <v>4665</v>
      </c>
      <c r="E3761" s="260" t="s">
        <v>12707</v>
      </c>
      <c r="F3761" s="334">
        <v>314</v>
      </c>
      <c r="G3761" s="311">
        <v>1954</v>
      </c>
      <c r="H3761" s="368" t="s">
        <v>2658</v>
      </c>
      <c r="I3761" s="313">
        <v>100</v>
      </c>
      <c r="J3761" s="314">
        <v>30.742999999999999</v>
      </c>
      <c r="K3761" s="314">
        <v>29.798639999999999</v>
      </c>
      <c r="L3761" s="336">
        <f t="shared" si="37"/>
        <v>0.94435999999999964</v>
      </c>
      <c r="M3761" s="337"/>
    </row>
    <row r="3762" spans="1:13" s="71" customFormat="1" ht="26.4" customHeight="1">
      <c r="A3762" s="282">
        <v>166</v>
      </c>
      <c r="B3762" s="537"/>
      <c r="C3762" s="333" t="s">
        <v>15</v>
      </c>
      <c r="D3762" s="307" t="s">
        <v>4667</v>
      </c>
      <c r="E3762" s="260" t="s">
        <v>4668</v>
      </c>
      <c r="F3762" s="334">
        <v>315</v>
      </c>
      <c r="G3762" s="311">
        <v>1956</v>
      </c>
      <c r="H3762" s="368" t="s">
        <v>2658</v>
      </c>
      <c r="I3762" s="313">
        <v>500</v>
      </c>
      <c r="J3762" s="314">
        <v>19.64</v>
      </c>
      <c r="K3762" s="314">
        <v>19.64</v>
      </c>
      <c r="L3762" s="336">
        <f t="shared" si="37"/>
        <v>0</v>
      </c>
      <c r="M3762" s="337"/>
    </row>
    <row r="3763" spans="1:13" s="71" customFormat="1" ht="26.4" customHeight="1">
      <c r="A3763" s="282">
        <v>167</v>
      </c>
      <c r="B3763" s="537"/>
      <c r="C3763" s="333" t="s">
        <v>15</v>
      </c>
      <c r="D3763" s="307" t="s">
        <v>4667</v>
      </c>
      <c r="E3763" s="260" t="s">
        <v>4669</v>
      </c>
      <c r="F3763" s="334">
        <v>316</v>
      </c>
      <c r="G3763" s="311">
        <v>1960</v>
      </c>
      <c r="H3763" s="368" t="s">
        <v>2658</v>
      </c>
      <c r="I3763" s="313">
        <v>1000</v>
      </c>
      <c r="J3763" s="314">
        <v>19.462</v>
      </c>
      <c r="K3763" s="314">
        <v>18.135200000000001</v>
      </c>
      <c r="L3763" s="336">
        <f t="shared" si="37"/>
        <v>1.3267999999999986</v>
      </c>
      <c r="M3763" s="337"/>
    </row>
    <row r="3764" spans="1:13" s="71" customFormat="1" ht="26.4" customHeight="1">
      <c r="A3764" s="282">
        <v>168</v>
      </c>
      <c r="B3764" s="537"/>
      <c r="C3764" s="333" t="s">
        <v>15</v>
      </c>
      <c r="D3764" s="307" t="s">
        <v>4670</v>
      </c>
      <c r="E3764" s="260" t="s">
        <v>4671</v>
      </c>
      <c r="F3764" s="334">
        <v>317</v>
      </c>
      <c r="G3764" s="311">
        <v>1948</v>
      </c>
      <c r="H3764" s="368" t="s">
        <v>2658</v>
      </c>
      <c r="I3764" s="313">
        <v>450</v>
      </c>
      <c r="J3764" s="314">
        <v>9.8680800000000009</v>
      </c>
      <c r="K3764" s="314">
        <v>9.1953300000000002</v>
      </c>
      <c r="L3764" s="336">
        <f t="shared" si="37"/>
        <v>0.67275000000000063</v>
      </c>
      <c r="M3764" s="337"/>
    </row>
    <row r="3765" spans="1:13" s="71" customFormat="1" ht="26.4" customHeight="1">
      <c r="A3765" s="282">
        <v>169</v>
      </c>
      <c r="B3765" s="537"/>
      <c r="C3765" s="333" t="s">
        <v>15</v>
      </c>
      <c r="D3765" s="307" t="s">
        <v>4670</v>
      </c>
      <c r="E3765" s="260" t="s">
        <v>4672</v>
      </c>
      <c r="F3765" s="334">
        <v>318</v>
      </c>
      <c r="G3765" s="311">
        <v>1950</v>
      </c>
      <c r="H3765" s="368" t="s">
        <v>2658</v>
      </c>
      <c r="I3765" s="313">
        <v>350</v>
      </c>
      <c r="J3765" s="314">
        <v>17.451160000000002</v>
      </c>
      <c r="K3765" s="314">
        <v>16.261610000000001</v>
      </c>
      <c r="L3765" s="336">
        <f t="shared" si="37"/>
        <v>1.1895500000000006</v>
      </c>
      <c r="M3765" s="337"/>
    </row>
    <row r="3766" spans="1:13" s="71" customFormat="1" ht="26.4" customHeight="1">
      <c r="A3766" s="282">
        <v>170</v>
      </c>
      <c r="B3766" s="537"/>
      <c r="C3766" s="333" t="s">
        <v>15</v>
      </c>
      <c r="D3766" s="307" t="s">
        <v>4673</v>
      </c>
      <c r="E3766" s="260" t="s">
        <v>4674</v>
      </c>
      <c r="F3766" s="334">
        <v>319</v>
      </c>
      <c r="G3766" s="311">
        <v>1948</v>
      </c>
      <c r="H3766" s="368" t="s">
        <v>2658</v>
      </c>
      <c r="I3766" s="313">
        <v>100</v>
      </c>
      <c r="J3766" s="314">
        <v>5.35236</v>
      </c>
      <c r="K3766" s="314">
        <v>5.3174900000000003</v>
      </c>
      <c r="L3766" s="336">
        <f t="shared" si="37"/>
        <v>3.4869999999999735E-2</v>
      </c>
      <c r="M3766" s="337"/>
    </row>
    <row r="3767" spans="1:13" s="71" customFormat="1" ht="26.4" customHeight="1">
      <c r="A3767" s="282">
        <v>171</v>
      </c>
      <c r="B3767" s="537"/>
      <c r="C3767" s="333" t="s">
        <v>15</v>
      </c>
      <c r="D3767" s="307" t="s">
        <v>4675</v>
      </c>
      <c r="E3767" s="260" t="s">
        <v>4676</v>
      </c>
      <c r="F3767" s="334">
        <v>320</v>
      </c>
      <c r="G3767" s="311">
        <v>1957</v>
      </c>
      <c r="H3767" s="368" t="s">
        <v>2658</v>
      </c>
      <c r="I3767" s="313">
        <v>700</v>
      </c>
      <c r="J3767" s="314">
        <v>7.6617199999999999</v>
      </c>
      <c r="K3767" s="314">
        <v>7.6617199999999999</v>
      </c>
      <c r="L3767" s="336">
        <f t="shared" si="37"/>
        <v>0</v>
      </c>
      <c r="M3767" s="337"/>
    </row>
    <row r="3768" spans="1:13" s="71" customFormat="1" ht="26.4" customHeight="1">
      <c r="A3768" s="282">
        <v>172</v>
      </c>
      <c r="B3768" s="537"/>
      <c r="C3768" s="333" t="s">
        <v>15</v>
      </c>
      <c r="D3768" s="307" t="s">
        <v>4675</v>
      </c>
      <c r="E3768" s="260" t="s">
        <v>4677</v>
      </c>
      <c r="F3768" s="334">
        <v>321</v>
      </c>
      <c r="G3768" s="311">
        <v>1958</v>
      </c>
      <c r="H3768" s="368" t="s">
        <v>2658</v>
      </c>
      <c r="I3768" s="313">
        <v>100</v>
      </c>
      <c r="J3768" s="314">
        <v>6.52</v>
      </c>
      <c r="K3768" s="314">
        <v>6.52</v>
      </c>
      <c r="L3768" s="336">
        <f t="shared" si="37"/>
        <v>0</v>
      </c>
      <c r="M3768" s="337"/>
    </row>
    <row r="3769" spans="1:13" s="71" customFormat="1" ht="26.4" customHeight="1">
      <c r="A3769" s="282">
        <v>173</v>
      </c>
      <c r="B3769" s="537"/>
      <c r="C3769" s="333" t="s">
        <v>15</v>
      </c>
      <c r="D3769" s="307" t="s">
        <v>4609</v>
      </c>
      <c r="E3769" s="260" t="s">
        <v>4678</v>
      </c>
      <c r="F3769" s="334">
        <v>322</v>
      </c>
      <c r="G3769" s="311">
        <v>1954</v>
      </c>
      <c r="H3769" s="368" t="s">
        <v>2658</v>
      </c>
      <c r="I3769" s="313">
        <v>300</v>
      </c>
      <c r="J3769" s="314">
        <v>10.83672</v>
      </c>
      <c r="K3769" s="314">
        <v>9.2868099999999991</v>
      </c>
      <c r="L3769" s="336">
        <f t="shared" si="37"/>
        <v>1.5499100000000006</v>
      </c>
      <c r="M3769" s="337"/>
    </row>
    <row r="3770" spans="1:13" s="71" customFormat="1" ht="26.4" customHeight="1">
      <c r="A3770" s="282">
        <v>174</v>
      </c>
      <c r="B3770" s="537"/>
      <c r="C3770" s="333" t="s">
        <v>15</v>
      </c>
      <c r="D3770" s="307" t="s">
        <v>4609</v>
      </c>
      <c r="E3770" s="260" t="s">
        <v>4679</v>
      </c>
      <c r="F3770" s="334">
        <v>323</v>
      </c>
      <c r="G3770" s="311">
        <v>1958</v>
      </c>
      <c r="H3770" s="368" t="s">
        <v>2658</v>
      </c>
      <c r="I3770" s="313">
        <v>200</v>
      </c>
      <c r="J3770" s="314">
        <v>4.2197199999999997</v>
      </c>
      <c r="K3770" s="314">
        <v>3.5222199999999999</v>
      </c>
      <c r="L3770" s="336">
        <f t="shared" si="37"/>
        <v>0.69749999999999979</v>
      </c>
      <c r="M3770" s="337"/>
    </row>
    <row r="3771" spans="1:13" s="71" customFormat="1" ht="26.4" customHeight="1">
      <c r="A3771" s="282">
        <v>175</v>
      </c>
      <c r="B3771" s="537"/>
      <c r="C3771" s="333" t="s">
        <v>15</v>
      </c>
      <c r="D3771" s="307" t="s">
        <v>4609</v>
      </c>
      <c r="E3771" s="260" t="s">
        <v>4680</v>
      </c>
      <c r="F3771" s="334">
        <v>324</v>
      </c>
      <c r="G3771" s="311">
        <v>1957</v>
      </c>
      <c r="H3771" s="368" t="s">
        <v>2658</v>
      </c>
      <c r="I3771" s="313">
        <v>200</v>
      </c>
      <c r="J3771" s="314">
        <v>47.856879999999997</v>
      </c>
      <c r="K3771" s="314">
        <v>46.566929999999999</v>
      </c>
      <c r="L3771" s="336">
        <f t="shared" si="37"/>
        <v>1.2899499999999975</v>
      </c>
      <c r="M3771" s="337"/>
    </row>
    <row r="3772" spans="1:13" s="71" customFormat="1" ht="26.4" customHeight="1">
      <c r="A3772" s="282">
        <v>176</v>
      </c>
      <c r="B3772" s="537"/>
      <c r="C3772" s="333" t="s">
        <v>15</v>
      </c>
      <c r="D3772" s="307" t="s">
        <v>4681</v>
      </c>
      <c r="E3772" s="260" t="s">
        <v>4682</v>
      </c>
      <c r="F3772" s="334">
        <v>325</v>
      </c>
      <c r="G3772" s="311">
        <v>1937</v>
      </c>
      <c r="H3772" s="368" t="s">
        <v>2658</v>
      </c>
      <c r="I3772" s="313">
        <v>1000</v>
      </c>
      <c r="J3772" s="314">
        <v>15.71316</v>
      </c>
      <c r="K3772" s="314">
        <v>14.640610000000001</v>
      </c>
      <c r="L3772" s="336">
        <f t="shared" si="37"/>
        <v>1.0725499999999997</v>
      </c>
      <c r="M3772" s="337"/>
    </row>
    <row r="3773" spans="1:13" s="71" customFormat="1" ht="26.4" customHeight="1">
      <c r="A3773" s="282">
        <v>177</v>
      </c>
      <c r="B3773" s="537"/>
      <c r="C3773" s="333" t="s">
        <v>15</v>
      </c>
      <c r="D3773" s="307" t="s">
        <v>4683</v>
      </c>
      <c r="E3773" s="260" t="s">
        <v>4684</v>
      </c>
      <c r="F3773" s="334">
        <v>326</v>
      </c>
      <c r="G3773" s="311">
        <v>1958</v>
      </c>
      <c r="H3773" s="368" t="s">
        <v>2658</v>
      </c>
      <c r="I3773" s="313">
        <v>80</v>
      </c>
      <c r="J3773" s="314">
        <v>8.5280799999999992</v>
      </c>
      <c r="K3773" s="314">
        <v>8.0760299999999994</v>
      </c>
      <c r="L3773" s="336">
        <f t="shared" si="37"/>
        <v>0.45204999999999984</v>
      </c>
      <c r="M3773" s="337"/>
    </row>
    <row r="3774" spans="1:13" s="71" customFormat="1" ht="26.4" customHeight="1">
      <c r="A3774" s="282">
        <v>178</v>
      </c>
      <c r="B3774" s="537"/>
      <c r="C3774" s="333" t="s">
        <v>15</v>
      </c>
      <c r="D3774" s="307" t="s">
        <v>4683</v>
      </c>
      <c r="E3774" s="260" t="s">
        <v>4685</v>
      </c>
      <c r="F3774" s="334">
        <v>327</v>
      </c>
      <c r="G3774" s="311">
        <v>1936</v>
      </c>
      <c r="H3774" s="368" t="s">
        <v>2658</v>
      </c>
      <c r="I3774" s="313">
        <v>80</v>
      </c>
      <c r="J3774" s="314">
        <v>11.82408</v>
      </c>
      <c r="K3774" s="314">
        <v>11.75583</v>
      </c>
      <c r="L3774" s="336">
        <f t="shared" si="37"/>
        <v>6.825000000000081E-2</v>
      </c>
      <c r="M3774" s="337"/>
    </row>
    <row r="3775" spans="1:13" s="71" customFormat="1" ht="26.4" customHeight="1">
      <c r="A3775" s="282">
        <v>179</v>
      </c>
      <c r="B3775" s="537"/>
      <c r="C3775" s="333" t="s">
        <v>15</v>
      </c>
      <c r="D3775" s="307" t="s">
        <v>4686</v>
      </c>
      <c r="E3775" s="260" t="s">
        <v>4687</v>
      </c>
      <c r="F3775" s="334">
        <v>328</v>
      </c>
      <c r="G3775" s="311">
        <v>1938</v>
      </c>
      <c r="H3775" s="368" t="s">
        <v>2658</v>
      </c>
      <c r="I3775" s="313">
        <v>750</v>
      </c>
      <c r="J3775" s="314">
        <v>33.38588</v>
      </c>
      <c r="K3775" s="314">
        <v>33.193429999999999</v>
      </c>
      <c r="L3775" s="336">
        <f t="shared" si="37"/>
        <v>0.1924500000000009</v>
      </c>
      <c r="M3775" s="337"/>
    </row>
    <row r="3776" spans="1:13" s="71" customFormat="1" ht="26.4" customHeight="1">
      <c r="A3776" s="282">
        <v>180</v>
      </c>
      <c r="B3776" s="537"/>
      <c r="C3776" s="333" t="s">
        <v>15</v>
      </c>
      <c r="D3776" s="307" t="s">
        <v>4686</v>
      </c>
      <c r="E3776" s="260" t="s">
        <v>4688</v>
      </c>
      <c r="F3776" s="334">
        <v>329</v>
      </c>
      <c r="G3776" s="311">
        <v>1948</v>
      </c>
      <c r="H3776" s="368" t="s">
        <v>2658</v>
      </c>
      <c r="I3776" s="313">
        <v>200</v>
      </c>
      <c r="J3776" s="314">
        <v>4.0320799999999997</v>
      </c>
      <c r="K3776" s="314">
        <v>3.8186300000000002</v>
      </c>
      <c r="L3776" s="336">
        <f t="shared" si="37"/>
        <v>0.21344999999999947</v>
      </c>
      <c r="M3776" s="337"/>
    </row>
    <row r="3777" spans="1:13" s="71" customFormat="1" ht="26.4" customHeight="1">
      <c r="A3777" s="282">
        <v>181</v>
      </c>
      <c r="B3777" s="537"/>
      <c r="C3777" s="333" t="s">
        <v>15</v>
      </c>
      <c r="D3777" s="307" t="s">
        <v>4686</v>
      </c>
      <c r="E3777" s="260" t="s">
        <v>4689</v>
      </c>
      <c r="F3777" s="334">
        <v>330</v>
      </c>
      <c r="G3777" s="311">
        <v>1950</v>
      </c>
      <c r="H3777" s="369" t="s">
        <v>3243</v>
      </c>
      <c r="I3777" s="313" t="s">
        <v>3243</v>
      </c>
      <c r="J3777" s="314">
        <v>4.8860799999999998</v>
      </c>
      <c r="K3777" s="314">
        <v>4.6270300000000004</v>
      </c>
      <c r="L3777" s="336">
        <f t="shared" si="37"/>
        <v>0.25904999999999934</v>
      </c>
      <c r="M3777" s="337"/>
    </row>
    <row r="3778" spans="1:13" s="71" customFormat="1" ht="26.4" customHeight="1">
      <c r="A3778" s="282">
        <v>182</v>
      </c>
      <c r="B3778" s="537"/>
      <c r="C3778" s="333" t="s">
        <v>15</v>
      </c>
      <c r="D3778" s="307" t="s">
        <v>4686</v>
      </c>
      <c r="E3778" s="260" t="s">
        <v>4690</v>
      </c>
      <c r="F3778" s="334">
        <v>331</v>
      </c>
      <c r="G3778" s="311">
        <v>1954</v>
      </c>
      <c r="H3778" s="369" t="s">
        <v>2658</v>
      </c>
      <c r="I3778" s="313">
        <v>800</v>
      </c>
      <c r="J3778" s="314">
        <v>5.3590799999999996</v>
      </c>
      <c r="K3778" s="314">
        <v>5.0750299999999999</v>
      </c>
      <c r="L3778" s="336">
        <f t="shared" si="37"/>
        <v>0.28404999999999969</v>
      </c>
      <c r="M3778" s="337"/>
    </row>
    <row r="3779" spans="1:13" s="71" customFormat="1" ht="26.4" customHeight="1">
      <c r="A3779" s="282">
        <v>183</v>
      </c>
      <c r="B3779" s="537"/>
      <c r="C3779" s="333" t="s">
        <v>15</v>
      </c>
      <c r="D3779" s="307" t="s">
        <v>4691</v>
      </c>
      <c r="E3779" s="260" t="s">
        <v>13104</v>
      </c>
      <c r="F3779" s="334">
        <v>332</v>
      </c>
      <c r="G3779" s="311">
        <v>1948</v>
      </c>
      <c r="H3779" s="369" t="s">
        <v>2658</v>
      </c>
      <c r="I3779" s="313">
        <v>100</v>
      </c>
      <c r="J3779" s="314">
        <v>8.2757199999999997</v>
      </c>
      <c r="K3779" s="314">
        <v>8.2757199999999997</v>
      </c>
      <c r="L3779" s="336">
        <f t="shared" si="37"/>
        <v>0</v>
      </c>
      <c r="M3779" s="337"/>
    </row>
    <row r="3780" spans="1:13" s="71" customFormat="1" ht="26.4" customHeight="1">
      <c r="A3780" s="282">
        <v>184</v>
      </c>
      <c r="B3780" s="537"/>
      <c r="C3780" s="333" t="s">
        <v>15</v>
      </c>
      <c r="D3780" s="307" t="s">
        <v>4691</v>
      </c>
      <c r="E3780" s="260" t="s">
        <v>13109</v>
      </c>
      <c r="F3780" s="334">
        <v>333</v>
      </c>
      <c r="G3780" s="311">
        <v>1958</v>
      </c>
      <c r="H3780" s="369" t="s">
        <v>2658</v>
      </c>
      <c r="I3780" s="313">
        <v>200</v>
      </c>
      <c r="J3780" s="314">
        <v>3.4577200000000001</v>
      </c>
      <c r="K3780" s="314">
        <v>3.4577200000000001</v>
      </c>
      <c r="L3780" s="336">
        <f t="shared" si="37"/>
        <v>0</v>
      </c>
      <c r="M3780" s="337"/>
    </row>
    <row r="3781" spans="1:13" s="71" customFormat="1" ht="26.4" customHeight="1">
      <c r="A3781" s="282">
        <v>185</v>
      </c>
      <c r="B3781" s="537"/>
      <c r="C3781" s="333" t="s">
        <v>15</v>
      </c>
      <c r="D3781" s="307" t="s">
        <v>4691</v>
      </c>
      <c r="E3781" s="260" t="s">
        <v>13105</v>
      </c>
      <c r="F3781" s="334">
        <v>334</v>
      </c>
      <c r="G3781" s="311">
        <v>1959</v>
      </c>
      <c r="H3781" s="369" t="s">
        <v>2658</v>
      </c>
      <c r="I3781" s="313">
        <v>100</v>
      </c>
      <c r="J3781" s="314">
        <v>25.92792</v>
      </c>
      <c r="K3781" s="314">
        <v>25.92792</v>
      </c>
      <c r="L3781" s="336">
        <f t="shared" si="37"/>
        <v>0</v>
      </c>
      <c r="M3781" s="337"/>
    </row>
    <row r="3782" spans="1:13" s="71" customFormat="1" ht="26.4" customHeight="1">
      <c r="A3782" s="282">
        <v>186</v>
      </c>
      <c r="B3782" s="537"/>
      <c r="C3782" s="333" t="s">
        <v>15</v>
      </c>
      <c r="D3782" s="307" t="s">
        <v>4691</v>
      </c>
      <c r="E3782" s="260" t="s">
        <v>13106</v>
      </c>
      <c r="F3782" s="334">
        <v>335</v>
      </c>
      <c r="G3782" s="311">
        <v>1953</v>
      </c>
      <c r="H3782" s="369" t="s">
        <v>2658</v>
      </c>
      <c r="I3782" s="313">
        <v>200</v>
      </c>
      <c r="J3782" s="314">
        <v>3.0947200000000001</v>
      </c>
      <c r="K3782" s="314">
        <v>3.0947200000000001</v>
      </c>
      <c r="L3782" s="336">
        <f t="shared" si="37"/>
        <v>0</v>
      </c>
      <c r="M3782" s="337"/>
    </row>
    <row r="3783" spans="1:13" s="71" customFormat="1" ht="26.4" customHeight="1">
      <c r="A3783" s="282">
        <v>187</v>
      </c>
      <c r="B3783" s="537"/>
      <c r="C3783" s="333" t="s">
        <v>15</v>
      </c>
      <c r="D3783" s="307" t="s">
        <v>4692</v>
      </c>
      <c r="E3783" s="260" t="s">
        <v>13107</v>
      </c>
      <c r="F3783" s="334">
        <v>336</v>
      </c>
      <c r="G3783" s="311">
        <v>1959</v>
      </c>
      <c r="H3783" s="369" t="s">
        <v>2658</v>
      </c>
      <c r="I3783" s="313">
        <v>290</v>
      </c>
      <c r="J3783" s="314">
        <v>2.4910800000000002</v>
      </c>
      <c r="K3783" s="314">
        <v>2.35928</v>
      </c>
      <c r="L3783" s="336">
        <f t="shared" si="37"/>
        <v>0.13180000000000014</v>
      </c>
      <c r="M3783" s="337"/>
    </row>
    <row r="3784" spans="1:13" s="71" customFormat="1" ht="26.4" customHeight="1">
      <c r="A3784" s="282">
        <v>188</v>
      </c>
      <c r="B3784" s="537"/>
      <c r="C3784" s="333" t="s">
        <v>15</v>
      </c>
      <c r="D3784" s="307" t="s">
        <v>4692</v>
      </c>
      <c r="E3784" s="260" t="s">
        <v>13108</v>
      </c>
      <c r="F3784" s="334">
        <v>337</v>
      </c>
      <c r="G3784" s="311">
        <v>1952</v>
      </c>
      <c r="H3784" s="369" t="s">
        <v>2658</v>
      </c>
      <c r="I3784" s="313">
        <v>200</v>
      </c>
      <c r="J3784" s="314">
        <v>5.4717200000000004</v>
      </c>
      <c r="K3784" s="314">
        <v>5.4717200000000004</v>
      </c>
      <c r="L3784" s="336">
        <f t="shared" si="37"/>
        <v>0</v>
      </c>
      <c r="M3784" s="337"/>
    </row>
    <row r="3785" spans="1:13" s="71" customFormat="1" ht="26.4" customHeight="1">
      <c r="A3785" s="282">
        <v>189</v>
      </c>
      <c r="B3785" s="537"/>
      <c r="C3785" s="333" t="s">
        <v>15</v>
      </c>
      <c r="D3785" s="307" t="s">
        <v>4693</v>
      </c>
      <c r="E3785" s="260" t="s">
        <v>13110</v>
      </c>
      <c r="F3785" s="334">
        <v>338</v>
      </c>
      <c r="G3785" s="311">
        <v>1957</v>
      </c>
      <c r="H3785" s="369" t="s">
        <v>2658</v>
      </c>
      <c r="I3785" s="313">
        <v>200</v>
      </c>
      <c r="J3785" s="314">
        <v>17.05716</v>
      </c>
      <c r="K3785" s="314">
        <v>16.15306</v>
      </c>
      <c r="L3785" s="336">
        <f t="shared" si="37"/>
        <v>0.90409999999999968</v>
      </c>
      <c r="M3785" s="337"/>
    </row>
    <row r="3786" spans="1:13" s="71" customFormat="1" ht="26.4" customHeight="1">
      <c r="A3786" s="282">
        <v>190</v>
      </c>
      <c r="B3786" s="537"/>
      <c r="C3786" s="333" t="s">
        <v>15</v>
      </c>
      <c r="D3786" s="307" t="s">
        <v>4693</v>
      </c>
      <c r="E3786" s="260" t="s">
        <v>13111</v>
      </c>
      <c r="F3786" s="334">
        <v>339</v>
      </c>
      <c r="G3786" s="311">
        <v>1938</v>
      </c>
      <c r="H3786" s="369" t="s">
        <v>2658</v>
      </c>
      <c r="I3786" s="313">
        <v>100</v>
      </c>
      <c r="J3786" s="314">
        <v>17.974879999999999</v>
      </c>
      <c r="K3786" s="314">
        <v>17.021730000000002</v>
      </c>
      <c r="L3786" s="336">
        <f t="shared" si="37"/>
        <v>0.95314999999999728</v>
      </c>
      <c r="M3786" s="337"/>
    </row>
    <row r="3787" spans="1:13" s="71" customFormat="1" ht="26.4" customHeight="1">
      <c r="A3787" s="282">
        <v>191</v>
      </c>
      <c r="B3787" s="537"/>
      <c r="C3787" s="333" t="s">
        <v>15</v>
      </c>
      <c r="D3787" s="307" t="s">
        <v>4693</v>
      </c>
      <c r="E3787" s="260" t="s">
        <v>4694</v>
      </c>
      <c r="F3787" s="334">
        <v>340</v>
      </c>
      <c r="G3787" s="311">
        <v>1938</v>
      </c>
      <c r="H3787" s="369" t="s">
        <v>2658</v>
      </c>
      <c r="I3787" s="313">
        <v>100</v>
      </c>
      <c r="J3787" s="314">
        <v>13.94308</v>
      </c>
      <c r="K3787" s="314">
        <v>13.20393</v>
      </c>
      <c r="L3787" s="336">
        <f t="shared" si="37"/>
        <v>0.73915000000000042</v>
      </c>
      <c r="M3787" s="337"/>
    </row>
    <row r="3788" spans="1:13" s="71" customFormat="1" ht="26.4" customHeight="1">
      <c r="A3788" s="282">
        <v>192</v>
      </c>
      <c r="B3788" s="537"/>
      <c r="C3788" s="333" t="s">
        <v>15</v>
      </c>
      <c r="D3788" s="307" t="s">
        <v>4693</v>
      </c>
      <c r="E3788" s="260" t="s">
        <v>13111</v>
      </c>
      <c r="F3788" s="334">
        <v>341</v>
      </c>
      <c r="G3788" s="311">
        <v>1952</v>
      </c>
      <c r="H3788" s="369" t="s">
        <v>2658</v>
      </c>
      <c r="I3788" s="313">
        <v>100</v>
      </c>
      <c r="J3788" s="314">
        <v>1.29308</v>
      </c>
      <c r="K3788" s="314">
        <v>1.2248300000000001</v>
      </c>
      <c r="L3788" s="336">
        <f t="shared" si="37"/>
        <v>6.8249999999999922E-2</v>
      </c>
      <c r="M3788" s="337"/>
    </row>
    <row r="3789" spans="1:13" s="71" customFormat="1" ht="26.4" customHeight="1">
      <c r="A3789" s="282">
        <v>193</v>
      </c>
      <c r="B3789" s="537"/>
      <c r="C3789" s="333" t="s">
        <v>15</v>
      </c>
      <c r="D3789" s="307" t="s">
        <v>4695</v>
      </c>
      <c r="E3789" s="260" t="s">
        <v>4696</v>
      </c>
      <c r="F3789" s="334">
        <v>342</v>
      </c>
      <c r="G3789" s="311">
        <v>1957</v>
      </c>
      <c r="H3789" s="369" t="s">
        <v>2658</v>
      </c>
      <c r="I3789" s="313">
        <v>700</v>
      </c>
      <c r="J3789" s="314">
        <v>4.0320799999999997</v>
      </c>
      <c r="K3789" s="314">
        <v>3.8186300000000002</v>
      </c>
      <c r="L3789" s="336">
        <f t="shared" ref="L3789:L3852" si="38">J3789-K3789</f>
        <v>0.21344999999999947</v>
      </c>
      <c r="M3789" s="337"/>
    </row>
    <row r="3790" spans="1:13" s="71" customFormat="1" ht="26.4">
      <c r="A3790" s="282">
        <v>194</v>
      </c>
      <c r="B3790" s="537"/>
      <c r="C3790" s="333" t="s">
        <v>15</v>
      </c>
      <c r="D3790" s="307" t="s">
        <v>4695</v>
      </c>
      <c r="E3790" s="260" t="s">
        <v>13112</v>
      </c>
      <c r="F3790" s="334">
        <v>343</v>
      </c>
      <c r="G3790" s="311">
        <v>1956</v>
      </c>
      <c r="H3790" s="369" t="s">
        <v>2658</v>
      </c>
      <c r="I3790" s="313">
        <v>200</v>
      </c>
      <c r="J3790" s="314">
        <v>2.8940800000000002</v>
      </c>
      <c r="K3790" s="314">
        <v>2.7389299999999999</v>
      </c>
      <c r="L3790" s="336">
        <f t="shared" si="38"/>
        <v>0.15515000000000034</v>
      </c>
      <c r="M3790" s="337"/>
    </row>
    <row r="3791" spans="1:13" s="71" customFormat="1" ht="26.4" customHeight="1">
      <c r="A3791" s="282">
        <v>195</v>
      </c>
      <c r="B3791" s="537"/>
      <c r="C3791" s="333" t="s">
        <v>15</v>
      </c>
      <c r="D3791" s="307" t="s">
        <v>4695</v>
      </c>
      <c r="E3791" s="260" t="s">
        <v>4697</v>
      </c>
      <c r="F3791" s="334">
        <v>344</v>
      </c>
      <c r="G3791" s="311">
        <v>1952</v>
      </c>
      <c r="H3791" s="369" t="s">
        <v>2658</v>
      </c>
      <c r="I3791" s="313">
        <v>80</v>
      </c>
      <c r="J3791" s="314">
        <v>5.3590799999999996</v>
      </c>
      <c r="K3791" s="314">
        <v>4.9938799999999999</v>
      </c>
      <c r="L3791" s="336">
        <f t="shared" si="38"/>
        <v>0.36519999999999975</v>
      </c>
      <c r="M3791" s="337"/>
    </row>
    <row r="3792" spans="1:13" s="71" customFormat="1" ht="26.4" customHeight="1">
      <c r="A3792" s="282">
        <v>196</v>
      </c>
      <c r="B3792" s="537"/>
      <c r="C3792" s="333" t="s">
        <v>15</v>
      </c>
      <c r="D3792" s="307" t="s">
        <v>4695</v>
      </c>
      <c r="E3792" s="260" t="s">
        <v>4698</v>
      </c>
      <c r="F3792" s="334">
        <v>345</v>
      </c>
      <c r="G3792" s="311">
        <v>1930</v>
      </c>
      <c r="H3792" s="369" t="s">
        <v>2658</v>
      </c>
      <c r="I3792" s="313">
        <v>200</v>
      </c>
      <c r="J3792" s="314">
        <v>11.06016</v>
      </c>
      <c r="K3792" s="314">
        <v>10.287710000000001</v>
      </c>
      <c r="L3792" s="336">
        <f t="shared" si="38"/>
        <v>0.77244999999999919</v>
      </c>
      <c r="M3792" s="337"/>
    </row>
    <row r="3793" spans="1:13" s="71" customFormat="1" ht="26.4" customHeight="1">
      <c r="A3793" s="282">
        <v>197</v>
      </c>
      <c r="B3793" s="537"/>
      <c r="C3793" s="333" t="s">
        <v>15</v>
      </c>
      <c r="D3793" s="307" t="s">
        <v>4695</v>
      </c>
      <c r="E3793" s="260" t="s">
        <v>4699</v>
      </c>
      <c r="F3793" s="334">
        <v>346</v>
      </c>
      <c r="G3793" s="311">
        <v>1955</v>
      </c>
      <c r="H3793" s="369" t="s">
        <v>2658</v>
      </c>
      <c r="I3793" s="313">
        <v>500</v>
      </c>
      <c r="J3793" s="314">
        <v>15.17196</v>
      </c>
      <c r="K3793" s="314">
        <v>15.08451</v>
      </c>
      <c r="L3793" s="336">
        <f t="shared" si="38"/>
        <v>8.7450000000000472E-2</v>
      </c>
      <c r="M3793" s="337"/>
    </row>
    <row r="3794" spans="1:13" s="71" customFormat="1" ht="26.4" customHeight="1">
      <c r="A3794" s="282">
        <v>198</v>
      </c>
      <c r="B3794" s="537"/>
      <c r="C3794" s="333" t="s">
        <v>15</v>
      </c>
      <c r="D3794" s="307" t="s">
        <v>4700</v>
      </c>
      <c r="E3794" s="260" t="s">
        <v>13113</v>
      </c>
      <c r="F3794" s="334">
        <v>347</v>
      </c>
      <c r="G3794" s="311">
        <v>1950</v>
      </c>
      <c r="H3794" s="369" t="s">
        <v>2658</v>
      </c>
      <c r="I3794" s="313">
        <v>300</v>
      </c>
      <c r="J3794" s="314">
        <v>4.6530800000000001</v>
      </c>
      <c r="K3794" s="314">
        <v>3.6781299999999999</v>
      </c>
      <c r="L3794" s="336">
        <f t="shared" si="38"/>
        <v>0.97495000000000021</v>
      </c>
      <c r="M3794" s="337"/>
    </row>
    <row r="3795" spans="1:13" s="71" customFormat="1" ht="26.4" customHeight="1">
      <c r="A3795" s="282">
        <v>199</v>
      </c>
      <c r="B3795" s="537"/>
      <c r="C3795" s="333" t="s">
        <v>15</v>
      </c>
      <c r="D3795" s="307" t="s">
        <v>4701</v>
      </c>
      <c r="E3795" s="260" t="s">
        <v>12708</v>
      </c>
      <c r="F3795" s="334">
        <v>348</v>
      </c>
      <c r="G3795" s="311">
        <v>1958</v>
      </c>
      <c r="H3795" s="369" t="s">
        <v>2658</v>
      </c>
      <c r="I3795" s="313">
        <v>370</v>
      </c>
      <c r="J3795" s="314">
        <v>2.5030800000000002</v>
      </c>
      <c r="K3795" s="314">
        <v>2.37073</v>
      </c>
      <c r="L3795" s="336">
        <f t="shared" si="38"/>
        <v>0.13235000000000019</v>
      </c>
      <c r="M3795" s="337"/>
    </row>
    <row r="3796" spans="1:13" s="71" customFormat="1" ht="26.4" customHeight="1">
      <c r="A3796" s="282">
        <v>200</v>
      </c>
      <c r="B3796" s="537"/>
      <c r="C3796" s="333" t="s">
        <v>15</v>
      </c>
      <c r="D3796" s="307" t="s">
        <v>4701</v>
      </c>
      <c r="E3796" s="260" t="s">
        <v>12709</v>
      </c>
      <c r="F3796" s="334">
        <v>349</v>
      </c>
      <c r="G3796" s="311">
        <v>1958</v>
      </c>
      <c r="H3796" s="369" t="s">
        <v>2658</v>
      </c>
      <c r="I3796" s="313">
        <v>300</v>
      </c>
      <c r="J3796" s="314">
        <v>3.6880799999999998</v>
      </c>
      <c r="K3796" s="314">
        <v>3.4927299999999999</v>
      </c>
      <c r="L3796" s="336">
        <f t="shared" si="38"/>
        <v>0.19534999999999991</v>
      </c>
      <c r="M3796" s="337"/>
    </row>
    <row r="3797" spans="1:13" s="71" customFormat="1" ht="26.4" customHeight="1">
      <c r="A3797" s="282">
        <v>201</v>
      </c>
      <c r="B3797" s="537"/>
      <c r="C3797" s="333" t="s">
        <v>15</v>
      </c>
      <c r="D3797" s="307" t="s">
        <v>4702</v>
      </c>
      <c r="E3797" s="260" t="s">
        <v>13114</v>
      </c>
      <c r="F3797" s="334">
        <v>350</v>
      </c>
      <c r="G3797" s="311">
        <v>1959</v>
      </c>
      <c r="H3797" s="369" t="s">
        <v>2658</v>
      </c>
      <c r="I3797" s="313">
        <v>200</v>
      </c>
      <c r="J3797" s="314">
        <v>2.8900800000000002</v>
      </c>
      <c r="K3797" s="314">
        <v>2.6936300000000002</v>
      </c>
      <c r="L3797" s="336">
        <f t="shared" si="38"/>
        <v>0.19645000000000001</v>
      </c>
      <c r="M3797" s="337"/>
    </row>
    <row r="3798" spans="1:13" s="71" customFormat="1" ht="26.4" customHeight="1">
      <c r="A3798" s="282">
        <v>202</v>
      </c>
      <c r="B3798" s="537"/>
      <c r="C3798" s="333" t="s">
        <v>15</v>
      </c>
      <c r="D3798" s="307" t="s">
        <v>4702</v>
      </c>
      <c r="E3798" s="260" t="s">
        <v>13115</v>
      </c>
      <c r="F3798" s="334">
        <v>362</v>
      </c>
      <c r="G3798" s="311">
        <v>1958</v>
      </c>
      <c r="H3798" s="369" t="s">
        <v>2658</v>
      </c>
      <c r="I3798" s="313">
        <v>60</v>
      </c>
      <c r="J3798" s="314">
        <v>2.8900800000000002</v>
      </c>
      <c r="K3798" s="314">
        <v>2.6936300000000002</v>
      </c>
      <c r="L3798" s="336">
        <f t="shared" si="38"/>
        <v>0.19645000000000001</v>
      </c>
      <c r="M3798" s="337"/>
    </row>
    <row r="3799" spans="1:13" s="332" customFormat="1" ht="26.4" customHeight="1">
      <c r="A3799" s="282">
        <v>203</v>
      </c>
      <c r="B3799" s="537"/>
      <c r="C3799" s="335" t="s">
        <v>15</v>
      </c>
      <c r="D3799" s="335" t="s">
        <v>4574</v>
      </c>
      <c r="E3799" s="444" t="s">
        <v>4703</v>
      </c>
      <c r="F3799" s="334">
        <v>386</v>
      </c>
      <c r="G3799" s="311">
        <v>1969</v>
      </c>
      <c r="H3799" s="369" t="s">
        <v>2658</v>
      </c>
      <c r="I3799" s="313">
        <v>142</v>
      </c>
      <c r="J3799" s="314">
        <v>1.82616</v>
      </c>
      <c r="K3799" s="314">
        <v>1.82616</v>
      </c>
      <c r="L3799" s="336">
        <f t="shared" si="38"/>
        <v>0</v>
      </c>
      <c r="M3799" s="331"/>
    </row>
    <row r="3800" spans="1:13" s="71" customFormat="1" ht="26.4" customHeight="1">
      <c r="A3800" s="282">
        <v>204</v>
      </c>
      <c r="B3800" s="537"/>
      <c r="C3800" s="333" t="s">
        <v>15</v>
      </c>
      <c r="D3800" s="333" t="s">
        <v>4574</v>
      </c>
      <c r="E3800" s="260" t="s">
        <v>4704</v>
      </c>
      <c r="F3800" s="334">
        <v>387</v>
      </c>
      <c r="G3800" s="311">
        <v>1969</v>
      </c>
      <c r="H3800" s="369" t="s">
        <v>2658</v>
      </c>
      <c r="I3800" s="313">
        <v>94</v>
      </c>
      <c r="J3800" s="314">
        <v>2.8831199999999999</v>
      </c>
      <c r="K3800" s="314">
        <v>2.6866400000000001</v>
      </c>
      <c r="L3800" s="336">
        <f t="shared" si="38"/>
        <v>0.19647999999999977</v>
      </c>
      <c r="M3800" s="337"/>
    </row>
    <row r="3801" spans="1:13" s="71" customFormat="1" ht="26.4" customHeight="1">
      <c r="A3801" s="282">
        <v>205</v>
      </c>
      <c r="B3801" s="537"/>
      <c r="C3801" s="333" t="s">
        <v>15</v>
      </c>
      <c r="D3801" s="333" t="s">
        <v>4574</v>
      </c>
      <c r="E3801" s="260" t="s">
        <v>4705</v>
      </c>
      <c r="F3801" s="334">
        <v>388</v>
      </c>
      <c r="G3801" s="311">
        <v>1969</v>
      </c>
      <c r="H3801" s="369" t="s">
        <v>2658</v>
      </c>
      <c r="I3801" s="313">
        <v>147</v>
      </c>
      <c r="J3801" s="314">
        <v>1.94</v>
      </c>
      <c r="K3801" s="314">
        <v>1.94</v>
      </c>
      <c r="L3801" s="336">
        <f t="shared" si="38"/>
        <v>0</v>
      </c>
      <c r="M3801" s="337"/>
    </row>
    <row r="3802" spans="1:13" s="71" customFormat="1" ht="26.4" customHeight="1">
      <c r="A3802" s="282">
        <v>206</v>
      </c>
      <c r="B3802" s="537"/>
      <c r="C3802" s="333" t="s">
        <v>15</v>
      </c>
      <c r="D3802" s="333" t="s">
        <v>4574</v>
      </c>
      <c r="E3802" s="260" t="s">
        <v>4706</v>
      </c>
      <c r="F3802" s="334">
        <v>389</v>
      </c>
      <c r="G3802" s="311">
        <v>1969</v>
      </c>
      <c r="H3802" s="369" t="s">
        <v>2658</v>
      </c>
      <c r="I3802" s="313">
        <v>133</v>
      </c>
      <c r="J3802" s="314">
        <v>3.5611100000000002</v>
      </c>
      <c r="K3802" s="314">
        <v>3.3188399999999998</v>
      </c>
      <c r="L3802" s="336">
        <f t="shared" si="38"/>
        <v>0.24227000000000043</v>
      </c>
      <c r="M3802" s="337"/>
    </row>
    <row r="3803" spans="1:13" s="71" customFormat="1" ht="26.4" customHeight="1">
      <c r="A3803" s="282">
        <v>207</v>
      </c>
      <c r="B3803" s="537"/>
      <c r="C3803" s="333" t="s">
        <v>15</v>
      </c>
      <c r="D3803" s="333" t="s">
        <v>4574</v>
      </c>
      <c r="E3803" s="260" t="s">
        <v>4707</v>
      </c>
      <c r="F3803" s="334">
        <v>390</v>
      </c>
      <c r="G3803" s="311">
        <v>1969</v>
      </c>
      <c r="H3803" s="369" t="s">
        <v>2658</v>
      </c>
      <c r="I3803" s="313">
        <v>548</v>
      </c>
      <c r="J3803" s="314">
        <v>19.068999999999999</v>
      </c>
      <c r="K3803" s="314">
        <v>18.368870000000001</v>
      </c>
      <c r="L3803" s="336">
        <f t="shared" si="38"/>
        <v>0.70012999999999792</v>
      </c>
      <c r="M3803" s="337"/>
    </row>
    <row r="3804" spans="1:13" s="71" customFormat="1" ht="26.4" customHeight="1">
      <c r="A3804" s="282">
        <v>208</v>
      </c>
      <c r="B3804" s="537"/>
      <c r="C3804" s="333" t="s">
        <v>15</v>
      </c>
      <c r="D3804" s="333" t="s">
        <v>4702</v>
      </c>
      <c r="E3804" s="260" t="s">
        <v>4708</v>
      </c>
      <c r="F3804" s="334">
        <v>391</v>
      </c>
      <c r="G3804" s="311">
        <v>1952</v>
      </c>
      <c r="H3804" s="369" t="s">
        <v>2658</v>
      </c>
      <c r="I3804" s="313">
        <v>300</v>
      </c>
      <c r="J3804" s="314">
        <v>4.4740799999999998</v>
      </c>
      <c r="K3804" s="314">
        <v>4.1696299999999997</v>
      </c>
      <c r="L3804" s="336">
        <f t="shared" si="38"/>
        <v>0.30445000000000011</v>
      </c>
      <c r="M3804" s="337"/>
    </row>
    <row r="3805" spans="1:13" s="71" customFormat="1" ht="26.4" customHeight="1">
      <c r="A3805" s="282">
        <v>209</v>
      </c>
      <c r="B3805" s="537"/>
      <c r="C3805" s="333" t="s">
        <v>15</v>
      </c>
      <c r="D3805" s="333" t="s">
        <v>4702</v>
      </c>
      <c r="E3805" s="260" t="s">
        <v>4709</v>
      </c>
      <c r="F3805" s="334">
        <v>392</v>
      </c>
      <c r="G3805" s="311">
        <v>1939</v>
      </c>
      <c r="H3805" s="369" t="s">
        <v>2658</v>
      </c>
      <c r="I3805" s="313">
        <v>200</v>
      </c>
      <c r="J3805" s="314">
        <v>8.4531600000000005</v>
      </c>
      <c r="K3805" s="314">
        <v>7.8771599999999999</v>
      </c>
      <c r="L3805" s="336">
        <f t="shared" si="38"/>
        <v>0.57600000000000051</v>
      </c>
      <c r="M3805" s="337"/>
    </row>
    <row r="3806" spans="1:13" s="71" customFormat="1" ht="26.4" customHeight="1">
      <c r="A3806" s="282">
        <v>210</v>
      </c>
      <c r="B3806" s="537"/>
      <c r="C3806" s="333" t="s">
        <v>15</v>
      </c>
      <c r="D3806" s="333" t="s">
        <v>4710</v>
      </c>
      <c r="E3806" s="260" t="s">
        <v>4711</v>
      </c>
      <c r="F3806" s="334">
        <v>393</v>
      </c>
      <c r="G3806" s="311">
        <v>1958</v>
      </c>
      <c r="H3806" s="369" t="s">
        <v>2658</v>
      </c>
      <c r="I3806" s="313">
        <v>300</v>
      </c>
      <c r="J3806" s="314">
        <v>3.7441200000000001</v>
      </c>
      <c r="K3806" s="314">
        <v>3.5457200000000002</v>
      </c>
      <c r="L3806" s="336">
        <f t="shared" si="38"/>
        <v>0.19839999999999991</v>
      </c>
      <c r="M3806" s="337"/>
    </row>
    <row r="3807" spans="1:13" s="71" customFormat="1" ht="26.4" customHeight="1">
      <c r="A3807" s="282">
        <v>211</v>
      </c>
      <c r="B3807" s="537"/>
      <c r="C3807" s="333" t="s">
        <v>15</v>
      </c>
      <c r="D3807" s="333" t="s">
        <v>4710</v>
      </c>
      <c r="E3807" s="260" t="s">
        <v>4712</v>
      </c>
      <c r="F3807" s="334">
        <v>394</v>
      </c>
      <c r="G3807" s="311">
        <v>1948</v>
      </c>
      <c r="H3807" s="369" t="s">
        <v>2658</v>
      </c>
      <c r="I3807" s="313">
        <v>340</v>
      </c>
      <c r="J3807" s="314">
        <v>6.3271600000000001</v>
      </c>
      <c r="K3807" s="314">
        <v>6.2105600000000001</v>
      </c>
      <c r="L3807" s="336">
        <f t="shared" si="38"/>
        <v>0.11660000000000004</v>
      </c>
      <c r="M3807" s="337"/>
    </row>
    <row r="3808" spans="1:13" s="71" customFormat="1" ht="26.4" customHeight="1">
      <c r="A3808" s="282">
        <v>212</v>
      </c>
      <c r="B3808" s="537"/>
      <c r="C3808" s="333" t="s">
        <v>15</v>
      </c>
      <c r="D3808" s="333" t="s">
        <v>4713</v>
      </c>
      <c r="E3808" s="260" t="s">
        <v>4714</v>
      </c>
      <c r="F3808" s="334">
        <v>395</v>
      </c>
      <c r="G3808" s="311">
        <v>1956</v>
      </c>
      <c r="H3808" s="369" t="s">
        <v>2658</v>
      </c>
      <c r="I3808" s="313">
        <v>300</v>
      </c>
      <c r="J3808" s="314">
        <v>5.0641800000000003</v>
      </c>
      <c r="K3808" s="314">
        <v>4.7191999999999998</v>
      </c>
      <c r="L3808" s="336">
        <f t="shared" si="38"/>
        <v>0.34498000000000051</v>
      </c>
      <c r="M3808" s="337"/>
    </row>
    <row r="3809" spans="1:13" s="71" customFormat="1" ht="26.4" customHeight="1">
      <c r="A3809" s="282">
        <v>213</v>
      </c>
      <c r="B3809" s="537"/>
      <c r="C3809" s="333" t="s">
        <v>15</v>
      </c>
      <c r="D3809" s="333" t="s">
        <v>4713</v>
      </c>
      <c r="E3809" s="260" t="s">
        <v>4715</v>
      </c>
      <c r="F3809" s="334">
        <v>396</v>
      </c>
      <c r="G3809" s="311">
        <v>1957</v>
      </c>
      <c r="H3809" s="369" t="s">
        <v>2658</v>
      </c>
      <c r="I3809" s="313">
        <v>200</v>
      </c>
      <c r="J3809" s="314">
        <v>3.29108</v>
      </c>
      <c r="K3809" s="314">
        <v>3.0660799999999999</v>
      </c>
      <c r="L3809" s="336">
        <f t="shared" si="38"/>
        <v>0.22500000000000009</v>
      </c>
      <c r="M3809" s="337"/>
    </row>
    <row r="3810" spans="1:13" s="71" customFormat="1" ht="26.4">
      <c r="A3810" s="282">
        <v>214</v>
      </c>
      <c r="B3810" s="537"/>
      <c r="C3810" s="333" t="s">
        <v>15</v>
      </c>
      <c r="D3810" s="333" t="s">
        <v>4716</v>
      </c>
      <c r="E3810" s="260" t="s">
        <v>12711</v>
      </c>
      <c r="F3810" s="334">
        <v>397</v>
      </c>
      <c r="G3810" s="311">
        <v>1957</v>
      </c>
      <c r="H3810" s="369" t="s">
        <v>2658</v>
      </c>
      <c r="I3810" s="313">
        <v>300</v>
      </c>
      <c r="J3810" s="314">
        <v>6.3011600000000003</v>
      </c>
      <c r="K3810" s="314">
        <v>5.8736600000000001</v>
      </c>
      <c r="L3810" s="336">
        <f t="shared" si="38"/>
        <v>0.42750000000000021</v>
      </c>
      <c r="M3810" s="337"/>
    </row>
    <row r="3811" spans="1:13" s="71" customFormat="1" ht="26.4">
      <c r="A3811" s="282">
        <v>215</v>
      </c>
      <c r="B3811" s="537"/>
      <c r="C3811" s="333" t="s">
        <v>15</v>
      </c>
      <c r="D3811" s="333" t="s">
        <v>4716</v>
      </c>
      <c r="E3811" s="260" t="s">
        <v>12710</v>
      </c>
      <c r="F3811" s="334">
        <v>398</v>
      </c>
      <c r="G3811" s="311">
        <v>1938</v>
      </c>
      <c r="H3811" s="369" t="s">
        <v>2658</v>
      </c>
      <c r="I3811" s="313">
        <v>270</v>
      </c>
      <c r="J3811" s="314">
        <v>6.0221600000000004</v>
      </c>
      <c r="K3811" s="314">
        <v>5.61111</v>
      </c>
      <c r="L3811" s="336">
        <f t="shared" si="38"/>
        <v>0.41105000000000036</v>
      </c>
      <c r="M3811" s="337"/>
    </row>
    <row r="3812" spans="1:13" s="71" customFormat="1" ht="26.4" customHeight="1">
      <c r="A3812" s="282">
        <v>216</v>
      </c>
      <c r="B3812" s="537"/>
      <c r="C3812" s="333" t="s">
        <v>15</v>
      </c>
      <c r="D3812" s="333" t="s">
        <v>4717</v>
      </c>
      <c r="E3812" s="260" t="s">
        <v>4718</v>
      </c>
      <c r="F3812" s="334">
        <v>399</v>
      </c>
      <c r="G3812" s="311">
        <v>1962</v>
      </c>
      <c r="H3812" s="369" t="s">
        <v>2658</v>
      </c>
      <c r="I3812" s="313">
        <v>200</v>
      </c>
      <c r="J3812" s="314">
        <v>4.4990800000000002</v>
      </c>
      <c r="K3812" s="314">
        <v>4.25413</v>
      </c>
      <c r="L3812" s="336">
        <f t="shared" si="38"/>
        <v>0.24495000000000022</v>
      </c>
      <c r="M3812" s="337"/>
    </row>
    <row r="3813" spans="1:13" s="71" customFormat="1" ht="26.4" customHeight="1">
      <c r="A3813" s="282">
        <v>217</v>
      </c>
      <c r="B3813" s="537"/>
      <c r="C3813" s="333" t="s">
        <v>15</v>
      </c>
      <c r="D3813" s="333" t="s">
        <v>4717</v>
      </c>
      <c r="E3813" s="260" t="s">
        <v>4719</v>
      </c>
      <c r="F3813" s="334">
        <v>400</v>
      </c>
      <c r="G3813" s="311">
        <v>1938</v>
      </c>
      <c r="H3813" s="369" t="s">
        <v>2658</v>
      </c>
      <c r="I3813" s="313">
        <v>200</v>
      </c>
      <c r="J3813" s="314">
        <v>14.70096</v>
      </c>
      <c r="K3813" s="314">
        <v>13.72601</v>
      </c>
      <c r="L3813" s="336">
        <f t="shared" si="38"/>
        <v>0.97494999999999976</v>
      </c>
      <c r="M3813" s="337"/>
    </row>
    <row r="3814" spans="1:13" s="71" customFormat="1" ht="26.4" customHeight="1">
      <c r="A3814" s="282">
        <v>218</v>
      </c>
      <c r="B3814" s="537"/>
      <c r="C3814" s="333" t="s">
        <v>15</v>
      </c>
      <c r="D3814" s="333" t="s">
        <v>4638</v>
      </c>
      <c r="E3814" s="260" t="s">
        <v>4720</v>
      </c>
      <c r="F3814" s="334">
        <v>401</v>
      </c>
      <c r="G3814" s="311">
        <v>1955</v>
      </c>
      <c r="H3814" s="369" t="s">
        <v>2658</v>
      </c>
      <c r="I3814" s="313">
        <v>50</v>
      </c>
      <c r="J3814" s="314">
        <v>10.653879999999999</v>
      </c>
      <c r="K3814" s="314">
        <v>9.9338800000000003</v>
      </c>
      <c r="L3814" s="336">
        <f t="shared" si="38"/>
        <v>0.71999999999999886</v>
      </c>
      <c r="M3814" s="337"/>
    </row>
    <row r="3815" spans="1:13" s="71" customFormat="1" ht="26.4" customHeight="1">
      <c r="A3815" s="282">
        <v>219</v>
      </c>
      <c r="B3815" s="537"/>
      <c r="C3815" s="333" t="s">
        <v>15</v>
      </c>
      <c r="D3815" s="333" t="s">
        <v>4638</v>
      </c>
      <c r="E3815" s="260" t="s">
        <v>4721</v>
      </c>
      <c r="F3815" s="334">
        <v>402</v>
      </c>
      <c r="G3815" s="311">
        <v>1937</v>
      </c>
      <c r="H3815" s="369" t="s">
        <v>2658</v>
      </c>
      <c r="I3815" s="313">
        <v>200</v>
      </c>
      <c r="J3815" s="314">
        <v>5.0210800000000004</v>
      </c>
      <c r="K3815" s="314">
        <v>4.6835800000000001</v>
      </c>
      <c r="L3815" s="336">
        <f t="shared" si="38"/>
        <v>0.33750000000000036</v>
      </c>
      <c r="M3815" s="337"/>
    </row>
    <row r="3816" spans="1:13" s="71" customFormat="1" ht="26.4" customHeight="1">
      <c r="A3816" s="282">
        <v>220</v>
      </c>
      <c r="B3816" s="537"/>
      <c r="C3816" s="333" t="s">
        <v>15</v>
      </c>
      <c r="D3816" s="333" t="s">
        <v>4722</v>
      </c>
      <c r="E3816" s="260" t="s">
        <v>4723</v>
      </c>
      <c r="F3816" s="334">
        <v>404</v>
      </c>
      <c r="G3816" s="311">
        <v>1955</v>
      </c>
      <c r="H3816" s="369" t="s">
        <v>2658</v>
      </c>
      <c r="I3816" s="313">
        <v>200</v>
      </c>
      <c r="J3816" s="314">
        <v>6.3011600000000003</v>
      </c>
      <c r="K3816" s="314">
        <v>5.96861</v>
      </c>
      <c r="L3816" s="336">
        <f t="shared" si="38"/>
        <v>0.33255000000000035</v>
      </c>
      <c r="M3816" s="337"/>
    </row>
    <row r="3817" spans="1:13" s="71" customFormat="1" ht="26.4" customHeight="1">
      <c r="A3817" s="282">
        <v>221</v>
      </c>
      <c r="B3817" s="537"/>
      <c r="C3817" s="333" t="s">
        <v>15</v>
      </c>
      <c r="D3817" s="333" t="s">
        <v>4701</v>
      </c>
      <c r="E3817" s="260" t="s">
        <v>4724</v>
      </c>
      <c r="F3817" s="334">
        <v>405</v>
      </c>
      <c r="G3817" s="311">
        <v>1931</v>
      </c>
      <c r="H3817" s="369" t="s">
        <v>2658</v>
      </c>
      <c r="I3817" s="313">
        <v>500</v>
      </c>
      <c r="J3817" s="314">
        <v>1.4510799999999999</v>
      </c>
      <c r="K3817" s="314">
        <v>1.37523</v>
      </c>
      <c r="L3817" s="336">
        <f t="shared" si="38"/>
        <v>7.5849999999999973E-2</v>
      </c>
      <c r="M3817" s="337"/>
    </row>
    <row r="3818" spans="1:13" s="71" customFormat="1" ht="26.4" customHeight="1">
      <c r="A3818" s="282">
        <v>222</v>
      </c>
      <c r="B3818" s="537"/>
      <c r="C3818" s="333" t="s">
        <v>15</v>
      </c>
      <c r="D3818" s="333" t="s">
        <v>4725</v>
      </c>
      <c r="E3818" s="260" t="s">
        <v>4726</v>
      </c>
      <c r="F3818" s="334">
        <v>406</v>
      </c>
      <c r="G3818" s="311">
        <v>1958</v>
      </c>
      <c r="H3818" s="369" t="s">
        <v>2658</v>
      </c>
      <c r="I3818" s="313">
        <v>270</v>
      </c>
      <c r="J3818" s="314">
        <v>3.8480799999999999</v>
      </c>
      <c r="K3818" s="314">
        <v>3.6438799999999998</v>
      </c>
      <c r="L3818" s="336">
        <f t="shared" si="38"/>
        <v>0.20420000000000016</v>
      </c>
      <c r="M3818" s="337"/>
    </row>
    <row r="3819" spans="1:13" s="71" customFormat="1" ht="26.4" customHeight="1">
      <c r="A3819" s="282">
        <v>223</v>
      </c>
      <c r="B3819" s="537"/>
      <c r="C3819" s="333" t="s">
        <v>15</v>
      </c>
      <c r="D3819" s="333" t="s">
        <v>4625</v>
      </c>
      <c r="E3819" s="260" t="s">
        <v>12712</v>
      </c>
      <c r="F3819" s="334">
        <v>407</v>
      </c>
      <c r="G3819" s="311">
        <v>1958</v>
      </c>
      <c r="H3819" s="369" t="s">
        <v>2658</v>
      </c>
      <c r="I3819" s="313">
        <v>325</v>
      </c>
      <c r="J3819" s="314">
        <v>1.4775799999999999</v>
      </c>
      <c r="K3819" s="314">
        <v>1.3959299999999999</v>
      </c>
      <c r="L3819" s="336">
        <f t="shared" si="38"/>
        <v>8.165E-2</v>
      </c>
      <c r="M3819" s="337"/>
    </row>
    <row r="3820" spans="1:13" s="71" customFormat="1" ht="26.4" customHeight="1">
      <c r="A3820" s="282">
        <v>224</v>
      </c>
      <c r="B3820" s="537"/>
      <c r="C3820" s="333" t="s">
        <v>15</v>
      </c>
      <c r="D3820" s="333" t="s">
        <v>4727</v>
      </c>
      <c r="E3820" s="260" t="s">
        <v>4728</v>
      </c>
      <c r="F3820" s="334">
        <v>408</v>
      </c>
      <c r="G3820" s="311">
        <v>1958</v>
      </c>
      <c r="H3820" s="369" t="s">
        <v>2658</v>
      </c>
      <c r="I3820" s="313">
        <v>320</v>
      </c>
      <c r="J3820" s="314">
        <v>4.0318399999999999</v>
      </c>
      <c r="K3820" s="314">
        <v>3.7984900000000001</v>
      </c>
      <c r="L3820" s="336">
        <f t="shared" si="38"/>
        <v>0.23334999999999972</v>
      </c>
      <c r="M3820" s="337"/>
    </row>
    <row r="3821" spans="1:13" s="71" customFormat="1" ht="26.4" customHeight="1">
      <c r="A3821" s="282">
        <v>225</v>
      </c>
      <c r="B3821" s="537"/>
      <c r="C3821" s="333" t="s">
        <v>15</v>
      </c>
      <c r="D3821" s="333" t="s">
        <v>4729</v>
      </c>
      <c r="E3821" s="260" t="s">
        <v>4730</v>
      </c>
      <c r="F3821" s="334">
        <v>409</v>
      </c>
      <c r="G3821" s="311">
        <v>1959</v>
      </c>
      <c r="H3821" s="369" t="s">
        <v>2658</v>
      </c>
      <c r="I3821" s="313">
        <v>600</v>
      </c>
      <c r="J3821" s="314">
        <v>5.7889999999999997</v>
      </c>
      <c r="K3821" s="314">
        <v>5.7570600000000001</v>
      </c>
      <c r="L3821" s="336">
        <f t="shared" si="38"/>
        <v>3.1939999999999635E-2</v>
      </c>
      <c r="M3821" s="337"/>
    </row>
    <row r="3822" spans="1:13" s="71" customFormat="1" ht="26.4" customHeight="1">
      <c r="A3822" s="282">
        <v>226</v>
      </c>
      <c r="B3822" s="537"/>
      <c r="C3822" s="333" t="s">
        <v>15</v>
      </c>
      <c r="D3822" s="333" t="s">
        <v>3</v>
      </c>
      <c r="E3822" s="260" t="s">
        <v>13286</v>
      </c>
      <c r="F3822" s="334">
        <v>410</v>
      </c>
      <c r="G3822" s="311">
        <v>1931</v>
      </c>
      <c r="H3822" s="369" t="s">
        <v>2658</v>
      </c>
      <c r="I3822" s="313">
        <v>250</v>
      </c>
      <c r="J3822" s="314">
        <v>3.90808</v>
      </c>
      <c r="K3822" s="314">
        <v>3.7038799999999998</v>
      </c>
      <c r="L3822" s="336">
        <f t="shared" si="38"/>
        <v>0.20420000000000016</v>
      </c>
      <c r="M3822" s="337"/>
    </row>
    <row r="3823" spans="1:13" s="71" customFormat="1" ht="26.4" customHeight="1">
      <c r="A3823" s="282">
        <v>227</v>
      </c>
      <c r="B3823" s="537"/>
      <c r="C3823" s="333" t="s">
        <v>15</v>
      </c>
      <c r="D3823" s="333" t="s">
        <v>4731</v>
      </c>
      <c r="E3823" s="260" t="s">
        <v>12713</v>
      </c>
      <c r="F3823" s="334">
        <v>411</v>
      </c>
      <c r="G3823" s="311">
        <v>1955</v>
      </c>
      <c r="H3823" s="369" t="s">
        <v>2658</v>
      </c>
      <c r="I3823" s="313">
        <v>100</v>
      </c>
      <c r="J3823" s="314">
        <v>3.7030799999999999</v>
      </c>
      <c r="K3823" s="314">
        <v>3.4405299999999999</v>
      </c>
      <c r="L3823" s="336">
        <f t="shared" si="38"/>
        <v>0.26255000000000006</v>
      </c>
      <c r="M3823" s="337"/>
    </row>
    <row r="3824" spans="1:13" s="71" customFormat="1" ht="26.4" customHeight="1">
      <c r="A3824" s="282">
        <v>228</v>
      </c>
      <c r="B3824" s="537"/>
      <c r="C3824" s="333" t="s">
        <v>15</v>
      </c>
      <c r="D3824" s="333" t="s">
        <v>4729</v>
      </c>
      <c r="E3824" s="260" t="s">
        <v>4730</v>
      </c>
      <c r="F3824" s="334">
        <v>412</v>
      </c>
      <c r="G3824" s="311">
        <v>1931</v>
      </c>
      <c r="H3824" s="369" t="s">
        <v>2658</v>
      </c>
      <c r="I3824" s="313">
        <v>150</v>
      </c>
      <c r="J3824" s="314">
        <v>5.5771600000000001</v>
      </c>
      <c r="K3824" s="314">
        <v>5.2855100000000004</v>
      </c>
      <c r="L3824" s="336">
        <f t="shared" si="38"/>
        <v>0.29164999999999974</v>
      </c>
      <c r="M3824" s="337"/>
    </row>
    <row r="3825" spans="1:13" s="71" customFormat="1" ht="26.4" customHeight="1">
      <c r="A3825" s="282">
        <v>229</v>
      </c>
      <c r="B3825" s="537"/>
      <c r="C3825" s="333" t="s">
        <v>15</v>
      </c>
      <c r="D3825" s="333" t="s">
        <v>4732</v>
      </c>
      <c r="E3825" s="260" t="s">
        <v>4733</v>
      </c>
      <c r="F3825" s="334">
        <v>413</v>
      </c>
      <c r="G3825" s="311">
        <v>1931</v>
      </c>
      <c r="H3825" s="369" t="s">
        <v>2658</v>
      </c>
      <c r="I3825" s="313">
        <v>120</v>
      </c>
      <c r="J3825" s="314">
        <v>3.8347199999999999</v>
      </c>
      <c r="K3825" s="314">
        <v>3.57375</v>
      </c>
      <c r="L3825" s="336">
        <f t="shared" si="38"/>
        <v>0.26096999999999992</v>
      </c>
      <c r="M3825" s="337"/>
    </row>
    <row r="3826" spans="1:13" s="71" customFormat="1" ht="26.4" customHeight="1">
      <c r="A3826" s="282">
        <v>230</v>
      </c>
      <c r="B3826" s="537"/>
      <c r="C3826" s="333" t="s">
        <v>15</v>
      </c>
      <c r="D3826" s="333" t="s">
        <v>4599</v>
      </c>
      <c r="E3826" s="260" t="s">
        <v>4734</v>
      </c>
      <c r="F3826" s="334">
        <v>414</v>
      </c>
      <c r="G3826" s="311">
        <v>1958</v>
      </c>
      <c r="H3826" s="369" t="s">
        <v>2658</v>
      </c>
      <c r="I3826" s="313">
        <v>195</v>
      </c>
      <c r="J3826" s="314">
        <v>3.9990800000000002</v>
      </c>
      <c r="K3826" s="314">
        <v>3.76573</v>
      </c>
      <c r="L3826" s="336">
        <f t="shared" si="38"/>
        <v>0.23335000000000017</v>
      </c>
      <c r="M3826" s="337"/>
    </row>
    <row r="3827" spans="1:13" s="71" customFormat="1" ht="26.4" customHeight="1">
      <c r="A3827" s="282">
        <v>231</v>
      </c>
      <c r="B3827" s="537"/>
      <c r="C3827" s="333" t="s">
        <v>15</v>
      </c>
      <c r="D3827" s="333" t="s">
        <v>4632</v>
      </c>
      <c r="E3827" s="260" t="s">
        <v>4735</v>
      </c>
      <c r="F3827" s="334">
        <v>415</v>
      </c>
      <c r="G3827" s="311">
        <v>1931</v>
      </c>
      <c r="H3827" s="369" t="s">
        <v>2658</v>
      </c>
      <c r="I3827" s="313">
        <v>350</v>
      </c>
      <c r="J3827" s="314">
        <v>25.10228</v>
      </c>
      <c r="K3827" s="314">
        <v>24.956379999999999</v>
      </c>
      <c r="L3827" s="336">
        <f t="shared" si="38"/>
        <v>0.14590000000000103</v>
      </c>
      <c r="M3827" s="337"/>
    </row>
    <row r="3828" spans="1:13" s="71" customFormat="1" ht="26.4" customHeight="1">
      <c r="A3828" s="282">
        <v>232</v>
      </c>
      <c r="B3828" s="537"/>
      <c r="C3828" s="333" t="s">
        <v>15</v>
      </c>
      <c r="D3828" s="333" t="s">
        <v>4736</v>
      </c>
      <c r="E3828" s="260" t="s">
        <v>4737</v>
      </c>
      <c r="F3828" s="334">
        <v>416</v>
      </c>
      <c r="G3828" s="311">
        <v>1931</v>
      </c>
      <c r="H3828" s="369" t="s">
        <v>2658</v>
      </c>
      <c r="I3828" s="313">
        <v>25</v>
      </c>
      <c r="J3828" s="314">
        <v>6.2820799999999997</v>
      </c>
      <c r="K3828" s="314">
        <v>5.9612800000000004</v>
      </c>
      <c r="L3828" s="336">
        <f t="shared" si="38"/>
        <v>0.32079999999999931</v>
      </c>
      <c r="M3828" s="337"/>
    </row>
    <row r="3829" spans="1:13" s="71" customFormat="1" ht="26.4" customHeight="1">
      <c r="A3829" s="282">
        <v>233</v>
      </c>
      <c r="B3829" s="537"/>
      <c r="C3829" s="333" t="s">
        <v>15</v>
      </c>
      <c r="D3829" s="333" t="s">
        <v>4627</v>
      </c>
      <c r="E3829" s="260" t="s">
        <v>4738</v>
      </c>
      <c r="F3829" s="334">
        <v>417</v>
      </c>
      <c r="G3829" s="311">
        <v>1931</v>
      </c>
      <c r="H3829" s="369" t="s">
        <v>2658</v>
      </c>
      <c r="I3829" s="313">
        <v>28</v>
      </c>
      <c r="J3829" s="314">
        <v>20.31016</v>
      </c>
      <c r="K3829" s="314">
        <v>19.931059999999999</v>
      </c>
      <c r="L3829" s="336">
        <f t="shared" si="38"/>
        <v>0.3791000000000011</v>
      </c>
      <c r="M3829" s="337"/>
    </row>
    <row r="3830" spans="1:13" s="71" customFormat="1" ht="26.4" customHeight="1">
      <c r="A3830" s="282">
        <v>234</v>
      </c>
      <c r="B3830" s="537"/>
      <c r="C3830" s="333" t="s">
        <v>15</v>
      </c>
      <c r="D3830" s="333" t="s">
        <v>4739</v>
      </c>
      <c r="E3830" s="260" t="s">
        <v>4740</v>
      </c>
      <c r="F3830" s="334">
        <v>418</v>
      </c>
      <c r="G3830" s="311">
        <v>1931</v>
      </c>
      <c r="H3830" s="369" t="s">
        <v>2658</v>
      </c>
      <c r="I3830" s="313">
        <v>16.2</v>
      </c>
      <c r="J3830" s="314">
        <v>4.96408</v>
      </c>
      <c r="K3830" s="314">
        <v>4.7015799999999999</v>
      </c>
      <c r="L3830" s="336">
        <f t="shared" si="38"/>
        <v>0.26250000000000018</v>
      </c>
      <c r="M3830" s="337"/>
    </row>
    <row r="3831" spans="1:13" s="71" customFormat="1" ht="26.4" customHeight="1">
      <c r="A3831" s="282">
        <v>235</v>
      </c>
      <c r="B3831" s="537"/>
      <c r="C3831" s="333" t="s">
        <v>15</v>
      </c>
      <c r="D3831" s="333" t="s">
        <v>4741</v>
      </c>
      <c r="E3831" s="260" t="s">
        <v>4742</v>
      </c>
      <c r="F3831" s="334">
        <v>419</v>
      </c>
      <c r="G3831" s="311">
        <v>1931</v>
      </c>
      <c r="H3831" s="369" t="s">
        <v>2658</v>
      </c>
      <c r="I3831" s="313">
        <v>15</v>
      </c>
      <c r="J3831" s="314">
        <v>2.2364799999999998</v>
      </c>
      <c r="K3831" s="314">
        <v>2.1198800000000002</v>
      </c>
      <c r="L3831" s="336">
        <f t="shared" si="38"/>
        <v>0.11659999999999959</v>
      </c>
      <c r="M3831" s="337"/>
    </row>
    <row r="3832" spans="1:13" s="71" customFormat="1" ht="26.4" customHeight="1">
      <c r="A3832" s="282">
        <v>236</v>
      </c>
      <c r="B3832" s="537"/>
      <c r="C3832" s="333" t="s">
        <v>15</v>
      </c>
      <c r="D3832" s="333" t="s">
        <v>4634</v>
      </c>
      <c r="E3832" s="260" t="s">
        <v>4743</v>
      </c>
      <c r="F3832" s="334">
        <v>420</v>
      </c>
      <c r="G3832" s="311">
        <v>1931</v>
      </c>
      <c r="H3832" s="369" t="s">
        <v>2658</v>
      </c>
      <c r="I3832" s="313">
        <v>20</v>
      </c>
      <c r="J3832" s="314">
        <v>2.5900799999999999</v>
      </c>
      <c r="K3832" s="314">
        <v>2.4441799999999998</v>
      </c>
      <c r="L3832" s="336">
        <f t="shared" si="38"/>
        <v>0.14590000000000014</v>
      </c>
      <c r="M3832" s="337"/>
    </row>
    <row r="3833" spans="1:13" s="71" customFormat="1" ht="26.4" customHeight="1">
      <c r="A3833" s="282">
        <v>237</v>
      </c>
      <c r="B3833" s="537"/>
      <c r="C3833" s="333" t="s">
        <v>15</v>
      </c>
      <c r="D3833" s="333" t="s">
        <v>4744</v>
      </c>
      <c r="E3833" s="260" t="s">
        <v>4745</v>
      </c>
      <c r="F3833" s="334">
        <v>421</v>
      </c>
      <c r="G3833" s="311">
        <v>1931</v>
      </c>
      <c r="H3833" s="369" t="s">
        <v>2658</v>
      </c>
      <c r="I3833" s="313">
        <v>20</v>
      </c>
      <c r="J3833" s="314">
        <v>17.392160000000001</v>
      </c>
      <c r="K3833" s="314">
        <v>17.275559999999999</v>
      </c>
      <c r="L3833" s="336">
        <f t="shared" si="38"/>
        <v>0.11660000000000181</v>
      </c>
      <c r="M3833" s="337"/>
    </row>
    <row r="3834" spans="1:13" s="71" customFormat="1" ht="26.4" customHeight="1">
      <c r="A3834" s="282">
        <v>238</v>
      </c>
      <c r="B3834" s="537"/>
      <c r="C3834" s="333" t="s">
        <v>15</v>
      </c>
      <c r="D3834" s="333" t="s">
        <v>4746</v>
      </c>
      <c r="E3834" s="260" t="s">
        <v>4747</v>
      </c>
      <c r="F3834" s="334">
        <v>422</v>
      </c>
      <c r="G3834" s="311">
        <v>1931</v>
      </c>
      <c r="H3834" s="369" t="s">
        <v>2658</v>
      </c>
      <c r="I3834" s="313">
        <v>80</v>
      </c>
      <c r="J3834" s="314">
        <v>2.3830800000000001</v>
      </c>
      <c r="K3834" s="314">
        <v>1.8581300000000001</v>
      </c>
      <c r="L3834" s="336">
        <f t="shared" si="38"/>
        <v>0.52495000000000003</v>
      </c>
      <c r="M3834" s="337"/>
    </row>
    <row r="3835" spans="1:13" s="71" customFormat="1" ht="26.4" customHeight="1">
      <c r="A3835" s="282">
        <v>239</v>
      </c>
      <c r="B3835" s="537"/>
      <c r="C3835" s="333" t="s">
        <v>15</v>
      </c>
      <c r="D3835" s="333" t="s">
        <v>4748</v>
      </c>
      <c r="E3835" s="260" t="s">
        <v>4749</v>
      </c>
      <c r="F3835" s="334">
        <v>423</v>
      </c>
      <c r="G3835" s="311">
        <v>1951</v>
      </c>
      <c r="H3835" s="369" t="s">
        <v>2658</v>
      </c>
      <c r="I3835" s="313">
        <v>375</v>
      </c>
      <c r="J3835" s="314">
        <v>7.4154200000000001</v>
      </c>
      <c r="K3835" s="314">
        <v>6.8904699999999997</v>
      </c>
      <c r="L3835" s="336">
        <f t="shared" si="38"/>
        <v>0.52495000000000047</v>
      </c>
      <c r="M3835" s="337"/>
    </row>
    <row r="3836" spans="1:13" s="71" customFormat="1" ht="26.4" customHeight="1">
      <c r="A3836" s="282">
        <v>240</v>
      </c>
      <c r="B3836" s="537"/>
      <c r="C3836" s="333" t="s">
        <v>15</v>
      </c>
      <c r="D3836" s="333" t="s">
        <v>4744</v>
      </c>
      <c r="E3836" s="260" t="s">
        <v>13116</v>
      </c>
      <c r="F3836" s="334">
        <v>424</v>
      </c>
      <c r="G3836" s="311">
        <v>1951</v>
      </c>
      <c r="H3836" s="369" t="s">
        <v>2658</v>
      </c>
      <c r="I3836" s="313">
        <v>37</v>
      </c>
      <c r="J3836" s="314">
        <v>22.661850000000001</v>
      </c>
      <c r="K3836" s="314">
        <v>22.51595</v>
      </c>
      <c r="L3836" s="336">
        <f t="shared" si="38"/>
        <v>0.14590000000000103</v>
      </c>
      <c r="M3836" s="337"/>
    </row>
    <row r="3837" spans="1:13" s="71" customFormat="1" ht="26.4" customHeight="1">
      <c r="A3837" s="282">
        <v>241</v>
      </c>
      <c r="B3837" s="537"/>
      <c r="C3837" s="333" t="s">
        <v>15</v>
      </c>
      <c r="D3837" s="333" t="s">
        <v>4750</v>
      </c>
      <c r="E3837" s="260" t="s">
        <v>4751</v>
      </c>
      <c r="F3837" s="334">
        <v>425</v>
      </c>
      <c r="G3837" s="311">
        <v>1950</v>
      </c>
      <c r="H3837" s="369" t="s">
        <v>2658</v>
      </c>
      <c r="I3837" s="313">
        <v>30</v>
      </c>
      <c r="J3837" s="314">
        <v>16.289079999999998</v>
      </c>
      <c r="K3837" s="314">
        <v>15.96828</v>
      </c>
      <c r="L3837" s="336">
        <f t="shared" si="38"/>
        <v>0.32079999999999842</v>
      </c>
      <c r="M3837" s="337"/>
    </row>
    <row r="3838" spans="1:13" s="71" customFormat="1" ht="26.4" customHeight="1">
      <c r="A3838" s="282">
        <v>242</v>
      </c>
      <c r="B3838" s="537"/>
      <c r="C3838" s="333" t="s">
        <v>15</v>
      </c>
      <c r="D3838" s="333" t="s">
        <v>4752</v>
      </c>
      <c r="E3838" s="260" t="s">
        <v>4753</v>
      </c>
      <c r="F3838" s="334">
        <v>426</v>
      </c>
      <c r="G3838" s="311">
        <v>1986</v>
      </c>
      <c r="H3838" s="369" t="s">
        <v>2658</v>
      </c>
      <c r="I3838" s="313">
        <v>30</v>
      </c>
      <c r="J3838" s="314">
        <v>14.5779</v>
      </c>
      <c r="K3838" s="314">
        <v>14.390549999999999</v>
      </c>
      <c r="L3838" s="336">
        <f t="shared" si="38"/>
        <v>0.18735000000000035</v>
      </c>
      <c r="M3838" s="337"/>
    </row>
    <row r="3839" spans="1:13" s="71" customFormat="1" ht="26.4" customHeight="1">
      <c r="A3839" s="282">
        <v>243</v>
      </c>
      <c r="B3839" s="537"/>
      <c r="C3839" s="333" t="s">
        <v>15</v>
      </c>
      <c r="D3839" s="333" t="s">
        <v>4576</v>
      </c>
      <c r="E3839" s="260" t="s">
        <v>4754</v>
      </c>
      <c r="F3839" s="334">
        <v>427</v>
      </c>
      <c r="G3839" s="311">
        <v>1988</v>
      </c>
      <c r="H3839" s="369" t="s">
        <v>2658</v>
      </c>
      <c r="I3839" s="313">
        <v>240</v>
      </c>
      <c r="J3839" s="314">
        <v>6.4489999999999998</v>
      </c>
      <c r="K3839" s="314">
        <v>6.36416</v>
      </c>
      <c r="L3839" s="336">
        <f t="shared" si="38"/>
        <v>8.4839999999999804E-2</v>
      </c>
      <c r="M3839" s="337"/>
    </row>
    <row r="3840" spans="1:13" s="71" customFormat="1" ht="26.4" customHeight="1">
      <c r="A3840" s="282">
        <v>244</v>
      </c>
      <c r="B3840" s="537"/>
      <c r="C3840" s="333" t="s">
        <v>15</v>
      </c>
      <c r="D3840" s="333" t="s">
        <v>4755</v>
      </c>
      <c r="E3840" s="260" t="s">
        <v>4756</v>
      </c>
      <c r="F3840" s="334">
        <v>428</v>
      </c>
      <c r="G3840" s="311">
        <v>1931</v>
      </c>
      <c r="H3840" s="369" t="s">
        <v>3243</v>
      </c>
      <c r="I3840" s="313" t="s">
        <v>3243</v>
      </c>
      <c r="J3840" s="314">
        <v>5.90808</v>
      </c>
      <c r="K3840" s="314">
        <v>5.6455799999999998</v>
      </c>
      <c r="L3840" s="336">
        <f t="shared" si="38"/>
        <v>0.26250000000000018</v>
      </c>
      <c r="M3840" s="337"/>
    </row>
    <row r="3841" spans="1:13" s="71" customFormat="1" ht="26.4" customHeight="1">
      <c r="A3841" s="282">
        <v>245</v>
      </c>
      <c r="B3841" s="537"/>
      <c r="C3841" s="333" t="s">
        <v>15</v>
      </c>
      <c r="D3841" s="333" t="s">
        <v>4731</v>
      </c>
      <c r="E3841" s="260" t="s">
        <v>4757</v>
      </c>
      <c r="F3841" s="334">
        <v>429</v>
      </c>
      <c r="G3841" s="311">
        <v>1964</v>
      </c>
      <c r="H3841" s="369" t="s">
        <v>2658</v>
      </c>
      <c r="I3841" s="313">
        <v>200</v>
      </c>
      <c r="J3841" s="314">
        <v>4.4790799999999997</v>
      </c>
      <c r="K3841" s="314">
        <v>4.24573</v>
      </c>
      <c r="L3841" s="336">
        <f t="shared" si="38"/>
        <v>0.23334999999999972</v>
      </c>
      <c r="M3841" s="337"/>
    </row>
    <row r="3842" spans="1:13" s="71" customFormat="1" ht="26.4" customHeight="1">
      <c r="A3842" s="282">
        <v>246</v>
      </c>
      <c r="B3842" s="537"/>
      <c r="C3842" s="333" t="s">
        <v>15</v>
      </c>
      <c r="D3842" s="333" t="s">
        <v>4758</v>
      </c>
      <c r="E3842" s="260" t="s">
        <v>4759</v>
      </c>
      <c r="F3842" s="334">
        <v>430</v>
      </c>
      <c r="G3842" s="311">
        <v>1975</v>
      </c>
      <c r="H3842" s="369" t="s">
        <v>2658</v>
      </c>
      <c r="I3842" s="313">
        <v>120</v>
      </c>
      <c r="J3842" s="314">
        <v>6.6098999999999997</v>
      </c>
      <c r="K3842" s="314">
        <v>6.53972</v>
      </c>
      <c r="L3842" s="336">
        <f t="shared" si="38"/>
        <v>7.0179999999999687E-2</v>
      </c>
      <c r="M3842" s="337"/>
    </row>
    <row r="3843" spans="1:13" s="71" customFormat="1" ht="26.4" customHeight="1">
      <c r="A3843" s="282">
        <v>247</v>
      </c>
      <c r="B3843" s="537"/>
      <c r="C3843" s="333" t="s">
        <v>15</v>
      </c>
      <c r="D3843" s="333" t="s">
        <v>4729</v>
      </c>
      <c r="E3843" s="260" t="s">
        <v>4730</v>
      </c>
      <c r="F3843" s="334">
        <v>431</v>
      </c>
      <c r="G3843" s="311">
        <v>1986</v>
      </c>
      <c r="H3843" s="369" t="s">
        <v>2658</v>
      </c>
      <c r="I3843" s="313">
        <v>120</v>
      </c>
      <c r="J3843" s="314">
        <v>7.3358999999999996</v>
      </c>
      <c r="K3843" s="314">
        <v>7.2398999999999996</v>
      </c>
      <c r="L3843" s="336">
        <f t="shared" si="38"/>
        <v>9.6000000000000085E-2</v>
      </c>
      <c r="M3843" s="337"/>
    </row>
    <row r="3844" spans="1:13" s="71" customFormat="1" ht="26.4" customHeight="1">
      <c r="A3844" s="282">
        <v>248</v>
      </c>
      <c r="B3844" s="537"/>
      <c r="C3844" s="333" t="s">
        <v>15</v>
      </c>
      <c r="D3844" s="333" t="s">
        <v>4760</v>
      </c>
      <c r="E3844" s="260" t="s">
        <v>4761</v>
      </c>
      <c r="F3844" s="334">
        <v>432</v>
      </c>
      <c r="G3844" s="311">
        <v>1970</v>
      </c>
      <c r="H3844" s="369" t="s">
        <v>3243</v>
      </c>
      <c r="I3844" s="313" t="s">
        <v>3243</v>
      </c>
      <c r="J3844" s="314">
        <v>7.694</v>
      </c>
      <c r="K3844" s="314">
        <v>7.6289999999999996</v>
      </c>
      <c r="L3844" s="336">
        <f t="shared" si="38"/>
        <v>6.5000000000000391E-2</v>
      </c>
      <c r="M3844" s="337"/>
    </row>
    <row r="3845" spans="1:13" s="71" customFormat="1" ht="26.4" customHeight="1">
      <c r="A3845" s="282">
        <v>249</v>
      </c>
      <c r="B3845" s="537"/>
      <c r="C3845" s="333" t="s">
        <v>15</v>
      </c>
      <c r="D3845" s="333" t="s">
        <v>4762</v>
      </c>
      <c r="E3845" s="260" t="s">
        <v>4763</v>
      </c>
      <c r="F3845" s="334">
        <v>433</v>
      </c>
      <c r="G3845" s="311">
        <v>1986</v>
      </c>
      <c r="H3845" s="369" t="s">
        <v>2658</v>
      </c>
      <c r="I3845" s="313">
        <v>180</v>
      </c>
      <c r="J3845" s="314">
        <v>4.89208</v>
      </c>
      <c r="K3845" s="314">
        <v>4.6295799999999998</v>
      </c>
      <c r="L3845" s="336">
        <f t="shared" si="38"/>
        <v>0.26250000000000018</v>
      </c>
      <c r="M3845" s="337"/>
    </row>
    <row r="3846" spans="1:13" s="71" customFormat="1" ht="26.4" customHeight="1">
      <c r="A3846" s="282">
        <v>250</v>
      </c>
      <c r="B3846" s="537"/>
      <c r="C3846" s="333" t="s">
        <v>15</v>
      </c>
      <c r="D3846" s="333" t="s">
        <v>4764</v>
      </c>
      <c r="E3846" s="260" t="s">
        <v>4765</v>
      </c>
      <c r="F3846" s="334">
        <v>434</v>
      </c>
      <c r="G3846" s="311">
        <v>1985</v>
      </c>
      <c r="H3846" s="369" t="s">
        <v>2658</v>
      </c>
      <c r="I3846" s="313">
        <v>135</v>
      </c>
      <c r="J3846" s="314">
        <v>10.92</v>
      </c>
      <c r="K3846" s="314">
        <v>10.84834</v>
      </c>
      <c r="L3846" s="336">
        <f t="shared" si="38"/>
        <v>7.1659999999999613E-2</v>
      </c>
      <c r="M3846" s="337"/>
    </row>
    <row r="3847" spans="1:13" s="71" customFormat="1" ht="26.4" customHeight="1">
      <c r="A3847" s="282">
        <v>251</v>
      </c>
      <c r="B3847" s="537"/>
      <c r="C3847" s="333" t="s">
        <v>15</v>
      </c>
      <c r="D3847" s="333" t="s">
        <v>4766</v>
      </c>
      <c r="E3847" s="260" t="s">
        <v>4767</v>
      </c>
      <c r="F3847" s="334">
        <v>435</v>
      </c>
      <c r="G3847" s="311">
        <v>1960</v>
      </c>
      <c r="H3847" s="369" t="s">
        <v>2658</v>
      </c>
      <c r="I3847" s="313">
        <v>300</v>
      </c>
      <c r="J3847" s="314">
        <v>2.5870799999999998</v>
      </c>
      <c r="K3847" s="314">
        <v>1.9870300000000001</v>
      </c>
      <c r="L3847" s="336">
        <f t="shared" si="38"/>
        <v>0.60004999999999975</v>
      </c>
      <c r="M3847" s="337"/>
    </row>
    <row r="3848" spans="1:13" s="71" customFormat="1" ht="26.4" customHeight="1">
      <c r="A3848" s="282">
        <v>252</v>
      </c>
      <c r="B3848" s="537"/>
      <c r="C3848" s="333" t="s">
        <v>15</v>
      </c>
      <c r="D3848" s="333" t="s">
        <v>4768</v>
      </c>
      <c r="E3848" s="260" t="s">
        <v>4769</v>
      </c>
      <c r="F3848" s="334">
        <v>436</v>
      </c>
      <c r="G3848" s="311">
        <v>1974</v>
      </c>
      <c r="H3848" s="369" t="s">
        <v>2658</v>
      </c>
      <c r="I3848" s="313">
        <v>105</v>
      </c>
      <c r="J3848" s="314">
        <v>12.308</v>
      </c>
      <c r="K3848" s="314">
        <v>11.96332</v>
      </c>
      <c r="L3848" s="336">
        <f t="shared" si="38"/>
        <v>0.34468000000000032</v>
      </c>
      <c r="M3848" s="337"/>
    </row>
    <row r="3849" spans="1:13" s="71" customFormat="1" ht="26.4" customHeight="1">
      <c r="A3849" s="282">
        <v>253</v>
      </c>
      <c r="B3849" s="537"/>
      <c r="C3849" s="333" t="s">
        <v>15</v>
      </c>
      <c r="D3849" s="333" t="s">
        <v>4770</v>
      </c>
      <c r="E3849" s="260" t="s">
        <v>4771</v>
      </c>
      <c r="F3849" s="334">
        <v>437</v>
      </c>
      <c r="G3849" s="311">
        <v>1975</v>
      </c>
      <c r="H3849" s="369" t="s">
        <v>2658</v>
      </c>
      <c r="I3849" s="313">
        <v>255</v>
      </c>
      <c r="J3849" s="314">
        <v>9.2221600000000006</v>
      </c>
      <c r="K3849" s="314">
        <v>9.04711</v>
      </c>
      <c r="L3849" s="336">
        <f t="shared" si="38"/>
        <v>0.17505000000000059</v>
      </c>
      <c r="M3849" s="337"/>
    </row>
    <row r="3850" spans="1:13" s="71" customFormat="1" ht="26.4" customHeight="1">
      <c r="A3850" s="282">
        <v>254</v>
      </c>
      <c r="B3850" s="537"/>
      <c r="C3850" s="333" t="s">
        <v>15</v>
      </c>
      <c r="D3850" s="333" t="s">
        <v>4772</v>
      </c>
      <c r="E3850" s="260" t="s">
        <v>13117</v>
      </c>
      <c r="F3850" s="334">
        <v>438</v>
      </c>
      <c r="G3850" s="311">
        <v>1952</v>
      </c>
      <c r="H3850" s="369" t="s">
        <v>2658</v>
      </c>
      <c r="I3850" s="313">
        <v>100</v>
      </c>
      <c r="J3850" s="314">
        <v>4.8790800000000001</v>
      </c>
      <c r="K3850" s="314">
        <v>4.2790299999999997</v>
      </c>
      <c r="L3850" s="336">
        <f t="shared" si="38"/>
        <v>0.60005000000000042</v>
      </c>
      <c r="M3850" s="337"/>
    </row>
    <row r="3851" spans="1:13" s="71" customFormat="1" ht="26.4" customHeight="1">
      <c r="A3851" s="282">
        <v>255</v>
      </c>
      <c r="B3851" s="537"/>
      <c r="C3851" s="333" t="s">
        <v>15</v>
      </c>
      <c r="D3851" s="333" t="s">
        <v>4772</v>
      </c>
      <c r="E3851" s="260" t="s">
        <v>13118</v>
      </c>
      <c r="F3851" s="334">
        <v>439</v>
      </c>
      <c r="G3851" s="311">
        <v>1937</v>
      </c>
      <c r="H3851" s="369" t="s">
        <v>2658</v>
      </c>
      <c r="I3851" s="313">
        <v>80</v>
      </c>
      <c r="J3851" s="314">
        <v>4.9641599999999997</v>
      </c>
      <c r="K3851" s="314">
        <v>4.7016600000000004</v>
      </c>
      <c r="L3851" s="336">
        <f t="shared" si="38"/>
        <v>0.26249999999999929</v>
      </c>
      <c r="M3851" s="337"/>
    </row>
    <row r="3852" spans="1:13" s="71" customFormat="1" ht="26.4" customHeight="1">
      <c r="A3852" s="282">
        <v>256</v>
      </c>
      <c r="B3852" s="537"/>
      <c r="C3852" s="333" t="s">
        <v>15</v>
      </c>
      <c r="D3852" s="333" t="s">
        <v>4750</v>
      </c>
      <c r="E3852" s="260" t="s">
        <v>4773</v>
      </c>
      <c r="F3852" s="334">
        <v>440</v>
      </c>
      <c r="G3852" s="311">
        <v>1986</v>
      </c>
      <c r="H3852" s="369" t="s">
        <v>2658</v>
      </c>
      <c r="I3852" s="313">
        <v>142</v>
      </c>
      <c r="J3852" s="314">
        <v>8.3889999999999993</v>
      </c>
      <c r="K3852" s="314">
        <v>8.1765000000000008</v>
      </c>
      <c r="L3852" s="336">
        <f t="shared" si="38"/>
        <v>0.21249999999999858</v>
      </c>
      <c r="M3852" s="337"/>
    </row>
    <row r="3853" spans="1:13" s="71" customFormat="1" ht="26.4" customHeight="1">
      <c r="A3853" s="282">
        <v>257</v>
      </c>
      <c r="B3853" s="537"/>
      <c r="C3853" s="333" t="s">
        <v>15</v>
      </c>
      <c r="D3853" s="333" t="s">
        <v>4774</v>
      </c>
      <c r="E3853" s="260" t="s">
        <v>13119</v>
      </c>
      <c r="F3853" s="334">
        <v>441</v>
      </c>
      <c r="G3853" s="311">
        <v>1952</v>
      </c>
      <c r="H3853" s="369" t="s">
        <v>2658</v>
      </c>
      <c r="I3853" s="313">
        <v>600</v>
      </c>
      <c r="J3853" s="314">
        <v>12.10688</v>
      </c>
      <c r="K3853" s="314">
        <v>11.319380000000001</v>
      </c>
      <c r="L3853" s="336">
        <f t="shared" ref="L3853:L3916" si="39">J3853-K3853</f>
        <v>0.78749999999999964</v>
      </c>
      <c r="M3853" s="337"/>
    </row>
    <row r="3854" spans="1:13" s="71" customFormat="1" ht="26.4" customHeight="1">
      <c r="A3854" s="282">
        <v>258</v>
      </c>
      <c r="B3854" s="537"/>
      <c r="C3854" s="333" t="s">
        <v>15</v>
      </c>
      <c r="D3854" s="333" t="s">
        <v>4775</v>
      </c>
      <c r="E3854" s="260" t="s">
        <v>4776</v>
      </c>
      <c r="F3854" s="334">
        <v>442</v>
      </c>
      <c r="G3854" s="311">
        <v>1980</v>
      </c>
      <c r="H3854" s="369" t="s">
        <v>2658</v>
      </c>
      <c r="I3854" s="313">
        <v>680</v>
      </c>
      <c r="J3854" s="314">
        <v>8.5030900000000003</v>
      </c>
      <c r="K3854" s="314">
        <v>8.0655400000000004</v>
      </c>
      <c r="L3854" s="336">
        <f t="shared" si="39"/>
        <v>0.43754999999999988</v>
      </c>
      <c r="M3854" s="337"/>
    </row>
    <row r="3855" spans="1:13" s="71" customFormat="1" ht="26.4" customHeight="1">
      <c r="A3855" s="282">
        <v>259</v>
      </c>
      <c r="B3855" s="537"/>
      <c r="C3855" s="333" t="s">
        <v>15</v>
      </c>
      <c r="D3855" s="333" t="s">
        <v>4777</v>
      </c>
      <c r="E3855" s="260" t="s">
        <v>4778</v>
      </c>
      <c r="F3855" s="334">
        <v>443</v>
      </c>
      <c r="G3855" s="311">
        <v>1973</v>
      </c>
      <c r="H3855" s="369" t="s">
        <v>2658</v>
      </c>
      <c r="I3855" s="313">
        <v>795</v>
      </c>
      <c r="J3855" s="314">
        <v>19.316120000000002</v>
      </c>
      <c r="K3855" s="314">
        <v>18.00367</v>
      </c>
      <c r="L3855" s="336">
        <f t="shared" si="39"/>
        <v>1.3124500000000019</v>
      </c>
      <c r="M3855" s="337"/>
    </row>
    <row r="3856" spans="1:13" s="71" customFormat="1" ht="26.4" customHeight="1">
      <c r="A3856" s="282">
        <v>260</v>
      </c>
      <c r="B3856" s="537"/>
      <c r="C3856" s="333" t="s">
        <v>15</v>
      </c>
      <c r="D3856" s="333" t="s">
        <v>13382</v>
      </c>
      <c r="E3856" s="260" t="s">
        <v>13330</v>
      </c>
      <c r="F3856" s="334">
        <v>444</v>
      </c>
      <c r="G3856" s="311">
        <v>1975</v>
      </c>
      <c r="H3856" s="369" t="s">
        <v>2658</v>
      </c>
      <c r="I3856" s="313">
        <v>150</v>
      </c>
      <c r="J3856" s="314">
        <v>5.08108</v>
      </c>
      <c r="K3856" s="314">
        <v>4.8185799999999999</v>
      </c>
      <c r="L3856" s="336">
        <f t="shared" si="39"/>
        <v>0.26250000000000018</v>
      </c>
      <c r="M3856" s="337"/>
    </row>
    <row r="3857" spans="1:13" s="71" customFormat="1" ht="26.4" customHeight="1">
      <c r="A3857" s="282">
        <v>261</v>
      </c>
      <c r="B3857" s="537"/>
      <c r="C3857" s="333" t="s">
        <v>15</v>
      </c>
      <c r="D3857" s="333" t="s">
        <v>4578</v>
      </c>
      <c r="E3857" s="260" t="s">
        <v>4779</v>
      </c>
      <c r="F3857" s="334">
        <v>445</v>
      </c>
      <c r="G3857" s="311">
        <v>1987</v>
      </c>
      <c r="H3857" s="369" t="s">
        <v>2658</v>
      </c>
      <c r="I3857" s="313">
        <v>1250</v>
      </c>
      <c r="J3857" s="314">
        <v>7.5720000000000001</v>
      </c>
      <c r="K3857" s="314">
        <v>7.1052999999999997</v>
      </c>
      <c r="L3857" s="336">
        <f t="shared" si="39"/>
        <v>0.46670000000000034</v>
      </c>
      <c r="M3857" s="337"/>
    </row>
    <row r="3858" spans="1:13" s="71" customFormat="1" ht="26.4" customHeight="1">
      <c r="A3858" s="282">
        <v>262</v>
      </c>
      <c r="B3858" s="537"/>
      <c r="C3858" s="333" t="s">
        <v>15</v>
      </c>
      <c r="D3858" s="333" t="s">
        <v>4780</v>
      </c>
      <c r="E3858" s="260" t="s">
        <v>4781</v>
      </c>
      <c r="F3858" s="334">
        <v>446</v>
      </c>
      <c r="G3858" s="311">
        <v>1976</v>
      </c>
      <c r="H3858" s="369" t="s">
        <v>2658</v>
      </c>
      <c r="I3858" s="313">
        <v>80</v>
      </c>
      <c r="J3858" s="314">
        <v>4.1160800000000002</v>
      </c>
      <c r="K3858" s="314">
        <v>3.91188</v>
      </c>
      <c r="L3858" s="336">
        <f t="shared" si="39"/>
        <v>0.20420000000000016</v>
      </c>
      <c r="M3858" s="337"/>
    </row>
    <row r="3859" spans="1:13" s="71" customFormat="1" ht="26.4" customHeight="1">
      <c r="A3859" s="282">
        <v>263</v>
      </c>
      <c r="B3859" s="537"/>
      <c r="C3859" s="333" t="s">
        <v>15</v>
      </c>
      <c r="D3859" s="333" t="s">
        <v>4782</v>
      </c>
      <c r="E3859" s="260" t="s">
        <v>4783</v>
      </c>
      <c r="F3859" s="334">
        <v>447</v>
      </c>
      <c r="G3859" s="311">
        <v>1985</v>
      </c>
      <c r="H3859" s="369" t="s">
        <v>2658</v>
      </c>
      <c r="I3859" s="313">
        <v>240</v>
      </c>
      <c r="J3859" s="314">
        <v>14.882999999999999</v>
      </c>
      <c r="K3859" s="314">
        <v>14.79555</v>
      </c>
      <c r="L3859" s="336">
        <f t="shared" si="39"/>
        <v>8.7449999999998695E-2</v>
      </c>
      <c r="M3859" s="337"/>
    </row>
    <row r="3860" spans="1:13" s="71" customFormat="1" ht="26.4" customHeight="1">
      <c r="A3860" s="282">
        <v>264</v>
      </c>
      <c r="B3860" s="537"/>
      <c r="C3860" s="333" t="s">
        <v>15</v>
      </c>
      <c r="D3860" s="333" t="s">
        <v>4784</v>
      </c>
      <c r="E3860" s="260" t="s">
        <v>4785</v>
      </c>
      <c r="F3860" s="334">
        <v>448</v>
      </c>
      <c r="G3860" s="311">
        <v>1950</v>
      </c>
      <c r="H3860" s="369" t="s">
        <v>2658</v>
      </c>
      <c r="I3860" s="313">
        <v>200</v>
      </c>
      <c r="J3860" s="314">
        <v>4.1879999999999997</v>
      </c>
      <c r="K3860" s="314">
        <v>3.9547300000000001</v>
      </c>
      <c r="L3860" s="336">
        <f t="shared" si="39"/>
        <v>0.23326999999999964</v>
      </c>
      <c r="M3860" s="337"/>
    </row>
    <row r="3861" spans="1:13" s="71" customFormat="1" ht="26.4" customHeight="1">
      <c r="A3861" s="282">
        <v>265</v>
      </c>
      <c r="B3861" s="537"/>
      <c r="C3861" s="333" t="s">
        <v>15</v>
      </c>
      <c r="D3861" s="333" t="s">
        <v>4786</v>
      </c>
      <c r="E3861" s="260" t="s">
        <v>4787</v>
      </c>
      <c r="F3861" s="334">
        <v>449</v>
      </c>
      <c r="G3861" s="311">
        <v>1950</v>
      </c>
      <c r="H3861" s="369" t="s">
        <v>2658</v>
      </c>
      <c r="I3861" s="313">
        <v>300</v>
      </c>
      <c r="J3861" s="314">
        <v>3.3630800000000001</v>
      </c>
      <c r="K3861" s="314">
        <v>3.1880299999999999</v>
      </c>
      <c r="L3861" s="336">
        <f t="shared" si="39"/>
        <v>0.17505000000000015</v>
      </c>
      <c r="M3861" s="337"/>
    </row>
    <row r="3862" spans="1:13" s="71" customFormat="1" ht="26.4" customHeight="1">
      <c r="A3862" s="282">
        <v>266</v>
      </c>
      <c r="B3862" s="537"/>
      <c r="C3862" s="333" t="s">
        <v>15</v>
      </c>
      <c r="D3862" s="333" t="s">
        <v>4788</v>
      </c>
      <c r="E3862" s="260" t="s">
        <v>4789</v>
      </c>
      <c r="F3862" s="334">
        <v>450</v>
      </c>
      <c r="G3862" s="311">
        <v>1950</v>
      </c>
      <c r="H3862" s="369" t="s">
        <v>2658</v>
      </c>
      <c r="I3862" s="313">
        <v>200</v>
      </c>
      <c r="J3862" s="314">
        <v>6.7551600000000001</v>
      </c>
      <c r="K3862" s="314">
        <v>6.4052100000000003</v>
      </c>
      <c r="L3862" s="336">
        <f t="shared" si="39"/>
        <v>0.34994999999999976</v>
      </c>
      <c r="M3862" s="337"/>
    </row>
    <row r="3863" spans="1:13" s="71" customFormat="1" ht="26.4" customHeight="1">
      <c r="A3863" s="282">
        <v>267</v>
      </c>
      <c r="B3863" s="537"/>
      <c r="C3863" s="333" t="s">
        <v>15</v>
      </c>
      <c r="D3863" s="333" t="s">
        <v>4790</v>
      </c>
      <c r="E3863" s="260" t="s">
        <v>4791</v>
      </c>
      <c r="F3863" s="334">
        <v>451</v>
      </c>
      <c r="G3863" s="311">
        <v>1950</v>
      </c>
      <c r="H3863" s="369" t="s">
        <v>2658</v>
      </c>
      <c r="I3863" s="313">
        <v>205</v>
      </c>
      <c r="J3863" s="314">
        <v>6.9611599999999996</v>
      </c>
      <c r="K3863" s="314">
        <v>6.5820600000000002</v>
      </c>
      <c r="L3863" s="336">
        <f t="shared" si="39"/>
        <v>0.37909999999999933</v>
      </c>
      <c r="M3863" s="337"/>
    </row>
    <row r="3864" spans="1:13" s="71" customFormat="1" ht="26.4" customHeight="1">
      <c r="A3864" s="282">
        <v>268</v>
      </c>
      <c r="B3864" s="537"/>
      <c r="C3864" s="333" t="s">
        <v>15</v>
      </c>
      <c r="D3864" s="333" t="s">
        <v>4758</v>
      </c>
      <c r="E3864" s="260" t="s">
        <v>4792</v>
      </c>
      <c r="F3864" s="334">
        <v>452</v>
      </c>
      <c r="G3864" s="311">
        <v>1976</v>
      </c>
      <c r="H3864" s="369" t="s">
        <v>2658</v>
      </c>
      <c r="I3864" s="313">
        <v>246</v>
      </c>
      <c r="J3864" s="314">
        <v>9.3787800000000008</v>
      </c>
      <c r="K3864" s="314">
        <v>9.2621800000000007</v>
      </c>
      <c r="L3864" s="336">
        <f t="shared" si="39"/>
        <v>0.11660000000000004</v>
      </c>
      <c r="M3864" s="337"/>
    </row>
    <row r="3865" spans="1:13" s="71" customFormat="1" ht="26.4" customHeight="1">
      <c r="A3865" s="282">
        <v>269</v>
      </c>
      <c r="B3865" s="537"/>
      <c r="C3865" s="333" t="s">
        <v>15</v>
      </c>
      <c r="D3865" s="333" t="s">
        <v>4793</v>
      </c>
      <c r="E3865" s="260" t="s">
        <v>4794</v>
      </c>
      <c r="F3865" s="334">
        <v>453</v>
      </c>
      <c r="G3865" s="311">
        <v>1950</v>
      </c>
      <c r="H3865" s="369" t="s">
        <v>2658</v>
      </c>
      <c r="I3865" s="313">
        <v>130</v>
      </c>
      <c r="J3865" s="314">
        <v>2.5870799999999998</v>
      </c>
      <c r="K3865" s="314">
        <v>2.4411800000000001</v>
      </c>
      <c r="L3865" s="336">
        <f t="shared" si="39"/>
        <v>0.1458999999999997</v>
      </c>
      <c r="M3865" s="337"/>
    </row>
    <row r="3866" spans="1:13" s="71" customFormat="1" ht="26.4" customHeight="1">
      <c r="A3866" s="282">
        <v>270</v>
      </c>
      <c r="B3866" s="537"/>
      <c r="C3866" s="333" t="s">
        <v>15</v>
      </c>
      <c r="D3866" s="333" t="s">
        <v>4580</v>
      </c>
      <c r="E3866" s="260" t="s">
        <v>4795</v>
      </c>
      <c r="F3866" s="334">
        <v>454</v>
      </c>
      <c r="G3866" s="311">
        <v>1950</v>
      </c>
      <c r="H3866" s="369" t="s">
        <v>2658</v>
      </c>
      <c r="I3866" s="313">
        <v>68</v>
      </c>
      <c r="J3866" s="314">
        <v>1.3750800000000001</v>
      </c>
      <c r="K3866" s="314">
        <v>1.25848</v>
      </c>
      <c r="L3866" s="336">
        <f t="shared" si="39"/>
        <v>0.11660000000000004</v>
      </c>
      <c r="M3866" s="337"/>
    </row>
    <row r="3867" spans="1:13" s="71" customFormat="1" ht="26.4" customHeight="1">
      <c r="A3867" s="282">
        <v>271</v>
      </c>
      <c r="B3867" s="537"/>
      <c r="C3867" s="333" t="s">
        <v>15</v>
      </c>
      <c r="D3867" s="333" t="s">
        <v>4796</v>
      </c>
      <c r="E3867" s="260" t="s">
        <v>4797</v>
      </c>
      <c r="F3867" s="334">
        <v>455</v>
      </c>
      <c r="G3867" s="311">
        <v>1960</v>
      </c>
      <c r="H3867" s="369" t="s">
        <v>2658</v>
      </c>
      <c r="I3867" s="313">
        <v>110</v>
      </c>
      <c r="J3867" s="314">
        <v>6.7441599999999999</v>
      </c>
      <c r="K3867" s="314">
        <v>6.3942100000000002</v>
      </c>
      <c r="L3867" s="336">
        <f t="shared" si="39"/>
        <v>0.34994999999999976</v>
      </c>
      <c r="M3867" s="337"/>
    </row>
    <row r="3868" spans="1:13" s="71" customFormat="1" ht="26.4" customHeight="1">
      <c r="A3868" s="282">
        <v>272</v>
      </c>
      <c r="B3868" s="537"/>
      <c r="C3868" s="333" t="s">
        <v>15</v>
      </c>
      <c r="D3868" s="333" t="s">
        <v>4574</v>
      </c>
      <c r="E3868" s="260" t="s">
        <v>13120</v>
      </c>
      <c r="F3868" s="334">
        <v>456</v>
      </c>
      <c r="G3868" s="311">
        <v>1957</v>
      </c>
      <c r="H3868" s="369" t="s">
        <v>2658</v>
      </c>
      <c r="I3868" s="313">
        <v>500</v>
      </c>
      <c r="J3868" s="314">
        <v>16.04288</v>
      </c>
      <c r="K3868" s="314">
        <v>14.95543</v>
      </c>
      <c r="L3868" s="336">
        <f t="shared" si="39"/>
        <v>1.0874500000000005</v>
      </c>
      <c r="M3868" s="337"/>
    </row>
    <row r="3869" spans="1:13" s="71" customFormat="1" ht="26.4" customHeight="1">
      <c r="A3869" s="282">
        <v>273</v>
      </c>
      <c r="B3869" s="537"/>
      <c r="C3869" s="333" t="s">
        <v>15</v>
      </c>
      <c r="D3869" s="333" t="s">
        <v>4798</v>
      </c>
      <c r="E3869" s="260" t="s">
        <v>13121</v>
      </c>
      <c r="F3869" s="334">
        <v>460</v>
      </c>
      <c r="G3869" s="311">
        <v>1937</v>
      </c>
      <c r="H3869" s="369" t="s">
        <v>2658</v>
      </c>
      <c r="I3869" s="313">
        <v>400</v>
      </c>
      <c r="J3869" s="314">
        <v>10.372120000000001</v>
      </c>
      <c r="K3869" s="314">
        <v>10.255520000000001</v>
      </c>
      <c r="L3869" s="336">
        <f t="shared" si="39"/>
        <v>0.11660000000000004</v>
      </c>
      <c r="M3869" s="337"/>
    </row>
    <row r="3870" spans="1:13" s="71" customFormat="1" ht="26.4" customHeight="1">
      <c r="A3870" s="282">
        <v>274</v>
      </c>
      <c r="B3870" s="537"/>
      <c r="C3870" s="333" t="s">
        <v>15</v>
      </c>
      <c r="D3870" s="333" t="s">
        <v>4799</v>
      </c>
      <c r="E3870" s="260" t="s">
        <v>13122</v>
      </c>
      <c r="F3870" s="334">
        <v>461</v>
      </c>
      <c r="G3870" s="311">
        <v>1959</v>
      </c>
      <c r="H3870" s="369" t="s">
        <v>2658</v>
      </c>
      <c r="I3870" s="313">
        <v>200</v>
      </c>
      <c r="J3870" s="314">
        <v>41.720999999999997</v>
      </c>
      <c r="K3870" s="314">
        <v>40.77664</v>
      </c>
      <c r="L3870" s="336">
        <f t="shared" si="39"/>
        <v>0.94435999999999609</v>
      </c>
      <c r="M3870" s="337"/>
    </row>
    <row r="3871" spans="1:13" s="71" customFormat="1" ht="26.4" customHeight="1">
      <c r="A3871" s="282">
        <v>275</v>
      </c>
      <c r="B3871" s="537"/>
      <c r="C3871" s="333" t="s">
        <v>15</v>
      </c>
      <c r="D3871" s="333" t="s">
        <v>4799</v>
      </c>
      <c r="E3871" s="260" t="s">
        <v>13123</v>
      </c>
      <c r="F3871" s="334">
        <v>462</v>
      </c>
      <c r="G3871" s="311">
        <v>1952</v>
      </c>
      <c r="H3871" s="369" t="s">
        <v>2658</v>
      </c>
      <c r="I3871" s="313">
        <v>100</v>
      </c>
      <c r="J3871" s="314">
        <v>2.92808</v>
      </c>
      <c r="K3871" s="314">
        <v>2.7530299999999999</v>
      </c>
      <c r="L3871" s="336">
        <f t="shared" si="39"/>
        <v>0.17505000000000015</v>
      </c>
      <c r="M3871" s="337"/>
    </row>
    <row r="3872" spans="1:13" s="71" customFormat="1" ht="26.4" customHeight="1">
      <c r="A3872" s="282">
        <v>276</v>
      </c>
      <c r="B3872" s="537"/>
      <c r="C3872" s="333" t="s">
        <v>15</v>
      </c>
      <c r="D3872" s="333" t="s">
        <v>4800</v>
      </c>
      <c r="E3872" s="260" t="s">
        <v>13124</v>
      </c>
      <c r="F3872" s="334">
        <v>465</v>
      </c>
      <c r="G3872" s="311">
        <v>1954</v>
      </c>
      <c r="H3872" s="369" t="s">
        <v>2658</v>
      </c>
      <c r="I3872" s="313">
        <v>200</v>
      </c>
      <c r="J3872" s="314">
        <v>7.81616</v>
      </c>
      <c r="K3872" s="314">
        <v>7.2912100000000004</v>
      </c>
      <c r="L3872" s="336">
        <f t="shared" si="39"/>
        <v>0.52494999999999958</v>
      </c>
      <c r="M3872" s="337"/>
    </row>
    <row r="3873" spans="1:13" s="71" customFormat="1" ht="26.4" customHeight="1">
      <c r="A3873" s="282">
        <v>277</v>
      </c>
      <c r="B3873" s="537"/>
      <c r="C3873" s="333" t="s">
        <v>15</v>
      </c>
      <c r="D3873" s="333" t="s">
        <v>4801</v>
      </c>
      <c r="E3873" s="260" t="s">
        <v>13125</v>
      </c>
      <c r="F3873" s="334">
        <v>466</v>
      </c>
      <c r="G3873" s="311">
        <v>1957</v>
      </c>
      <c r="H3873" s="369" t="s">
        <v>2658</v>
      </c>
      <c r="I3873" s="313">
        <v>170</v>
      </c>
      <c r="J3873" s="314">
        <v>3.29108</v>
      </c>
      <c r="K3873" s="314">
        <v>3.0660799999999999</v>
      </c>
      <c r="L3873" s="336">
        <f t="shared" si="39"/>
        <v>0.22500000000000009</v>
      </c>
      <c r="M3873" s="337"/>
    </row>
    <row r="3874" spans="1:13" s="71" customFormat="1" ht="26.4" customHeight="1">
      <c r="A3874" s="282">
        <v>278</v>
      </c>
      <c r="B3874" s="537"/>
      <c r="C3874" s="333" t="s">
        <v>15</v>
      </c>
      <c r="D3874" s="333" t="s">
        <v>4701</v>
      </c>
      <c r="E3874" s="260" t="s">
        <v>4802</v>
      </c>
      <c r="F3874" s="334">
        <v>467</v>
      </c>
      <c r="G3874" s="311">
        <v>1950</v>
      </c>
      <c r="H3874" s="369" t="s">
        <v>2658</v>
      </c>
      <c r="I3874" s="313">
        <v>500</v>
      </c>
      <c r="J3874" s="314">
        <v>19.590160000000001</v>
      </c>
      <c r="K3874" s="314">
        <v>19.415109999999999</v>
      </c>
      <c r="L3874" s="336">
        <f t="shared" si="39"/>
        <v>0.17505000000000237</v>
      </c>
      <c r="M3874" s="337"/>
    </row>
    <row r="3875" spans="1:13" s="71" customFormat="1" ht="26.4" customHeight="1">
      <c r="A3875" s="282">
        <v>279</v>
      </c>
      <c r="B3875" s="537"/>
      <c r="C3875" s="333" t="s">
        <v>15</v>
      </c>
      <c r="D3875" s="333" t="s">
        <v>4691</v>
      </c>
      <c r="E3875" s="260" t="s">
        <v>13126</v>
      </c>
      <c r="F3875" s="334">
        <v>468</v>
      </c>
      <c r="G3875" s="311">
        <v>1958</v>
      </c>
      <c r="H3875" s="369" t="s">
        <v>2658</v>
      </c>
      <c r="I3875" s="313">
        <v>370</v>
      </c>
      <c r="J3875" s="314">
        <v>2.5760800000000001</v>
      </c>
      <c r="K3875" s="314">
        <v>2.40103</v>
      </c>
      <c r="L3875" s="336">
        <f t="shared" si="39"/>
        <v>0.17505000000000015</v>
      </c>
      <c r="M3875" s="337"/>
    </row>
    <row r="3876" spans="1:13" s="71" customFormat="1" ht="26.4" customHeight="1">
      <c r="A3876" s="282">
        <v>280</v>
      </c>
      <c r="B3876" s="537"/>
      <c r="C3876" s="333" t="s">
        <v>15</v>
      </c>
      <c r="D3876" s="333" t="s">
        <v>4803</v>
      </c>
      <c r="E3876" s="260" t="s">
        <v>4804</v>
      </c>
      <c r="F3876" s="334">
        <v>470</v>
      </c>
      <c r="G3876" s="311">
        <v>1950</v>
      </c>
      <c r="H3876" s="369" t="s">
        <v>2658</v>
      </c>
      <c r="I3876" s="313">
        <v>300</v>
      </c>
      <c r="J3876" s="314">
        <v>9.4030400000000007</v>
      </c>
      <c r="K3876" s="314">
        <v>8.7655899999999995</v>
      </c>
      <c r="L3876" s="336">
        <f t="shared" si="39"/>
        <v>0.63745000000000118</v>
      </c>
      <c r="M3876" s="337"/>
    </row>
    <row r="3877" spans="1:13" s="71" customFormat="1" ht="26.4" customHeight="1">
      <c r="A3877" s="282">
        <v>281</v>
      </c>
      <c r="B3877" s="537"/>
      <c r="C3877" s="333" t="s">
        <v>15</v>
      </c>
      <c r="D3877" s="333" t="s">
        <v>4805</v>
      </c>
      <c r="E3877" s="260" t="s">
        <v>4806</v>
      </c>
      <c r="F3877" s="334">
        <v>471</v>
      </c>
      <c r="G3877" s="311">
        <v>1956</v>
      </c>
      <c r="H3877" s="369" t="s">
        <v>2658</v>
      </c>
      <c r="I3877" s="313">
        <v>80</v>
      </c>
      <c r="J3877" s="314">
        <v>7.5289599999999997</v>
      </c>
      <c r="K3877" s="314">
        <v>7.1498600000000003</v>
      </c>
      <c r="L3877" s="336">
        <f t="shared" si="39"/>
        <v>0.37909999999999933</v>
      </c>
      <c r="M3877" s="337"/>
    </row>
    <row r="3878" spans="1:13" s="71" customFormat="1" ht="26.4" customHeight="1">
      <c r="A3878" s="282">
        <v>282</v>
      </c>
      <c r="B3878" s="537"/>
      <c r="C3878" s="333" t="s">
        <v>15</v>
      </c>
      <c r="D3878" s="333" t="s">
        <v>4805</v>
      </c>
      <c r="E3878" s="260" t="s">
        <v>4807</v>
      </c>
      <c r="F3878" s="334">
        <v>472</v>
      </c>
      <c r="G3878" s="311">
        <v>1938</v>
      </c>
      <c r="H3878" s="369" t="s">
        <v>2658</v>
      </c>
      <c r="I3878" s="313">
        <v>120</v>
      </c>
      <c r="J3878" s="314">
        <v>14.601000000000001</v>
      </c>
      <c r="K3878" s="314">
        <v>14.484400000000001</v>
      </c>
      <c r="L3878" s="336">
        <f t="shared" si="39"/>
        <v>0.11660000000000004</v>
      </c>
      <c r="M3878" s="337"/>
    </row>
    <row r="3879" spans="1:13" s="71" customFormat="1" ht="26.4" customHeight="1">
      <c r="A3879" s="282">
        <v>283</v>
      </c>
      <c r="B3879" s="537"/>
      <c r="C3879" s="333" t="s">
        <v>15</v>
      </c>
      <c r="D3879" s="333" t="s">
        <v>4805</v>
      </c>
      <c r="E3879" s="260" t="s">
        <v>13127</v>
      </c>
      <c r="F3879" s="334">
        <v>473</v>
      </c>
      <c r="G3879" s="311">
        <v>1961</v>
      </c>
      <c r="H3879" s="369" t="s">
        <v>2658</v>
      </c>
      <c r="I3879" s="313">
        <v>300</v>
      </c>
      <c r="J3879" s="314">
        <v>14.343</v>
      </c>
      <c r="K3879" s="314">
        <v>14.2264</v>
      </c>
      <c r="L3879" s="336">
        <f t="shared" si="39"/>
        <v>0.11660000000000004</v>
      </c>
      <c r="M3879" s="337"/>
    </row>
    <row r="3880" spans="1:13" s="71" customFormat="1" ht="26.4" customHeight="1">
      <c r="A3880" s="282">
        <v>284</v>
      </c>
      <c r="B3880" s="537"/>
      <c r="C3880" s="333" t="s">
        <v>15</v>
      </c>
      <c r="D3880" s="333" t="s">
        <v>4599</v>
      </c>
      <c r="E3880" s="260" t="s">
        <v>13287</v>
      </c>
      <c r="F3880" s="334">
        <v>474</v>
      </c>
      <c r="G3880" s="311">
        <v>1954</v>
      </c>
      <c r="H3880" s="369" t="s">
        <v>2658</v>
      </c>
      <c r="I3880" s="313">
        <v>40</v>
      </c>
      <c r="J3880" s="314">
        <v>17.257159999999999</v>
      </c>
      <c r="K3880" s="314">
        <v>17.140560000000001</v>
      </c>
      <c r="L3880" s="336">
        <f t="shared" si="39"/>
        <v>0.11659999999999826</v>
      </c>
      <c r="M3880" s="337"/>
    </row>
    <row r="3881" spans="1:13" s="71" customFormat="1" ht="26.4" customHeight="1">
      <c r="A3881" s="282">
        <v>285</v>
      </c>
      <c r="B3881" s="537"/>
      <c r="C3881" s="333" t="s">
        <v>15</v>
      </c>
      <c r="D3881" s="333" t="s">
        <v>4808</v>
      </c>
      <c r="E3881" s="260" t="s">
        <v>4809</v>
      </c>
      <c r="F3881" s="334">
        <v>475</v>
      </c>
      <c r="G3881" s="311">
        <v>1954</v>
      </c>
      <c r="H3881" s="369" t="s">
        <v>2658</v>
      </c>
      <c r="I3881" s="313">
        <v>100</v>
      </c>
      <c r="J3881" s="314">
        <v>15.91808</v>
      </c>
      <c r="K3881" s="314">
        <v>15.80148</v>
      </c>
      <c r="L3881" s="336">
        <f t="shared" si="39"/>
        <v>0.11660000000000004</v>
      </c>
      <c r="M3881" s="337"/>
    </row>
    <row r="3882" spans="1:13" s="71" customFormat="1" ht="26.4" customHeight="1">
      <c r="A3882" s="282">
        <v>286</v>
      </c>
      <c r="B3882" s="537"/>
      <c r="C3882" s="333" t="s">
        <v>15</v>
      </c>
      <c r="D3882" s="333" t="s">
        <v>4810</v>
      </c>
      <c r="E3882" s="260" t="s">
        <v>4811</v>
      </c>
      <c r="F3882" s="334">
        <v>477</v>
      </c>
      <c r="G3882" s="311">
        <v>1963</v>
      </c>
      <c r="H3882" s="369" t="s">
        <v>2658</v>
      </c>
      <c r="I3882" s="313">
        <v>400</v>
      </c>
      <c r="J3882" s="314">
        <v>2.8020800000000001</v>
      </c>
      <c r="K3882" s="314">
        <v>2.1270799999999999</v>
      </c>
      <c r="L3882" s="336">
        <f t="shared" si="39"/>
        <v>0.67500000000000027</v>
      </c>
      <c r="M3882" s="337"/>
    </row>
    <row r="3883" spans="1:13" s="71" customFormat="1" ht="26.4" customHeight="1">
      <c r="A3883" s="282">
        <v>287</v>
      </c>
      <c r="B3883" s="537"/>
      <c r="C3883" s="333" t="s">
        <v>15</v>
      </c>
      <c r="D3883" s="333" t="s">
        <v>4810</v>
      </c>
      <c r="E3883" s="260" t="s">
        <v>4812</v>
      </c>
      <c r="F3883" s="334">
        <v>479</v>
      </c>
      <c r="G3883" s="311">
        <v>1964</v>
      </c>
      <c r="H3883" s="369" t="s">
        <v>2658</v>
      </c>
      <c r="I3883" s="313">
        <v>80</v>
      </c>
      <c r="J3883" s="314">
        <v>4.7291600000000003</v>
      </c>
      <c r="K3883" s="314">
        <v>4.3916599999999999</v>
      </c>
      <c r="L3883" s="336">
        <f t="shared" si="39"/>
        <v>0.33750000000000036</v>
      </c>
      <c r="M3883" s="337"/>
    </row>
    <row r="3884" spans="1:13" s="71" customFormat="1" ht="26.4" customHeight="1">
      <c r="A3884" s="282">
        <v>288</v>
      </c>
      <c r="B3884" s="537"/>
      <c r="C3884" s="333" t="s">
        <v>15</v>
      </c>
      <c r="D3884" s="333" t="s">
        <v>4813</v>
      </c>
      <c r="E3884" s="260" t="s">
        <v>4814</v>
      </c>
      <c r="F3884" s="334">
        <v>480</v>
      </c>
      <c r="G3884" s="311">
        <v>1956</v>
      </c>
      <c r="H3884" s="369" t="s">
        <v>2658</v>
      </c>
      <c r="I3884" s="313">
        <v>400</v>
      </c>
      <c r="J3884" s="314">
        <v>1.73908</v>
      </c>
      <c r="K3884" s="314">
        <v>1.6224799999999999</v>
      </c>
      <c r="L3884" s="336">
        <f t="shared" si="39"/>
        <v>0.11660000000000004</v>
      </c>
      <c r="M3884" s="337"/>
    </row>
    <row r="3885" spans="1:13" s="71" customFormat="1" ht="26.4" customHeight="1">
      <c r="A3885" s="282">
        <v>289</v>
      </c>
      <c r="B3885" s="537"/>
      <c r="C3885" s="333" t="s">
        <v>15</v>
      </c>
      <c r="D3885" s="333" t="s">
        <v>4813</v>
      </c>
      <c r="E3885" s="260" t="s">
        <v>4815</v>
      </c>
      <c r="F3885" s="334">
        <v>484</v>
      </c>
      <c r="G3885" s="311">
        <v>1956</v>
      </c>
      <c r="H3885" s="369" t="s">
        <v>2658</v>
      </c>
      <c r="I3885" s="313">
        <v>300</v>
      </c>
      <c r="J3885" s="314">
        <v>2.1020799999999999</v>
      </c>
      <c r="K3885" s="314">
        <v>1.9854799999999999</v>
      </c>
      <c r="L3885" s="336">
        <f t="shared" si="39"/>
        <v>0.11660000000000004</v>
      </c>
      <c r="M3885" s="337"/>
    </row>
    <row r="3886" spans="1:13" s="71" customFormat="1" ht="26.4" customHeight="1">
      <c r="A3886" s="282">
        <v>290</v>
      </c>
      <c r="B3886" s="537"/>
      <c r="C3886" s="333" t="s">
        <v>15</v>
      </c>
      <c r="D3886" s="333" t="s">
        <v>4813</v>
      </c>
      <c r="E3886" s="260" t="s">
        <v>4816</v>
      </c>
      <c r="F3886" s="334">
        <v>486</v>
      </c>
      <c r="G3886" s="311">
        <v>1964</v>
      </c>
      <c r="H3886" s="369" t="s">
        <v>2658</v>
      </c>
      <c r="I3886" s="313">
        <v>1700</v>
      </c>
      <c r="J3886" s="314">
        <v>3.6281599999999998</v>
      </c>
      <c r="K3886" s="314">
        <v>3.0281099999999999</v>
      </c>
      <c r="L3886" s="336">
        <f t="shared" si="39"/>
        <v>0.60004999999999997</v>
      </c>
      <c r="M3886" s="337"/>
    </row>
    <row r="3887" spans="1:13" s="71" customFormat="1" ht="26.4" customHeight="1">
      <c r="A3887" s="282">
        <v>291</v>
      </c>
      <c r="B3887" s="537"/>
      <c r="C3887" s="333" t="s">
        <v>15</v>
      </c>
      <c r="D3887" s="333" t="s">
        <v>4817</v>
      </c>
      <c r="E3887" s="260" t="s">
        <v>4818</v>
      </c>
      <c r="F3887" s="334">
        <v>487</v>
      </c>
      <c r="G3887" s="311">
        <v>1960</v>
      </c>
      <c r="H3887" s="369" t="s">
        <v>2658</v>
      </c>
      <c r="I3887" s="313">
        <v>200</v>
      </c>
      <c r="J3887" s="314">
        <v>3.7691599999999998</v>
      </c>
      <c r="K3887" s="314">
        <v>3.5649600000000001</v>
      </c>
      <c r="L3887" s="336">
        <f t="shared" si="39"/>
        <v>0.20419999999999972</v>
      </c>
      <c r="M3887" s="337"/>
    </row>
    <row r="3888" spans="1:13" s="71" customFormat="1" ht="26.4" customHeight="1">
      <c r="A3888" s="282">
        <v>292</v>
      </c>
      <c r="B3888" s="537"/>
      <c r="C3888" s="333" t="s">
        <v>15</v>
      </c>
      <c r="D3888" s="333" t="s">
        <v>4817</v>
      </c>
      <c r="E3888" s="260" t="s">
        <v>4819</v>
      </c>
      <c r="F3888" s="334">
        <v>488</v>
      </c>
      <c r="G3888" s="311">
        <v>1948</v>
      </c>
      <c r="H3888" s="369" t="s">
        <v>2658</v>
      </c>
      <c r="I3888" s="313">
        <v>50</v>
      </c>
      <c r="J3888" s="314">
        <v>5.3041600000000004</v>
      </c>
      <c r="K3888" s="314">
        <v>5.0125099999999998</v>
      </c>
      <c r="L3888" s="336">
        <f t="shared" si="39"/>
        <v>0.29165000000000063</v>
      </c>
      <c r="M3888" s="337"/>
    </row>
    <row r="3889" spans="1:13" s="71" customFormat="1" ht="26.4" customHeight="1">
      <c r="A3889" s="282">
        <v>293</v>
      </c>
      <c r="B3889" s="537"/>
      <c r="C3889" s="333" t="s">
        <v>15</v>
      </c>
      <c r="D3889" s="333" t="s">
        <v>4820</v>
      </c>
      <c r="E3889" s="260" t="s">
        <v>4821</v>
      </c>
      <c r="F3889" s="334">
        <v>489</v>
      </c>
      <c r="G3889" s="311">
        <v>1948</v>
      </c>
      <c r="H3889" s="369" t="s">
        <v>2658</v>
      </c>
      <c r="I3889" s="313">
        <v>180</v>
      </c>
      <c r="J3889" s="314">
        <v>2.1020799999999999</v>
      </c>
      <c r="K3889" s="314">
        <v>1.9854799999999999</v>
      </c>
      <c r="L3889" s="336">
        <f t="shared" si="39"/>
        <v>0.11660000000000004</v>
      </c>
      <c r="M3889" s="337"/>
    </row>
    <row r="3890" spans="1:13" s="71" customFormat="1" ht="26.4" customHeight="1">
      <c r="A3890" s="282">
        <v>294</v>
      </c>
      <c r="B3890" s="537"/>
      <c r="C3890" s="333" t="s">
        <v>15</v>
      </c>
      <c r="D3890" s="333" t="s">
        <v>4822</v>
      </c>
      <c r="E3890" s="260" t="s">
        <v>4823</v>
      </c>
      <c r="F3890" s="334">
        <v>491</v>
      </c>
      <c r="G3890" s="311">
        <v>1964</v>
      </c>
      <c r="H3890" s="369" t="s">
        <v>2658</v>
      </c>
      <c r="I3890" s="313">
        <v>1000</v>
      </c>
      <c r="J3890" s="314">
        <v>8.9088799999999999</v>
      </c>
      <c r="K3890" s="314">
        <v>8.3088300000000004</v>
      </c>
      <c r="L3890" s="336">
        <f t="shared" si="39"/>
        <v>0.60004999999999953</v>
      </c>
      <c r="M3890" s="337"/>
    </row>
    <row r="3891" spans="1:13" s="71" customFormat="1" ht="26.4" customHeight="1">
      <c r="A3891" s="282">
        <v>295</v>
      </c>
      <c r="B3891" s="537"/>
      <c r="C3891" s="333" t="s">
        <v>15</v>
      </c>
      <c r="D3891" s="333" t="s">
        <v>4612</v>
      </c>
      <c r="E3891" s="260" t="s">
        <v>4824</v>
      </c>
      <c r="F3891" s="334">
        <v>492</v>
      </c>
      <c r="G3891" s="311">
        <v>1953</v>
      </c>
      <c r="H3891" s="369" t="s">
        <v>2658</v>
      </c>
      <c r="I3891" s="313">
        <v>1800</v>
      </c>
      <c r="J3891" s="314">
        <v>13.763999999999999</v>
      </c>
      <c r="K3891" s="314">
        <v>12.81964</v>
      </c>
      <c r="L3891" s="336">
        <f t="shared" si="39"/>
        <v>0.94435999999999964</v>
      </c>
      <c r="M3891" s="337"/>
    </row>
    <row r="3892" spans="1:13" s="71" customFormat="1" ht="26.4" customHeight="1">
      <c r="A3892" s="282">
        <v>296</v>
      </c>
      <c r="B3892" s="537"/>
      <c r="C3892" s="333" t="s">
        <v>15</v>
      </c>
      <c r="D3892" s="333" t="s">
        <v>4825</v>
      </c>
      <c r="E3892" s="260" t="s">
        <v>4826</v>
      </c>
      <c r="F3892" s="334">
        <v>493</v>
      </c>
      <c r="G3892" s="311">
        <v>1953</v>
      </c>
      <c r="H3892" s="369" t="s">
        <v>2658</v>
      </c>
      <c r="I3892" s="313">
        <v>700</v>
      </c>
      <c r="J3892" s="314">
        <v>13.217000000000001</v>
      </c>
      <c r="K3892" s="314">
        <v>13.12524</v>
      </c>
      <c r="L3892" s="336">
        <f t="shared" si="39"/>
        <v>9.176000000000073E-2</v>
      </c>
      <c r="M3892" s="337"/>
    </row>
    <row r="3893" spans="1:13" s="71" customFormat="1" ht="26.4" customHeight="1">
      <c r="A3893" s="282">
        <v>297</v>
      </c>
      <c r="B3893" s="537"/>
      <c r="C3893" s="333" t="s">
        <v>15</v>
      </c>
      <c r="D3893" s="333" t="s">
        <v>4613</v>
      </c>
      <c r="E3893" s="260" t="s">
        <v>4827</v>
      </c>
      <c r="F3893" s="334">
        <v>495</v>
      </c>
      <c r="G3893" s="311">
        <v>1953</v>
      </c>
      <c r="H3893" s="369" t="s">
        <v>2658</v>
      </c>
      <c r="I3893" s="313">
        <v>800</v>
      </c>
      <c r="J3893" s="314">
        <v>2.4729999999999999</v>
      </c>
      <c r="K3893" s="314">
        <v>2.4366099999999999</v>
      </c>
      <c r="L3893" s="336">
        <f t="shared" si="39"/>
        <v>3.6389999999999922E-2</v>
      </c>
      <c r="M3893" s="337"/>
    </row>
    <row r="3894" spans="1:13" s="71" customFormat="1" ht="26.4" customHeight="1">
      <c r="A3894" s="282">
        <v>298</v>
      </c>
      <c r="B3894" s="537"/>
      <c r="C3894" s="333" t="s">
        <v>15</v>
      </c>
      <c r="D3894" s="333" t="s">
        <v>4614</v>
      </c>
      <c r="E3894" s="260" t="s">
        <v>4828</v>
      </c>
      <c r="F3894" s="334">
        <v>497</v>
      </c>
      <c r="G3894" s="311">
        <v>1953</v>
      </c>
      <c r="H3894" s="369" t="s">
        <v>2658</v>
      </c>
      <c r="I3894" s="313">
        <v>460</v>
      </c>
      <c r="J3894" s="314">
        <v>2.8420800000000002</v>
      </c>
      <c r="K3894" s="314">
        <v>2.6961599999999999</v>
      </c>
      <c r="L3894" s="336">
        <f t="shared" si="39"/>
        <v>0.14592000000000027</v>
      </c>
      <c r="M3894" s="337"/>
    </row>
    <row r="3895" spans="1:13" s="71" customFormat="1" ht="26.4" customHeight="1">
      <c r="A3895" s="282">
        <v>299</v>
      </c>
      <c r="B3895" s="537"/>
      <c r="C3895" s="333" t="s">
        <v>15</v>
      </c>
      <c r="D3895" s="333" t="s">
        <v>4616</v>
      </c>
      <c r="E3895" s="260" t="s">
        <v>4829</v>
      </c>
      <c r="F3895" s="334">
        <v>503</v>
      </c>
      <c r="G3895" s="311">
        <v>1953</v>
      </c>
      <c r="H3895" s="369" t="s">
        <v>2658</v>
      </c>
      <c r="I3895" s="313">
        <v>560</v>
      </c>
      <c r="J3895" s="314">
        <v>4.1021599999999996</v>
      </c>
      <c r="K3895" s="314">
        <v>3.6987100000000002</v>
      </c>
      <c r="L3895" s="336">
        <f t="shared" si="39"/>
        <v>0.40344999999999942</v>
      </c>
      <c r="M3895" s="337"/>
    </row>
    <row r="3896" spans="1:13" s="71" customFormat="1" ht="26.4" customHeight="1">
      <c r="A3896" s="282">
        <v>300</v>
      </c>
      <c r="B3896" s="537"/>
      <c r="C3896" s="333" t="s">
        <v>15</v>
      </c>
      <c r="D3896" s="333" t="s">
        <v>4618</v>
      </c>
      <c r="E3896" s="260" t="s">
        <v>4830</v>
      </c>
      <c r="F3896" s="334">
        <v>504</v>
      </c>
      <c r="G3896" s="311">
        <v>1953</v>
      </c>
      <c r="H3896" s="369" t="s">
        <v>2658</v>
      </c>
      <c r="I3896" s="313">
        <v>560</v>
      </c>
      <c r="J3896" s="314">
        <v>2.1080800000000002</v>
      </c>
      <c r="K3896" s="314">
        <v>1.9914799999999999</v>
      </c>
      <c r="L3896" s="336">
        <f t="shared" si="39"/>
        <v>0.11660000000000026</v>
      </c>
      <c r="M3896" s="337"/>
    </row>
    <row r="3897" spans="1:13" s="71" customFormat="1" ht="26.4" customHeight="1">
      <c r="A3897" s="282">
        <v>301</v>
      </c>
      <c r="B3897" s="537"/>
      <c r="C3897" s="333" t="s">
        <v>15</v>
      </c>
      <c r="D3897" s="333" t="s">
        <v>4620</v>
      </c>
      <c r="E3897" s="260" t="s">
        <v>4831</v>
      </c>
      <c r="F3897" s="334">
        <v>505</v>
      </c>
      <c r="G3897" s="311">
        <v>1953</v>
      </c>
      <c r="H3897" s="369" t="s">
        <v>2658</v>
      </c>
      <c r="I3897" s="313">
        <v>14100</v>
      </c>
      <c r="J3897" s="314">
        <v>24.323</v>
      </c>
      <c r="K3897" s="314">
        <v>24.108360000000001</v>
      </c>
      <c r="L3897" s="336">
        <f t="shared" si="39"/>
        <v>0.21463999999999928</v>
      </c>
      <c r="M3897" s="337"/>
    </row>
    <row r="3898" spans="1:13" s="71" customFormat="1" ht="26.4" customHeight="1">
      <c r="A3898" s="282">
        <v>302</v>
      </c>
      <c r="B3898" s="537"/>
      <c r="C3898" s="333" t="s">
        <v>15</v>
      </c>
      <c r="D3898" s="333" t="s">
        <v>4832</v>
      </c>
      <c r="E3898" s="260" t="s">
        <v>4833</v>
      </c>
      <c r="F3898" s="334">
        <v>506</v>
      </c>
      <c r="G3898" s="311">
        <v>1953</v>
      </c>
      <c r="H3898" s="369" t="s">
        <v>2658</v>
      </c>
      <c r="I3898" s="313">
        <v>630</v>
      </c>
      <c r="J3898" s="314">
        <v>3.0790799999999998</v>
      </c>
      <c r="K3898" s="314">
        <v>2.9040300000000001</v>
      </c>
      <c r="L3898" s="336">
        <f t="shared" si="39"/>
        <v>0.17504999999999971</v>
      </c>
      <c r="M3898" s="337"/>
    </row>
    <row r="3899" spans="1:13" s="71" customFormat="1" ht="26.4" customHeight="1">
      <c r="A3899" s="282">
        <v>303</v>
      </c>
      <c r="B3899" s="537"/>
      <c r="C3899" s="333" t="s">
        <v>15</v>
      </c>
      <c r="D3899" s="333" t="s">
        <v>4623</v>
      </c>
      <c r="E3899" s="260" t="s">
        <v>4834</v>
      </c>
      <c r="F3899" s="334">
        <v>507</v>
      </c>
      <c r="G3899" s="311">
        <v>1953</v>
      </c>
      <c r="H3899" s="369" t="s">
        <v>2658</v>
      </c>
      <c r="I3899" s="313">
        <v>800</v>
      </c>
      <c r="J3899" s="314">
        <v>1.7700800000000001</v>
      </c>
      <c r="K3899" s="314">
        <v>1.6534800000000001</v>
      </c>
      <c r="L3899" s="336">
        <f t="shared" si="39"/>
        <v>0.11660000000000004</v>
      </c>
      <c r="M3899" s="337"/>
    </row>
    <row r="3900" spans="1:13" s="71" customFormat="1" ht="26.4" customHeight="1">
      <c r="A3900" s="282">
        <v>304</v>
      </c>
      <c r="B3900" s="537"/>
      <c r="C3900" s="333" t="s">
        <v>15</v>
      </c>
      <c r="D3900" s="333" t="s">
        <v>4595</v>
      </c>
      <c r="E3900" s="260" t="s">
        <v>4835</v>
      </c>
      <c r="F3900" s="334">
        <v>508</v>
      </c>
      <c r="G3900" s="311">
        <v>1963</v>
      </c>
      <c r="H3900" s="369" t="s">
        <v>2658</v>
      </c>
      <c r="I3900" s="313">
        <v>5000</v>
      </c>
      <c r="J3900" s="314">
        <v>26.158999999999999</v>
      </c>
      <c r="K3900" s="314">
        <v>25.901679999999999</v>
      </c>
      <c r="L3900" s="336">
        <f t="shared" si="39"/>
        <v>0.25731999999999999</v>
      </c>
      <c r="M3900" s="337"/>
    </row>
    <row r="3901" spans="1:13" s="71" customFormat="1" ht="26.4" customHeight="1">
      <c r="A3901" s="282">
        <v>305</v>
      </c>
      <c r="B3901" s="537"/>
      <c r="C3901" s="333" t="s">
        <v>15</v>
      </c>
      <c r="D3901" s="333" t="s">
        <v>4836</v>
      </c>
      <c r="E3901" s="260" t="s">
        <v>4837</v>
      </c>
      <c r="F3901" s="362">
        <v>510</v>
      </c>
      <c r="G3901" s="311">
        <v>1963</v>
      </c>
      <c r="H3901" s="369" t="s">
        <v>2658</v>
      </c>
      <c r="I3901" s="313">
        <v>450</v>
      </c>
      <c r="J3901" s="314">
        <v>3.2861600000000002</v>
      </c>
      <c r="K3901" s="314">
        <v>3.11111</v>
      </c>
      <c r="L3901" s="336">
        <f t="shared" si="39"/>
        <v>0.17505000000000015</v>
      </c>
      <c r="M3901" s="337"/>
    </row>
    <row r="3902" spans="1:13" s="71" customFormat="1" ht="26.4" customHeight="1">
      <c r="A3902" s="282">
        <v>306</v>
      </c>
      <c r="B3902" s="537"/>
      <c r="C3902" s="333" t="s">
        <v>15</v>
      </c>
      <c r="D3902" s="333" t="s">
        <v>4760</v>
      </c>
      <c r="E3902" s="260" t="s">
        <v>4838</v>
      </c>
      <c r="F3902" s="362">
        <v>511</v>
      </c>
      <c r="G3902" s="311">
        <v>1966</v>
      </c>
      <c r="H3902" s="369" t="s">
        <v>2658</v>
      </c>
      <c r="I3902" s="313">
        <v>900</v>
      </c>
      <c r="J3902" s="314">
        <v>5.673</v>
      </c>
      <c r="K3902" s="314">
        <v>5.2480000000000002</v>
      </c>
      <c r="L3902" s="336">
        <f t="shared" si="39"/>
        <v>0.42499999999999982</v>
      </c>
      <c r="M3902" s="337"/>
    </row>
    <row r="3903" spans="1:13" s="71" customFormat="1" ht="26.4" customHeight="1">
      <c r="A3903" s="282">
        <v>307</v>
      </c>
      <c r="B3903" s="537"/>
      <c r="C3903" s="333" t="s">
        <v>15</v>
      </c>
      <c r="D3903" s="333" t="s">
        <v>4636</v>
      </c>
      <c r="E3903" s="260" t="s">
        <v>4839</v>
      </c>
      <c r="F3903" s="362">
        <v>512</v>
      </c>
      <c r="G3903" s="311">
        <v>1951</v>
      </c>
      <c r="H3903" s="369" t="s">
        <v>2658</v>
      </c>
      <c r="I3903" s="313">
        <v>325</v>
      </c>
      <c r="J3903" s="314">
        <v>3.1370800000000001</v>
      </c>
      <c r="K3903" s="314">
        <v>2.38713</v>
      </c>
      <c r="L3903" s="336">
        <f t="shared" si="39"/>
        <v>0.74995000000000012</v>
      </c>
      <c r="M3903" s="337"/>
    </row>
    <row r="3904" spans="1:13" s="71" customFormat="1" ht="26.4" customHeight="1">
      <c r="A3904" s="282">
        <v>308</v>
      </c>
      <c r="B3904" s="537"/>
      <c r="C3904" s="333" t="s">
        <v>15</v>
      </c>
      <c r="D3904" s="333" t="s">
        <v>4725</v>
      </c>
      <c r="E3904" s="260" t="s">
        <v>4840</v>
      </c>
      <c r="F3904" s="362">
        <v>513</v>
      </c>
      <c r="G3904" s="311">
        <v>1951</v>
      </c>
      <c r="H3904" s="369" t="s">
        <v>2658</v>
      </c>
      <c r="I3904" s="313">
        <v>325</v>
      </c>
      <c r="J3904" s="314">
        <v>2.3370799999999998</v>
      </c>
      <c r="K3904" s="314">
        <v>2.2204799999999998</v>
      </c>
      <c r="L3904" s="336">
        <f t="shared" si="39"/>
        <v>0.11660000000000004</v>
      </c>
      <c r="M3904" s="337"/>
    </row>
    <row r="3905" spans="1:13" s="71" customFormat="1" ht="26.4" customHeight="1">
      <c r="A3905" s="282">
        <v>309</v>
      </c>
      <c r="B3905" s="537"/>
      <c r="C3905" s="333" t="s">
        <v>15</v>
      </c>
      <c r="D3905" s="333" t="s">
        <v>3</v>
      </c>
      <c r="E3905" s="260" t="s">
        <v>4841</v>
      </c>
      <c r="F3905" s="362">
        <v>515</v>
      </c>
      <c r="G3905" s="311">
        <v>1969</v>
      </c>
      <c r="H3905" s="369" t="s">
        <v>2658</v>
      </c>
      <c r="I3905" s="313">
        <v>1500</v>
      </c>
      <c r="J3905" s="314">
        <v>112.1516</v>
      </c>
      <c r="K3905" s="314">
        <v>112.1516</v>
      </c>
      <c r="L3905" s="336">
        <f t="shared" si="39"/>
        <v>0</v>
      </c>
      <c r="M3905" s="337"/>
    </row>
    <row r="3906" spans="1:13" s="71" customFormat="1" ht="26.4" customHeight="1">
      <c r="A3906" s="282">
        <v>310</v>
      </c>
      <c r="B3906" s="537"/>
      <c r="C3906" s="333" t="s">
        <v>15</v>
      </c>
      <c r="D3906" s="333" t="s">
        <v>3</v>
      </c>
      <c r="E3906" s="260" t="s">
        <v>4842</v>
      </c>
      <c r="F3906" s="362">
        <v>516</v>
      </c>
      <c r="G3906" s="311">
        <v>1978</v>
      </c>
      <c r="H3906" s="369" t="s">
        <v>2658</v>
      </c>
      <c r="I3906" s="313">
        <v>193</v>
      </c>
      <c r="J3906" s="314">
        <v>8.8381399999999992</v>
      </c>
      <c r="K3906" s="314">
        <v>8.2359299999999998</v>
      </c>
      <c r="L3906" s="336">
        <f t="shared" si="39"/>
        <v>0.60220999999999947</v>
      </c>
      <c r="M3906" s="337"/>
    </row>
    <row r="3907" spans="1:13" s="71" customFormat="1" ht="26.4" customHeight="1">
      <c r="A3907" s="282">
        <v>311</v>
      </c>
      <c r="B3907" s="537"/>
      <c r="C3907" s="333" t="s">
        <v>15</v>
      </c>
      <c r="D3907" s="333" t="s">
        <v>4597</v>
      </c>
      <c r="E3907" s="260" t="s">
        <v>4843</v>
      </c>
      <c r="F3907" s="362">
        <v>519</v>
      </c>
      <c r="G3907" s="311">
        <v>1984</v>
      </c>
      <c r="H3907" s="369" t="s">
        <v>2658</v>
      </c>
      <c r="I3907" s="313">
        <v>76</v>
      </c>
      <c r="J3907" s="314">
        <v>2.9411800000000001</v>
      </c>
      <c r="K3907" s="314">
        <v>2.9411800000000001</v>
      </c>
      <c r="L3907" s="336">
        <f t="shared" si="39"/>
        <v>0</v>
      </c>
      <c r="M3907" s="337"/>
    </row>
    <row r="3908" spans="1:13" s="71" customFormat="1" ht="26.4" customHeight="1">
      <c r="A3908" s="282">
        <v>312</v>
      </c>
      <c r="B3908" s="537"/>
      <c r="C3908" s="333" t="s">
        <v>15</v>
      </c>
      <c r="D3908" s="333" t="s">
        <v>4574</v>
      </c>
      <c r="E3908" s="260" t="s">
        <v>4844</v>
      </c>
      <c r="F3908" s="362">
        <v>548</v>
      </c>
      <c r="G3908" s="311">
        <v>1969</v>
      </c>
      <c r="H3908" s="369" t="s">
        <v>2658</v>
      </c>
      <c r="I3908" s="313">
        <v>70</v>
      </c>
      <c r="J3908" s="314">
        <v>16.305</v>
      </c>
      <c r="K3908" s="314">
        <v>16.188400000000001</v>
      </c>
      <c r="L3908" s="336">
        <f t="shared" si="39"/>
        <v>0.11659999999999826</v>
      </c>
      <c r="M3908" s="337"/>
    </row>
    <row r="3909" spans="1:13" s="71" customFormat="1" ht="26.4" customHeight="1">
      <c r="A3909" s="282">
        <v>313</v>
      </c>
      <c r="B3909" s="537"/>
      <c r="C3909" s="333" t="s">
        <v>15</v>
      </c>
      <c r="D3909" s="333" t="s">
        <v>3</v>
      </c>
      <c r="E3909" s="260" t="s">
        <v>4845</v>
      </c>
      <c r="F3909" s="362">
        <v>549</v>
      </c>
      <c r="G3909" s="311">
        <v>1969</v>
      </c>
      <c r="H3909" s="369" t="s">
        <v>2658</v>
      </c>
      <c r="I3909" s="313">
        <v>20</v>
      </c>
      <c r="J3909" s="314">
        <v>7.9660000000000002</v>
      </c>
      <c r="K3909" s="314">
        <v>7.9077000000000002</v>
      </c>
      <c r="L3909" s="336">
        <f t="shared" si="39"/>
        <v>5.8300000000000018E-2</v>
      </c>
      <c r="M3909" s="337"/>
    </row>
    <row r="3910" spans="1:13" s="71" customFormat="1" ht="26.4" customHeight="1">
      <c r="A3910" s="282">
        <v>314</v>
      </c>
      <c r="B3910" s="537"/>
      <c r="C3910" s="333" t="s">
        <v>15</v>
      </c>
      <c r="D3910" s="333" t="s">
        <v>3</v>
      </c>
      <c r="E3910" s="260" t="s">
        <v>4846</v>
      </c>
      <c r="F3910" s="362">
        <v>550</v>
      </c>
      <c r="G3910" s="311">
        <v>1969</v>
      </c>
      <c r="H3910" s="369" t="s">
        <v>2658</v>
      </c>
      <c r="I3910" s="313">
        <v>10</v>
      </c>
      <c r="J3910" s="314">
        <v>8.3330000000000002</v>
      </c>
      <c r="K3910" s="314">
        <v>7.8608200000000004</v>
      </c>
      <c r="L3910" s="336">
        <f t="shared" si="39"/>
        <v>0.47217999999999982</v>
      </c>
      <c r="M3910" s="337"/>
    </row>
    <row r="3911" spans="1:13" s="71" customFormat="1" ht="26.4" customHeight="1">
      <c r="A3911" s="282">
        <v>315</v>
      </c>
      <c r="B3911" s="537"/>
      <c r="C3911" s="333" t="s">
        <v>15</v>
      </c>
      <c r="D3911" s="333" t="s">
        <v>3</v>
      </c>
      <c r="E3911" s="260" t="s">
        <v>4847</v>
      </c>
      <c r="F3911" s="362">
        <v>551</v>
      </c>
      <c r="G3911" s="311">
        <v>1969</v>
      </c>
      <c r="H3911" s="369" t="s">
        <v>2658</v>
      </c>
      <c r="I3911" s="313">
        <v>8</v>
      </c>
      <c r="J3911" s="314">
        <v>5.6970000000000001</v>
      </c>
      <c r="K3911" s="314">
        <v>5.3570000000000002</v>
      </c>
      <c r="L3911" s="336">
        <f t="shared" si="39"/>
        <v>0.33999999999999986</v>
      </c>
      <c r="M3911" s="337"/>
    </row>
    <row r="3912" spans="1:13" s="71" customFormat="1" ht="26.4" customHeight="1">
      <c r="A3912" s="282">
        <v>316</v>
      </c>
      <c r="B3912" s="537"/>
      <c r="C3912" s="333" t="s">
        <v>15</v>
      </c>
      <c r="D3912" s="333" t="s">
        <v>3</v>
      </c>
      <c r="E3912" s="260" t="s">
        <v>4848</v>
      </c>
      <c r="F3912" s="362">
        <v>556</v>
      </c>
      <c r="G3912" s="311">
        <v>1970</v>
      </c>
      <c r="H3912" s="369" t="s">
        <v>2658</v>
      </c>
      <c r="I3912" s="313">
        <v>275</v>
      </c>
      <c r="J3912" s="314">
        <v>17.177759999999999</v>
      </c>
      <c r="K3912" s="314">
        <v>17.030090000000001</v>
      </c>
      <c r="L3912" s="336">
        <f t="shared" si="39"/>
        <v>0.14766999999999797</v>
      </c>
      <c r="M3912" s="337"/>
    </row>
    <row r="3913" spans="1:13" s="71" customFormat="1" ht="26.4" customHeight="1">
      <c r="A3913" s="282">
        <v>317</v>
      </c>
      <c r="B3913" s="537"/>
      <c r="C3913" s="333" t="s">
        <v>15</v>
      </c>
      <c r="D3913" s="333" t="s">
        <v>3</v>
      </c>
      <c r="E3913" s="260" t="s">
        <v>4849</v>
      </c>
      <c r="F3913" s="362">
        <v>557</v>
      </c>
      <c r="G3913" s="311">
        <v>1969</v>
      </c>
      <c r="H3913" s="369" t="s">
        <v>2658</v>
      </c>
      <c r="I3913" s="313">
        <v>30</v>
      </c>
      <c r="J3913" s="314">
        <v>1.81908</v>
      </c>
      <c r="K3913" s="314">
        <v>1.70248</v>
      </c>
      <c r="L3913" s="336">
        <f t="shared" si="39"/>
        <v>0.11660000000000004</v>
      </c>
      <c r="M3913" s="337"/>
    </row>
    <row r="3914" spans="1:13" s="71" customFormat="1" ht="26.4" customHeight="1">
      <c r="A3914" s="282">
        <v>318</v>
      </c>
      <c r="B3914" s="537"/>
      <c r="C3914" s="333" t="s">
        <v>15</v>
      </c>
      <c r="D3914" s="333" t="s">
        <v>3</v>
      </c>
      <c r="E3914" s="260" t="s">
        <v>4850</v>
      </c>
      <c r="F3914" s="362">
        <v>558</v>
      </c>
      <c r="G3914" s="311">
        <v>1969</v>
      </c>
      <c r="H3914" s="369" t="s">
        <v>2658</v>
      </c>
      <c r="I3914" s="313">
        <v>70</v>
      </c>
      <c r="J3914" s="314">
        <v>0.88707999999999998</v>
      </c>
      <c r="K3914" s="314">
        <v>0.82877999999999996</v>
      </c>
      <c r="L3914" s="336">
        <f t="shared" si="39"/>
        <v>5.8300000000000018E-2</v>
      </c>
      <c r="M3914" s="337"/>
    </row>
    <row r="3915" spans="1:13" s="71" customFormat="1" ht="26.4" customHeight="1">
      <c r="A3915" s="282">
        <v>319</v>
      </c>
      <c r="B3915" s="537"/>
      <c r="C3915" s="333" t="s">
        <v>15</v>
      </c>
      <c r="D3915" s="333" t="s">
        <v>3</v>
      </c>
      <c r="E3915" s="260" t="s">
        <v>4851</v>
      </c>
      <c r="F3915" s="362">
        <v>559</v>
      </c>
      <c r="G3915" s="311">
        <v>1969</v>
      </c>
      <c r="H3915" s="369" t="s">
        <v>2658</v>
      </c>
      <c r="I3915" s="313">
        <v>30</v>
      </c>
      <c r="J3915" s="314">
        <v>15.97381</v>
      </c>
      <c r="K3915" s="314">
        <v>15.65301</v>
      </c>
      <c r="L3915" s="336">
        <f t="shared" si="39"/>
        <v>0.3208000000000002</v>
      </c>
      <c r="M3915" s="337"/>
    </row>
    <row r="3916" spans="1:13" s="71" customFormat="1" ht="26.4" customHeight="1">
      <c r="A3916" s="282">
        <v>320</v>
      </c>
      <c r="B3916" s="537"/>
      <c r="C3916" s="333" t="s">
        <v>15</v>
      </c>
      <c r="D3916" s="333" t="s">
        <v>3</v>
      </c>
      <c r="E3916" s="260" t="s">
        <v>4852</v>
      </c>
      <c r="F3916" s="362">
        <v>564</v>
      </c>
      <c r="G3916" s="311">
        <v>1970</v>
      </c>
      <c r="H3916" s="369" t="s">
        <v>2658</v>
      </c>
      <c r="I3916" s="313">
        <v>760</v>
      </c>
      <c r="J3916" s="314">
        <v>8.5571000000000002</v>
      </c>
      <c r="K3916" s="314">
        <v>8.5571000000000002</v>
      </c>
      <c r="L3916" s="336">
        <f t="shared" si="39"/>
        <v>0</v>
      </c>
      <c r="M3916" s="337"/>
    </row>
    <row r="3917" spans="1:13" s="71" customFormat="1" ht="26.4" customHeight="1">
      <c r="A3917" s="282">
        <v>321</v>
      </c>
      <c r="B3917" s="537"/>
      <c r="C3917" s="333" t="s">
        <v>15</v>
      </c>
      <c r="D3917" s="333" t="s">
        <v>3</v>
      </c>
      <c r="E3917" s="260" t="s">
        <v>4853</v>
      </c>
      <c r="F3917" s="362">
        <v>565</v>
      </c>
      <c r="G3917" s="311">
        <v>1970</v>
      </c>
      <c r="H3917" s="369" t="s">
        <v>2658</v>
      </c>
      <c r="I3917" s="313">
        <v>310</v>
      </c>
      <c r="J3917" s="314">
        <v>7.7121399999999998</v>
      </c>
      <c r="K3917" s="314">
        <v>7.1863700000000001</v>
      </c>
      <c r="L3917" s="336">
        <f t="shared" ref="L3917:L3980" si="40">J3917-K3917</f>
        <v>0.52576999999999963</v>
      </c>
      <c r="M3917" s="337"/>
    </row>
    <row r="3918" spans="1:13" s="71" customFormat="1" ht="26.4" customHeight="1">
      <c r="A3918" s="282">
        <v>322</v>
      </c>
      <c r="B3918" s="537"/>
      <c r="C3918" s="333" t="s">
        <v>15</v>
      </c>
      <c r="D3918" s="333" t="s">
        <v>3</v>
      </c>
      <c r="E3918" s="260" t="s">
        <v>4854</v>
      </c>
      <c r="F3918" s="362">
        <v>566</v>
      </c>
      <c r="G3918" s="311">
        <v>1970</v>
      </c>
      <c r="H3918" s="369" t="s">
        <v>2658</v>
      </c>
      <c r="I3918" s="313">
        <v>92</v>
      </c>
      <c r="J3918" s="314">
        <v>2.2035</v>
      </c>
      <c r="K3918" s="314">
        <v>2.2035</v>
      </c>
      <c r="L3918" s="336">
        <f t="shared" si="40"/>
        <v>0</v>
      </c>
      <c r="M3918" s="337"/>
    </row>
    <row r="3919" spans="1:13" s="71" customFormat="1" ht="26.4" customHeight="1">
      <c r="A3919" s="282">
        <v>323</v>
      </c>
      <c r="B3919" s="537"/>
      <c r="C3919" s="333" t="s">
        <v>15</v>
      </c>
      <c r="D3919" s="333" t="s">
        <v>3</v>
      </c>
      <c r="E3919" s="260" t="s">
        <v>4855</v>
      </c>
      <c r="F3919" s="362">
        <v>567</v>
      </c>
      <c r="G3919" s="311">
        <v>1970</v>
      </c>
      <c r="H3919" s="369" t="s">
        <v>2658</v>
      </c>
      <c r="I3919" s="313">
        <v>335</v>
      </c>
      <c r="J3919" s="314">
        <v>8.2241</v>
      </c>
      <c r="K3919" s="314">
        <v>7.6638500000000001</v>
      </c>
      <c r="L3919" s="336">
        <f t="shared" si="40"/>
        <v>0.56024999999999991</v>
      </c>
      <c r="M3919" s="337"/>
    </row>
    <row r="3920" spans="1:13" s="71" customFormat="1" ht="26.4" customHeight="1">
      <c r="A3920" s="282">
        <v>324</v>
      </c>
      <c r="B3920" s="537"/>
      <c r="C3920" s="333" t="s">
        <v>15</v>
      </c>
      <c r="D3920" s="333" t="s">
        <v>4856</v>
      </c>
      <c r="E3920" s="260" t="s">
        <v>4857</v>
      </c>
      <c r="F3920" s="362">
        <v>580</v>
      </c>
      <c r="G3920" s="311">
        <v>2001</v>
      </c>
      <c r="H3920" s="369" t="s">
        <v>2658</v>
      </c>
      <c r="I3920" s="313">
        <v>1047.3</v>
      </c>
      <c r="J3920" s="314">
        <v>667.71199999999999</v>
      </c>
      <c r="K3920" s="314">
        <v>655.65885000000003</v>
      </c>
      <c r="L3920" s="336">
        <f t="shared" si="40"/>
        <v>12.05314999999996</v>
      </c>
      <c r="M3920" s="337"/>
    </row>
    <row r="3921" spans="1:13" s="71" customFormat="1" ht="26.4" customHeight="1">
      <c r="A3921" s="282">
        <v>325</v>
      </c>
      <c r="B3921" s="537"/>
      <c r="C3921" s="333" t="s">
        <v>15</v>
      </c>
      <c r="D3921" s="333" t="s">
        <v>4858</v>
      </c>
      <c r="E3921" s="260" t="s">
        <v>4859</v>
      </c>
      <c r="F3921" s="362">
        <v>590</v>
      </c>
      <c r="G3921" s="311">
        <v>1987</v>
      </c>
      <c r="H3921" s="369" t="s">
        <v>2658</v>
      </c>
      <c r="I3921" s="313">
        <v>36</v>
      </c>
      <c r="J3921" s="314">
        <v>1.7</v>
      </c>
      <c r="K3921" s="314">
        <v>1.7</v>
      </c>
      <c r="L3921" s="336">
        <f t="shared" si="40"/>
        <v>0</v>
      </c>
      <c r="M3921" s="337"/>
    </row>
    <row r="3922" spans="1:13" s="71" customFormat="1" ht="26.4" customHeight="1">
      <c r="A3922" s="282">
        <v>326</v>
      </c>
      <c r="B3922" s="537"/>
      <c r="C3922" s="333" t="s">
        <v>15</v>
      </c>
      <c r="D3922" s="333" t="s">
        <v>4860</v>
      </c>
      <c r="E3922" s="260" t="s">
        <v>4861</v>
      </c>
      <c r="F3922" s="362">
        <v>591</v>
      </c>
      <c r="G3922" s="311">
        <v>1987</v>
      </c>
      <c r="H3922" s="369" t="s">
        <v>2658</v>
      </c>
      <c r="I3922" s="313">
        <v>63</v>
      </c>
      <c r="J3922" s="314">
        <v>2.63164</v>
      </c>
      <c r="K3922" s="314">
        <v>2.63164</v>
      </c>
      <c r="L3922" s="336">
        <f t="shared" si="40"/>
        <v>0</v>
      </c>
      <c r="M3922" s="337"/>
    </row>
    <row r="3923" spans="1:13" s="71" customFormat="1" ht="26.4" customHeight="1">
      <c r="A3923" s="282">
        <v>327</v>
      </c>
      <c r="B3923" s="537"/>
      <c r="C3923" s="333" t="s">
        <v>15</v>
      </c>
      <c r="D3923" s="333" t="s">
        <v>4860</v>
      </c>
      <c r="E3923" s="260" t="s">
        <v>4862</v>
      </c>
      <c r="F3923" s="362">
        <v>592</v>
      </c>
      <c r="G3923" s="311">
        <v>1970</v>
      </c>
      <c r="H3923" s="369" t="s">
        <v>2658</v>
      </c>
      <c r="I3923" s="313">
        <v>1500</v>
      </c>
      <c r="J3923" s="314">
        <v>110.25506</v>
      </c>
      <c r="K3923" s="314">
        <v>110.25506</v>
      </c>
      <c r="L3923" s="336">
        <f t="shared" si="40"/>
        <v>0</v>
      </c>
      <c r="M3923" s="337"/>
    </row>
    <row r="3924" spans="1:13" s="71" customFormat="1" ht="26.4" customHeight="1">
      <c r="A3924" s="282">
        <v>328</v>
      </c>
      <c r="B3924" s="537"/>
      <c r="C3924" s="333" t="s">
        <v>15</v>
      </c>
      <c r="D3924" s="333" t="s">
        <v>4860</v>
      </c>
      <c r="E3924" s="260" t="s">
        <v>13128</v>
      </c>
      <c r="F3924" s="362">
        <v>593</v>
      </c>
      <c r="G3924" s="311">
        <v>1987</v>
      </c>
      <c r="H3924" s="369" t="s">
        <v>2658</v>
      </c>
      <c r="I3924" s="313">
        <v>50</v>
      </c>
      <c r="J3924" s="314">
        <v>3.6445599999999998</v>
      </c>
      <c r="K3924" s="314">
        <v>3.6445599999999998</v>
      </c>
      <c r="L3924" s="336">
        <f t="shared" si="40"/>
        <v>0</v>
      </c>
      <c r="M3924" s="337"/>
    </row>
    <row r="3925" spans="1:13" s="71" customFormat="1" ht="26.4" customHeight="1">
      <c r="A3925" s="282">
        <v>329</v>
      </c>
      <c r="B3925" s="537"/>
      <c r="C3925" s="333" t="s">
        <v>15</v>
      </c>
      <c r="D3925" s="333" t="s">
        <v>4860</v>
      </c>
      <c r="E3925" s="260" t="s">
        <v>4863</v>
      </c>
      <c r="F3925" s="362">
        <v>594</v>
      </c>
      <c r="G3925" s="311">
        <v>1981</v>
      </c>
      <c r="H3925" s="369" t="s">
        <v>2658</v>
      </c>
      <c r="I3925" s="313">
        <v>75</v>
      </c>
      <c r="J3925" s="314">
        <v>1.0515099999999999</v>
      </c>
      <c r="K3925" s="314">
        <v>1.0515099999999999</v>
      </c>
      <c r="L3925" s="336">
        <f t="shared" si="40"/>
        <v>0</v>
      </c>
      <c r="M3925" s="337"/>
    </row>
    <row r="3926" spans="1:13" s="71" customFormat="1" ht="26.4" customHeight="1">
      <c r="A3926" s="282">
        <v>330</v>
      </c>
      <c r="B3926" s="537"/>
      <c r="C3926" s="333" t="s">
        <v>15</v>
      </c>
      <c r="D3926" s="333" t="s">
        <v>4860</v>
      </c>
      <c r="E3926" s="260" t="s">
        <v>13129</v>
      </c>
      <c r="F3926" s="362">
        <v>595</v>
      </c>
      <c r="G3926" s="311">
        <v>1998</v>
      </c>
      <c r="H3926" s="369" t="s">
        <v>2658</v>
      </c>
      <c r="I3926" s="313">
        <v>85</v>
      </c>
      <c r="J3926" s="314">
        <v>5.0711599999999999</v>
      </c>
      <c r="K3926" s="314">
        <v>5.0711599999999999</v>
      </c>
      <c r="L3926" s="336">
        <f t="shared" si="40"/>
        <v>0</v>
      </c>
      <c r="M3926" s="337"/>
    </row>
    <row r="3927" spans="1:13" s="71" customFormat="1" ht="26.4" customHeight="1">
      <c r="A3927" s="282">
        <v>331</v>
      </c>
      <c r="B3927" s="537"/>
      <c r="C3927" s="333" t="s">
        <v>15</v>
      </c>
      <c r="D3927" s="333" t="s">
        <v>4858</v>
      </c>
      <c r="E3927" s="260" t="s">
        <v>4864</v>
      </c>
      <c r="F3927" s="362">
        <v>596</v>
      </c>
      <c r="G3927" s="311">
        <v>1989</v>
      </c>
      <c r="H3927" s="369" t="s">
        <v>2658</v>
      </c>
      <c r="I3927" s="313">
        <v>32</v>
      </c>
      <c r="J3927" s="314">
        <v>0.61914999999999998</v>
      </c>
      <c r="K3927" s="314">
        <v>0.61914999999999998</v>
      </c>
      <c r="L3927" s="336">
        <f t="shared" si="40"/>
        <v>0</v>
      </c>
      <c r="M3927" s="337"/>
    </row>
    <row r="3928" spans="1:13" s="71" customFormat="1" ht="26.4" customHeight="1">
      <c r="A3928" s="282">
        <v>332</v>
      </c>
      <c r="B3928" s="537"/>
      <c r="C3928" s="333" t="s">
        <v>15</v>
      </c>
      <c r="D3928" s="333" t="s">
        <v>4692</v>
      </c>
      <c r="E3928" s="260" t="s">
        <v>4865</v>
      </c>
      <c r="F3928" s="362">
        <v>597</v>
      </c>
      <c r="G3928" s="311">
        <v>1980</v>
      </c>
      <c r="H3928" s="369" t="s">
        <v>2658</v>
      </c>
      <c r="I3928" s="313">
        <v>20</v>
      </c>
      <c r="J3928" s="314">
        <v>0.83067000000000002</v>
      </c>
      <c r="K3928" s="314">
        <v>0.83</v>
      </c>
      <c r="L3928" s="336">
        <f t="shared" si="40"/>
        <v>6.7000000000005944E-4</v>
      </c>
      <c r="M3928" s="337"/>
    </row>
    <row r="3929" spans="1:13" s="71" customFormat="1" ht="26.4" customHeight="1">
      <c r="A3929" s="282">
        <v>333</v>
      </c>
      <c r="B3929" s="537"/>
      <c r="C3929" s="333" t="s">
        <v>15</v>
      </c>
      <c r="D3929" s="333" t="s">
        <v>4692</v>
      </c>
      <c r="E3929" s="260" t="s">
        <v>4866</v>
      </c>
      <c r="F3929" s="362">
        <v>598</v>
      </c>
      <c r="G3929" s="311">
        <v>1979</v>
      </c>
      <c r="H3929" s="369" t="s">
        <v>2658</v>
      </c>
      <c r="I3929" s="313">
        <v>20</v>
      </c>
      <c r="J3929" s="314">
        <v>0.45613999999999999</v>
      </c>
      <c r="K3929" s="314">
        <v>0.45613999999999999</v>
      </c>
      <c r="L3929" s="336">
        <f t="shared" si="40"/>
        <v>0</v>
      </c>
      <c r="M3929" s="337"/>
    </row>
    <row r="3930" spans="1:13" s="71" customFormat="1" ht="26.4" customHeight="1">
      <c r="A3930" s="282">
        <v>334</v>
      </c>
      <c r="B3930" s="537"/>
      <c r="C3930" s="333" t="s">
        <v>15</v>
      </c>
      <c r="D3930" s="333" t="s">
        <v>4692</v>
      </c>
      <c r="E3930" s="260" t="s">
        <v>4867</v>
      </c>
      <c r="F3930" s="362">
        <v>599</v>
      </c>
      <c r="G3930" s="311">
        <v>1981</v>
      </c>
      <c r="H3930" s="369" t="s">
        <v>2658</v>
      </c>
      <c r="I3930" s="313">
        <v>70</v>
      </c>
      <c r="J3930" s="314">
        <v>1.0661799999999999</v>
      </c>
      <c r="K3930" s="314">
        <v>1.0661799999999999</v>
      </c>
      <c r="L3930" s="336">
        <f t="shared" si="40"/>
        <v>0</v>
      </c>
      <c r="M3930" s="337"/>
    </row>
    <row r="3931" spans="1:13" s="71" customFormat="1" ht="26.4" customHeight="1">
      <c r="A3931" s="282">
        <v>335</v>
      </c>
      <c r="B3931" s="537"/>
      <c r="C3931" s="333" t="s">
        <v>15</v>
      </c>
      <c r="D3931" s="333" t="s">
        <v>4692</v>
      </c>
      <c r="E3931" s="260" t="s">
        <v>4868</v>
      </c>
      <c r="F3931" s="362">
        <v>600</v>
      </c>
      <c r="G3931" s="311">
        <v>1981</v>
      </c>
      <c r="H3931" s="369" t="s">
        <v>2658</v>
      </c>
      <c r="I3931" s="313">
        <v>10</v>
      </c>
      <c r="J3931" s="314">
        <v>0.96611999999999998</v>
      </c>
      <c r="K3931" s="314">
        <v>0.96611999999999998</v>
      </c>
      <c r="L3931" s="336">
        <f t="shared" si="40"/>
        <v>0</v>
      </c>
      <c r="M3931" s="337"/>
    </row>
    <row r="3932" spans="1:13" s="71" customFormat="1" ht="26.4" customHeight="1">
      <c r="A3932" s="282">
        <v>336</v>
      </c>
      <c r="B3932" s="537"/>
      <c r="C3932" s="333" t="s">
        <v>15</v>
      </c>
      <c r="D3932" s="333" t="s">
        <v>4860</v>
      </c>
      <c r="E3932" s="260" t="s">
        <v>13130</v>
      </c>
      <c r="F3932" s="362">
        <v>601</v>
      </c>
      <c r="G3932" s="311">
        <v>1976</v>
      </c>
      <c r="H3932" s="369" t="s">
        <v>2658</v>
      </c>
      <c r="I3932" s="313">
        <v>55</v>
      </c>
      <c r="J3932" s="314">
        <v>3.6799499999999998</v>
      </c>
      <c r="K3932" s="314">
        <v>3.6799499999999998</v>
      </c>
      <c r="L3932" s="336">
        <f t="shared" si="40"/>
        <v>0</v>
      </c>
      <c r="M3932" s="337"/>
    </row>
    <row r="3933" spans="1:13" s="71" customFormat="1" ht="26.4" customHeight="1">
      <c r="A3933" s="282">
        <v>337</v>
      </c>
      <c r="B3933" s="537"/>
      <c r="C3933" s="333" t="s">
        <v>15</v>
      </c>
      <c r="D3933" s="333" t="s">
        <v>4869</v>
      </c>
      <c r="E3933" s="260" t="s">
        <v>13131</v>
      </c>
      <c r="F3933" s="362">
        <v>602</v>
      </c>
      <c r="G3933" s="311">
        <v>1995</v>
      </c>
      <c r="H3933" s="369" t="s">
        <v>2658</v>
      </c>
      <c r="I3933" s="313">
        <v>50</v>
      </c>
      <c r="J3933" s="314">
        <v>3.00116</v>
      </c>
      <c r="K3933" s="314">
        <v>3.00116</v>
      </c>
      <c r="L3933" s="336">
        <f t="shared" si="40"/>
        <v>0</v>
      </c>
      <c r="M3933" s="337"/>
    </row>
    <row r="3934" spans="1:13" s="71" customFormat="1" ht="26.4" customHeight="1">
      <c r="A3934" s="282">
        <v>338</v>
      </c>
      <c r="B3934" s="537"/>
      <c r="C3934" s="333" t="s">
        <v>15</v>
      </c>
      <c r="D3934" s="333" t="s">
        <v>3</v>
      </c>
      <c r="E3934" s="260" t="s">
        <v>4870</v>
      </c>
      <c r="F3934" s="362">
        <v>603</v>
      </c>
      <c r="G3934" s="311">
        <v>1985</v>
      </c>
      <c r="H3934" s="369" t="s">
        <v>2658</v>
      </c>
      <c r="I3934" s="313">
        <v>500</v>
      </c>
      <c r="J3934" s="314">
        <v>4.0891299999999999</v>
      </c>
      <c r="K3934" s="314">
        <v>4.0891299999999999</v>
      </c>
      <c r="L3934" s="336">
        <f t="shared" si="40"/>
        <v>0</v>
      </c>
      <c r="M3934" s="337"/>
    </row>
    <row r="3935" spans="1:13" s="71" customFormat="1" ht="26.4" customHeight="1">
      <c r="A3935" s="282">
        <v>339</v>
      </c>
      <c r="B3935" s="537"/>
      <c r="C3935" s="333" t="s">
        <v>15</v>
      </c>
      <c r="D3935" s="333" t="s">
        <v>4858</v>
      </c>
      <c r="E3935" s="260" t="s">
        <v>13132</v>
      </c>
      <c r="F3935" s="362">
        <v>604</v>
      </c>
      <c r="G3935" s="311">
        <v>1997</v>
      </c>
      <c r="H3935" s="369" t="s">
        <v>2658</v>
      </c>
      <c r="I3935" s="313">
        <v>47</v>
      </c>
      <c r="J3935" s="314">
        <v>2.40008</v>
      </c>
      <c r="K3935" s="314">
        <v>1.87513</v>
      </c>
      <c r="L3935" s="336">
        <f t="shared" si="40"/>
        <v>0.52495000000000003</v>
      </c>
      <c r="M3935" s="337"/>
    </row>
    <row r="3936" spans="1:13" s="71" customFormat="1" ht="26.4" customHeight="1">
      <c r="A3936" s="282">
        <v>340</v>
      </c>
      <c r="B3936" s="537"/>
      <c r="C3936" s="333" t="s">
        <v>15</v>
      </c>
      <c r="D3936" s="333" t="s">
        <v>4860</v>
      </c>
      <c r="E3936" s="260" t="s">
        <v>13133</v>
      </c>
      <c r="F3936" s="362">
        <v>605</v>
      </c>
      <c r="G3936" s="311">
        <v>1979</v>
      </c>
      <c r="H3936" s="369" t="s">
        <v>2658</v>
      </c>
      <c r="I3936" s="313">
        <v>14</v>
      </c>
      <c r="J3936" s="314">
        <v>1.63008</v>
      </c>
      <c r="K3936" s="314">
        <v>1.03003</v>
      </c>
      <c r="L3936" s="336">
        <f t="shared" si="40"/>
        <v>0.60004999999999997</v>
      </c>
      <c r="M3936" s="337"/>
    </row>
    <row r="3937" spans="1:13" s="71" customFormat="1" ht="26.4" customHeight="1">
      <c r="A3937" s="282">
        <v>341</v>
      </c>
      <c r="B3937" s="537"/>
      <c r="C3937" s="333" t="s">
        <v>15</v>
      </c>
      <c r="D3937" s="333" t="s">
        <v>4860</v>
      </c>
      <c r="E3937" s="260" t="s">
        <v>13134</v>
      </c>
      <c r="F3937" s="362">
        <v>606</v>
      </c>
      <c r="G3937" s="311">
        <v>1998</v>
      </c>
      <c r="H3937" s="369" t="s">
        <v>2658</v>
      </c>
      <c r="I3937" s="313">
        <v>80</v>
      </c>
      <c r="J3937" s="314">
        <v>3.5001600000000002</v>
      </c>
      <c r="K3937" s="314">
        <v>2.9376600000000002</v>
      </c>
      <c r="L3937" s="336">
        <f t="shared" si="40"/>
        <v>0.5625</v>
      </c>
      <c r="M3937" s="337"/>
    </row>
    <row r="3938" spans="1:13" s="71" customFormat="1" ht="26.4" customHeight="1">
      <c r="A3938" s="282">
        <v>342</v>
      </c>
      <c r="B3938" s="537"/>
      <c r="C3938" s="333" t="s">
        <v>15</v>
      </c>
      <c r="D3938" s="333" t="s">
        <v>4860</v>
      </c>
      <c r="E3938" s="260" t="s">
        <v>4871</v>
      </c>
      <c r="F3938" s="362">
        <v>607</v>
      </c>
      <c r="G3938" s="311">
        <v>1998</v>
      </c>
      <c r="H3938" s="369" t="s">
        <v>2658</v>
      </c>
      <c r="I3938" s="313">
        <v>12</v>
      </c>
      <c r="J3938" s="314">
        <v>3.2501600000000002</v>
      </c>
      <c r="K3938" s="314">
        <v>3.07511</v>
      </c>
      <c r="L3938" s="336">
        <f t="shared" si="40"/>
        <v>0.17505000000000015</v>
      </c>
      <c r="M3938" s="337"/>
    </row>
    <row r="3939" spans="1:13" s="71" customFormat="1" ht="26.4" customHeight="1">
      <c r="A3939" s="282">
        <v>343</v>
      </c>
      <c r="B3939" s="537"/>
      <c r="C3939" s="333" t="s">
        <v>15</v>
      </c>
      <c r="D3939" s="333" t="s">
        <v>4673</v>
      </c>
      <c r="E3939" s="260" t="s">
        <v>13135</v>
      </c>
      <c r="F3939" s="362">
        <v>608</v>
      </c>
      <c r="G3939" s="311">
        <v>1995</v>
      </c>
      <c r="H3939" s="369" t="s">
        <v>2658</v>
      </c>
      <c r="I3939" s="313">
        <v>50</v>
      </c>
      <c r="J3939" s="314">
        <v>1.95008</v>
      </c>
      <c r="K3939" s="314">
        <v>1.83348</v>
      </c>
      <c r="L3939" s="336">
        <f t="shared" si="40"/>
        <v>0.11660000000000004</v>
      </c>
      <c r="M3939" s="337"/>
    </row>
    <row r="3940" spans="1:13" s="71" customFormat="1" ht="26.4" customHeight="1">
      <c r="A3940" s="282">
        <v>344</v>
      </c>
      <c r="B3940" s="537"/>
      <c r="C3940" s="333" t="s">
        <v>15</v>
      </c>
      <c r="D3940" s="333" t="s">
        <v>4858</v>
      </c>
      <c r="E3940" s="260" t="s">
        <v>13136</v>
      </c>
      <c r="F3940" s="362">
        <v>609</v>
      </c>
      <c r="G3940" s="311">
        <v>1997</v>
      </c>
      <c r="H3940" s="369" t="s">
        <v>2658</v>
      </c>
      <c r="I3940" s="313">
        <v>40</v>
      </c>
      <c r="J3940" s="314">
        <v>1.8000799999999999</v>
      </c>
      <c r="K3940" s="314">
        <v>1.50013</v>
      </c>
      <c r="L3940" s="336">
        <f t="shared" si="40"/>
        <v>0.29994999999999994</v>
      </c>
      <c r="M3940" s="337"/>
    </row>
    <row r="3941" spans="1:13" s="71" customFormat="1" ht="26.4" customHeight="1">
      <c r="A3941" s="282">
        <v>345</v>
      </c>
      <c r="B3941" s="537"/>
      <c r="C3941" s="333" t="s">
        <v>15</v>
      </c>
      <c r="D3941" s="333" t="s">
        <v>4692</v>
      </c>
      <c r="E3941" s="260" t="s">
        <v>4872</v>
      </c>
      <c r="F3941" s="362">
        <v>610</v>
      </c>
      <c r="G3941" s="311">
        <v>1991</v>
      </c>
      <c r="H3941" s="369" t="s">
        <v>2658</v>
      </c>
      <c r="I3941" s="313">
        <v>32</v>
      </c>
      <c r="J3941" s="314">
        <v>1.7200800000000001</v>
      </c>
      <c r="K3941" s="314">
        <v>1.60348</v>
      </c>
      <c r="L3941" s="336">
        <f t="shared" si="40"/>
        <v>0.11660000000000004</v>
      </c>
      <c r="M3941" s="337"/>
    </row>
    <row r="3942" spans="1:13" s="71" customFormat="1" ht="26.4" customHeight="1">
      <c r="A3942" s="282">
        <v>346</v>
      </c>
      <c r="B3942" s="537"/>
      <c r="C3942" s="333" t="s">
        <v>15</v>
      </c>
      <c r="D3942" s="333" t="s">
        <v>4692</v>
      </c>
      <c r="E3942" s="260" t="s">
        <v>13137</v>
      </c>
      <c r="F3942" s="362">
        <v>611</v>
      </c>
      <c r="G3942" s="311">
        <v>1992</v>
      </c>
      <c r="H3942" s="369" t="s">
        <v>2658</v>
      </c>
      <c r="I3942" s="313">
        <v>100</v>
      </c>
      <c r="J3942" s="314">
        <v>2.7001599999999999</v>
      </c>
      <c r="K3942" s="314">
        <v>2.5542600000000002</v>
      </c>
      <c r="L3942" s="336">
        <f t="shared" si="40"/>
        <v>0.1458999999999997</v>
      </c>
      <c r="M3942" s="337"/>
    </row>
    <row r="3943" spans="1:13" s="71" customFormat="1" ht="26.4" customHeight="1">
      <c r="A3943" s="282">
        <v>347</v>
      </c>
      <c r="B3943" s="537"/>
      <c r="C3943" s="333" t="s">
        <v>15</v>
      </c>
      <c r="D3943" s="333" t="s">
        <v>4692</v>
      </c>
      <c r="E3943" s="260" t="s">
        <v>13138</v>
      </c>
      <c r="F3943" s="362">
        <v>612</v>
      </c>
      <c r="G3943" s="311">
        <v>1991</v>
      </c>
      <c r="H3943" s="369" t="s">
        <v>2658</v>
      </c>
      <c r="I3943" s="313">
        <v>7</v>
      </c>
      <c r="J3943" s="314">
        <v>1.7500800000000001</v>
      </c>
      <c r="K3943" s="314">
        <v>1.63348</v>
      </c>
      <c r="L3943" s="336">
        <f t="shared" si="40"/>
        <v>0.11660000000000004</v>
      </c>
      <c r="M3943" s="337"/>
    </row>
    <row r="3944" spans="1:13" s="71" customFormat="1" ht="26.4" customHeight="1">
      <c r="A3944" s="282">
        <v>348</v>
      </c>
      <c r="B3944" s="537"/>
      <c r="C3944" s="333" t="s">
        <v>15</v>
      </c>
      <c r="D3944" s="333" t="s">
        <v>4692</v>
      </c>
      <c r="E3944" s="260" t="s">
        <v>4873</v>
      </c>
      <c r="F3944" s="362">
        <v>613</v>
      </c>
      <c r="G3944" s="311">
        <v>1980</v>
      </c>
      <c r="H3944" s="369" t="s">
        <v>2658</v>
      </c>
      <c r="I3944" s="313">
        <v>20</v>
      </c>
      <c r="J3944" s="314">
        <v>0.97008000000000005</v>
      </c>
      <c r="K3944" s="314">
        <v>0.91178000000000003</v>
      </c>
      <c r="L3944" s="336">
        <f t="shared" si="40"/>
        <v>5.8300000000000018E-2</v>
      </c>
      <c r="M3944" s="337"/>
    </row>
    <row r="3945" spans="1:13" s="71" customFormat="1" ht="26.4" customHeight="1">
      <c r="A3945" s="282">
        <v>349</v>
      </c>
      <c r="B3945" s="537"/>
      <c r="C3945" s="333" t="s">
        <v>15</v>
      </c>
      <c r="D3945" s="333" t="s">
        <v>4858</v>
      </c>
      <c r="E3945" s="260" t="s">
        <v>4874</v>
      </c>
      <c r="F3945" s="362">
        <v>614</v>
      </c>
      <c r="G3945" s="311">
        <v>1980</v>
      </c>
      <c r="H3945" s="369" t="s">
        <v>2658</v>
      </c>
      <c r="I3945" s="313">
        <v>30</v>
      </c>
      <c r="J3945" s="314">
        <v>1.40008</v>
      </c>
      <c r="K3945" s="314">
        <v>1.1750799999999999</v>
      </c>
      <c r="L3945" s="336">
        <f t="shared" si="40"/>
        <v>0.22500000000000009</v>
      </c>
      <c r="M3945" s="337"/>
    </row>
    <row r="3946" spans="1:13" s="71" customFormat="1" ht="26.4" customHeight="1">
      <c r="A3946" s="282">
        <v>350</v>
      </c>
      <c r="B3946" s="537"/>
      <c r="C3946" s="333" t="s">
        <v>15</v>
      </c>
      <c r="D3946" s="333" t="s">
        <v>4860</v>
      </c>
      <c r="E3946" s="260" t="s">
        <v>13139</v>
      </c>
      <c r="F3946" s="362">
        <v>615</v>
      </c>
      <c r="G3946" s="311">
        <v>1981</v>
      </c>
      <c r="H3946" s="369" t="s">
        <v>2658</v>
      </c>
      <c r="I3946" s="313">
        <v>35</v>
      </c>
      <c r="J3946" s="314">
        <v>1.5300800000000001</v>
      </c>
      <c r="K3946" s="314">
        <v>1.4134800000000001</v>
      </c>
      <c r="L3946" s="336">
        <f t="shared" si="40"/>
        <v>0.11660000000000004</v>
      </c>
      <c r="M3946" s="337"/>
    </row>
    <row r="3947" spans="1:13" s="71" customFormat="1" ht="26.4" customHeight="1">
      <c r="A3947" s="282">
        <v>351</v>
      </c>
      <c r="B3947" s="537"/>
      <c r="C3947" s="333" t="s">
        <v>15</v>
      </c>
      <c r="D3947" s="333" t="s">
        <v>4673</v>
      </c>
      <c r="E3947" s="260" t="s">
        <v>13140</v>
      </c>
      <c r="F3947" s="362">
        <v>616</v>
      </c>
      <c r="G3947" s="311">
        <v>1986</v>
      </c>
      <c r="H3947" s="369" t="s">
        <v>2658</v>
      </c>
      <c r="I3947" s="313">
        <v>70</v>
      </c>
      <c r="J3947" s="314">
        <v>2.0500799999999999</v>
      </c>
      <c r="K3947" s="314">
        <v>1.9334800000000001</v>
      </c>
      <c r="L3947" s="336">
        <f t="shared" si="40"/>
        <v>0.11659999999999981</v>
      </c>
      <c r="M3947" s="337"/>
    </row>
    <row r="3948" spans="1:13" s="71" customFormat="1" ht="26.4" customHeight="1">
      <c r="A3948" s="282">
        <v>352</v>
      </c>
      <c r="B3948" s="537"/>
      <c r="C3948" s="333" t="s">
        <v>15</v>
      </c>
      <c r="D3948" s="307" t="s">
        <v>4875</v>
      </c>
      <c r="E3948" s="260" t="s">
        <v>4876</v>
      </c>
      <c r="F3948" s="362">
        <v>700</v>
      </c>
      <c r="G3948" s="311">
        <v>2002</v>
      </c>
      <c r="H3948" s="369" t="s">
        <v>3243</v>
      </c>
      <c r="I3948" s="313" t="s">
        <v>3</v>
      </c>
      <c r="J3948" s="314">
        <v>1.5</v>
      </c>
      <c r="K3948" s="314">
        <v>0.91832000000000003</v>
      </c>
      <c r="L3948" s="336">
        <f t="shared" si="40"/>
        <v>0.58167999999999997</v>
      </c>
      <c r="M3948" s="337"/>
    </row>
    <row r="3949" spans="1:13" s="71" customFormat="1" ht="26.4" customHeight="1">
      <c r="A3949" s="282">
        <v>353</v>
      </c>
      <c r="B3949" s="537"/>
      <c r="C3949" s="333" t="s">
        <v>15</v>
      </c>
      <c r="D3949" s="307" t="s">
        <v>4599</v>
      </c>
      <c r="E3949" s="260" t="s">
        <v>4877</v>
      </c>
      <c r="F3949" s="362">
        <v>713</v>
      </c>
      <c r="G3949" s="311">
        <v>2002</v>
      </c>
      <c r="H3949" s="369" t="s">
        <v>2658</v>
      </c>
      <c r="I3949" s="313">
        <v>570</v>
      </c>
      <c r="J3949" s="314">
        <v>30</v>
      </c>
      <c r="K3949" s="314">
        <v>29.42388</v>
      </c>
      <c r="L3949" s="336">
        <f t="shared" si="40"/>
        <v>0.57611999999999952</v>
      </c>
      <c r="M3949" s="337"/>
    </row>
    <row r="3950" spans="1:13" s="71" customFormat="1" ht="26.4" customHeight="1">
      <c r="A3950" s="282">
        <v>354</v>
      </c>
      <c r="B3950" s="537"/>
      <c r="C3950" s="333" t="s">
        <v>15</v>
      </c>
      <c r="D3950" s="313" t="s">
        <v>4878</v>
      </c>
      <c r="E3950" s="260" t="s">
        <v>4876</v>
      </c>
      <c r="F3950" s="362">
        <v>726</v>
      </c>
      <c r="G3950" s="311">
        <v>2003</v>
      </c>
      <c r="H3950" s="369" t="s">
        <v>3243</v>
      </c>
      <c r="I3950" s="313" t="s">
        <v>3</v>
      </c>
      <c r="J3950" s="314">
        <v>0.6</v>
      </c>
      <c r="K3950" s="314">
        <v>0.36108000000000001</v>
      </c>
      <c r="L3950" s="336">
        <f t="shared" si="40"/>
        <v>0.23891999999999997</v>
      </c>
      <c r="M3950" s="337"/>
    </row>
    <row r="3951" spans="1:13" s="71" customFormat="1" ht="26.4" customHeight="1">
      <c r="A3951" s="282">
        <v>355</v>
      </c>
      <c r="B3951" s="537"/>
      <c r="C3951" s="333" t="s">
        <v>15</v>
      </c>
      <c r="D3951" s="333" t="s">
        <v>4879</v>
      </c>
      <c r="E3951" s="260" t="s">
        <v>4880</v>
      </c>
      <c r="F3951" s="362">
        <v>727</v>
      </c>
      <c r="G3951" s="311">
        <v>2003</v>
      </c>
      <c r="H3951" s="369" t="s">
        <v>3243</v>
      </c>
      <c r="I3951" s="313" t="s">
        <v>3243</v>
      </c>
      <c r="J3951" s="314">
        <v>2.5</v>
      </c>
      <c r="K3951" s="314">
        <v>2.4516800000000001</v>
      </c>
      <c r="L3951" s="336">
        <f t="shared" si="40"/>
        <v>4.8319999999999919E-2</v>
      </c>
      <c r="M3951" s="337"/>
    </row>
    <row r="3952" spans="1:13" s="71" customFormat="1" ht="26.4" customHeight="1">
      <c r="A3952" s="282">
        <v>356</v>
      </c>
      <c r="B3952" s="537"/>
      <c r="C3952" s="333" t="s">
        <v>15</v>
      </c>
      <c r="D3952" s="333" t="s">
        <v>4881</v>
      </c>
      <c r="E3952" s="260" t="s">
        <v>4882</v>
      </c>
      <c r="F3952" s="362">
        <v>973</v>
      </c>
      <c r="G3952" s="311">
        <v>1971</v>
      </c>
      <c r="H3952" s="369" t="s">
        <v>3243</v>
      </c>
      <c r="I3952" s="313" t="s">
        <v>3</v>
      </c>
      <c r="J3952" s="314">
        <v>68.803079999999994</v>
      </c>
      <c r="K3952" s="314">
        <v>68.053030000000007</v>
      </c>
      <c r="L3952" s="336">
        <f t="shared" si="40"/>
        <v>0.75004999999998745</v>
      </c>
      <c r="M3952" s="337"/>
    </row>
    <row r="3953" spans="1:13" s="71" customFormat="1" ht="26.4" customHeight="1">
      <c r="A3953" s="282">
        <v>357</v>
      </c>
      <c r="B3953" s="537"/>
      <c r="C3953" s="333" t="s">
        <v>15</v>
      </c>
      <c r="D3953" s="333" t="s">
        <v>4883</v>
      </c>
      <c r="E3953" s="260" t="s">
        <v>4884</v>
      </c>
      <c r="F3953" s="362">
        <v>974</v>
      </c>
      <c r="G3953" s="311">
        <v>1971</v>
      </c>
      <c r="H3953" s="369" t="s">
        <v>2658</v>
      </c>
      <c r="I3953" s="313">
        <v>543</v>
      </c>
      <c r="J3953" s="314">
        <v>13.215</v>
      </c>
      <c r="K3953" s="314">
        <v>13.215</v>
      </c>
      <c r="L3953" s="336">
        <f t="shared" si="40"/>
        <v>0</v>
      </c>
      <c r="M3953" s="337"/>
    </row>
    <row r="3954" spans="1:13" s="71" customFormat="1" ht="26.4" customHeight="1">
      <c r="A3954" s="282">
        <v>358</v>
      </c>
      <c r="B3954" s="537"/>
      <c r="C3954" s="333" t="s">
        <v>15</v>
      </c>
      <c r="D3954" s="333" t="s">
        <v>4883</v>
      </c>
      <c r="E3954" s="260" t="s">
        <v>4885</v>
      </c>
      <c r="F3954" s="362">
        <v>992</v>
      </c>
      <c r="G3954" s="311">
        <v>1971</v>
      </c>
      <c r="H3954" s="369" t="s">
        <v>2658</v>
      </c>
      <c r="I3954" s="313">
        <v>380</v>
      </c>
      <c r="J3954" s="314">
        <v>3.4250799999999999</v>
      </c>
      <c r="K3954" s="314">
        <v>3.2000799999999998</v>
      </c>
      <c r="L3954" s="336">
        <f t="shared" si="40"/>
        <v>0.22500000000000009</v>
      </c>
      <c r="M3954" s="337"/>
    </row>
    <row r="3955" spans="1:13" s="71" customFormat="1" ht="26.4" customHeight="1">
      <c r="A3955" s="282">
        <v>359</v>
      </c>
      <c r="B3955" s="537"/>
      <c r="C3955" s="333" t="s">
        <v>15</v>
      </c>
      <c r="D3955" s="333" t="s">
        <v>4796</v>
      </c>
      <c r="E3955" s="260" t="s">
        <v>4886</v>
      </c>
      <c r="F3955" s="362">
        <v>993</v>
      </c>
      <c r="G3955" s="311">
        <v>1975</v>
      </c>
      <c r="H3955" s="369" t="s">
        <v>2658</v>
      </c>
      <c r="I3955" s="313">
        <v>60</v>
      </c>
      <c r="J3955" s="314">
        <v>4.5309999999999997</v>
      </c>
      <c r="K3955" s="314">
        <v>4.2664</v>
      </c>
      <c r="L3955" s="336">
        <f t="shared" si="40"/>
        <v>0.26459999999999972</v>
      </c>
      <c r="M3955" s="337"/>
    </row>
    <row r="3956" spans="1:13" s="71" customFormat="1" ht="26.4" customHeight="1">
      <c r="A3956" s="282">
        <v>360</v>
      </c>
      <c r="B3956" s="537"/>
      <c r="C3956" s="333" t="s">
        <v>15</v>
      </c>
      <c r="D3956" s="333" t="s">
        <v>4574</v>
      </c>
      <c r="E3956" s="260" t="s">
        <v>4887</v>
      </c>
      <c r="F3956" s="362">
        <v>995</v>
      </c>
      <c r="G3956" s="311">
        <v>1971</v>
      </c>
      <c r="H3956" s="369" t="s">
        <v>2658</v>
      </c>
      <c r="I3956" s="313">
        <v>454</v>
      </c>
      <c r="J3956" s="314">
        <v>19.657</v>
      </c>
      <c r="K3956" s="314">
        <v>19.511510000000001</v>
      </c>
      <c r="L3956" s="336">
        <f t="shared" si="40"/>
        <v>0.14548999999999879</v>
      </c>
      <c r="M3956" s="337"/>
    </row>
    <row r="3957" spans="1:13" s="71" customFormat="1" ht="26.4" customHeight="1">
      <c r="A3957" s="282">
        <v>361</v>
      </c>
      <c r="B3957" s="537"/>
      <c r="C3957" s="333" t="s">
        <v>15</v>
      </c>
      <c r="D3957" s="333" t="s">
        <v>4574</v>
      </c>
      <c r="E3957" s="260" t="s">
        <v>4888</v>
      </c>
      <c r="F3957" s="362">
        <v>1017</v>
      </c>
      <c r="G3957" s="311">
        <v>1973</v>
      </c>
      <c r="H3957" s="369" t="s">
        <v>2658</v>
      </c>
      <c r="I3957" s="313">
        <v>60</v>
      </c>
      <c r="J3957" s="314">
        <v>2.7800799999999999</v>
      </c>
      <c r="K3957" s="314">
        <v>2.4801299999999999</v>
      </c>
      <c r="L3957" s="336">
        <f t="shared" si="40"/>
        <v>0.29994999999999994</v>
      </c>
      <c r="M3957" s="337"/>
    </row>
    <row r="3958" spans="1:13" s="71" customFormat="1" ht="26.4" customHeight="1">
      <c r="A3958" s="282">
        <v>362</v>
      </c>
      <c r="B3958" s="537"/>
      <c r="C3958" s="333" t="s">
        <v>15</v>
      </c>
      <c r="D3958" s="333" t="s">
        <v>4574</v>
      </c>
      <c r="E3958" s="260" t="s">
        <v>4889</v>
      </c>
      <c r="F3958" s="362">
        <v>1048</v>
      </c>
      <c r="G3958" s="311">
        <v>1973</v>
      </c>
      <c r="H3958" s="369" t="s">
        <v>2658</v>
      </c>
      <c r="I3958" s="313">
        <v>97</v>
      </c>
      <c r="J3958" s="314">
        <v>2.3010100000000002</v>
      </c>
      <c r="K3958" s="314">
        <v>2.3010100000000002</v>
      </c>
      <c r="L3958" s="336">
        <f t="shared" si="40"/>
        <v>0</v>
      </c>
      <c r="M3958" s="337"/>
    </row>
    <row r="3959" spans="1:13" s="71" customFormat="1" ht="26.4" customHeight="1">
      <c r="A3959" s="282">
        <v>363</v>
      </c>
      <c r="B3959" s="537"/>
      <c r="C3959" s="333" t="s">
        <v>15</v>
      </c>
      <c r="D3959" s="333" t="s">
        <v>4574</v>
      </c>
      <c r="E3959" s="260" t="s">
        <v>4890</v>
      </c>
      <c r="F3959" s="362">
        <v>1056</v>
      </c>
      <c r="G3959" s="311">
        <v>1973</v>
      </c>
      <c r="H3959" s="369" t="s">
        <v>2658</v>
      </c>
      <c r="I3959" s="313">
        <v>60</v>
      </c>
      <c r="J3959" s="314">
        <v>3.1770800000000001</v>
      </c>
      <c r="K3959" s="314">
        <v>2.7270799999999999</v>
      </c>
      <c r="L3959" s="336">
        <f t="shared" si="40"/>
        <v>0.45000000000000018</v>
      </c>
      <c r="M3959" s="337"/>
    </row>
    <row r="3960" spans="1:13" s="71" customFormat="1" ht="26.4" customHeight="1">
      <c r="A3960" s="282">
        <v>364</v>
      </c>
      <c r="B3960" s="537"/>
      <c r="C3960" s="333" t="s">
        <v>15</v>
      </c>
      <c r="D3960" s="333" t="s">
        <v>4574</v>
      </c>
      <c r="E3960" s="260" t="s">
        <v>4891</v>
      </c>
      <c r="F3960" s="362">
        <v>1065</v>
      </c>
      <c r="G3960" s="311">
        <v>1973</v>
      </c>
      <c r="H3960" s="369" t="s">
        <v>2658</v>
      </c>
      <c r="I3960" s="313">
        <v>50</v>
      </c>
      <c r="J3960" s="314">
        <v>2.56908</v>
      </c>
      <c r="K3960" s="314">
        <v>1.9690300000000001</v>
      </c>
      <c r="L3960" s="336">
        <f t="shared" si="40"/>
        <v>0.60004999999999997</v>
      </c>
      <c r="M3960" s="337"/>
    </row>
    <row r="3961" spans="1:13" s="71" customFormat="1" ht="26.4" customHeight="1">
      <c r="A3961" s="282">
        <v>365</v>
      </c>
      <c r="B3961" s="537"/>
      <c r="C3961" s="333" t="s">
        <v>15</v>
      </c>
      <c r="D3961" s="333" t="s">
        <v>4574</v>
      </c>
      <c r="E3961" s="260" t="s">
        <v>4892</v>
      </c>
      <c r="F3961" s="362">
        <v>1069</v>
      </c>
      <c r="G3961" s="311">
        <v>1973</v>
      </c>
      <c r="H3961" s="369" t="s">
        <v>2658</v>
      </c>
      <c r="I3961" s="313">
        <v>25</v>
      </c>
      <c r="J3961" s="314">
        <v>6.0060000000000002</v>
      </c>
      <c r="K3961" s="314">
        <v>5.5935499999999996</v>
      </c>
      <c r="L3961" s="336">
        <f t="shared" si="40"/>
        <v>0.41245000000000065</v>
      </c>
      <c r="M3961" s="337"/>
    </row>
    <row r="3962" spans="1:13" s="71" customFormat="1" ht="26.4" customHeight="1">
      <c r="A3962" s="282">
        <v>366</v>
      </c>
      <c r="B3962" s="537"/>
      <c r="C3962" s="333" t="s">
        <v>15</v>
      </c>
      <c r="D3962" s="333" t="s">
        <v>4574</v>
      </c>
      <c r="E3962" s="260" t="s">
        <v>4893</v>
      </c>
      <c r="F3962" s="362">
        <v>1070</v>
      </c>
      <c r="G3962" s="311">
        <v>1973</v>
      </c>
      <c r="H3962" s="369" t="s">
        <v>2658</v>
      </c>
      <c r="I3962" s="313">
        <v>485</v>
      </c>
      <c r="J3962" s="314">
        <v>5.7229999999999999</v>
      </c>
      <c r="K3962" s="314">
        <v>5.7229999999999999</v>
      </c>
      <c r="L3962" s="336">
        <f t="shared" si="40"/>
        <v>0</v>
      </c>
      <c r="M3962" s="337"/>
    </row>
    <row r="3963" spans="1:13" s="71" customFormat="1" ht="26.4" customHeight="1">
      <c r="A3963" s="282">
        <v>367</v>
      </c>
      <c r="B3963" s="537"/>
      <c r="C3963" s="333" t="s">
        <v>15</v>
      </c>
      <c r="D3963" s="333" t="s">
        <v>4894</v>
      </c>
      <c r="E3963" s="260" t="s">
        <v>4895</v>
      </c>
      <c r="F3963" s="362">
        <v>1096</v>
      </c>
      <c r="G3963" s="311">
        <v>1975</v>
      </c>
      <c r="H3963" s="369" t="s">
        <v>2658</v>
      </c>
      <c r="I3963" s="313">
        <v>200</v>
      </c>
      <c r="J3963" s="314">
        <v>17.167999999999999</v>
      </c>
      <c r="K3963" s="314">
        <v>17.011690000000002</v>
      </c>
      <c r="L3963" s="336">
        <f t="shared" si="40"/>
        <v>0.15630999999999773</v>
      </c>
      <c r="M3963" s="337"/>
    </row>
    <row r="3964" spans="1:13" s="71" customFormat="1" ht="26.4" customHeight="1">
      <c r="A3964" s="282">
        <v>368</v>
      </c>
      <c r="B3964" s="537"/>
      <c r="C3964" s="333" t="s">
        <v>15</v>
      </c>
      <c r="D3964" s="333" t="s">
        <v>4574</v>
      </c>
      <c r="E3964" s="260" t="s">
        <v>4896</v>
      </c>
      <c r="F3964" s="362">
        <v>1099</v>
      </c>
      <c r="G3964" s="311">
        <v>1973</v>
      </c>
      <c r="H3964" s="369" t="s">
        <v>2658</v>
      </c>
      <c r="I3964" s="313">
        <v>25</v>
      </c>
      <c r="J3964" s="314">
        <v>4.7699999999999996</v>
      </c>
      <c r="K3964" s="314">
        <v>4.4960899999999997</v>
      </c>
      <c r="L3964" s="336">
        <f t="shared" si="40"/>
        <v>0.27390999999999988</v>
      </c>
      <c r="M3964" s="337"/>
    </row>
    <row r="3965" spans="1:13" s="71" customFormat="1" ht="26.4" customHeight="1">
      <c r="A3965" s="282">
        <v>369</v>
      </c>
      <c r="B3965" s="537"/>
      <c r="C3965" s="333" t="s">
        <v>15</v>
      </c>
      <c r="D3965" s="333" t="s">
        <v>4574</v>
      </c>
      <c r="E3965" s="260" t="s">
        <v>4897</v>
      </c>
      <c r="F3965" s="362">
        <v>1100</v>
      </c>
      <c r="G3965" s="311">
        <v>1973</v>
      </c>
      <c r="H3965" s="369" t="s">
        <v>2658</v>
      </c>
      <c r="I3965" s="313">
        <v>112</v>
      </c>
      <c r="J3965" s="314">
        <v>4.4450399999999997</v>
      </c>
      <c r="K3965" s="314">
        <v>4.4450399999999997</v>
      </c>
      <c r="L3965" s="336">
        <f t="shared" si="40"/>
        <v>0</v>
      </c>
      <c r="M3965" s="337"/>
    </row>
    <row r="3966" spans="1:13" s="71" customFormat="1" ht="26.4" customHeight="1">
      <c r="A3966" s="282">
        <v>370</v>
      </c>
      <c r="B3966" s="537"/>
      <c r="C3966" s="333" t="s">
        <v>15</v>
      </c>
      <c r="D3966" s="333" t="s">
        <v>4574</v>
      </c>
      <c r="E3966" s="260" t="s">
        <v>4898</v>
      </c>
      <c r="F3966" s="362">
        <v>1101</v>
      </c>
      <c r="G3966" s="311">
        <v>1973</v>
      </c>
      <c r="H3966" s="369" t="s">
        <v>2658</v>
      </c>
      <c r="I3966" s="313">
        <v>152</v>
      </c>
      <c r="J3966" s="314">
        <v>2.42157</v>
      </c>
      <c r="K3966" s="314">
        <v>2.42157</v>
      </c>
      <c r="L3966" s="336">
        <f t="shared" si="40"/>
        <v>0</v>
      </c>
      <c r="M3966" s="337"/>
    </row>
    <row r="3967" spans="1:13" s="71" customFormat="1" ht="26.4" customHeight="1">
      <c r="A3967" s="282">
        <v>371</v>
      </c>
      <c r="B3967" s="537"/>
      <c r="C3967" s="333" t="s">
        <v>15</v>
      </c>
      <c r="D3967" s="333" t="s">
        <v>4574</v>
      </c>
      <c r="E3967" s="260" t="s">
        <v>4899</v>
      </c>
      <c r="F3967" s="362">
        <v>1156</v>
      </c>
      <c r="G3967" s="311">
        <v>1974</v>
      </c>
      <c r="H3967" s="369" t="s">
        <v>2658</v>
      </c>
      <c r="I3967" s="313">
        <v>280</v>
      </c>
      <c r="J3967" s="314">
        <v>2.9030800000000001</v>
      </c>
      <c r="K3967" s="314">
        <v>2.72803</v>
      </c>
      <c r="L3967" s="336">
        <f t="shared" si="40"/>
        <v>0.17505000000000015</v>
      </c>
      <c r="M3967" s="337"/>
    </row>
    <row r="3968" spans="1:13" s="71" customFormat="1" ht="26.4" customHeight="1">
      <c r="A3968" s="282">
        <v>372</v>
      </c>
      <c r="B3968" s="537"/>
      <c r="C3968" s="333" t="s">
        <v>15</v>
      </c>
      <c r="D3968" s="333" t="s">
        <v>4574</v>
      </c>
      <c r="E3968" s="260" t="s">
        <v>4900</v>
      </c>
      <c r="F3968" s="362">
        <v>1157</v>
      </c>
      <c r="G3968" s="311">
        <v>1974</v>
      </c>
      <c r="H3968" s="369" t="s">
        <v>2658</v>
      </c>
      <c r="I3968" s="313">
        <v>120</v>
      </c>
      <c r="J3968" s="314">
        <v>4.7771600000000003</v>
      </c>
      <c r="K3968" s="314">
        <v>4.1021599999999996</v>
      </c>
      <c r="L3968" s="336">
        <f t="shared" si="40"/>
        <v>0.67500000000000071</v>
      </c>
      <c r="M3968" s="337"/>
    </row>
    <row r="3969" spans="1:13" s="71" customFormat="1" ht="26.4" customHeight="1">
      <c r="A3969" s="282">
        <v>373</v>
      </c>
      <c r="B3969" s="537"/>
      <c r="C3969" s="333" t="s">
        <v>15</v>
      </c>
      <c r="D3969" s="333" t="s">
        <v>4574</v>
      </c>
      <c r="E3969" s="260" t="s">
        <v>4901</v>
      </c>
      <c r="F3969" s="362">
        <v>1158</v>
      </c>
      <c r="G3969" s="311">
        <v>1974</v>
      </c>
      <c r="H3969" s="369" t="s">
        <v>2658</v>
      </c>
      <c r="I3969" s="313">
        <v>187</v>
      </c>
      <c r="J3969" s="314">
        <v>3.7815400000000001</v>
      </c>
      <c r="K3969" s="314">
        <v>3.6765400000000001</v>
      </c>
      <c r="L3969" s="336">
        <f t="shared" si="40"/>
        <v>0.10499999999999998</v>
      </c>
      <c r="M3969" s="337"/>
    </row>
    <row r="3970" spans="1:13" s="71" customFormat="1" ht="26.4" customHeight="1">
      <c r="A3970" s="282">
        <v>374</v>
      </c>
      <c r="B3970" s="537"/>
      <c r="C3970" s="333" t="s">
        <v>15</v>
      </c>
      <c r="D3970" s="333" t="s">
        <v>4574</v>
      </c>
      <c r="E3970" s="260" t="s">
        <v>4902</v>
      </c>
      <c r="F3970" s="362">
        <v>1159</v>
      </c>
      <c r="G3970" s="311">
        <v>1974</v>
      </c>
      <c r="H3970" s="369" t="s">
        <v>2658</v>
      </c>
      <c r="I3970" s="313">
        <v>150</v>
      </c>
      <c r="J3970" s="314">
        <v>5.4408399999999997</v>
      </c>
      <c r="K3970" s="314">
        <v>5.4408399999999997</v>
      </c>
      <c r="L3970" s="336">
        <f t="shared" si="40"/>
        <v>0</v>
      </c>
      <c r="M3970" s="337"/>
    </row>
    <row r="3971" spans="1:13" s="71" customFormat="1" ht="26.4" customHeight="1">
      <c r="A3971" s="282">
        <v>375</v>
      </c>
      <c r="B3971" s="537"/>
      <c r="C3971" s="333" t="s">
        <v>15</v>
      </c>
      <c r="D3971" s="333" t="s">
        <v>4903</v>
      </c>
      <c r="E3971" s="260" t="s">
        <v>4904</v>
      </c>
      <c r="F3971" s="362">
        <v>1161</v>
      </c>
      <c r="G3971" s="311">
        <v>1974</v>
      </c>
      <c r="H3971" s="369" t="s">
        <v>2658</v>
      </c>
      <c r="I3971" s="313">
        <v>50</v>
      </c>
      <c r="J3971" s="314">
        <v>14.327999999999999</v>
      </c>
      <c r="K3971" s="314">
        <v>14.130039999999999</v>
      </c>
      <c r="L3971" s="336">
        <f t="shared" si="40"/>
        <v>0.19796000000000014</v>
      </c>
      <c r="M3971" s="337"/>
    </row>
    <row r="3972" spans="1:13" s="71" customFormat="1" ht="26.4" customHeight="1">
      <c r="A3972" s="282">
        <v>376</v>
      </c>
      <c r="B3972" s="537"/>
      <c r="C3972" s="333" t="s">
        <v>15</v>
      </c>
      <c r="D3972" s="333" t="s">
        <v>4903</v>
      </c>
      <c r="E3972" s="260" t="s">
        <v>4905</v>
      </c>
      <c r="F3972" s="362">
        <v>1162</v>
      </c>
      <c r="G3972" s="311">
        <v>1974</v>
      </c>
      <c r="H3972" s="369" t="s">
        <v>2658</v>
      </c>
      <c r="I3972" s="313">
        <v>200</v>
      </c>
      <c r="J3972" s="314">
        <v>2.1020799999999999</v>
      </c>
      <c r="K3972" s="314">
        <v>1.9854799999999999</v>
      </c>
      <c r="L3972" s="336">
        <f t="shared" si="40"/>
        <v>0.11660000000000004</v>
      </c>
      <c r="M3972" s="337"/>
    </row>
    <row r="3973" spans="1:13" s="71" customFormat="1" ht="26.4" customHeight="1">
      <c r="A3973" s="282">
        <v>377</v>
      </c>
      <c r="B3973" s="537"/>
      <c r="C3973" s="333" t="s">
        <v>15</v>
      </c>
      <c r="D3973" s="333" t="s">
        <v>4903</v>
      </c>
      <c r="E3973" s="260" t="s">
        <v>4906</v>
      </c>
      <c r="F3973" s="362">
        <v>1164</v>
      </c>
      <c r="G3973" s="311">
        <v>1974</v>
      </c>
      <c r="H3973" s="369" t="s">
        <v>2658</v>
      </c>
      <c r="I3973" s="313">
        <v>254</v>
      </c>
      <c r="J3973" s="314">
        <v>5.8703799999999999</v>
      </c>
      <c r="K3973" s="314">
        <v>5.8703799999999999</v>
      </c>
      <c r="L3973" s="336">
        <f t="shared" si="40"/>
        <v>0</v>
      </c>
      <c r="M3973" s="337"/>
    </row>
    <row r="3974" spans="1:13" s="71" customFormat="1" ht="26.4" customHeight="1">
      <c r="A3974" s="282">
        <v>378</v>
      </c>
      <c r="B3974" s="537"/>
      <c r="C3974" s="333" t="s">
        <v>15</v>
      </c>
      <c r="D3974" s="333" t="s">
        <v>4903</v>
      </c>
      <c r="E3974" s="260" t="s">
        <v>4907</v>
      </c>
      <c r="F3974" s="362">
        <v>1165</v>
      </c>
      <c r="G3974" s="311">
        <v>1974</v>
      </c>
      <c r="H3974" s="369" t="s">
        <v>2658</v>
      </c>
      <c r="I3974" s="313">
        <v>84</v>
      </c>
      <c r="J3974" s="314">
        <v>5.1277200000000001</v>
      </c>
      <c r="K3974" s="314">
        <v>5.1277200000000001</v>
      </c>
      <c r="L3974" s="336">
        <f t="shared" si="40"/>
        <v>0</v>
      </c>
      <c r="M3974" s="337"/>
    </row>
    <row r="3975" spans="1:13" s="71" customFormat="1" ht="26.4" customHeight="1">
      <c r="A3975" s="282">
        <v>379</v>
      </c>
      <c r="B3975" s="537"/>
      <c r="C3975" s="333" t="s">
        <v>15</v>
      </c>
      <c r="D3975" s="333" t="s">
        <v>4908</v>
      </c>
      <c r="E3975" s="260" t="s">
        <v>4909</v>
      </c>
      <c r="F3975" s="362">
        <v>1179</v>
      </c>
      <c r="G3975" s="311">
        <v>1979</v>
      </c>
      <c r="H3975" s="369" t="s">
        <v>2658</v>
      </c>
      <c r="I3975" s="313">
        <v>12</v>
      </c>
      <c r="J3975" s="314">
        <v>261.00599999999997</v>
      </c>
      <c r="K3975" s="314">
        <v>257.51693</v>
      </c>
      <c r="L3975" s="336">
        <f t="shared" si="40"/>
        <v>3.4890699999999697</v>
      </c>
      <c r="M3975" s="337"/>
    </row>
    <row r="3976" spans="1:13" s="71" customFormat="1" ht="26.4" customHeight="1">
      <c r="A3976" s="282">
        <v>380</v>
      </c>
      <c r="B3976" s="537"/>
      <c r="C3976" s="333" t="s">
        <v>15</v>
      </c>
      <c r="D3976" s="333" t="s">
        <v>4903</v>
      </c>
      <c r="E3976" s="260" t="s">
        <v>4910</v>
      </c>
      <c r="F3976" s="362">
        <v>1181</v>
      </c>
      <c r="G3976" s="311">
        <v>1975</v>
      </c>
      <c r="H3976" s="369" t="s">
        <v>2658</v>
      </c>
      <c r="I3976" s="313">
        <v>15</v>
      </c>
      <c r="J3976" s="314">
        <v>36.764000000000003</v>
      </c>
      <c r="K3976" s="314">
        <v>36.22222</v>
      </c>
      <c r="L3976" s="336">
        <f t="shared" si="40"/>
        <v>0.54178000000000281</v>
      </c>
      <c r="M3976" s="337"/>
    </row>
    <row r="3977" spans="1:13" s="71" customFormat="1" ht="26.4" customHeight="1">
      <c r="A3977" s="282">
        <v>381</v>
      </c>
      <c r="B3977" s="537"/>
      <c r="C3977" s="333" t="s">
        <v>15</v>
      </c>
      <c r="D3977" s="333" t="s">
        <v>4903</v>
      </c>
      <c r="E3977" s="260" t="s">
        <v>4911</v>
      </c>
      <c r="F3977" s="362">
        <v>1182</v>
      </c>
      <c r="G3977" s="311">
        <v>1973</v>
      </c>
      <c r="H3977" s="369" t="s">
        <v>2658</v>
      </c>
      <c r="I3977" s="313">
        <v>15</v>
      </c>
      <c r="J3977" s="314">
        <v>3.2181600000000001</v>
      </c>
      <c r="K3977" s="314">
        <v>3.2181600000000001</v>
      </c>
      <c r="L3977" s="336">
        <f t="shared" si="40"/>
        <v>0</v>
      </c>
      <c r="M3977" s="337"/>
    </row>
    <row r="3978" spans="1:13" s="71" customFormat="1" ht="26.4" customHeight="1">
      <c r="A3978" s="282">
        <v>382</v>
      </c>
      <c r="B3978" s="537"/>
      <c r="C3978" s="333" t="s">
        <v>15</v>
      </c>
      <c r="D3978" s="333" t="s">
        <v>4903</v>
      </c>
      <c r="E3978" s="260" t="s">
        <v>4912</v>
      </c>
      <c r="F3978" s="362">
        <v>1183</v>
      </c>
      <c r="G3978" s="311">
        <v>1975</v>
      </c>
      <c r="H3978" s="369" t="s">
        <v>2658</v>
      </c>
      <c r="I3978" s="313">
        <v>519</v>
      </c>
      <c r="J3978" s="314">
        <v>10.839</v>
      </c>
      <c r="K3978" s="314">
        <v>10.839</v>
      </c>
      <c r="L3978" s="336">
        <f t="shared" si="40"/>
        <v>0</v>
      </c>
      <c r="M3978" s="337"/>
    </row>
    <row r="3979" spans="1:13" s="71" customFormat="1" ht="26.4" customHeight="1">
      <c r="A3979" s="282">
        <v>383</v>
      </c>
      <c r="B3979" s="537"/>
      <c r="C3979" s="333" t="s">
        <v>15</v>
      </c>
      <c r="D3979" s="333" t="s">
        <v>4903</v>
      </c>
      <c r="E3979" s="260" t="s">
        <v>4913</v>
      </c>
      <c r="F3979" s="362">
        <v>1184</v>
      </c>
      <c r="G3979" s="311">
        <v>1975</v>
      </c>
      <c r="H3979" s="369" t="s">
        <v>2658</v>
      </c>
      <c r="I3979" s="313">
        <v>115</v>
      </c>
      <c r="J3979" s="314">
        <v>1.8271900000000001</v>
      </c>
      <c r="K3979" s="314">
        <v>1.8271900000000001</v>
      </c>
      <c r="L3979" s="336">
        <f t="shared" si="40"/>
        <v>0</v>
      </c>
      <c r="M3979" s="337"/>
    </row>
    <row r="3980" spans="1:13" s="71" customFormat="1" ht="26.4" customHeight="1">
      <c r="A3980" s="282">
        <v>384</v>
      </c>
      <c r="B3980" s="537"/>
      <c r="C3980" s="333" t="s">
        <v>15</v>
      </c>
      <c r="D3980" s="333" t="s">
        <v>4903</v>
      </c>
      <c r="E3980" s="260" t="s">
        <v>13418</v>
      </c>
      <c r="F3980" s="362">
        <v>1188</v>
      </c>
      <c r="G3980" s="311">
        <v>1975</v>
      </c>
      <c r="H3980" s="369" t="s">
        <v>2658</v>
      </c>
      <c r="I3980" s="313">
        <v>110</v>
      </c>
      <c r="J3980" s="314">
        <v>4.9514500000000004</v>
      </c>
      <c r="K3980" s="314">
        <v>4.9514500000000004</v>
      </c>
      <c r="L3980" s="336">
        <f t="shared" si="40"/>
        <v>0</v>
      </c>
      <c r="M3980" s="337"/>
    </row>
    <row r="3981" spans="1:13" s="71" customFormat="1" ht="26.4" customHeight="1">
      <c r="A3981" s="282">
        <v>385</v>
      </c>
      <c r="B3981" s="537"/>
      <c r="C3981" s="333" t="s">
        <v>15</v>
      </c>
      <c r="D3981" s="333" t="s">
        <v>4903</v>
      </c>
      <c r="E3981" s="260" t="s">
        <v>13419</v>
      </c>
      <c r="F3981" s="362">
        <v>1189</v>
      </c>
      <c r="G3981" s="311">
        <v>1975</v>
      </c>
      <c r="H3981" s="369" t="s">
        <v>2658</v>
      </c>
      <c r="I3981" s="313">
        <v>122</v>
      </c>
      <c r="J3981" s="314">
        <v>1.92702</v>
      </c>
      <c r="K3981" s="314">
        <v>1.92702</v>
      </c>
      <c r="L3981" s="336">
        <f t="shared" ref="L3981:L4044" si="41">J3981-K3981</f>
        <v>0</v>
      </c>
      <c r="M3981" s="337"/>
    </row>
    <row r="3982" spans="1:13" s="71" customFormat="1" ht="26.4" customHeight="1">
      <c r="A3982" s="282">
        <v>386</v>
      </c>
      <c r="B3982" s="537"/>
      <c r="C3982" s="333" t="s">
        <v>15</v>
      </c>
      <c r="D3982" s="333" t="s">
        <v>4903</v>
      </c>
      <c r="E3982" s="260" t="s">
        <v>4914</v>
      </c>
      <c r="F3982" s="362">
        <v>1190</v>
      </c>
      <c r="G3982" s="311">
        <v>1975</v>
      </c>
      <c r="H3982" s="369" t="s">
        <v>2658</v>
      </c>
      <c r="I3982" s="313">
        <v>80</v>
      </c>
      <c r="J3982" s="314">
        <v>17.25027</v>
      </c>
      <c r="K3982" s="314">
        <v>17.01061</v>
      </c>
      <c r="L3982" s="336">
        <f t="shared" si="41"/>
        <v>0.23966000000000065</v>
      </c>
      <c r="M3982" s="337"/>
    </row>
    <row r="3983" spans="1:13" s="71" customFormat="1" ht="26.4" customHeight="1">
      <c r="A3983" s="282">
        <v>387</v>
      </c>
      <c r="B3983" s="537"/>
      <c r="C3983" s="333" t="s">
        <v>15</v>
      </c>
      <c r="D3983" s="333" t="s">
        <v>4574</v>
      </c>
      <c r="E3983" s="260" t="s">
        <v>4915</v>
      </c>
      <c r="F3983" s="362">
        <v>1218</v>
      </c>
      <c r="G3983" s="311">
        <v>1975</v>
      </c>
      <c r="H3983" s="369" t="s">
        <v>2658</v>
      </c>
      <c r="I3983" s="313">
        <v>25</v>
      </c>
      <c r="J3983" s="314">
        <v>1.3391599999999999</v>
      </c>
      <c r="K3983" s="314">
        <v>1.2484</v>
      </c>
      <c r="L3983" s="336">
        <f t="shared" si="41"/>
        <v>9.0759999999999952E-2</v>
      </c>
      <c r="M3983" s="337"/>
    </row>
    <row r="3984" spans="1:13" s="71" customFormat="1" ht="26.4" customHeight="1">
      <c r="A3984" s="282">
        <v>388</v>
      </c>
      <c r="B3984" s="537"/>
      <c r="C3984" s="333" t="s">
        <v>15</v>
      </c>
      <c r="D3984" s="333" t="s">
        <v>4574</v>
      </c>
      <c r="E3984" s="260" t="s">
        <v>4916</v>
      </c>
      <c r="F3984" s="362">
        <v>1219</v>
      </c>
      <c r="G3984" s="311">
        <v>1975</v>
      </c>
      <c r="H3984" s="369" t="s">
        <v>2658</v>
      </c>
      <c r="I3984" s="313">
        <v>60</v>
      </c>
      <c r="J3984" s="314">
        <v>3.28416</v>
      </c>
      <c r="K3984" s="314">
        <v>2.7966099999999998</v>
      </c>
      <c r="L3984" s="336">
        <f t="shared" si="41"/>
        <v>0.48755000000000015</v>
      </c>
      <c r="M3984" s="337"/>
    </row>
    <row r="3985" spans="1:13" s="71" customFormat="1" ht="26.4" customHeight="1">
      <c r="A3985" s="282">
        <v>389</v>
      </c>
      <c r="B3985" s="537"/>
      <c r="C3985" s="333" t="s">
        <v>15</v>
      </c>
      <c r="D3985" s="333" t="s">
        <v>4574</v>
      </c>
      <c r="E3985" s="260" t="s">
        <v>4917</v>
      </c>
      <c r="F3985" s="362">
        <v>1222</v>
      </c>
      <c r="G3985" s="311">
        <v>1975</v>
      </c>
      <c r="H3985" s="369" t="s">
        <v>2658</v>
      </c>
      <c r="I3985" s="313">
        <v>65</v>
      </c>
      <c r="J3985" s="314">
        <v>1.7180800000000001</v>
      </c>
      <c r="K3985" s="314">
        <v>1.60148</v>
      </c>
      <c r="L3985" s="336">
        <f t="shared" si="41"/>
        <v>0.11660000000000004</v>
      </c>
      <c r="M3985" s="337"/>
    </row>
    <row r="3986" spans="1:13" s="71" customFormat="1" ht="26.4" customHeight="1">
      <c r="A3986" s="282">
        <v>390</v>
      </c>
      <c r="B3986" s="537"/>
      <c r="C3986" s="333" t="s">
        <v>15</v>
      </c>
      <c r="D3986" s="333" t="s">
        <v>4574</v>
      </c>
      <c r="E3986" s="260" t="s">
        <v>4918</v>
      </c>
      <c r="F3986" s="362">
        <v>1223</v>
      </c>
      <c r="G3986" s="311">
        <v>1975</v>
      </c>
      <c r="H3986" s="369" t="s">
        <v>2658</v>
      </c>
      <c r="I3986" s="313">
        <v>168</v>
      </c>
      <c r="J3986" s="314">
        <v>2.6991499999999999</v>
      </c>
      <c r="K3986" s="314">
        <v>2.6991499999999999</v>
      </c>
      <c r="L3986" s="336">
        <f t="shared" si="41"/>
        <v>0</v>
      </c>
      <c r="M3986" s="337"/>
    </row>
    <row r="3987" spans="1:13" s="71" customFormat="1" ht="26.4" customHeight="1">
      <c r="A3987" s="282">
        <v>391</v>
      </c>
      <c r="B3987" s="537"/>
      <c r="C3987" s="333" t="s">
        <v>15</v>
      </c>
      <c r="D3987" s="333" t="s">
        <v>4574</v>
      </c>
      <c r="E3987" s="260" t="s">
        <v>4919</v>
      </c>
      <c r="F3987" s="362">
        <v>1226</v>
      </c>
      <c r="G3987" s="311">
        <v>1975</v>
      </c>
      <c r="H3987" s="369" t="s">
        <v>2658</v>
      </c>
      <c r="I3987" s="313">
        <v>40</v>
      </c>
      <c r="J3987" s="314">
        <v>2.7520799999999999</v>
      </c>
      <c r="K3987" s="314">
        <v>2.3020800000000001</v>
      </c>
      <c r="L3987" s="336">
        <f t="shared" si="41"/>
        <v>0.44999999999999973</v>
      </c>
      <c r="M3987" s="337"/>
    </row>
    <row r="3988" spans="1:13" s="71" customFormat="1" ht="26.4" customHeight="1">
      <c r="A3988" s="282">
        <v>392</v>
      </c>
      <c r="B3988" s="537"/>
      <c r="C3988" s="333" t="s">
        <v>15</v>
      </c>
      <c r="D3988" s="333" t="s">
        <v>4574</v>
      </c>
      <c r="E3988" s="260" t="s">
        <v>4920</v>
      </c>
      <c r="F3988" s="362">
        <v>1227</v>
      </c>
      <c r="G3988" s="311">
        <v>1975</v>
      </c>
      <c r="H3988" s="369" t="s">
        <v>2658</v>
      </c>
      <c r="I3988" s="313">
        <v>66</v>
      </c>
      <c r="J3988" s="314">
        <v>1.7826599999999999</v>
      </c>
      <c r="K3988" s="314">
        <v>1.7826599999999999</v>
      </c>
      <c r="L3988" s="336">
        <f t="shared" si="41"/>
        <v>0</v>
      </c>
      <c r="M3988" s="337"/>
    </row>
    <row r="3989" spans="1:13" s="71" customFormat="1" ht="26.4" customHeight="1">
      <c r="A3989" s="282">
        <v>393</v>
      </c>
      <c r="B3989" s="537"/>
      <c r="C3989" s="333" t="s">
        <v>15</v>
      </c>
      <c r="D3989" s="333" t="s">
        <v>4744</v>
      </c>
      <c r="E3989" s="260" t="s">
        <v>4921</v>
      </c>
      <c r="F3989" s="362">
        <v>1248</v>
      </c>
      <c r="G3989" s="311">
        <v>1975</v>
      </c>
      <c r="H3989" s="369" t="s">
        <v>2658</v>
      </c>
      <c r="I3989" s="313">
        <v>236</v>
      </c>
      <c r="J3989" s="314">
        <v>16.742000000000001</v>
      </c>
      <c r="K3989" s="314">
        <v>15.06424</v>
      </c>
      <c r="L3989" s="336">
        <f t="shared" si="41"/>
        <v>1.677760000000001</v>
      </c>
      <c r="M3989" s="337"/>
    </row>
    <row r="3990" spans="1:13" s="71" customFormat="1" ht="26.4" customHeight="1">
      <c r="A3990" s="282">
        <v>394</v>
      </c>
      <c r="B3990" s="537"/>
      <c r="C3990" s="333" t="s">
        <v>15</v>
      </c>
      <c r="D3990" s="333" t="s">
        <v>4922</v>
      </c>
      <c r="E3990" s="260" t="s">
        <v>4923</v>
      </c>
      <c r="F3990" s="362">
        <v>1249</v>
      </c>
      <c r="G3990" s="311">
        <v>1975</v>
      </c>
      <c r="H3990" s="369" t="s">
        <v>2658</v>
      </c>
      <c r="I3990" s="313">
        <v>360</v>
      </c>
      <c r="J3990" s="314">
        <v>11.97</v>
      </c>
      <c r="K3990" s="314">
        <v>11.67835</v>
      </c>
      <c r="L3990" s="336">
        <f t="shared" si="41"/>
        <v>0.29165000000000063</v>
      </c>
      <c r="M3990" s="337"/>
    </row>
    <row r="3991" spans="1:13" s="71" customFormat="1" ht="26.4" customHeight="1">
      <c r="A3991" s="282">
        <v>395</v>
      </c>
      <c r="B3991" s="537"/>
      <c r="C3991" s="333" t="s">
        <v>15</v>
      </c>
      <c r="D3991" s="333" t="s">
        <v>4924</v>
      </c>
      <c r="E3991" s="260" t="s">
        <v>4925</v>
      </c>
      <c r="F3991" s="362">
        <v>1250</v>
      </c>
      <c r="G3991" s="311">
        <v>1975</v>
      </c>
      <c r="H3991" s="369" t="s">
        <v>2658</v>
      </c>
      <c r="I3991" s="313">
        <v>280</v>
      </c>
      <c r="J3991" s="314">
        <v>15.2971</v>
      </c>
      <c r="K3991" s="314">
        <v>14.24705</v>
      </c>
      <c r="L3991" s="336">
        <f t="shared" si="41"/>
        <v>1.0500500000000006</v>
      </c>
      <c r="M3991" s="337"/>
    </row>
    <row r="3992" spans="1:13" s="71" customFormat="1" ht="26.4" customHeight="1">
      <c r="A3992" s="282">
        <v>396</v>
      </c>
      <c r="B3992" s="537"/>
      <c r="C3992" s="333" t="s">
        <v>15</v>
      </c>
      <c r="D3992" s="333" t="s">
        <v>4574</v>
      </c>
      <c r="E3992" s="260" t="s">
        <v>4926</v>
      </c>
      <c r="F3992" s="362">
        <v>1261</v>
      </c>
      <c r="G3992" s="311">
        <v>1976</v>
      </c>
      <c r="H3992" s="369" t="s">
        <v>2658</v>
      </c>
      <c r="I3992" s="313">
        <v>240</v>
      </c>
      <c r="J3992" s="314">
        <v>4.5830799999999998</v>
      </c>
      <c r="K3992" s="314">
        <v>3.9830299999999998</v>
      </c>
      <c r="L3992" s="336">
        <f t="shared" si="41"/>
        <v>0.60004999999999997</v>
      </c>
      <c r="M3992" s="337"/>
    </row>
    <row r="3993" spans="1:13" s="71" customFormat="1" ht="26.4" customHeight="1">
      <c r="A3993" s="282">
        <v>397</v>
      </c>
      <c r="B3993" s="537"/>
      <c r="C3993" s="333" t="s">
        <v>15</v>
      </c>
      <c r="D3993" s="333" t="s">
        <v>4574</v>
      </c>
      <c r="E3993" s="260" t="s">
        <v>4927</v>
      </c>
      <c r="F3993" s="362">
        <v>1262</v>
      </c>
      <c r="G3993" s="311">
        <v>1976</v>
      </c>
      <c r="H3993" s="369" t="s">
        <v>2658</v>
      </c>
      <c r="I3993" s="313">
        <v>167</v>
      </c>
      <c r="J3993" s="314">
        <v>2.84396</v>
      </c>
      <c r="K3993" s="314">
        <v>2.84396</v>
      </c>
      <c r="L3993" s="336">
        <f t="shared" si="41"/>
        <v>0</v>
      </c>
      <c r="M3993" s="337"/>
    </row>
    <row r="3994" spans="1:13" s="71" customFormat="1" ht="26.4" customHeight="1">
      <c r="A3994" s="282">
        <v>398</v>
      </c>
      <c r="B3994" s="537"/>
      <c r="C3994" s="333" t="s">
        <v>15</v>
      </c>
      <c r="D3994" s="333" t="s">
        <v>4903</v>
      </c>
      <c r="E3994" s="260" t="s">
        <v>4928</v>
      </c>
      <c r="F3994" s="362">
        <v>1267</v>
      </c>
      <c r="G3994" s="311">
        <v>1976</v>
      </c>
      <c r="H3994" s="369" t="s">
        <v>2658</v>
      </c>
      <c r="I3994" s="313">
        <v>193</v>
      </c>
      <c r="J3994" s="314">
        <v>6.0970000000000004</v>
      </c>
      <c r="K3994" s="314">
        <v>6.0970000000000004</v>
      </c>
      <c r="L3994" s="336">
        <f t="shared" si="41"/>
        <v>0</v>
      </c>
      <c r="M3994" s="337"/>
    </row>
    <row r="3995" spans="1:13" s="71" customFormat="1" ht="26.4" customHeight="1">
      <c r="A3995" s="282">
        <v>399</v>
      </c>
      <c r="B3995" s="537"/>
      <c r="C3995" s="333" t="s">
        <v>15</v>
      </c>
      <c r="D3995" s="333" t="s">
        <v>4574</v>
      </c>
      <c r="E3995" s="260" t="s">
        <v>4929</v>
      </c>
      <c r="F3995" s="362">
        <v>1269</v>
      </c>
      <c r="G3995" s="311">
        <v>1976</v>
      </c>
      <c r="H3995" s="369" t="s">
        <v>4930</v>
      </c>
      <c r="I3995" s="313" t="s">
        <v>3243</v>
      </c>
      <c r="J3995" s="314">
        <v>14.693</v>
      </c>
      <c r="K3995" s="314">
        <v>14.4305</v>
      </c>
      <c r="L3995" s="336">
        <f t="shared" si="41"/>
        <v>0.26249999999999929</v>
      </c>
      <c r="M3995" s="337"/>
    </row>
    <row r="3996" spans="1:13" s="71" customFormat="1" ht="26.4" customHeight="1">
      <c r="A3996" s="282">
        <v>400</v>
      </c>
      <c r="B3996" s="537"/>
      <c r="C3996" s="333" t="s">
        <v>15</v>
      </c>
      <c r="D3996" s="333" t="s">
        <v>4574</v>
      </c>
      <c r="E3996" s="260" t="s">
        <v>4931</v>
      </c>
      <c r="F3996" s="362">
        <v>1270</v>
      </c>
      <c r="G3996" s="311">
        <v>1976</v>
      </c>
      <c r="H3996" s="369" t="s">
        <v>2658</v>
      </c>
      <c r="I3996" s="313">
        <v>355</v>
      </c>
      <c r="J3996" s="314">
        <v>5.83</v>
      </c>
      <c r="K3996" s="314">
        <v>5.83</v>
      </c>
      <c r="L3996" s="336">
        <f t="shared" si="41"/>
        <v>0</v>
      </c>
      <c r="M3996" s="337"/>
    </row>
    <row r="3997" spans="1:13" s="71" customFormat="1" ht="26.4" customHeight="1">
      <c r="A3997" s="282">
        <v>401</v>
      </c>
      <c r="B3997" s="537"/>
      <c r="C3997" s="333" t="s">
        <v>15</v>
      </c>
      <c r="D3997" s="333" t="s">
        <v>4574</v>
      </c>
      <c r="E3997" s="260" t="s">
        <v>4932</v>
      </c>
      <c r="F3997" s="362">
        <v>1271</v>
      </c>
      <c r="G3997" s="311">
        <v>1976</v>
      </c>
      <c r="H3997" s="369" t="s">
        <v>2658</v>
      </c>
      <c r="I3997" s="313">
        <v>172</v>
      </c>
      <c r="J3997" s="314">
        <v>3.43512</v>
      </c>
      <c r="K3997" s="314">
        <v>3.43512</v>
      </c>
      <c r="L3997" s="336">
        <f t="shared" si="41"/>
        <v>0</v>
      </c>
      <c r="M3997" s="337"/>
    </row>
    <row r="3998" spans="1:13" s="71" customFormat="1" ht="26.4" customHeight="1">
      <c r="A3998" s="282">
        <v>402</v>
      </c>
      <c r="B3998" s="537"/>
      <c r="C3998" s="333" t="s">
        <v>15</v>
      </c>
      <c r="D3998" s="333" t="s">
        <v>4933</v>
      </c>
      <c r="E3998" s="260" t="s">
        <v>4934</v>
      </c>
      <c r="F3998" s="362">
        <v>1278</v>
      </c>
      <c r="G3998" s="311">
        <v>1976</v>
      </c>
      <c r="H3998" s="369" t="s">
        <v>2658</v>
      </c>
      <c r="I3998" s="313">
        <v>325</v>
      </c>
      <c r="J3998" s="314">
        <v>14.50332</v>
      </c>
      <c r="K3998" s="314">
        <v>13.528370000000001</v>
      </c>
      <c r="L3998" s="336">
        <f t="shared" si="41"/>
        <v>0.97494999999999976</v>
      </c>
      <c r="M3998" s="337"/>
    </row>
    <row r="3999" spans="1:13" s="71" customFormat="1" ht="26.4" customHeight="1">
      <c r="A3999" s="282">
        <v>403</v>
      </c>
      <c r="B3999" s="537"/>
      <c r="C3999" s="333" t="s">
        <v>15</v>
      </c>
      <c r="D3999" s="333" t="s">
        <v>4574</v>
      </c>
      <c r="E3999" s="260" t="s">
        <v>4935</v>
      </c>
      <c r="F3999" s="362">
        <v>1281</v>
      </c>
      <c r="G3999" s="311">
        <v>1977</v>
      </c>
      <c r="H3999" s="369" t="s">
        <v>2658</v>
      </c>
      <c r="I3999" s="313">
        <v>30</v>
      </c>
      <c r="J3999" s="314">
        <v>17.500160000000001</v>
      </c>
      <c r="K3999" s="314">
        <v>16.30021</v>
      </c>
      <c r="L3999" s="336">
        <f t="shared" si="41"/>
        <v>1.1999500000000012</v>
      </c>
      <c r="M3999" s="337"/>
    </row>
    <row r="4000" spans="1:13" s="71" customFormat="1" ht="26.4" customHeight="1">
      <c r="A4000" s="282">
        <v>404</v>
      </c>
      <c r="B4000" s="537"/>
      <c r="C4000" s="333" t="s">
        <v>15</v>
      </c>
      <c r="D4000" s="333" t="s">
        <v>4574</v>
      </c>
      <c r="E4000" s="260" t="s">
        <v>4936</v>
      </c>
      <c r="F4000" s="362">
        <v>1282</v>
      </c>
      <c r="G4000" s="311">
        <v>1977</v>
      </c>
      <c r="H4000" s="369" t="s">
        <v>2658</v>
      </c>
      <c r="I4000" s="313">
        <v>180</v>
      </c>
      <c r="J4000" s="314">
        <v>3.1240800000000002</v>
      </c>
      <c r="K4000" s="314">
        <v>2.94903</v>
      </c>
      <c r="L4000" s="336">
        <f t="shared" si="41"/>
        <v>0.17505000000000015</v>
      </c>
      <c r="M4000" s="337"/>
    </row>
    <row r="4001" spans="1:13" s="71" customFormat="1" ht="26.4" customHeight="1">
      <c r="A4001" s="282">
        <v>405</v>
      </c>
      <c r="B4001" s="537"/>
      <c r="C4001" s="333" t="s">
        <v>15</v>
      </c>
      <c r="D4001" s="333" t="s">
        <v>4574</v>
      </c>
      <c r="E4001" s="260" t="s">
        <v>4937</v>
      </c>
      <c r="F4001" s="362">
        <v>1285</v>
      </c>
      <c r="G4001" s="311">
        <v>1977</v>
      </c>
      <c r="H4001" s="369" t="s">
        <v>2658</v>
      </c>
      <c r="I4001" s="313">
        <v>15</v>
      </c>
      <c r="J4001" s="314">
        <v>1.6390800000000001</v>
      </c>
      <c r="K4001" s="314">
        <v>1.5224800000000001</v>
      </c>
      <c r="L4001" s="336">
        <f t="shared" si="41"/>
        <v>0.11660000000000004</v>
      </c>
      <c r="M4001" s="337"/>
    </row>
    <row r="4002" spans="1:13" s="71" customFormat="1" ht="26.4" customHeight="1">
      <c r="A4002" s="282">
        <v>406</v>
      </c>
      <c r="B4002" s="537"/>
      <c r="C4002" s="333" t="s">
        <v>15</v>
      </c>
      <c r="D4002" s="333" t="s">
        <v>4574</v>
      </c>
      <c r="E4002" s="260" t="s">
        <v>4938</v>
      </c>
      <c r="F4002" s="362">
        <v>1286</v>
      </c>
      <c r="G4002" s="311">
        <v>1977</v>
      </c>
      <c r="H4002" s="369" t="s">
        <v>2658</v>
      </c>
      <c r="I4002" s="313">
        <v>182</v>
      </c>
      <c r="J4002" s="314">
        <v>3.7179899999999999</v>
      </c>
      <c r="K4002" s="314">
        <v>3.7179899999999999</v>
      </c>
      <c r="L4002" s="336">
        <f t="shared" si="41"/>
        <v>0</v>
      </c>
      <c r="M4002" s="337"/>
    </row>
    <row r="4003" spans="1:13" s="71" customFormat="1" ht="26.4" customHeight="1">
      <c r="A4003" s="282">
        <v>407</v>
      </c>
      <c r="B4003" s="537"/>
      <c r="C4003" s="333" t="s">
        <v>15</v>
      </c>
      <c r="D4003" s="333" t="s">
        <v>4574</v>
      </c>
      <c r="E4003" s="260" t="s">
        <v>4939</v>
      </c>
      <c r="F4003" s="362">
        <v>1302</v>
      </c>
      <c r="G4003" s="311">
        <v>1977</v>
      </c>
      <c r="H4003" s="369" t="s">
        <v>2658</v>
      </c>
      <c r="I4003" s="313">
        <v>210</v>
      </c>
      <c r="J4003" s="314">
        <v>4.6900000000000004</v>
      </c>
      <c r="K4003" s="314">
        <v>4.6900000000000004</v>
      </c>
      <c r="L4003" s="336">
        <f t="shared" si="41"/>
        <v>0</v>
      </c>
      <c r="M4003" s="337"/>
    </row>
    <row r="4004" spans="1:13" s="71" customFormat="1" ht="26.4" customHeight="1">
      <c r="A4004" s="282">
        <v>408</v>
      </c>
      <c r="B4004" s="537"/>
      <c r="C4004" s="333" t="s">
        <v>15</v>
      </c>
      <c r="D4004" s="333" t="s">
        <v>4574</v>
      </c>
      <c r="E4004" s="260" t="s">
        <v>4940</v>
      </c>
      <c r="F4004" s="362">
        <v>1307</v>
      </c>
      <c r="G4004" s="311">
        <v>1977</v>
      </c>
      <c r="H4004" s="369" t="s">
        <v>2658</v>
      </c>
      <c r="I4004" s="313">
        <v>115</v>
      </c>
      <c r="J4004" s="314">
        <v>2.9450799999999999</v>
      </c>
      <c r="K4004" s="314">
        <v>2.7700300000000002</v>
      </c>
      <c r="L4004" s="336">
        <f t="shared" si="41"/>
        <v>0.17504999999999971</v>
      </c>
      <c r="M4004" s="337"/>
    </row>
    <row r="4005" spans="1:13" s="71" customFormat="1" ht="26.4" customHeight="1">
      <c r="A4005" s="282">
        <v>409</v>
      </c>
      <c r="B4005" s="537"/>
      <c r="C4005" s="333" t="s">
        <v>15</v>
      </c>
      <c r="D4005" s="333" t="s">
        <v>4585</v>
      </c>
      <c r="E4005" s="260" t="s">
        <v>4941</v>
      </c>
      <c r="F4005" s="362">
        <v>1315</v>
      </c>
      <c r="G4005" s="311">
        <v>1977</v>
      </c>
      <c r="H4005" s="369" t="s">
        <v>2658</v>
      </c>
      <c r="I4005" s="313">
        <v>50</v>
      </c>
      <c r="J4005" s="314">
        <v>102.99439</v>
      </c>
      <c r="K4005" s="314">
        <v>99.688749999999999</v>
      </c>
      <c r="L4005" s="336">
        <f t="shared" si="41"/>
        <v>3.3056399999999968</v>
      </c>
      <c r="M4005" s="337"/>
    </row>
    <row r="4006" spans="1:13" s="71" customFormat="1" ht="26.4" customHeight="1">
      <c r="A4006" s="282">
        <v>410</v>
      </c>
      <c r="B4006" s="537"/>
      <c r="C4006" s="333" t="s">
        <v>15</v>
      </c>
      <c r="D4006" s="333" t="s">
        <v>4574</v>
      </c>
      <c r="E4006" s="260" t="s">
        <v>4942</v>
      </c>
      <c r="F4006" s="362">
        <v>1316</v>
      </c>
      <c r="G4006" s="311">
        <v>1978</v>
      </c>
      <c r="H4006" s="369" t="s">
        <v>2658</v>
      </c>
      <c r="I4006" s="313">
        <v>15</v>
      </c>
      <c r="J4006" s="314">
        <v>2.5600800000000001</v>
      </c>
      <c r="K4006" s="314">
        <v>2.41418</v>
      </c>
      <c r="L4006" s="336">
        <f t="shared" si="41"/>
        <v>0.14590000000000014</v>
      </c>
      <c r="M4006" s="337"/>
    </row>
    <row r="4007" spans="1:13" s="71" customFormat="1" ht="26.4" customHeight="1">
      <c r="A4007" s="282">
        <v>411</v>
      </c>
      <c r="B4007" s="537"/>
      <c r="C4007" s="333" t="s">
        <v>15</v>
      </c>
      <c r="D4007" s="333" t="s">
        <v>4574</v>
      </c>
      <c r="E4007" s="260" t="s">
        <v>4943</v>
      </c>
      <c r="F4007" s="362">
        <v>1317</v>
      </c>
      <c r="G4007" s="311">
        <v>1978</v>
      </c>
      <c r="H4007" s="369" t="s">
        <v>2658</v>
      </c>
      <c r="I4007" s="313">
        <v>80</v>
      </c>
      <c r="J4007" s="314">
        <v>5.4501099999999996</v>
      </c>
      <c r="K4007" s="314">
        <v>5.0826000000000002</v>
      </c>
      <c r="L4007" s="336">
        <f t="shared" si="41"/>
        <v>0.36750999999999934</v>
      </c>
      <c r="M4007" s="337"/>
    </row>
    <row r="4008" spans="1:13" s="71" customFormat="1" ht="26.4" customHeight="1">
      <c r="A4008" s="282">
        <v>412</v>
      </c>
      <c r="B4008" s="537"/>
      <c r="C4008" s="333" t="s">
        <v>15</v>
      </c>
      <c r="D4008" s="333" t="s">
        <v>4574</v>
      </c>
      <c r="E4008" s="260" t="s">
        <v>4944</v>
      </c>
      <c r="F4008" s="362">
        <v>1318</v>
      </c>
      <c r="G4008" s="311">
        <v>1978</v>
      </c>
      <c r="H4008" s="369" t="s">
        <v>2658</v>
      </c>
      <c r="I4008" s="313">
        <v>15</v>
      </c>
      <c r="J4008" s="314">
        <v>1.4760800000000001</v>
      </c>
      <c r="K4008" s="314">
        <v>1.35948</v>
      </c>
      <c r="L4008" s="336">
        <f t="shared" si="41"/>
        <v>0.11660000000000004</v>
      </c>
      <c r="M4008" s="337"/>
    </row>
    <row r="4009" spans="1:13" s="71" customFormat="1" ht="26.4" customHeight="1">
      <c r="A4009" s="282">
        <v>413</v>
      </c>
      <c r="B4009" s="537"/>
      <c r="C4009" s="333" t="s">
        <v>15</v>
      </c>
      <c r="D4009" s="333" t="s">
        <v>4574</v>
      </c>
      <c r="E4009" s="260" t="s">
        <v>4945</v>
      </c>
      <c r="F4009" s="362">
        <v>1319</v>
      </c>
      <c r="G4009" s="311">
        <v>1978</v>
      </c>
      <c r="H4009" s="369" t="s">
        <v>2658</v>
      </c>
      <c r="I4009" s="313">
        <v>91</v>
      </c>
      <c r="J4009" s="314">
        <v>1.7536099999999999</v>
      </c>
      <c r="K4009" s="314">
        <v>1.7536099999999999</v>
      </c>
      <c r="L4009" s="336">
        <f t="shared" si="41"/>
        <v>0</v>
      </c>
      <c r="M4009" s="337"/>
    </row>
    <row r="4010" spans="1:13" s="71" customFormat="1" ht="26.4" customHeight="1">
      <c r="A4010" s="282">
        <v>414</v>
      </c>
      <c r="B4010" s="537"/>
      <c r="C4010" s="333" t="s">
        <v>15</v>
      </c>
      <c r="D4010" s="333" t="s">
        <v>4574</v>
      </c>
      <c r="E4010" s="260" t="s">
        <v>4946</v>
      </c>
      <c r="F4010" s="362">
        <v>1321</v>
      </c>
      <c r="G4010" s="311">
        <v>1978</v>
      </c>
      <c r="H4010" s="369" t="s">
        <v>2658</v>
      </c>
      <c r="I4010" s="313">
        <v>1179</v>
      </c>
      <c r="J4010" s="314">
        <v>8.3049999999999997</v>
      </c>
      <c r="K4010" s="314">
        <v>7.4425499999999998</v>
      </c>
      <c r="L4010" s="336">
        <f t="shared" si="41"/>
        <v>0.86244999999999994</v>
      </c>
      <c r="M4010" s="337"/>
    </row>
    <row r="4011" spans="1:13" s="71" customFormat="1" ht="26.4" customHeight="1">
      <c r="A4011" s="282">
        <v>415</v>
      </c>
      <c r="B4011" s="537"/>
      <c r="C4011" s="333" t="s">
        <v>15</v>
      </c>
      <c r="D4011" s="333" t="s">
        <v>4574</v>
      </c>
      <c r="E4011" s="260" t="s">
        <v>4947</v>
      </c>
      <c r="F4011" s="362">
        <v>1322</v>
      </c>
      <c r="G4011" s="311">
        <v>1978</v>
      </c>
      <c r="H4011" s="369" t="s">
        <v>2658</v>
      </c>
      <c r="I4011" s="313">
        <v>24</v>
      </c>
      <c r="J4011" s="314">
        <v>4.8662200000000002</v>
      </c>
      <c r="K4011" s="314">
        <v>4.5362</v>
      </c>
      <c r="L4011" s="336">
        <f t="shared" si="41"/>
        <v>0.3300200000000002</v>
      </c>
      <c r="M4011" s="337"/>
    </row>
    <row r="4012" spans="1:13" s="71" customFormat="1" ht="26.4" customHeight="1">
      <c r="A4012" s="282">
        <v>416</v>
      </c>
      <c r="B4012" s="537"/>
      <c r="C4012" s="333" t="s">
        <v>15</v>
      </c>
      <c r="D4012" s="333" t="s">
        <v>4903</v>
      </c>
      <c r="E4012" s="260" t="s">
        <v>4948</v>
      </c>
      <c r="F4012" s="362">
        <v>1329</v>
      </c>
      <c r="G4012" s="311">
        <v>1978</v>
      </c>
      <c r="H4012" s="369" t="s">
        <v>2658</v>
      </c>
      <c r="I4012" s="313">
        <v>18</v>
      </c>
      <c r="J4012" s="314">
        <v>1.8550800000000001</v>
      </c>
      <c r="K4012" s="314">
        <v>1.33013</v>
      </c>
      <c r="L4012" s="336">
        <f t="shared" si="41"/>
        <v>0.52495000000000003</v>
      </c>
      <c r="M4012" s="337"/>
    </row>
    <row r="4013" spans="1:13" s="71" customFormat="1" ht="26.4" customHeight="1">
      <c r="A4013" s="282">
        <v>417</v>
      </c>
      <c r="B4013" s="537"/>
      <c r="C4013" s="333" t="s">
        <v>15</v>
      </c>
      <c r="D4013" s="333" t="s">
        <v>4574</v>
      </c>
      <c r="E4013" s="260" t="s">
        <v>4949</v>
      </c>
      <c r="F4013" s="362">
        <v>1330</v>
      </c>
      <c r="G4013" s="311">
        <v>1978</v>
      </c>
      <c r="H4013" s="369" t="s">
        <v>2658</v>
      </c>
      <c r="I4013" s="313">
        <v>25</v>
      </c>
      <c r="J4013" s="314">
        <v>2.3930799999999999</v>
      </c>
      <c r="K4013" s="314">
        <v>1.98468</v>
      </c>
      <c r="L4013" s="336">
        <f t="shared" si="41"/>
        <v>0.40839999999999987</v>
      </c>
      <c r="M4013" s="337"/>
    </row>
    <row r="4014" spans="1:13" s="71" customFormat="1" ht="26.4" customHeight="1">
      <c r="A4014" s="282">
        <v>418</v>
      </c>
      <c r="B4014" s="537"/>
      <c r="C4014" s="333" t="s">
        <v>15</v>
      </c>
      <c r="D4014" s="333" t="s">
        <v>4903</v>
      </c>
      <c r="E4014" s="260" t="s">
        <v>4950</v>
      </c>
      <c r="F4014" s="362">
        <v>1331</v>
      </c>
      <c r="G4014" s="311">
        <v>1978</v>
      </c>
      <c r="H4014" s="369" t="s">
        <v>2658</v>
      </c>
      <c r="I4014" s="313">
        <v>15</v>
      </c>
      <c r="J4014" s="314">
        <v>4.2431599999999996</v>
      </c>
      <c r="K4014" s="314">
        <v>4.0098099999999999</v>
      </c>
      <c r="L4014" s="336">
        <f t="shared" si="41"/>
        <v>0.23334999999999972</v>
      </c>
      <c r="M4014" s="337"/>
    </row>
    <row r="4015" spans="1:13" s="71" customFormat="1" ht="26.4" customHeight="1">
      <c r="A4015" s="282">
        <v>419</v>
      </c>
      <c r="B4015" s="537"/>
      <c r="C4015" s="333" t="s">
        <v>15</v>
      </c>
      <c r="D4015" s="333" t="s">
        <v>4903</v>
      </c>
      <c r="E4015" s="260" t="s">
        <v>4951</v>
      </c>
      <c r="F4015" s="362">
        <v>1332</v>
      </c>
      <c r="G4015" s="311">
        <v>1978</v>
      </c>
      <c r="H4015" s="369" t="s">
        <v>2658</v>
      </c>
      <c r="I4015" s="313">
        <v>8</v>
      </c>
      <c r="J4015" s="314">
        <v>3.2251599999999998</v>
      </c>
      <c r="K4015" s="314">
        <v>2.7751600000000001</v>
      </c>
      <c r="L4015" s="336">
        <f t="shared" si="41"/>
        <v>0.44999999999999973</v>
      </c>
      <c r="M4015" s="337"/>
    </row>
    <row r="4016" spans="1:13" s="71" customFormat="1" ht="26.4" customHeight="1">
      <c r="A4016" s="282">
        <v>420</v>
      </c>
      <c r="B4016" s="537"/>
      <c r="C4016" s="333" t="s">
        <v>15</v>
      </c>
      <c r="D4016" s="333" t="s">
        <v>4903</v>
      </c>
      <c r="E4016" s="260" t="s">
        <v>4952</v>
      </c>
      <c r="F4016" s="362">
        <v>1333</v>
      </c>
      <c r="G4016" s="311">
        <v>1978</v>
      </c>
      <c r="H4016" s="369" t="s">
        <v>2658</v>
      </c>
      <c r="I4016" s="313">
        <v>243</v>
      </c>
      <c r="J4016" s="314">
        <v>6.2649999999999997</v>
      </c>
      <c r="K4016" s="314">
        <v>6.2649999999999997</v>
      </c>
      <c r="L4016" s="336">
        <f t="shared" si="41"/>
        <v>0</v>
      </c>
      <c r="M4016" s="337"/>
    </row>
    <row r="4017" spans="1:13" s="71" customFormat="1" ht="26.4" customHeight="1">
      <c r="A4017" s="282">
        <v>421</v>
      </c>
      <c r="B4017" s="537"/>
      <c r="C4017" s="333" t="s">
        <v>15</v>
      </c>
      <c r="D4017" s="333" t="s">
        <v>4574</v>
      </c>
      <c r="E4017" s="260" t="s">
        <v>4953</v>
      </c>
      <c r="F4017" s="362">
        <v>1334</v>
      </c>
      <c r="G4017" s="311">
        <v>1978</v>
      </c>
      <c r="H4017" s="369" t="s">
        <v>2658</v>
      </c>
      <c r="I4017" s="313">
        <v>15</v>
      </c>
      <c r="J4017" s="314">
        <v>0.69208999999999998</v>
      </c>
      <c r="K4017" s="314">
        <v>0.69201000000000001</v>
      </c>
      <c r="L4017" s="336">
        <f t="shared" si="41"/>
        <v>7.9999999999968985E-5</v>
      </c>
      <c r="M4017" s="337"/>
    </row>
    <row r="4018" spans="1:13" s="71" customFormat="1" ht="26.4" customHeight="1">
      <c r="A4018" s="282">
        <v>422</v>
      </c>
      <c r="B4018" s="537"/>
      <c r="C4018" s="333" t="s">
        <v>15</v>
      </c>
      <c r="D4018" s="333" t="s">
        <v>4903</v>
      </c>
      <c r="E4018" s="260" t="s">
        <v>4954</v>
      </c>
      <c r="F4018" s="362">
        <v>1335</v>
      </c>
      <c r="G4018" s="311">
        <v>1978</v>
      </c>
      <c r="H4018" s="369" t="s">
        <v>2658</v>
      </c>
      <c r="I4018" s="313">
        <v>86</v>
      </c>
      <c r="J4018" s="314">
        <v>5.0608300000000002</v>
      </c>
      <c r="K4018" s="314">
        <v>4.7158499999999997</v>
      </c>
      <c r="L4018" s="336">
        <f t="shared" si="41"/>
        <v>0.34498000000000051</v>
      </c>
      <c r="M4018" s="337"/>
    </row>
    <row r="4019" spans="1:13" s="71" customFormat="1" ht="26.4" customHeight="1">
      <c r="A4019" s="282">
        <v>423</v>
      </c>
      <c r="B4019" s="537"/>
      <c r="C4019" s="333" t="s">
        <v>15</v>
      </c>
      <c r="D4019" s="333" t="s">
        <v>4903</v>
      </c>
      <c r="E4019" s="260" t="s">
        <v>4955</v>
      </c>
      <c r="F4019" s="362">
        <v>1336</v>
      </c>
      <c r="G4019" s="311">
        <v>1978</v>
      </c>
      <c r="H4019" s="369" t="s">
        <v>2658</v>
      </c>
      <c r="I4019" s="313">
        <v>101</v>
      </c>
      <c r="J4019" s="314">
        <v>5.5011599999999996</v>
      </c>
      <c r="K4019" s="314">
        <v>5.1261700000000001</v>
      </c>
      <c r="L4019" s="336">
        <f t="shared" si="41"/>
        <v>0.37498999999999949</v>
      </c>
      <c r="M4019" s="337"/>
    </row>
    <row r="4020" spans="1:13" s="71" customFormat="1" ht="26.4" customHeight="1">
      <c r="A4020" s="282">
        <v>424</v>
      </c>
      <c r="B4020" s="537"/>
      <c r="C4020" s="333" t="s">
        <v>15</v>
      </c>
      <c r="D4020" s="333" t="s">
        <v>4574</v>
      </c>
      <c r="E4020" s="260" t="s">
        <v>4956</v>
      </c>
      <c r="F4020" s="362">
        <v>1367</v>
      </c>
      <c r="G4020" s="311">
        <v>1978</v>
      </c>
      <c r="H4020" s="369" t="s">
        <v>2658</v>
      </c>
      <c r="I4020" s="313">
        <v>12</v>
      </c>
      <c r="J4020" s="314">
        <v>13.022</v>
      </c>
      <c r="K4020" s="314">
        <v>12.308859999999999</v>
      </c>
      <c r="L4020" s="336">
        <f t="shared" si="41"/>
        <v>0.713140000000001</v>
      </c>
      <c r="M4020" s="337"/>
    </row>
    <row r="4021" spans="1:13" s="71" customFormat="1" ht="26.4" customHeight="1">
      <c r="A4021" s="282">
        <v>425</v>
      </c>
      <c r="B4021" s="537"/>
      <c r="C4021" s="333" t="s">
        <v>15</v>
      </c>
      <c r="D4021" s="333" t="s">
        <v>4574</v>
      </c>
      <c r="E4021" s="260" t="s">
        <v>4957</v>
      </c>
      <c r="F4021" s="362">
        <v>1368</v>
      </c>
      <c r="G4021" s="311">
        <v>1978</v>
      </c>
      <c r="H4021" s="369" t="s">
        <v>2658</v>
      </c>
      <c r="I4021" s="313">
        <v>30</v>
      </c>
      <c r="J4021" s="314">
        <v>2.2280799999999998</v>
      </c>
      <c r="K4021" s="314">
        <v>2.1114799999999998</v>
      </c>
      <c r="L4021" s="336">
        <f t="shared" si="41"/>
        <v>0.11660000000000004</v>
      </c>
      <c r="M4021" s="337"/>
    </row>
    <row r="4022" spans="1:13" s="71" customFormat="1" ht="26.4" customHeight="1">
      <c r="A4022" s="282">
        <v>426</v>
      </c>
      <c r="B4022" s="537"/>
      <c r="C4022" s="333" t="s">
        <v>15</v>
      </c>
      <c r="D4022" s="333" t="s">
        <v>4574</v>
      </c>
      <c r="E4022" s="260" t="s">
        <v>4958</v>
      </c>
      <c r="F4022" s="362">
        <v>1369</v>
      </c>
      <c r="G4022" s="311">
        <v>1978</v>
      </c>
      <c r="H4022" s="369" t="s">
        <v>2658</v>
      </c>
      <c r="I4022" s="313">
        <v>418</v>
      </c>
      <c r="J4022" s="314">
        <v>28.928000000000001</v>
      </c>
      <c r="K4022" s="314">
        <v>28.928000000000001</v>
      </c>
      <c r="L4022" s="336">
        <f t="shared" si="41"/>
        <v>0</v>
      </c>
      <c r="M4022" s="337"/>
    </row>
    <row r="4023" spans="1:13" s="71" customFormat="1" ht="26.4" customHeight="1">
      <c r="A4023" s="282">
        <v>427</v>
      </c>
      <c r="B4023" s="537"/>
      <c r="C4023" s="333" t="s">
        <v>15</v>
      </c>
      <c r="D4023" s="333" t="s">
        <v>4903</v>
      </c>
      <c r="E4023" s="260" t="s">
        <v>4959</v>
      </c>
      <c r="F4023" s="362">
        <v>1370</v>
      </c>
      <c r="G4023" s="311">
        <v>1979</v>
      </c>
      <c r="H4023" s="369" t="s">
        <v>2658</v>
      </c>
      <c r="I4023" s="313">
        <v>15</v>
      </c>
      <c r="J4023" s="314">
        <v>1.8080799999999999</v>
      </c>
      <c r="K4023" s="314">
        <v>1.2831300000000001</v>
      </c>
      <c r="L4023" s="336">
        <f t="shared" si="41"/>
        <v>0.52494999999999981</v>
      </c>
      <c r="M4023" s="337"/>
    </row>
    <row r="4024" spans="1:13" s="71" customFormat="1" ht="26.4" customHeight="1">
      <c r="A4024" s="282">
        <v>428</v>
      </c>
      <c r="B4024" s="537"/>
      <c r="C4024" s="333" t="s">
        <v>15</v>
      </c>
      <c r="D4024" s="333" t="s">
        <v>4903</v>
      </c>
      <c r="E4024" s="260" t="s">
        <v>13141</v>
      </c>
      <c r="F4024" s="362">
        <v>1371</v>
      </c>
      <c r="G4024" s="311">
        <v>1979</v>
      </c>
      <c r="H4024" s="369" t="s">
        <v>2658</v>
      </c>
      <c r="I4024" s="313">
        <v>198</v>
      </c>
      <c r="J4024" s="314">
        <v>7.9131</v>
      </c>
      <c r="K4024" s="314">
        <v>7.3738299999999999</v>
      </c>
      <c r="L4024" s="336">
        <f t="shared" si="41"/>
        <v>0.53927000000000014</v>
      </c>
      <c r="M4024" s="337"/>
    </row>
    <row r="4025" spans="1:13" s="71" customFormat="1" ht="26.4" customHeight="1">
      <c r="A4025" s="282">
        <v>429</v>
      </c>
      <c r="B4025" s="537"/>
      <c r="C4025" s="333" t="s">
        <v>15</v>
      </c>
      <c r="D4025" s="333" t="s">
        <v>4903</v>
      </c>
      <c r="E4025" s="260" t="s">
        <v>4960</v>
      </c>
      <c r="F4025" s="362">
        <v>1372</v>
      </c>
      <c r="G4025" s="311">
        <v>1979</v>
      </c>
      <c r="H4025" s="369" t="s">
        <v>2658</v>
      </c>
      <c r="I4025" s="313">
        <v>15</v>
      </c>
      <c r="J4025" s="314">
        <v>2.0169999999999999</v>
      </c>
      <c r="K4025" s="314">
        <v>1.56708</v>
      </c>
      <c r="L4025" s="336">
        <f t="shared" si="41"/>
        <v>0.44991999999999988</v>
      </c>
      <c r="M4025" s="337"/>
    </row>
    <row r="4026" spans="1:13" s="71" customFormat="1" ht="26.4" customHeight="1">
      <c r="A4026" s="282">
        <v>430</v>
      </c>
      <c r="B4026" s="537"/>
      <c r="C4026" s="333" t="s">
        <v>15</v>
      </c>
      <c r="D4026" s="333" t="s">
        <v>4903</v>
      </c>
      <c r="E4026" s="260" t="s">
        <v>13142</v>
      </c>
      <c r="F4026" s="362">
        <v>1373</v>
      </c>
      <c r="G4026" s="311">
        <v>1979</v>
      </c>
      <c r="H4026" s="369" t="s">
        <v>2658</v>
      </c>
      <c r="I4026" s="313">
        <v>27</v>
      </c>
      <c r="J4026" s="314">
        <v>1.31104</v>
      </c>
      <c r="K4026" s="314">
        <v>1.22183</v>
      </c>
      <c r="L4026" s="336">
        <f t="shared" si="41"/>
        <v>8.9210000000000012E-2</v>
      </c>
      <c r="M4026" s="337"/>
    </row>
    <row r="4027" spans="1:13" s="71" customFormat="1" ht="26.4" customHeight="1">
      <c r="A4027" s="282">
        <v>431</v>
      </c>
      <c r="B4027" s="537"/>
      <c r="C4027" s="333" t="s">
        <v>15</v>
      </c>
      <c r="D4027" s="333" t="s">
        <v>4903</v>
      </c>
      <c r="E4027" s="260" t="s">
        <v>4961</v>
      </c>
      <c r="F4027" s="362">
        <v>1374</v>
      </c>
      <c r="G4027" s="311">
        <v>1979</v>
      </c>
      <c r="H4027" s="369" t="s">
        <v>2658</v>
      </c>
      <c r="I4027" s="313">
        <v>300</v>
      </c>
      <c r="J4027" s="314">
        <v>1.71454</v>
      </c>
      <c r="K4027" s="314">
        <v>1.5979399999999999</v>
      </c>
      <c r="L4027" s="336">
        <f t="shared" si="41"/>
        <v>0.11660000000000004</v>
      </c>
      <c r="M4027" s="337"/>
    </row>
    <row r="4028" spans="1:13" s="71" customFormat="1" ht="26.4" customHeight="1">
      <c r="A4028" s="282">
        <v>432</v>
      </c>
      <c r="B4028" s="537"/>
      <c r="C4028" s="333" t="s">
        <v>15</v>
      </c>
      <c r="D4028" s="333" t="s">
        <v>4903</v>
      </c>
      <c r="E4028" s="260" t="s">
        <v>4962</v>
      </c>
      <c r="F4028" s="362">
        <v>1375</v>
      </c>
      <c r="G4028" s="311">
        <v>1979</v>
      </c>
      <c r="H4028" s="369" t="s">
        <v>2658</v>
      </c>
      <c r="I4028" s="313">
        <v>282</v>
      </c>
      <c r="J4028" s="314">
        <v>6.7009999999999996</v>
      </c>
      <c r="K4028" s="314">
        <v>6.7009999999999996</v>
      </c>
      <c r="L4028" s="336">
        <f t="shared" si="41"/>
        <v>0</v>
      </c>
      <c r="M4028" s="337"/>
    </row>
    <row r="4029" spans="1:13" s="71" customFormat="1" ht="26.4" customHeight="1">
      <c r="A4029" s="282">
        <v>433</v>
      </c>
      <c r="B4029" s="537"/>
      <c r="C4029" s="333" t="s">
        <v>15</v>
      </c>
      <c r="D4029" s="333" t="s">
        <v>4903</v>
      </c>
      <c r="E4029" s="260" t="s">
        <v>4963</v>
      </c>
      <c r="F4029" s="362">
        <v>1376</v>
      </c>
      <c r="G4029" s="311">
        <v>1979</v>
      </c>
      <c r="H4029" s="369" t="s">
        <v>2658</v>
      </c>
      <c r="I4029" s="313">
        <v>30</v>
      </c>
      <c r="J4029" s="314">
        <v>9.4740000000000002</v>
      </c>
      <c r="K4029" s="314">
        <v>8.7989999999999995</v>
      </c>
      <c r="L4029" s="336">
        <f t="shared" si="41"/>
        <v>0.67500000000000071</v>
      </c>
      <c r="M4029" s="337"/>
    </row>
    <row r="4030" spans="1:13" s="71" customFormat="1" ht="26.4" customHeight="1">
      <c r="A4030" s="282">
        <v>434</v>
      </c>
      <c r="B4030" s="537"/>
      <c r="C4030" s="333" t="s">
        <v>15</v>
      </c>
      <c r="D4030" s="333" t="s">
        <v>4574</v>
      </c>
      <c r="E4030" s="260" t="s">
        <v>4964</v>
      </c>
      <c r="F4030" s="362">
        <v>1377</v>
      </c>
      <c r="G4030" s="311">
        <v>1979</v>
      </c>
      <c r="H4030" s="369" t="s">
        <v>2658</v>
      </c>
      <c r="I4030" s="313">
        <v>12</v>
      </c>
      <c r="J4030" s="314">
        <v>1.87808</v>
      </c>
      <c r="K4030" s="314">
        <v>1.3531299999999999</v>
      </c>
      <c r="L4030" s="336">
        <f t="shared" si="41"/>
        <v>0.52495000000000003</v>
      </c>
      <c r="M4030" s="337"/>
    </row>
    <row r="4031" spans="1:13" s="71" customFormat="1" ht="26.4" customHeight="1">
      <c r="A4031" s="282">
        <v>435</v>
      </c>
      <c r="B4031" s="537"/>
      <c r="C4031" s="333" t="s">
        <v>15</v>
      </c>
      <c r="D4031" s="333" t="s">
        <v>4903</v>
      </c>
      <c r="E4031" s="260" t="s">
        <v>4965</v>
      </c>
      <c r="F4031" s="362">
        <v>1378</v>
      </c>
      <c r="G4031" s="311">
        <v>1979</v>
      </c>
      <c r="H4031" s="369" t="s">
        <v>2658</v>
      </c>
      <c r="I4031" s="313">
        <v>15</v>
      </c>
      <c r="J4031" s="314">
        <v>4.3250000000000002</v>
      </c>
      <c r="K4031" s="314">
        <v>4.1407699999999998</v>
      </c>
      <c r="L4031" s="336">
        <f t="shared" si="41"/>
        <v>0.18423000000000034</v>
      </c>
      <c r="M4031" s="337"/>
    </row>
    <row r="4032" spans="1:13" s="71" customFormat="1" ht="26.4" customHeight="1">
      <c r="A4032" s="282">
        <v>436</v>
      </c>
      <c r="B4032" s="537"/>
      <c r="C4032" s="333" t="s">
        <v>15</v>
      </c>
      <c r="D4032" s="333" t="s">
        <v>4903</v>
      </c>
      <c r="E4032" s="260" t="s">
        <v>13143</v>
      </c>
      <c r="F4032" s="362">
        <v>1379</v>
      </c>
      <c r="G4032" s="311">
        <v>1979</v>
      </c>
      <c r="H4032" s="369" t="s">
        <v>2658</v>
      </c>
      <c r="I4032" s="313">
        <v>95</v>
      </c>
      <c r="J4032" s="314">
        <v>4.9106300000000003</v>
      </c>
      <c r="K4032" s="314">
        <v>4.9106300000000003</v>
      </c>
      <c r="L4032" s="336">
        <f t="shared" si="41"/>
        <v>0</v>
      </c>
      <c r="M4032" s="337"/>
    </row>
    <row r="4033" spans="1:13" s="71" customFormat="1" ht="26.4" customHeight="1">
      <c r="A4033" s="282">
        <v>437</v>
      </c>
      <c r="B4033" s="537"/>
      <c r="C4033" s="333" t="s">
        <v>15</v>
      </c>
      <c r="D4033" s="333" t="s">
        <v>4878</v>
      </c>
      <c r="E4033" s="260" t="s">
        <v>13144</v>
      </c>
      <c r="F4033" s="362">
        <v>1435</v>
      </c>
      <c r="G4033" s="311">
        <v>1980</v>
      </c>
      <c r="H4033" s="369" t="s">
        <v>2658</v>
      </c>
      <c r="I4033" s="313">
        <v>70</v>
      </c>
      <c r="J4033" s="314">
        <v>21.277000000000001</v>
      </c>
      <c r="K4033" s="314">
        <v>21.062999999999999</v>
      </c>
      <c r="L4033" s="336">
        <f t="shared" si="41"/>
        <v>0.21400000000000219</v>
      </c>
      <c r="M4033" s="337"/>
    </row>
    <row r="4034" spans="1:13" s="71" customFormat="1" ht="26.4" customHeight="1">
      <c r="A4034" s="282">
        <v>438</v>
      </c>
      <c r="B4034" s="537"/>
      <c r="C4034" s="333" t="s">
        <v>15</v>
      </c>
      <c r="D4034" s="333" t="s">
        <v>4878</v>
      </c>
      <c r="E4034" s="260" t="s">
        <v>4966</v>
      </c>
      <c r="F4034" s="362">
        <v>1436</v>
      </c>
      <c r="G4034" s="311">
        <v>1980</v>
      </c>
      <c r="H4034" s="369" t="s">
        <v>2658</v>
      </c>
      <c r="I4034" s="313">
        <v>120</v>
      </c>
      <c r="J4034" s="314">
        <v>3.7761399999999998</v>
      </c>
      <c r="K4034" s="314">
        <v>3.7761399999999998</v>
      </c>
      <c r="L4034" s="336">
        <f t="shared" si="41"/>
        <v>0</v>
      </c>
      <c r="M4034" s="337"/>
    </row>
    <row r="4035" spans="1:13" s="71" customFormat="1" ht="26.4" customHeight="1">
      <c r="A4035" s="282">
        <v>439</v>
      </c>
      <c r="B4035" s="537"/>
      <c r="C4035" s="333" t="s">
        <v>15</v>
      </c>
      <c r="D4035" s="333" t="s">
        <v>4878</v>
      </c>
      <c r="E4035" s="260" t="s">
        <v>4967</v>
      </c>
      <c r="F4035" s="362">
        <v>1437</v>
      </c>
      <c r="G4035" s="311">
        <v>1980</v>
      </c>
      <c r="H4035" s="369" t="s">
        <v>2658</v>
      </c>
      <c r="I4035" s="313">
        <v>20</v>
      </c>
      <c r="J4035" s="314">
        <v>30.001999999999999</v>
      </c>
      <c r="K4035" s="314">
        <v>29.763929999999998</v>
      </c>
      <c r="L4035" s="336">
        <f t="shared" si="41"/>
        <v>0.23807000000000045</v>
      </c>
      <c r="M4035" s="337"/>
    </row>
    <row r="4036" spans="1:13" s="71" customFormat="1" ht="26.4" customHeight="1">
      <c r="A4036" s="282">
        <v>440</v>
      </c>
      <c r="B4036" s="537"/>
      <c r="C4036" s="333" t="s">
        <v>15</v>
      </c>
      <c r="D4036" s="333" t="s">
        <v>4585</v>
      </c>
      <c r="E4036" s="260" t="s">
        <v>4968</v>
      </c>
      <c r="F4036" s="362">
        <v>1438</v>
      </c>
      <c r="G4036" s="311">
        <v>1980</v>
      </c>
      <c r="H4036" s="369" t="s">
        <v>2658</v>
      </c>
      <c r="I4036" s="313">
        <v>12</v>
      </c>
      <c r="J4036" s="314">
        <v>12.70316</v>
      </c>
      <c r="K4036" s="314">
        <v>11.84071</v>
      </c>
      <c r="L4036" s="336">
        <f t="shared" si="41"/>
        <v>0.86245000000000083</v>
      </c>
      <c r="M4036" s="337"/>
    </row>
    <row r="4037" spans="1:13" s="71" customFormat="1" ht="26.4" customHeight="1">
      <c r="A4037" s="282">
        <v>441</v>
      </c>
      <c r="B4037" s="537"/>
      <c r="C4037" s="333" t="s">
        <v>15</v>
      </c>
      <c r="D4037" s="333" t="s">
        <v>4585</v>
      </c>
      <c r="E4037" s="260" t="s">
        <v>13145</v>
      </c>
      <c r="F4037" s="362">
        <v>1439</v>
      </c>
      <c r="G4037" s="311">
        <v>1980</v>
      </c>
      <c r="H4037" s="369" t="s">
        <v>2658</v>
      </c>
      <c r="I4037" s="313">
        <v>142</v>
      </c>
      <c r="J4037" s="314">
        <v>9.3090200000000003</v>
      </c>
      <c r="K4037" s="314">
        <v>8.2064900000000005</v>
      </c>
      <c r="L4037" s="336">
        <f t="shared" si="41"/>
        <v>1.1025299999999998</v>
      </c>
      <c r="M4037" s="337"/>
    </row>
    <row r="4038" spans="1:13" s="71" customFormat="1" ht="26.4" customHeight="1">
      <c r="A4038" s="282">
        <v>442</v>
      </c>
      <c r="B4038" s="537"/>
      <c r="C4038" s="333" t="s">
        <v>15</v>
      </c>
      <c r="D4038" s="333" t="s">
        <v>4878</v>
      </c>
      <c r="E4038" s="260" t="s">
        <v>4969</v>
      </c>
      <c r="F4038" s="362">
        <v>1447</v>
      </c>
      <c r="G4038" s="311">
        <v>1980</v>
      </c>
      <c r="H4038" s="369" t="s">
        <v>2658</v>
      </c>
      <c r="I4038" s="313">
        <v>601</v>
      </c>
      <c r="J4038" s="314">
        <v>19.023</v>
      </c>
      <c r="K4038" s="314">
        <v>18.888000000000002</v>
      </c>
      <c r="L4038" s="336">
        <f t="shared" si="41"/>
        <v>0.13499999999999801</v>
      </c>
      <c r="M4038" s="337"/>
    </row>
    <row r="4039" spans="1:13" s="71" customFormat="1" ht="26.4" customHeight="1">
      <c r="A4039" s="282">
        <v>443</v>
      </c>
      <c r="B4039" s="537"/>
      <c r="C4039" s="333" t="s">
        <v>15</v>
      </c>
      <c r="D4039" s="333" t="s">
        <v>4878</v>
      </c>
      <c r="E4039" s="260" t="s">
        <v>4970</v>
      </c>
      <c r="F4039" s="362">
        <v>1455</v>
      </c>
      <c r="G4039" s="311">
        <v>1980</v>
      </c>
      <c r="H4039" s="369" t="s">
        <v>2658</v>
      </c>
      <c r="I4039" s="313">
        <v>35</v>
      </c>
      <c r="J4039" s="314">
        <v>6.2431599999999996</v>
      </c>
      <c r="K4039" s="314">
        <v>5.7931600000000003</v>
      </c>
      <c r="L4039" s="336">
        <f t="shared" si="41"/>
        <v>0.44999999999999929</v>
      </c>
      <c r="M4039" s="337"/>
    </row>
    <row r="4040" spans="1:13" s="71" customFormat="1" ht="26.4" customHeight="1">
      <c r="A4040" s="282">
        <v>444</v>
      </c>
      <c r="B4040" s="537"/>
      <c r="C4040" s="333" t="s">
        <v>15</v>
      </c>
      <c r="D4040" s="333" t="s">
        <v>4878</v>
      </c>
      <c r="E4040" s="260" t="s">
        <v>4971</v>
      </c>
      <c r="F4040" s="362">
        <v>1479</v>
      </c>
      <c r="G4040" s="311">
        <v>1971</v>
      </c>
      <c r="H4040" s="369" t="s">
        <v>2658</v>
      </c>
      <c r="I4040" s="313">
        <v>2900</v>
      </c>
      <c r="J4040" s="314">
        <v>194.17446000000001</v>
      </c>
      <c r="K4040" s="314">
        <v>194.17446000000001</v>
      </c>
      <c r="L4040" s="336">
        <f t="shared" si="41"/>
        <v>0</v>
      </c>
      <c r="M4040" s="337"/>
    </row>
    <row r="4041" spans="1:13" s="71" customFormat="1" ht="26.4" customHeight="1">
      <c r="A4041" s="282">
        <v>445</v>
      </c>
      <c r="B4041" s="537"/>
      <c r="C4041" s="333" t="s">
        <v>15</v>
      </c>
      <c r="D4041" s="333" t="s">
        <v>4878</v>
      </c>
      <c r="E4041" s="260" t="s">
        <v>4972</v>
      </c>
      <c r="F4041" s="362">
        <v>1497</v>
      </c>
      <c r="G4041" s="311">
        <v>1982</v>
      </c>
      <c r="H4041" s="369" t="s">
        <v>2658</v>
      </c>
      <c r="I4041" s="313">
        <v>15</v>
      </c>
      <c r="J4041" s="314">
        <v>2.42408</v>
      </c>
      <c r="K4041" s="314">
        <v>1.5240800000000001</v>
      </c>
      <c r="L4041" s="336">
        <f t="shared" si="41"/>
        <v>0.89999999999999991</v>
      </c>
      <c r="M4041" s="337"/>
    </row>
    <row r="4042" spans="1:13" s="71" customFormat="1" ht="26.4" customHeight="1">
      <c r="A4042" s="282">
        <v>446</v>
      </c>
      <c r="B4042" s="537"/>
      <c r="C4042" s="333" t="s">
        <v>15</v>
      </c>
      <c r="D4042" s="333" t="s">
        <v>4878</v>
      </c>
      <c r="E4042" s="260" t="s">
        <v>4973</v>
      </c>
      <c r="F4042" s="362">
        <v>1498</v>
      </c>
      <c r="G4042" s="311">
        <v>1982</v>
      </c>
      <c r="H4042" s="369" t="s">
        <v>2658</v>
      </c>
      <c r="I4042" s="313">
        <v>10</v>
      </c>
      <c r="J4042" s="314">
        <v>4.2010800000000001</v>
      </c>
      <c r="K4042" s="314">
        <v>3.3010799999999998</v>
      </c>
      <c r="L4042" s="336">
        <f t="shared" si="41"/>
        <v>0.90000000000000036</v>
      </c>
      <c r="M4042" s="337"/>
    </row>
    <row r="4043" spans="1:13" s="71" customFormat="1" ht="26.4" customHeight="1">
      <c r="A4043" s="282">
        <v>447</v>
      </c>
      <c r="B4043" s="537"/>
      <c r="C4043" s="333" t="s">
        <v>15</v>
      </c>
      <c r="D4043" s="333" t="s">
        <v>4878</v>
      </c>
      <c r="E4043" s="260" t="s">
        <v>4974</v>
      </c>
      <c r="F4043" s="362">
        <v>1499</v>
      </c>
      <c r="G4043" s="311">
        <v>1982</v>
      </c>
      <c r="H4043" s="369" t="s">
        <v>2658</v>
      </c>
      <c r="I4043" s="313">
        <v>8</v>
      </c>
      <c r="J4043" s="314">
        <v>1.8790800000000001</v>
      </c>
      <c r="K4043" s="314">
        <v>1.2790299999999999</v>
      </c>
      <c r="L4043" s="336">
        <f t="shared" si="41"/>
        <v>0.60005000000000019</v>
      </c>
      <c r="M4043" s="337"/>
    </row>
    <row r="4044" spans="1:13" s="71" customFormat="1" ht="26.4" customHeight="1">
      <c r="A4044" s="282">
        <v>448</v>
      </c>
      <c r="B4044" s="537"/>
      <c r="C4044" s="333" t="s">
        <v>15</v>
      </c>
      <c r="D4044" s="333" t="s">
        <v>4878</v>
      </c>
      <c r="E4044" s="260" t="s">
        <v>4975</v>
      </c>
      <c r="F4044" s="362">
        <v>1500</v>
      </c>
      <c r="G4044" s="311">
        <v>1982</v>
      </c>
      <c r="H4044" s="369" t="s">
        <v>2658</v>
      </c>
      <c r="I4044" s="313">
        <v>178</v>
      </c>
      <c r="J4044" s="314">
        <v>17.126000000000001</v>
      </c>
      <c r="K4044" s="314">
        <v>17.026029999999999</v>
      </c>
      <c r="L4044" s="336">
        <f t="shared" si="41"/>
        <v>9.9970000000002557E-2</v>
      </c>
      <c r="M4044" s="337"/>
    </row>
    <row r="4045" spans="1:13" s="71" customFormat="1" ht="26.4" customHeight="1">
      <c r="A4045" s="282">
        <v>449</v>
      </c>
      <c r="B4045" s="537"/>
      <c r="C4045" s="333" t="s">
        <v>15</v>
      </c>
      <c r="D4045" s="333" t="s">
        <v>4878</v>
      </c>
      <c r="E4045" s="260" t="s">
        <v>4976</v>
      </c>
      <c r="F4045" s="362">
        <v>1501</v>
      </c>
      <c r="G4045" s="311">
        <v>1982</v>
      </c>
      <c r="H4045" s="369" t="s">
        <v>2658</v>
      </c>
      <c r="I4045" s="313">
        <v>50</v>
      </c>
      <c r="J4045" s="314">
        <v>3.4191600000000002</v>
      </c>
      <c r="K4045" s="314">
        <v>2.8942100000000002</v>
      </c>
      <c r="L4045" s="336">
        <f t="shared" ref="L4045:L4108" si="42">J4045-K4045</f>
        <v>0.52495000000000003</v>
      </c>
      <c r="M4045" s="337"/>
    </row>
    <row r="4046" spans="1:13" s="71" customFormat="1" ht="26.4" customHeight="1">
      <c r="A4046" s="282">
        <v>450</v>
      </c>
      <c r="B4046" s="537"/>
      <c r="C4046" s="333" t="s">
        <v>15</v>
      </c>
      <c r="D4046" s="333" t="s">
        <v>4878</v>
      </c>
      <c r="E4046" s="260" t="s">
        <v>4977</v>
      </c>
      <c r="F4046" s="362">
        <v>1502</v>
      </c>
      <c r="G4046" s="311">
        <v>1982</v>
      </c>
      <c r="H4046" s="369" t="s">
        <v>2658</v>
      </c>
      <c r="I4046" s="313">
        <v>112</v>
      </c>
      <c r="J4046" s="314">
        <v>3.3351299999999999</v>
      </c>
      <c r="K4046" s="314">
        <v>3.3351299999999999</v>
      </c>
      <c r="L4046" s="336">
        <f t="shared" si="42"/>
        <v>0</v>
      </c>
      <c r="M4046" s="337"/>
    </row>
    <row r="4047" spans="1:13" s="71" customFormat="1" ht="26.4" customHeight="1">
      <c r="A4047" s="282">
        <v>451</v>
      </c>
      <c r="B4047" s="537"/>
      <c r="C4047" s="333" t="s">
        <v>15</v>
      </c>
      <c r="D4047" s="333" t="s">
        <v>4878</v>
      </c>
      <c r="E4047" s="260" t="s">
        <v>4978</v>
      </c>
      <c r="F4047" s="362">
        <v>1503</v>
      </c>
      <c r="G4047" s="311">
        <v>1982</v>
      </c>
      <c r="H4047" s="369" t="s">
        <v>2658</v>
      </c>
      <c r="I4047" s="313">
        <v>8</v>
      </c>
      <c r="J4047" s="314">
        <v>2.4190800000000001</v>
      </c>
      <c r="K4047" s="314">
        <v>1.8190299999999999</v>
      </c>
      <c r="L4047" s="336">
        <f t="shared" si="42"/>
        <v>0.60005000000000019</v>
      </c>
      <c r="M4047" s="337"/>
    </row>
    <row r="4048" spans="1:13" s="71" customFormat="1" ht="26.4" customHeight="1">
      <c r="A4048" s="282">
        <v>452</v>
      </c>
      <c r="B4048" s="537"/>
      <c r="C4048" s="333" t="s">
        <v>15</v>
      </c>
      <c r="D4048" s="333" t="s">
        <v>4878</v>
      </c>
      <c r="E4048" s="260" t="s">
        <v>4979</v>
      </c>
      <c r="F4048" s="362">
        <v>1504</v>
      </c>
      <c r="G4048" s="311">
        <v>1982</v>
      </c>
      <c r="H4048" s="369" t="s">
        <v>2658</v>
      </c>
      <c r="I4048" s="313">
        <v>59.2</v>
      </c>
      <c r="J4048" s="314">
        <v>3.9877400000000001</v>
      </c>
      <c r="K4048" s="314">
        <v>3.9877400000000001</v>
      </c>
      <c r="L4048" s="336">
        <f t="shared" si="42"/>
        <v>0</v>
      </c>
      <c r="M4048" s="337"/>
    </row>
    <row r="4049" spans="1:13" s="71" customFormat="1" ht="26.4" customHeight="1">
      <c r="A4049" s="282">
        <v>453</v>
      </c>
      <c r="B4049" s="537"/>
      <c r="C4049" s="333" t="s">
        <v>15</v>
      </c>
      <c r="D4049" s="333" t="s">
        <v>4878</v>
      </c>
      <c r="E4049" s="260" t="s">
        <v>4980</v>
      </c>
      <c r="F4049" s="362">
        <v>1505</v>
      </c>
      <c r="G4049" s="311">
        <v>1982</v>
      </c>
      <c r="H4049" s="369" t="s">
        <v>2658</v>
      </c>
      <c r="I4049" s="313">
        <v>25</v>
      </c>
      <c r="J4049" s="314">
        <v>1.9880800000000001</v>
      </c>
      <c r="K4049" s="314">
        <v>1.3880300000000001</v>
      </c>
      <c r="L4049" s="336">
        <f t="shared" si="42"/>
        <v>0.60004999999999997</v>
      </c>
      <c r="M4049" s="337"/>
    </row>
    <row r="4050" spans="1:13" s="71" customFormat="1" ht="26.4" customHeight="1">
      <c r="A4050" s="282">
        <v>454</v>
      </c>
      <c r="B4050" s="537"/>
      <c r="C4050" s="333" t="s">
        <v>15</v>
      </c>
      <c r="D4050" s="333" t="s">
        <v>4878</v>
      </c>
      <c r="E4050" s="260" t="s">
        <v>13146</v>
      </c>
      <c r="F4050" s="362">
        <v>1506</v>
      </c>
      <c r="G4050" s="311">
        <v>1982</v>
      </c>
      <c r="H4050" s="369" t="s">
        <v>2658</v>
      </c>
      <c r="I4050" s="313">
        <v>148.25</v>
      </c>
      <c r="J4050" s="314">
        <v>4.6520000000000001</v>
      </c>
      <c r="K4050" s="314">
        <v>4.6520000000000001</v>
      </c>
      <c r="L4050" s="336">
        <f t="shared" si="42"/>
        <v>0</v>
      </c>
      <c r="M4050" s="337"/>
    </row>
    <row r="4051" spans="1:13" s="71" customFormat="1" ht="26.4" customHeight="1">
      <c r="A4051" s="282">
        <v>455</v>
      </c>
      <c r="B4051" s="537"/>
      <c r="C4051" s="333" t="s">
        <v>15</v>
      </c>
      <c r="D4051" s="333" t="s">
        <v>4878</v>
      </c>
      <c r="E4051" s="260" t="s">
        <v>4981</v>
      </c>
      <c r="F4051" s="362">
        <v>1509</v>
      </c>
      <c r="G4051" s="311">
        <v>1982</v>
      </c>
      <c r="H4051" s="369" t="s">
        <v>2658</v>
      </c>
      <c r="I4051" s="313">
        <v>50</v>
      </c>
      <c r="J4051" s="314">
        <v>1.91208</v>
      </c>
      <c r="K4051" s="314">
        <v>1.79548</v>
      </c>
      <c r="L4051" s="336">
        <f t="shared" si="42"/>
        <v>0.11660000000000004</v>
      </c>
      <c r="M4051" s="337"/>
    </row>
    <row r="4052" spans="1:13" s="71" customFormat="1" ht="26.4" customHeight="1">
      <c r="A4052" s="282">
        <v>456</v>
      </c>
      <c r="B4052" s="537"/>
      <c r="C4052" s="333" t="s">
        <v>15</v>
      </c>
      <c r="D4052" s="333" t="s">
        <v>4878</v>
      </c>
      <c r="E4052" s="260" t="s">
        <v>4982</v>
      </c>
      <c r="F4052" s="362">
        <v>1510</v>
      </c>
      <c r="G4052" s="311">
        <v>1982</v>
      </c>
      <c r="H4052" s="369" t="s">
        <v>2658</v>
      </c>
      <c r="I4052" s="313">
        <v>213</v>
      </c>
      <c r="J4052" s="314">
        <v>5.8959999999999999</v>
      </c>
      <c r="K4052" s="314">
        <v>5.8959999999999999</v>
      </c>
      <c r="L4052" s="336">
        <f t="shared" si="42"/>
        <v>0</v>
      </c>
      <c r="M4052" s="337"/>
    </row>
    <row r="4053" spans="1:13" s="71" customFormat="1" ht="26.4" customHeight="1">
      <c r="A4053" s="282">
        <v>457</v>
      </c>
      <c r="B4053" s="537"/>
      <c r="C4053" s="333" t="s">
        <v>15</v>
      </c>
      <c r="D4053" s="333" t="s">
        <v>4878</v>
      </c>
      <c r="E4053" s="260" t="s">
        <v>4983</v>
      </c>
      <c r="F4053" s="362">
        <v>1511</v>
      </c>
      <c r="G4053" s="311">
        <v>1982</v>
      </c>
      <c r="H4053" s="369" t="s">
        <v>2658</v>
      </c>
      <c r="I4053" s="313">
        <v>20</v>
      </c>
      <c r="J4053" s="314">
        <v>1.91808</v>
      </c>
      <c r="K4053" s="314">
        <v>1.31803</v>
      </c>
      <c r="L4053" s="336">
        <f t="shared" si="42"/>
        <v>0.60004999999999997</v>
      </c>
      <c r="M4053" s="337"/>
    </row>
    <row r="4054" spans="1:13" s="71" customFormat="1" ht="26.4" customHeight="1">
      <c r="A4054" s="282">
        <v>458</v>
      </c>
      <c r="B4054" s="537"/>
      <c r="C4054" s="333" t="s">
        <v>15</v>
      </c>
      <c r="D4054" s="333" t="s">
        <v>4878</v>
      </c>
      <c r="E4054" s="260" t="s">
        <v>4984</v>
      </c>
      <c r="F4054" s="362">
        <v>1512</v>
      </c>
      <c r="G4054" s="311">
        <v>1982</v>
      </c>
      <c r="H4054" s="369" t="s">
        <v>2658</v>
      </c>
      <c r="I4054" s="313">
        <v>85</v>
      </c>
      <c r="J4054" s="314">
        <v>2.2279399999999998</v>
      </c>
      <c r="K4054" s="314">
        <v>2.2279399999999998</v>
      </c>
      <c r="L4054" s="336">
        <f t="shared" si="42"/>
        <v>0</v>
      </c>
      <c r="M4054" s="337"/>
    </row>
    <row r="4055" spans="1:13" s="71" customFormat="1" ht="26.4" customHeight="1">
      <c r="A4055" s="282">
        <v>459</v>
      </c>
      <c r="B4055" s="537"/>
      <c r="C4055" s="333" t="s">
        <v>15</v>
      </c>
      <c r="D4055" s="333" t="s">
        <v>4878</v>
      </c>
      <c r="E4055" s="260" t="s">
        <v>4985</v>
      </c>
      <c r="F4055" s="362">
        <v>1513</v>
      </c>
      <c r="G4055" s="311">
        <v>1982</v>
      </c>
      <c r="H4055" s="369" t="s">
        <v>2658</v>
      </c>
      <c r="I4055" s="313">
        <v>20</v>
      </c>
      <c r="J4055" s="314">
        <v>2.0160800000000001</v>
      </c>
      <c r="K4055" s="314">
        <v>1.37863</v>
      </c>
      <c r="L4055" s="336">
        <f t="shared" si="42"/>
        <v>0.63745000000000007</v>
      </c>
      <c r="M4055" s="337"/>
    </row>
    <row r="4056" spans="1:13" s="71" customFormat="1" ht="26.4" customHeight="1">
      <c r="A4056" s="282">
        <v>460</v>
      </c>
      <c r="B4056" s="537"/>
      <c r="C4056" s="333" t="s">
        <v>15</v>
      </c>
      <c r="D4056" s="333" t="s">
        <v>4878</v>
      </c>
      <c r="E4056" s="260" t="s">
        <v>4986</v>
      </c>
      <c r="F4056" s="362">
        <v>1514</v>
      </c>
      <c r="G4056" s="311">
        <v>1982</v>
      </c>
      <c r="H4056" s="369" t="s">
        <v>2658</v>
      </c>
      <c r="I4056" s="313">
        <v>71</v>
      </c>
      <c r="J4056" s="314">
        <v>4.7640000000000002</v>
      </c>
      <c r="K4056" s="314">
        <v>4.6589999999999998</v>
      </c>
      <c r="L4056" s="336">
        <f t="shared" si="42"/>
        <v>0.10500000000000043</v>
      </c>
      <c r="M4056" s="337"/>
    </row>
    <row r="4057" spans="1:13" s="71" customFormat="1" ht="26.4" customHeight="1">
      <c r="A4057" s="282">
        <v>461</v>
      </c>
      <c r="B4057" s="537"/>
      <c r="C4057" s="333" t="s">
        <v>15</v>
      </c>
      <c r="D4057" s="333" t="s">
        <v>4878</v>
      </c>
      <c r="E4057" s="260" t="s">
        <v>4987</v>
      </c>
      <c r="F4057" s="362">
        <v>1515</v>
      </c>
      <c r="G4057" s="311">
        <v>1982</v>
      </c>
      <c r="H4057" s="369" t="s">
        <v>2658</v>
      </c>
      <c r="I4057" s="313">
        <v>10</v>
      </c>
      <c r="J4057" s="314">
        <v>4.28416</v>
      </c>
      <c r="K4057" s="314">
        <v>3.4591099999999999</v>
      </c>
      <c r="L4057" s="336">
        <f t="shared" si="42"/>
        <v>0.82505000000000006</v>
      </c>
      <c r="M4057" s="337"/>
    </row>
    <row r="4058" spans="1:13" s="71" customFormat="1" ht="26.4" customHeight="1">
      <c r="A4058" s="282">
        <v>462</v>
      </c>
      <c r="B4058" s="537"/>
      <c r="C4058" s="333" t="s">
        <v>15</v>
      </c>
      <c r="D4058" s="333" t="s">
        <v>4878</v>
      </c>
      <c r="E4058" s="260" t="s">
        <v>4988</v>
      </c>
      <c r="F4058" s="362">
        <v>1516</v>
      </c>
      <c r="G4058" s="311">
        <v>1982</v>
      </c>
      <c r="H4058" s="369" t="s">
        <v>2658</v>
      </c>
      <c r="I4058" s="313">
        <v>219</v>
      </c>
      <c r="J4058" s="314">
        <v>3.3641299999999998</v>
      </c>
      <c r="K4058" s="314">
        <v>3.3641299999999998</v>
      </c>
      <c r="L4058" s="336">
        <f t="shared" si="42"/>
        <v>0</v>
      </c>
      <c r="M4058" s="337"/>
    </row>
    <row r="4059" spans="1:13" s="71" customFormat="1" ht="26.4" customHeight="1">
      <c r="A4059" s="282">
        <v>463</v>
      </c>
      <c r="B4059" s="537"/>
      <c r="C4059" s="333" t="s">
        <v>15</v>
      </c>
      <c r="D4059" s="333" t="s">
        <v>4878</v>
      </c>
      <c r="E4059" s="260" t="s">
        <v>4989</v>
      </c>
      <c r="F4059" s="362">
        <v>1517</v>
      </c>
      <c r="G4059" s="311">
        <v>1982</v>
      </c>
      <c r="H4059" s="369" t="s">
        <v>2658</v>
      </c>
      <c r="I4059" s="313">
        <v>12</v>
      </c>
      <c r="J4059" s="314">
        <v>2.8191600000000001</v>
      </c>
      <c r="K4059" s="314">
        <v>2.1441599999999998</v>
      </c>
      <c r="L4059" s="336">
        <f t="shared" si="42"/>
        <v>0.67500000000000027</v>
      </c>
      <c r="M4059" s="337"/>
    </row>
    <row r="4060" spans="1:13" s="71" customFormat="1" ht="26.4" customHeight="1">
      <c r="A4060" s="282">
        <v>464</v>
      </c>
      <c r="B4060" s="537"/>
      <c r="C4060" s="333" t="s">
        <v>15</v>
      </c>
      <c r="D4060" s="333" t="s">
        <v>4878</v>
      </c>
      <c r="E4060" s="260" t="s">
        <v>4990</v>
      </c>
      <c r="F4060" s="362">
        <v>1518</v>
      </c>
      <c r="G4060" s="311">
        <v>1982</v>
      </c>
      <c r="H4060" s="369" t="s">
        <v>2658</v>
      </c>
      <c r="I4060" s="313">
        <v>58</v>
      </c>
      <c r="J4060" s="314">
        <v>5.03118</v>
      </c>
      <c r="K4060" s="314">
        <v>4.6883900000000001</v>
      </c>
      <c r="L4060" s="336">
        <f t="shared" si="42"/>
        <v>0.34278999999999993</v>
      </c>
      <c r="M4060" s="337"/>
    </row>
    <row r="4061" spans="1:13" s="71" customFormat="1" ht="26.4" customHeight="1">
      <c r="A4061" s="282">
        <v>465</v>
      </c>
      <c r="B4061" s="537"/>
      <c r="C4061" s="333" t="s">
        <v>15</v>
      </c>
      <c r="D4061" s="333" t="s">
        <v>4878</v>
      </c>
      <c r="E4061" s="260" t="s">
        <v>4991</v>
      </c>
      <c r="F4061" s="362">
        <v>1536</v>
      </c>
      <c r="G4061" s="311">
        <v>1983</v>
      </c>
      <c r="H4061" s="369" t="s">
        <v>2658</v>
      </c>
      <c r="I4061" s="313">
        <v>8</v>
      </c>
      <c r="J4061" s="314">
        <v>3.6592600000000002</v>
      </c>
      <c r="K4061" s="314">
        <v>2.9093100000000001</v>
      </c>
      <c r="L4061" s="336">
        <f t="shared" si="42"/>
        <v>0.74995000000000012</v>
      </c>
      <c r="M4061" s="337"/>
    </row>
    <row r="4062" spans="1:13" s="71" customFormat="1" ht="26.4" customHeight="1">
      <c r="A4062" s="282">
        <v>466</v>
      </c>
      <c r="B4062" s="537"/>
      <c r="C4062" s="333" t="s">
        <v>15</v>
      </c>
      <c r="D4062" s="333" t="s">
        <v>4878</v>
      </c>
      <c r="E4062" s="260" t="s">
        <v>4992</v>
      </c>
      <c r="F4062" s="362">
        <v>1537</v>
      </c>
      <c r="G4062" s="311">
        <v>1983</v>
      </c>
      <c r="H4062" s="369" t="s">
        <v>2658</v>
      </c>
      <c r="I4062" s="313">
        <v>70</v>
      </c>
      <c r="J4062" s="314">
        <v>2.41934</v>
      </c>
      <c r="K4062" s="314">
        <v>2.3626200000000002</v>
      </c>
      <c r="L4062" s="336">
        <f t="shared" si="42"/>
        <v>5.6719999999999882E-2</v>
      </c>
      <c r="M4062" s="337"/>
    </row>
    <row r="4063" spans="1:13" s="71" customFormat="1" ht="26.4" customHeight="1">
      <c r="A4063" s="282">
        <v>467</v>
      </c>
      <c r="B4063" s="537"/>
      <c r="C4063" s="333" t="s">
        <v>15</v>
      </c>
      <c r="D4063" s="333" t="s">
        <v>4878</v>
      </c>
      <c r="E4063" s="260" t="s">
        <v>4993</v>
      </c>
      <c r="F4063" s="362">
        <v>1538</v>
      </c>
      <c r="G4063" s="311">
        <v>1984</v>
      </c>
      <c r="H4063" s="369" t="s">
        <v>2658</v>
      </c>
      <c r="I4063" s="313">
        <v>5</v>
      </c>
      <c r="J4063" s="314">
        <v>2.0540799999999999</v>
      </c>
      <c r="K4063" s="314">
        <v>1.9374800000000001</v>
      </c>
      <c r="L4063" s="336">
        <f t="shared" si="42"/>
        <v>0.11659999999999981</v>
      </c>
      <c r="M4063" s="337"/>
    </row>
    <row r="4064" spans="1:13" s="71" customFormat="1" ht="26.4" customHeight="1">
      <c r="A4064" s="282">
        <v>468</v>
      </c>
      <c r="B4064" s="537"/>
      <c r="C4064" s="333" t="s">
        <v>15</v>
      </c>
      <c r="D4064" s="333" t="s">
        <v>4878</v>
      </c>
      <c r="E4064" s="260" t="s">
        <v>4994</v>
      </c>
      <c r="F4064" s="362">
        <v>1539</v>
      </c>
      <c r="G4064" s="311">
        <v>1983</v>
      </c>
      <c r="H4064" s="369" t="s">
        <v>2658</v>
      </c>
      <c r="I4064" s="313">
        <v>100</v>
      </c>
      <c r="J4064" s="314">
        <v>2.4078599999999999</v>
      </c>
      <c r="K4064" s="314">
        <v>2.4078599999999999</v>
      </c>
      <c r="L4064" s="336">
        <f t="shared" si="42"/>
        <v>0</v>
      </c>
      <c r="M4064" s="337"/>
    </row>
    <row r="4065" spans="1:13" s="71" customFormat="1" ht="26.4" customHeight="1">
      <c r="A4065" s="282">
        <v>469</v>
      </c>
      <c r="B4065" s="537"/>
      <c r="C4065" s="333" t="s">
        <v>15</v>
      </c>
      <c r="D4065" s="333" t="s">
        <v>4878</v>
      </c>
      <c r="E4065" s="260" t="s">
        <v>938</v>
      </c>
      <c r="F4065" s="362">
        <v>1547</v>
      </c>
      <c r="G4065" s="311">
        <v>1980</v>
      </c>
      <c r="H4065" s="369" t="s">
        <v>2658</v>
      </c>
      <c r="I4065" s="313">
        <v>390</v>
      </c>
      <c r="J4065" s="314">
        <v>5.7618</v>
      </c>
      <c r="K4065" s="314">
        <v>5.7618</v>
      </c>
      <c r="L4065" s="336">
        <f t="shared" si="42"/>
        <v>0</v>
      </c>
      <c r="M4065" s="337"/>
    </row>
    <row r="4066" spans="1:13" s="71" customFormat="1" ht="26.4" customHeight="1">
      <c r="A4066" s="282">
        <v>470</v>
      </c>
      <c r="B4066" s="537"/>
      <c r="C4066" s="333" t="s">
        <v>15</v>
      </c>
      <c r="D4066" s="333" t="s">
        <v>4878</v>
      </c>
      <c r="E4066" s="260" t="s">
        <v>4995</v>
      </c>
      <c r="F4066" s="362">
        <v>1550</v>
      </c>
      <c r="G4066" s="311">
        <v>1983</v>
      </c>
      <c r="H4066" s="369" t="s">
        <v>2658</v>
      </c>
      <c r="I4066" s="313">
        <v>20</v>
      </c>
      <c r="J4066" s="314">
        <v>1.2170799999999999</v>
      </c>
      <c r="K4066" s="314">
        <v>1.1004799999999999</v>
      </c>
      <c r="L4066" s="336">
        <f t="shared" si="42"/>
        <v>0.11660000000000004</v>
      </c>
      <c r="M4066" s="337"/>
    </row>
    <row r="4067" spans="1:13" s="71" customFormat="1" ht="26.4" customHeight="1">
      <c r="A4067" s="282">
        <v>471</v>
      </c>
      <c r="B4067" s="537"/>
      <c r="C4067" s="333" t="s">
        <v>15</v>
      </c>
      <c r="D4067" s="333" t="s">
        <v>4878</v>
      </c>
      <c r="E4067" s="260" t="s">
        <v>4996</v>
      </c>
      <c r="F4067" s="362">
        <v>1551</v>
      </c>
      <c r="G4067" s="311">
        <v>1983</v>
      </c>
      <c r="H4067" s="369" t="s">
        <v>2658</v>
      </c>
      <c r="I4067" s="313">
        <v>10</v>
      </c>
      <c r="J4067" s="314">
        <v>5.6401199999999996</v>
      </c>
      <c r="K4067" s="314">
        <v>5.6401199999999996</v>
      </c>
      <c r="L4067" s="336">
        <f t="shared" si="42"/>
        <v>0</v>
      </c>
      <c r="M4067" s="337"/>
    </row>
    <row r="4068" spans="1:13" s="71" customFormat="1" ht="26.4" customHeight="1">
      <c r="A4068" s="282">
        <v>472</v>
      </c>
      <c r="B4068" s="537"/>
      <c r="C4068" s="333" t="s">
        <v>15</v>
      </c>
      <c r="D4068" s="333" t="s">
        <v>4878</v>
      </c>
      <c r="E4068" s="260" t="s">
        <v>4997</v>
      </c>
      <c r="F4068" s="362">
        <v>1553</v>
      </c>
      <c r="G4068" s="311">
        <v>1983</v>
      </c>
      <c r="H4068" s="369" t="s">
        <v>2658</v>
      </c>
      <c r="I4068" s="313">
        <v>153</v>
      </c>
      <c r="J4068" s="314">
        <v>5.0640000000000001</v>
      </c>
      <c r="K4068" s="314">
        <v>5.0640000000000001</v>
      </c>
      <c r="L4068" s="336">
        <f t="shared" si="42"/>
        <v>0</v>
      </c>
      <c r="M4068" s="337"/>
    </row>
    <row r="4069" spans="1:13" s="71" customFormat="1" ht="26.4" customHeight="1">
      <c r="A4069" s="282">
        <v>473</v>
      </c>
      <c r="B4069" s="537"/>
      <c r="C4069" s="333" t="s">
        <v>15</v>
      </c>
      <c r="D4069" s="333" t="s">
        <v>4878</v>
      </c>
      <c r="E4069" s="260" t="s">
        <v>4998</v>
      </c>
      <c r="F4069" s="362">
        <v>1554</v>
      </c>
      <c r="G4069" s="311">
        <v>1983</v>
      </c>
      <c r="H4069" s="369" t="s">
        <v>2658</v>
      </c>
      <c r="I4069" s="313">
        <v>18</v>
      </c>
      <c r="J4069" s="314">
        <v>2.7741600000000002</v>
      </c>
      <c r="K4069" s="314">
        <v>2.5867100000000001</v>
      </c>
      <c r="L4069" s="336">
        <f t="shared" si="42"/>
        <v>0.18745000000000012</v>
      </c>
      <c r="M4069" s="337"/>
    </row>
    <row r="4070" spans="1:13" s="71" customFormat="1" ht="26.4" customHeight="1">
      <c r="A4070" s="282">
        <v>474</v>
      </c>
      <c r="B4070" s="537"/>
      <c r="C4070" s="333" t="s">
        <v>15</v>
      </c>
      <c r="D4070" s="333" t="s">
        <v>4878</v>
      </c>
      <c r="E4070" s="260" t="s">
        <v>4999</v>
      </c>
      <c r="F4070" s="362">
        <v>1555</v>
      </c>
      <c r="G4070" s="311">
        <v>1983</v>
      </c>
      <c r="H4070" s="369" t="s">
        <v>2658</v>
      </c>
      <c r="I4070" s="313">
        <v>77</v>
      </c>
      <c r="J4070" s="314">
        <v>5.7095700000000003</v>
      </c>
      <c r="K4070" s="314">
        <v>5.3203500000000004</v>
      </c>
      <c r="L4070" s="336">
        <f t="shared" si="42"/>
        <v>0.3892199999999999</v>
      </c>
      <c r="M4070" s="337"/>
    </row>
    <row r="4071" spans="1:13" s="71" customFormat="1" ht="26.4" customHeight="1">
      <c r="A4071" s="282">
        <v>475</v>
      </c>
      <c r="B4071" s="537"/>
      <c r="C4071" s="333" t="s">
        <v>15</v>
      </c>
      <c r="D4071" s="333" t="s">
        <v>4878</v>
      </c>
      <c r="E4071" s="260" t="s">
        <v>5000</v>
      </c>
      <c r="F4071" s="362">
        <v>1556</v>
      </c>
      <c r="G4071" s="311">
        <v>1983</v>
      </c>
      <c r="H4071" s="369" t="s">
        <v>2658</v>
      </c>
      <c r="I4071" s="313">
        <v>227</v>
      </c>
      <c r="J4071" s="314">
        <v>15.731999999999999</v>
      </c>
      <c r="K4071" s="314">
        <v>15.63514</v>
      </c>
      <c r="L4071" s="336">
        <f t="shared" si="42"/>
        <v>9.6859999999999502E-2</v>
      </c>
      <c r="M4071" s="337"/>
    </row>
    <row r="4072" spans="1:13" s="71" customFormat="1" ht="26.4" customHeight="1">
      <c r="A4072" s="282">
        <v>476</v>
      </c>
      <c r="B4072" s="537"/>
      <c r="C4072" s="333" t="s">
        <v>15</v>
      </c>
      <c r="D4072" s="333" t="s">
        <v>4878</v>
      </c>
      <c r="E4072" s="260" t="s">
        <v>5001</v>
      </c>
      <c r="F4072" s="362">
        <v>1557</v>
      </c>
      <c r="G4072" s="311">
        <v>1983</v>
      </c>
      <c r="H4072" s="369" t="s">
        <v>2658</v>
      </c>
      <c r="I4072" s="313">
        <v>10</v>
      </c>
      <c r="J4072" s="314">
        <v>2.8871600000000002</v>
      </c>
      <c r="K4072" s="314">
        <v>2.71211</v>
      </c>
      <c r="L4072" s="336">
        <f t="shared" si="42"/>
        <v>0.17505000000000015</v>
      </c>
      <c r="M4072" s="337"/>
    </row>
    <row r="4073" spans="1:13" s="71" customFormat="1" ht="26.4" customHeight="1">
      <c r="A4073" s="282">
        <v>477</v>
      </c>
      <c r="B4073" s="537"/>
      <c r="C4073" s="333" t="s">
        <v>15</v>
      </c>
      <c r="D4073" s="333" t="s">
        <v>4878</v>
      </c>
      <c r="E4073" s="260" t="s">
        <v>5002</v>
      </c>
      <c r="F4073" s="362">
        <v>1558</v>
      </c>
      <c r="G4073" s="311">
        <v>1983</v>
      </c>
      <c r="H4073" s="369" t="s">
        <v>2658</v>
      </c>
      <c r="I4073" s="313">
        <v>15</v>
      </c>
      <c r="J4073" s="314">
        <v>3.90327</v>
      </c>
      <c r="K4073" s="314">
        <v>3.6990699999999999</v>
      </c>
      <c r="L4073" s="336">
        <f t="shared" si="42"/>
        <v>0.20420000000000016</v>
      </c>
      <c r="M4073" s="337"/>
    </row>
    <row r="4074" spans="1:13" s="71" customFormat="1" ht="26.4" customHeight="1">
      <c r="A4074" s="282">
        <v>478</v>
      </c>
      <c r="B4074" s="537"/>
      <c r="C4074" s="333" t="s">
        <v>15</v>
      </c>
      <c r="D4074" s="333" t="s">
        <v>4878</v>
      </c>
      <c r="E4074" s="260" t="s">
        <v>5003</v>
      </c>
      <c r="F4074" s="362">
        <v>1559</v>
      </c>
      <c r="G4074" s="311">
        <v>1983</v>
      </c>
      <c r="H4074" s="369" t="s">
        <v>2658</v>
      </c>
      <c r="I4074" s="313">
        <v>30</v>
      </c>
      <c r="J4074" s="314">
        <v>1.1650799999999999</v>
      </c>
      <c r="K4074" s="314">
        <v>1.1067800000000001</v>
      </c>
      <c r="L4074" s="336">
        <f t="shared" si="42"/>
        <v>5.8299999999999796E-2</v>
      </c>
      <c r="M4074" s="337"/>
    </row>
    <row r="4075" spans="1:13" s="71" customFormat="1" ht="26.4" customHeight="1">
      <c r="A4075" s="282">
        <v>479</v>
      </c>
      <c r="B4075" s="537"/>
      <c r="C4075" s="333" t="s">
        <v>15</v>
      </c>
      <c r="D4075" s="333" t="s">
        <v>4878</v>
      </c>
      <c r="E4075" s="260" t="s">
        <v>5004</v>
      </c>
      <c r="F4075" s="362">
        <v>1560</v>
      </c>
      <c r="G4075" s="311">
        <v>1983</v>
      </c>
      <c r="H4075" s="369" t="s">
        <v>2658</v>
      </c>
      <c r="I4075" s="313">
        <v>79</v>
      </c>
      <c r="J4075" s="314">
        <v>4.117</v>
      </c>
      <c r="K4075" s="314">
        <v>4.117</v>
      </c>
      <c r="L4075" s="336">
        <f t="shared" si="42"/>
        <v>0</v>
      </c>
      <c r="M4075" s="337"/>
    </row>
    <row r="4076" spans="1:13" s="71" customFormat="1" ht="26.4" customHeight="1">
      <c r="A4076" s="282">
        <v>480</v>
      </c>
      <c r="B4076" s="537"/>
      <c r="C4076" s="333" t="s">
        <v>15</v>
      </c>
      <c r="D4076" s="333" t="s">
        <v>4878</v>
      </c>
      <c r="E4076" s="260" t="s">
        <v>5005</v>
      </c>
      <c r="F4076" s="362">
        <v>1561</v>
      </c>
      <c r="G4076" s="311">
        <v>1983</v>
      </c>
      <c r="H4076" s="369" t="s">
        <v>2658</v>
      </c>
      <c r="I4076" s="313">
        <v>8</v>
      </c>
      <c r="J4076" s="314">
        <v>1.9079999999999999</v>
      </c>
      <c r="K4076" s="314">
        <v>1.7914000000000001</v>
      </c>
      <c r="L4076" s="336">
        <f t="shared" si="42"/>
        <v>0.11659999999999981</v>
      </c>
      <c r="M4076" s="337"/>
    </row>
    <row r="4077" spans="1:13" s="71" customFormat="1" ht="26.4" customHeight="1">
      <c r="A4077" s="282">
        <v>481</v>
      </c>
      <c r="B4077" s="537"/>
      <c r="C4077" s="333" t="s">
        <v>15</v>
      </c>
      <c r="D4077" s="333" t="s">
        <v>4878</v>
      </c>
      <c r="E4077" s="260" t="s">
        <v>5006</v>
      </c>
      <c r="F4077" s="362">
        <v>1565</v>
      </c>
      <c r="G4077" s="311">
        <v>1983</v>
      </c>
      <c r="H4077" s="369" t="s">
        <v>2658</v>
      </c>
      <c r="I4077" s="313">
        <v>43</v>
      </c>
      <c r="J4077" s="314">
        <v>3.4378199999999999</v>
      </c>
      <c r="K4077" s="314">
        <v>3.4378199999999999</v>
      </c>
      <c r="L4077" s="336">
        <f t="shared" si="42"/>
        <v>0</v>
      </c>
      <c r="M4077" s="337"/>
    </row>
    <row r="4078" spans="1:13" s="71" customFormat="1" ht="26.4" customHeight="1">
      <c r="A4078" s="282">
        <v>482</v>
      </c>
      <c r="B4078" s="537"/>
      <c r="C4078" s="333" t="s">
        <v>15</v>
      </c>
      <c r="D4078" s="333" t="s">
        <v>4878</v>
      </c>
      <c r="E4078" s="260" t="s">
        <v>5007</v>
      </c>
      <c r="F4078" s="362">
        <v>1566</v>
      </c>
      <c r="G4078" s="311">
        <v>1983</v>
      </c>
      <c r="H4078" s="369" t="s">
        <v>2658</v>
      </c>
      <c r="I4078" s="313">
        <v>8</v>
      </c>
      <c r="J4078" s="314">
        <v>2.2000799999999998</v>
      </c>
      <c r="K4078" s="314">
        <v>2.0834800000000002</v>
      </c>
      <c r="L4078" s="336">
        <f t="shared" si="42"/>
        <v>0.11659999999999959</v>
      </c>
      <c r="M4078" s="337"/>
    </row>
    <row r="4079" spans="1:13" s="71" customFormat="1" ht="26.4" customHeight="1">
      <c r="A4079" s="282">
        <v>483</v>
      </c>
      <c r="B4079" s="537"/>
      <c r="C4079" s="333" t="s">
        <v>15</v>
      </c>
      <c r="D4079" s="333" t="s">
        <v>4878</v>
      </c>
      <c r="E4079" s="260" t="s">
        <v>5008</v>
      </c>
      <c r="F4079" s="362">
        <v>1582</v>
      </c>
      <c r="G4079" s="311">
        <v>1984</v>
      </c>
      <c r="H4079" s="369" t="s">
        <v>2658</v>
      </c>
      <c r="I4079" s="313">
        <v>108</v>
      </c>
      <c r="J4079" s="314">
        <v>3.552</v>
      </c>
      <c r="K4079" s="314">
        <v>3.552</v>
      </c>
      <c r="L4079" s="336">
        <f t="shared" si="42"/>
        <v>0</v>
      </c>
      <c r="M4079" s="337"/>
    </row>
    <row r="4080" spans="1:13" s="71" customFormat="1" ht="26.4" customHeight="1">
      <c r="A4080" s="282">
        <v>484</v>
      </c>
      <c r="B4080" s="537"/>
      <c r="C4080" s="333" t="s">
        <v>15</v>
      </c>
      <c r="D4080" s="333" t="s">
        <v>4878</v>
      </c>
      <c r="E4080" s="260" t="s">
        <v>5009</v>
      </c>
      <c r="F4080" s="362">
        <v>1583</v>
      </c>
      <c r="G4080" s="311">
        <v>1984</v>
      </c>
      <c r="H4080" s="369" t="s">
        <v>2658</v>
      </c>
      <c r="I4080" s="313">
        <v>15</v>
      </c>
      <c r="J4080" s="314">
        <v>1.40408</v>
      </c>
      <c r="K4080" s="314">
        <v>1.28748</v>
      </c>
      <c r="L4080" s="336">
        <f t="shared" si="42"/>
        <v>0.11660000000000004</v>
      </c>
      <c r="M4080" s="337"/>
    </row>
    <row r="4081" spans="1:13" s="71" customFormat="1" ht="26.4" customHeight="1">
      <c r="A4081" s="282">
        <v>485</v>
      </c>
      <c r="B4081" s="537"/>
      <c r="C4081" s="333" t="s">
        <v>15</v>
      </c>
      <c r="D4081" s="307" t="s">
        <v>4565</v>
      </c>
      <c r="E4081" s="260" t="s">
        <v>5010</v>
      </c>
      <c r="F4081" s="362">
        <v>1588</v>
      </c>
      <c r="G4081" s="311">
        <v>1984</v>
      </c>
      <c r="H4081" s="369" t="s">
        <v>2658</v>
      </c>
      <c r="I4081" s="313">
        <v>485</v>
      </c>
      <c r="J4081" s="314">
        <v>19.89</v>
      </c>
      <c r="K4081" s="314">
        <v>19.89</v>
      </c>
      <c r="L4081" s="336">
        <f t="shared" si="42"/>
        <v>0</v>
      </c>
      <c r="M4081" s="337"/>
    </row>
    <row r="4082" spans="1:13" s="71" customFormat="1" ht="26.4" customHeight="1">
      <c r="A4082" s="282">
        <v>486</v>
      </c>
      <c r="B4082" s="537"/>
      <c r="C4082" s="333" t="s">
        <v>15</v>
      </c>
      <c r="D4082" s="307" t="s">
        <v>4565</v>
      </c>
      <c r="E4082" s="260" t="s">
        <v>5011</v>
      </c>
      <c r="F4082" s="362">
        <v>1589</v>
      </c>
      <c r="G4082" s="311">
        <v>1984</v>
      </c>
      <c r="H4082" s="369" t="s">
        <v>2658</v>
      </c>
      <c r="I4082" s="313">
        <v>200</v>
      </c>
      <c r="J4082" s="314">
        <v>38.692160000000001</v>
      </c>
      <c r="K4082" s="314">
        <v>36.06711</v>
      </c>
      <c r="L4082" s="336">
        <f t="shared" si="42"/>
        <v>2.6250500000000017</v>
      </c>
      <c r="M4082" s="337"/>
    </row>
    <row r="4083" spans="1:13" s="71" customFormat="1" ht="26.4" customHeight="1">
      <c r="A4083" s="282">
        <v>487</v>
      </c>
      <c r="B4083" s="537"/>
      <c r="C4083" s="333" t="s">
        <v>15</v>
      </c>
      <c r="D4083" s="307" t="s">
        <v>4565</v>
      </c>
      <c r="E4083" s="260" t="s">
        <v>5012</v>
      </c>
      <c r="F4083" s="362">
        <v>1590</v>
      </c>
      <c r="G4083" s="311">
        <v>1984</v>
      </c>
      <c r="H4083" s="369" t="s">
        <v>2658</v>
      </c>
      <c r="I4083" s="313">
        <v>93</v>
      </c>
      <c r="J4083" s="314">
        <v>3.0939999999999999</v>
      </c>
      <c r="K4083" s="314">
        <v>3.0939999999999999</v>
      </c>
      <c r="L4083" s="336">
        <f t="shared" si="42"/>
        <v>0</v>
      </c>
      <c r="M4083" s="337"/>
    </row>
    <row r="4084" spans="1:13" s="71" customFormat="1" ht="26.4" customHeight="1">
      <c r="A4084" s="282">
        <v>488</v>
      </c>
      <c r="B4084" s="537"/>
      <c r="C4084" s="333" t="s">
        <v>15</v>
      </c>
      <c r="D4084" s="307" t="s">
        <v>4565</v>
      </c>
      <c r="E4084" s="260" t="s">
        <v>5013</v>
      </c>
      <c r="F4084" s="362">
        <v>1591</v>
      </c>
      <c r="G4084" s="311">
        <v>1984</v>
      </c>
      <c r="H4084" s="369" t="s">
        <v>2658</v>
      </c>
      <c r="I4084" s="313">
        <v>384</v>
      </c>
      <c r="J4084" s="314">
        <v>25.4</v>
      </c>
      <c r="K4084" s="314">
        <v>24.499970000000001</v>
      </c>
      <c r="L4084" s="336">
        <f t="shared" si="42"/>
        <v>0.90002999999999744</v>
      </c>
      <c r="M4084" s="337"/>
    </row>
    <row r="4085" spans="1:13" s="71" customFormat="1" ht="26.4" customHeight="1">
      <c r="A4085" s="282">
        <v>489</v>
      </c>
      <c r="B4085" s="537"/>
      <c r="C4085" s="333" t="s">
        <v>15</v>
      </c>
      <c r="D4085" s="307" t="s">
        <v>4565</v>
      </c>
      <c r="E4085" s="260" t="s">
        <v>5014</v>
      </c>
      <c r="F4085" s="362">
        <v>1593</v>
      </c>
      <c r="G4085" s="311">
        <v>1984</v>
      </c>
      <c r="H4085" s="369" t="s">
        <v>2658</v>
      </c>
      <c r="I4085" s="313">
        <v>8</v>
      </c>
      <c r="J4085" s="314">
        <v>4.0271600000000003</v>
      </c>
      <c r="K4085" s="314">
        <v>3.4271099999999999</v>
      </c>
      <c r="L4085" s="336">
        <f t="shared" si="42"/>
        <v>0.60005000000000042</v>
      </c>
      <c r="M4085" s="337"/>
    </row>
    <row r="4086" spans="1:13" s="71" customFormat="1" ht="26.4" customHeight="1">
      <c r="A4086" s="282">
        <v>490</v>
      </c>
      <c r="B4086" s="537"/>
      <c r="C4086" s="333" t="s">
        <v>15</v>
      </c>
      <c r="D4086" s="307" t="s">
        <v>4565</v>
      </c>
      <c r="E4086" s="260" t="s">
        <v>5015</v>
      </c>
      <c r="F4086" s="362">
        <v>1594</v>
      </c>
      <c r="G4086" s="311">
        <v>1984</v>
      </c>
      <c r="H4086" s="369" t="s">
        <v>2658</v>
      </c>
      <c r="I4086" s="313">
        <v>10</v>
      </c>
      <c r="J4086" s="314">
        <v>5.3693400000000002</v>
      </c>
      <c r="K4086" s="314">
        <v>4.4693399999999999</v>
      </c>
      <c r="L4086" s="336">
        <f t="shared" si="42"/>
        <v>0.90000000000000036</v>
      </c>
      <c r="M4086" s="337"/>
    </row>
    <row r="4087" spans="1:13" s="71" customFormat="1" ht="26.4" customHeight="1">
      <c r="A4087" s="282">
        <v>491</v>
      </c>
      <c r="B4087" s="537"/>
      <c r="C4087" s="333" t="s">
        <v>15</v>
      </c>
      <c r="D4087" s="307" t="s">
        <v>4565</v>
      </c>
      <c r="E4087" s="260" t="s">
        <v>5016</v>
      </c>
      <c r="F4087" s="362">
        <v>1595</v>
      </c>
      <c r="G4087" s="311">
        <v>1984</v>
      </c>
      <c r="H4087" s="369" t="s">
        <v>2658</v>
      </c>
      <c r="I4087" s="313">
        <v>50</v>
      </c>
      <c r="J4087" s="314">
        <v>1.7260800000000001</v>
      </c>
      <c r="K4087" s="314">
        <v>1.60948</v>
      </c>
      <c r="L4087" s="336">
        <f t="shared" si="42"/>
        <v>0.11660000000000004</v>
      </c>
      <c r="M4087" s="337"/>
    </row>
    <row r="4088" spans="1:13" s="71" customFormat="1" ht="26.4" customHeight="1">
      <c r="A4088" s="282">
        <v>492</v>
      </c>
      <c r="B4088" s="537"/>
      <c r="C4088" s="333" t="s">
        <v>15</v>
      </c>
      <c r="D4088" s="307" t="s">
        <v>4565</v>
      </c>
      <c r="E4088" s="260" t="s">
        <v>5017</v>
      </c>
      <c r="F4088" s="362">
        <v>1601</v>
      </c>
      <c r="G4088" s="311">
        <v>1984</v>
      </c>
      <c r="H4088" s="369" t="s">
        <v>2658</v>
      </c>
      <c r="I4088" s="313">
        <v>158</v>
      </c>
      <c r="J4088" s="314">
        <v>5.3380000000000001</v>
      </c>
      <c r="K4088" s="314">
        <v>5.3380000000000001</v>
      </c>
      <c r="L4088" s="336">
        <f t="shared" si="42"/>
        <v>0</v>
      </c>
      <c r="M4088" s="337"/>
    </row>
    <row r="4089" spans="1:13" s="71" customFormat="1" ht="26.4" customHeight="1">
      <c r="A4089" s="282">
        <v>493</v>
      </c>
      <c r="B4089" s="537"/>
      <c r="C4089" s="333" t="s">
        <v>15</v>
      </c>
      <c r="D4089" s="307" t="s">
        <v>4565</v>
      </c>
      <c r="E4089" s="260" t="s">
        <v>5018</v>
      </c>
      <c r="F4089" s="362">
        <v>1602</v>
      </c>
      <c r="G4089" s="311">
        <v>1984</v>
      </c>
      <c r="H4089" s="369" t="s">
        <v>2658</v>
      </c>
      <c r="I4089" s="313">
        <v>12</v>
      </c>
      <c r="J4089" s="314">
        <v>2.6360800000000002</v>
      </c>
      <c r="K4089" s="314">
        <v>2.0360299999999998</v>
      </c>
      <c r="L4089" s="336">
        <f t="shared" si="42"/>
        <v>0.60005000000000042</v>
      </c>
      <c r="M4089" s="337"/>
    </row>
    <row r="4090" spans="1:13" s="71" customFormat="1" ht="26.4" customHeight="1">
      <c r="A4090" s="282">
        <v>494</v>
      </c>
      <c r="B4090" s="537"/>
      <c r="C4090" s="333" t="s">
        <v>15</v>
      </c>
      <c r="D4090" s="333" t="s">
        <v>5019</v>
      </c>
      <c r="E4090" s="260" t="s">
        <v>5020</v>
      </c>
      <c r="F4090" s="362">
        <v>1618</v>
      </c>
      <c r="G4090" s="311">
        <v>1985</v>
      </c>
      <c r="H4090" s="369" t="s">
        <v>2658</v>
      </c>
      <c r="I4090" s="313">
        <v>12</v>
      </c>
      <c r="J4090" s="314">
        <v>1.82508</v>
      </c>
      <c r="K4090" s="314">
        <v>1.5917300000000001</v>
      </c>
      <c r="L4090" s="336">
        <f t="shared" si="42"/>
        <v>0.23334999999999995</v>
      </c>
      <c r="M4090" s="337"/>
    </row>
    <row r="4091" spans="1:13" s="71" customFormat="1" ht="26.4" customHeight="1">
      <c r="A4091" s="282">
        <v>495</v>
      </c>
      <c r="B4091" s="537"/>
      <c r="C4091" s="333" t="s">
        <v>15</v>
      </c>
      <c r="D4091" s="333" t="s">
        <v>5021</v>
      </c>
      <c r="E4091" s="260" t="s">
        <v>5022</v>
      </c>
      <c r="F4091" s="362">
        <v>1619</v>
      </c>
      <c r="G4091" s="311">
        <v>1985</v>
      </c>
      <c r="H4091" s="369" t="s">
        <v>2658</v>
      </c>
      <c r="I4091" s="313">
        <v>69</v>
      </c>
      <c r="J4091" s="314">
        <v>4.8090799999999998</v>
      </c>
      <c r="K4091" s="314">
        <v>4.0591299999999997</v>
      </c>
      <c r="L4091" s="336">
        <f t="shared" si="42"/>
        <v>0.74995000000000012</v>
      </c>
      <c r="M4091" s="337"/>
    </row>
    <row r="4092" spans="1:13" s="71" customFormat="1" ht="26.4" customHeight="1">
      <c r="A4092" s="282">
        <v>496</v>
      </c>
      <c r="B4092" s="537"/>
      <c r="C4092" s="333" t="s">
        <v>15</v>
      </c>
      <c r="D4092" s="333" t="s">
        <v>5021</v>
      </c>
      <c r="E4092" s="260" t="s">
        <v>5023</v>
      </c>
      <c r="F4092" s="362">
        <v>1620</v>
      </c>
      <c r="G4092" s="311">
        <v>1985</v>
      </c>
      <c r="H4092" s="369" t="s">
        <v>2658</v>
      </c>
      <c r="I4092" s="313">
        <v>12</v>
      </c>
      <c r="J4092" s="314">
        <v>3.57403</v>
      </c>
      <c r="K4092" s="314">
        <v>3.57403</v>
      </c>
      <c r="L4092" s="336">
        <f t="shared" si="42"/>
        <v>0</v>
      </c>
      <c r="M4092" s="337"/>
    </row>
    <row r="4093" spans="1:13" s="71" customFormat="1" ht="26.4" customHeight="1">
      <c r="A4093" s="282">
        <v>497</v>
      </c>
      <c r="B4093" s="537"/>
      <c r="C4093" s="333" t="s">
        <v>15</v>
      </c>
      <c r="D4093" s="333" t="s">
        <v>5021</v>
      </c>
      <c r="E4093" s="260" t="s">
        <v>13147</v>
      </c>
      <c r="F4093" s="362">
        <v>1621</v>
      </c>
      <c r="G4093" s="311">
        <v>1985</v>
      </c>
      <c r="H4093" s="369" t="s">
        <v>2658</v>
      </c>
      <c r="I4093" s="313">
        <v>299</v>
      </c>
      <c r="J4093" s="314">
        <v>14.061</v>
      </c>
      <c r="K4093" s="314">
        <v>13.936030000000001</v>
      </c>
      <c r="L4093" s="336">
        <f t="shared" si="42"/>
        <v>0.12496999999999936</v>
      </c>
      <c r="M4093" s="337"/>
    </row>
    <row r="4094" spans="1:13" s="71" customFormat="1" ht="26.4" customHeight="1">
      <c r="A4094" s="282">
        <v>498</v>
      </c>
      <c r="B4094" s="537"/>
      <c r="C4094" s="333" t="s">
        <v>15</v>
      </c>
      <c r="D4094" s="333" t="s">
        <v>4878</v>
      </c>
      <c r="E4094" s="260" t="s">
        <v>5024</v>
      </c>
      <c r="F4094" s="362">
        <v>1624</v>
      </c>
      <c r="G4094" s="311">
        <v>1985</v>
      </c>
      <c r="H4094" s="369" t="s">
        <v>2658</v>
      </c>
      <c r="I4094" s="313">
        <v>10</v>
      </c>
      <c r="J4094" s="314">
        <v>2.69909</v>
      </c>
      <c r="K4094" s="314">
        <v>2.0616300000000001</v>
      </c>
      <c r="L4094" s="336">
        <f t="shared" si="42"/>
        <v>0.63745999999999992</v>
      </c>
      <c r="M4094" s="337"/>
    </row>
    <row r="4095" spans="1:13" s="71" customFormat="1" ht="26.4">
      <c r="A4095" s="282">
        <v>499</v>
      </c>
      <c r="B4095" s="537"/>
      <c r="C4095" s="333" t="s">
        <v>15</v>
      </c>
      <c r="D4095" s="333" t="s">
        <v>4878</v>
      </c>
      <c r="E4095" s="260" t="s">
        <v>5025</v>
      </c>
      <c r="F4095" s="362">
        <v>1625</v>
      </c>
      <c r="G4095" s="311">
        <v>1985</v>
      </c>
      <c r="H4095" s="369" t="s">
        <v>2658</v>
      </c>
      <c r="I4095" s="313">
        <v>50</v>
      </c>
      <c r="J4095" s="314">
        <v>2.6372599999999999</v>
      </c>
      <c r="K4095" s="314">
        <v>2.6372599999999999</v>
      </c>
      <c r="L4095" s="336">
        <f t="shared" si="42"/>
        <v>0</v>
      </c>
      <c r="M4095" s="337"/>
    </row>
    <row r="4096" spans="1:13" s="71" customFormat="1" ht="26.4" customHeight="1">
      <c r="A4096" s="282">
        <v>500</v>
      </c>
      <c r="B4096" s="537"/>
      <c r="C4096" s="333" t="s">
        <v>15</v>
      </c>
      <c r="D4096" s="333" t="s">
        <v>4878</v>
      </c>
      <c r="E4096" s="260" t="s">
        <v>5026</v>
      </c>
      <c r="F4096" s="362">
        <v>1680</v>
      </c>
      <c r="G4096" s="311">
        <v>1985</v>
      </c>
      <c r="H4096" s="369" t="s">
        <v>2658</v>
      </c>
      <c r="I4096" s="313">
        <v>50</v>
      </c>
      <c r="J4096" s="314">
        <v>1.82416</v>
      </c>
      <c r="K4096" s="314">
        <v>1.5242100000000001</v>
      </c>
      <c r="L4096" s="336">
        <f t="shared" si="42"/>
        <v>0.29994999999999994</v>
      </c>
      <c r="M4096" s="337"/>
    </row>
    <row r="4097" spans="1:13" s="71" customFormat="1" ht="26.4" customHeight="1">
      <c r="A4097" s="282">
        <v>501</v>
      </c>
      <c r="B4097" s="537"/>
      <c r="C4097" s="333" t="s">
        <v>15</v>
      </c>
      <c r="D4097" s="333" t="s">
        <v>4878</v>
      </c>
      <c r="E4097" s="260" t="s">
        <v>5027</v>
      </c>
      <c r="F4097" s="362">
        <v>1681</v>
      </c>
      <c r="G4097" s="311">
        <v>1985</v>
      </c>
      <c r="H4097" s="369" t="s">
        <v>2658</v>
      </c>
      <c r="I4097" s="313">
        <v>50</v>
      </c>
      <c r="J4097" s="314">
        <v>1.3082400000000001</v>
      </c>
      <c r="K4097" s="314">
        <v>1.3082400000000001</v>
      </c>
      <c r="L4097" s="336">
        <f t="shared" si="42"/>
        <v>0</v>
      </c>
      <c r="M4097" s="337"/>
    </row>
    <row r="4098" spans="1:13" s="71" customFormat="1" ht="26.4" customHeight="1">
      <c r="A4098" s="282">
        <v>502</v>
      </c>
      <c r="B4098" s="537"/>
      <c r="C4098" s="333" t="s">
        <v>15</v>
      </c>
      <c r="D4098" s="333" t="s">
        <v>4878</v>
      </c>
      <c r="E4098" s="260" t="s">
        <v>5028</v>
      </c>
      <c r="F4098" s="362">
        <v>1691</v>
      </c>
      <c r="G4098" s="311">
        <v>1986</v>
      </c>
      <c r="H4098" s="369" t="s">
        <v>2658</v>
      </c>
      <c r="I4098" s="313">
        <v>8</v>
      </c>
      <c r="J4098" s="314">
        <v>7.7369599999999998</v>
      </c>
      <c r="K4098" s="314">
        <v>6.8369600000000004</v>
      </c>
      <c r="L4098" s="336">
        <f t="shared" si="42"/>
        <v>0.89999999999999947</v>
      </c>
      <c r="M4098" s="337"/>
    </row>
    <row r="4099" spans="1:13" s="71" customFormat="1" ht="26.4" customHeight="1">
      <c r="A4099" s="282">
        <v>503</v>
      </c>
      <c r="B4099" s="537"/>
      <c r="C4099" s="333" t="s">
        <v>15</v>
      </c>
      <c r="D4099" s="333" t="s">
        <v>4565</v>
      </c>
      <c r="E4099" s="260" t="s">
        <v>5029</v>
      </c>
      <c r="F4099" s="362">
        <v>1692</v>
      </c>
      <c r="G4099" s="311">
        <v>1986</v>
      </c>
      <c r="H4099" s="369" t="s">
        <v>2658</v>
      </c>
      <c r="I4099" s="313">
        <v>110</v>
      </c>
      <c r="J4099" s="314">
        <v>2.41256</v>
      </c>
      <c r="K4099" s="314">
        <v>2.41256</v>
      </c>
      <c r="L4099" s="336">
        <f t="shared" si="42"/>
        <v>0</v>
      </c>
      <c r="M4099" s="337"/>
    </row>
    <row r="4100" spans="1:13" s="71" customFormat="1" ht="26.4" customHeight="1">
      <c r="A4100" s="282">
        <v>504</v>
      </c>
      <c r="B4100" s="537"/>
      <c r="C4100" s="333" t="s">
        <v>15</v>
      </c>
      <c r="D4100" s="333" t="s">
        <v>4565</v>
      </c>
      <c r="E4100" s="260" t="s">
        <v>5030</v>
      </c>
      <c r="F4100" s="362">
        <v>1693</v>
      </c>
      <c r="G4100" s="311">
        <v>1986</v>
      </c>
      <c r="H4100" s="369" t="s">
        <v>2658</v>
      </c>
      <c r="I4100" s="313">
        <v>10</v>
      </c>
      <c r="J4100" s="314">
        <v>9.3559999999999999</v>
      </c>
      <c r="K4100" s="314">
        <v>8.9545899999999996</v>
      </c>
      <c r="L4100" s="336">
        <f t="shared" si="42"/>
        <v>0.40141000000000027</v>
      </c>
      <c r="M4100" s="337"/>
    </row>
    <row r="4101" spans="1:13" s="71" customFormat="1" ht="26.4" customHeight="1">
      <c r="A4101" s="282">
        <v>505</v>
      </c>
      <c r="B4101" s="537"/>
      <c r="C4101" s="333" t="s">
        <v>15</v>
      </c>
      <c r="D4101" s="333" t="s">
        <v>4565</v>
      </c>
      <c r="E4101" s="260" t="s">
        <v>5031</v>
      </c>
      <c r="F4101" s="362">
        <v>1694</v>
      </c>
      <c r="G4101" s="311">
        <v>1986</v>
      </c>
      <c r="H4101" s="369" t="s">
        <v>2658</v>
      </c>
      <c r="I4101" s="313">
        <v>104</v>
      </c>
      <c r="J4101" s="314">
        <v>3.0396000000000001</v>
      </c>
      <c r="K4101" s="314">
        <v>3.0396000000000001</v>
      </c>
      <c r="L4101" s="336">
        <f t="shared" si="42"/>
        <v>0</v>
      </c>
      <c r="M4101" s="337"/>
    </row>
    <row r="4102" spans="1:13" s="71" customFormat="1" ht="26.4" customHeight="1">
      <c r="A4102" s="282">
        <v>506</v>
      </c>
      <c r="B4102" s="537"/>
      <c r="C4102" s="333" t="s">
        <v>15</v>
      </c>
      <c r="D4102" s="333" t="s">
        <v>4565</v>
      </c>
      <c r="E4102" s="260" t="s">
        <v>5032</v>
      </c>
      <c r="F4102" s="362">
        <v>1695</v>
      </c>
      <c r="G4102" s="311">
        <v>1986</v>
      </c>
      <c r="H4102" s="369" t="s">
        <v>2658</v>
      </c>
      <c r="I4102" s="313">
        <v>15</v>
      </c>
      <c r="J4102" s="314">
        <v>3.3330799999999998</v>
      </c>
      <c r="K4102" s="314">
        <v>3.1580300000000001</v>
      </c>
      <c r="L4102" s="336">
        <f t="shared" si="42"/>
        <v>0.17504999999999971</v>
      </c>
      <c r="M4102" s="337"/>
    </row>
    <row r="4103" spans="1:13" s="71" customFormat="1" ht="26.4" customHeight="1">
      <c r="A4103" s="282">
        <v>507</v>
      </c>
      <c r="B4103" s="537"/>
      <c r="C4103" s="333" t="s">
        <v>15</v>
      </c>
      <c r="D4103" s="333" t="s">
        <v>4565</v>
      </c>
      <c r="E4103" s="260" t="s">
        <v>5033</v>
      </c>
      <c r="F4103" s="362">
        <v>1696</v>
      </c>
      <c r="G4103" s="311">
        <v>1986</v>
      </c>
      <c r="H4103" s="369" t="s">
        <v>2658</v>
      </c>
      <c r="I4103" s="313">
        <v>272</v>
      </c>
      <c r="J4103" s="314">
        <v>4.3070500000000003</v>
      </c>
      <c r="K4103" s="314">
        <v>4.3070500000000003</v>
      </c>
      <c r="L4103" s="336">
        <f t="shared" si="42"/>
        <v>0</v>
      </c>
      <c r="M4103" s="337"/>
    </row>
    <row r="4104" spans="1:13" s="71" customFormat="1" ht="26.4" customHeight="1">
      <c r="A4104" s="282">
        <v>508</v>
      </c>
      <c r="B4104" s="537"/>
      <c r="C4104" s="333" t="s">
        <v>15</v>
      </c>
      <c r="D4104" s="333" t="s">
        <v>4565</v>
      </c>
      <c r="E4104" s="260" t="s">
        <v>5034</v>
      </c>
      <c r="F4104" s="362">
        <v>1699</v>
      </c>
      <c r="G4104" s="311">
        <v>1986</v>
      </c>
      <c r="H4104" s="369" t="s">
        <v>2658</v>
      </c>
      <c r="I4104" s="313">
        <v>30</v>
      </c>
      <c r="J4104" s="314">
        <v>6.4989999999999997</v>
      </c>
      <c r="K4104" s="314">
        <v>6.2204100000000002</v>
      </c>
      <c r="L4104" s="336">
        <f t="shared" si="42"/>
        <v>0.27858999999999945</v>
      </c>
      <c r="M4104" s="337"/>
    </row>
    <row r="4105" spans="1:13" s="71" customFormat="1" ht="26.4" customHeight="1">
      <c r="A4105" s="282">
        <v>509</v>
      </c>
      <c r="B4105" s="537"/>
      <c r="C4105" s="333" t="s">
        <v>15</v>
      </c>
      <c r="D4105" s="333" t="s">
        <v>4565</v>
      </c>
      <c r="E4105" s="260" t="s">
        <v>5035</v>
      </c>
      <c r="F4105" s="362">
        <v>1700</v>
      </c>
      <c r="G4105" s="311">
        <v>1986</v>
      </c>
      <c r="H4105" s="369" t="s">
        <v>2658</v>
      </c>
      <c r="I4105" s="313">
        <v>145</v>
      </c>
      <c r="J4105" s="314">
        <v>3.694</v>
      </c>
      <c r="K4105" s="314">
        <v>3.694</v>
      </c>
      <c r="L4105" s="336">
        <f t="shared" si="42"/>
        <v>0</v>
      </c>
      <c r="M4105" s="337"/>
    </row>
    <row r="4106" spans="1:13" s="71" customFormat="1" ht="26.4" customHeight="1">
      <c r="A4106" s="282">
        <v>510</v>
      </c>
      <c r="B4106" s="537"/>
      <c r="C4106" s="333" t="s">
        <v>15</v>
      </c>
      <c r="D4106" s="333" t="s">
        <v>5019</v>
      </c>
      <c r="E4106" s="260" t="s">
        <v>5036</v>
      </c>
      <c r="F4106" s="362">
        <v>1709</v>
      </c>
      <c r="G4106" s="311">
        <v>1983</v>
      </c>
      <c r="H4106" s="369" t="s">
        <v>2658</v>
      </c>
      <c r="I4106" s="313">
        <v>400</v>
      </c>
      <c r="J4106" s="314">
        <v>137.91399999999999</v>
      </c>
      <c r="K4106" s="314">
        <v>137.06339</v>
      </c>
      <c r="L4106" s="336">
        <f t="shared" si="42"/>
        <v>0.85060999999998899</v>
      </c>
      <c r="M4106" s="337"/>
    </row>
    <row r="4107" spans="1:13" s="71" customFormat="1" ht="26.4" customHeight="1">
      <c r="A4107" s="282">
        <v>511</v>
      </c>
      <c r="B4107" s="537"/>
      <c r="C4107" s="333" t="s">
        <v>15</v>
      </c>
      <c r="D4107" s="333" t="s">
        <v>5019</v>
      </c>
      <c r="E4107" s="260" t="s">
        <v>13148</v>
      </c>
      <c r="F4107" s="362">
        <v>1764</v>
      </c>
      <c r="G4107" s="311">
        <v>1988</v>
      </c>
      <c r="H4107" s="369" t="s">
        <v>2658</v>
      </c>
      <c r="I4107" s="313">
        <v>80</v>
      </c>
      <c r="J4107" s="314">
        <v>15.487740000000001</v>
      </c>
      <c r="K4107" s="314">
        <v>15.28546</v>
      </c>
      <c r="L4107" s="336">
        <f t="shared" si="42"/>
        <v>0.20228000000000002</v>
      </c>
      <c r="M4107" s="337"/>
    </row>
    <row r="4108" spans="1:13" s="71" customFormat="1" ht="26.4" customHeight="1">
      <c r="A4108" s="282">
        <v>512</v>
      </c>
      <c r="B4108" s="537"/>
      <c r="C4108" s="333" t="s">
        <v>15</v>
      </c>
      <c r="D4108" s="333" t="s">
        <v>5019</v>
      </c>
      <c r="E4108" s="260" t="s">
        <v>5037</v>
      </c>
      <c r="F4108" s="362">
        <v>1765</v>
      </c>
      <c r="G4108" s="311">
        <v>1988</v>
      </c>
      <c r="H4108" s="369" t="s">
        <v>2658</v>
      </c>
      <c r="I4108" s="313">
        <v>63</v>
      </c>
      <c r="J4108" s="314">
        <v>24.632000000000001</v>
      </c>
      <c r="K4108" s="314">
        <v>24.590150000000001</v>
      </c>
      <c r="L4108" s="336">
        <f t="shared" si="42"/>
        <v>4.1850000000000165E-2</v>
      </c>
      <c r="M4108" s="337"/>
    </row>
    <row r="4109" spans="1:13" s="71" customFormat="1" ht="26.4" customHeight="1">
      <c r="A4109" s="282">
        <v>513</v>
      </c>
      <c r="B4109" s="537"/>
      <c r="C4109" s="333" t="s">
        <v>15</v>
      </c>
      <c r="D4109" s="333" t="s">
        <v>4565</v>
      </c>
      <c r="E4109" s="260" t="s">
        <v>5038</v>
      </c>
      <c r="F4109" s="362">
        <v>1766</v>
      </c>
      <c r="G4109" s="311">
        <v>1988</v>
      </c>
      <c r="H4109" s="369" t="s">
        <v>2658</v>
      </c>
      <c r="I4109" s="313">
        <v>20</v>
      </c>
      <c r="J4109" s="314">
        <v>2.8830800000000001</v>
      </c>
      <c r="K4109" s="314">
        <v>2.2080799999999998</v>
      </c>
      <c r="L4109" s="336">
        <f t="shared" ref="L4109:L4172" si="43">J4109-K4109</f>
        <v>0.67500000000000027</v>
      </c>
      <c r="M4109" s="337"/>
    </row>
    <row r="4110" spans="1:13" s="71" customFormat="1" ht="26.4" customHeight="1">
      <c r="A4110" s="282">
        <v>514</v>
      </c>
      <c r="B4110" s="537"/>
      <c r="C4110" s="333" t="s">
        <v>15</v>
      </c>
      <c r="D4110" s="333" t="s">
        <v>4565</v>
      </c>
      <c r="E4110" s="260" t="s">
        <v>5039</v>
      </c>
      <c r="F4110" s="362">
        <v>1767</v>
      </c>
      <c r="G4110" s="311">
        <v>1988</v>
      </c>
      <c r="H4110" s="369" t="s">
        <v>2658</v>
      </c>
      <c r="I4110" s="313">
        <v>207</v>
      </c>
      <c r="J4110" s="314">
        <v>18.930599999999998</v>
      </c>
      <c r="K4110" s="314">
        <v>16.84807</v>
      </c>
      <c r="L4110" s="336">
        <f t="shared" si="43"/>
        <v>2.0825299999999984</v>
      </c>
      <c r="M4110" s="337"/>
    </row>
    <row r="4111" spans="1:13" s="71" customFormat="1" ht="26.4" customHeight="1">
      <c r="A4111" s="282">
        <v>515</v>
      </c>
      <c r="B4111" s="537"/>
      <c r="C4111" s="333" t="s">
        <v>15</v>
      </c>
      <c r="D4111" s="333" t="s">
        <v>4565</v>
      </c>
      <c r="E4111" s="260" t="s">
        <v>5040</v>
      </c>
      <c r="F4111" s="362">
        <v>1768</v>
      </c>
      <c r="G4111" s="311">
        <v>1988</v>
      </c>
      <c r="H4111" s="369" t="s">
        <v>2658</v>
      </c>
      <c r="I4111" s="313">
        <v>12</v>
      </c>
      <c r="J4111" s="314">
        <v>4.8209999999999997</v>
      </c>
      <c r="K4111" s="314">
        <v>4.6178600000000003</v>
      </c>
      <c r="L4111" s="336">
        <f t="shared" si="43"/>
        <v>0.20313999999999943</v>
      </c>
      <c r="M4111" s="337"/>
    </row>
    <row r="4112" spans="1:13" s="71" customFormat="1" ht="26.4" customHeight="1">
      <c r="A4112" s="282">
        <v>516</v>
      </c>
      <c r="B4112" s="537"/>
      <c r="C4112" s="333" t="s">
        <v>15</v>
      </c>
      <c r="D4112" s="333" t="s">
        <v>4565</v>
      </c>
      <c r="E4112" s="260" t="s">
        <v>5041</v>
      </c>
      <c r="F4112" s="362">
        <v>1769</v>
      </c>
      <c r="G4112" s="311">
        <v>1988</v>
      </c>
      <c r="H4112" s="369" t="s">
        <v>2658</v>
      </c>
      <c r="I4112" s="313">
        <v>92</v>
      </c>
      <c r="J4112" s="314">
        <v>4.141</v>
      </c>
      <c r="K4112" s="314">
        <v>4.141</v>
      </c>
      <c r="L4112" s="336">
        <f t="shared" si="43"/>
        <v>0</v>
      </c>
      <c r="M4112" s="337"/>
    </row>
    <row r="4113" spans="1:13" s="71" customFormat="1" ht="26.4" customHeight="1">
      <c r="A4113" s="282">
        <v>517</v>
      </c>
      <c r="B4113" s="537"/>
      <c r="C4113" s="333" t="s">
        <v>15</v>
      </c>
      <c r="D4113" s="333" t="s">
        <v>5019</v>
      </c>
      <c r="E4113" s="260" t="s">
        <v>5042</v>
      </c>
      <c r="F4113" s="362">
        <v>1778</v>
      </c>
      <c r="G4113" s="311">
        <v>1988</v>
      </c>
      <c r="H4113" s="369" t="s">
        <v>2658</v>
      </c>
      <c r="I4113" s="313">
        <v>8</v>
      </c>
      <c r="J4113" s="314">
        <v>5.1778399999999998</v>
      </c>
      <c r="K4113" s="314">
        <v>4.50284</v>
      </c>
      <c r="L4113" s="336">
        <f t="shared" si="43"/>
        <v>0.67499999999999982</v>
      </c>
      <c r="M4113" s="337"/>
    </row>
    <row r="4114" spans="1:13" s="71" customFormat="1" ht="26.4" customHeight="1">
      <c r="A4114" s="282">
        <v>518</v>
      </c>
      <c r="B4114" s="537"/>
      <c r="C4114" s="333" t="s">
        <v>15</v>
      </c>
      <c r="D4114" s="333" t="s">
        <v>5019</v>
      </c>
      <c r="E4114" s="260" t="s">
        <v>5043</v>
      </c>
      <c r="F4114" s="362">
        <v>1779</v>
      </c>
      <c r="G4114" s="311">
        <v>1988</v>
      </c>
      <c r="H4114" s="369" t="s">
        <v>2658</v>
      </c>
      <c r="I4114" s="313">
        <v>63</v>
      </c>
      <c r="J4114" s="314">
        <v>2.8994300000000002</v>
      </c>
      <c r="K4114" s="314">
        <v>2.8994300000000002</v>
      </c>
      <c r="L4114" s="336">
        <f t="shared" si="43"/>
        <v>0</v>
      </c>
      <c r="M4114" s="337"/>
    </row>
    <row r="4115" spans="1:13" s="71" customFormat="1" ht="26.4" customHeight="1">
      <c r="A4115" s="282">
        <v>519</v>
      </c>
      <c r="B4115" s="537"/>
      <c r="C4115" s="333" t="s">
        <v>15</v>
      </c>
      <c r="D4115" s="333" t="s">
        <v>4565</v>
      </c>
      <c r="E4115" s="260" t="s">
        <v>5044</v>
      </c>
      <c r="F4115" s="362">
        <v>1780</v>
      </c>
      <c r="G4115" s="311">
        <v>1988</v>
      </c>
      <c r="H4115" s="369" t="s">
        <v>2658</v>
      </c>
      <c r="I4115" s="313">
        <v>25</v>
      </c>
      <c r="J4115" s="314">
        <v>4.9931599999999996</v>
      </c>
      <c r="K4115" s="314">
        <v>4.5264600000000002</v>
      </c>
      <c r="L4115" s="336">
        <f t="shared" si="43"/>
        <v>0.46669999999999945</v>
      </c>
      <c r="M4115" s="337"/>
    </row>
    <row r="4116" spans="1:13" s="71" customFormat="1" ht="26.4" customHeight="1">
      <c r="A4116" s="282">
        <v>520</v>
      </c>
      <c r="B4116" s="537"/>
      <c r="C4116" s="333" t="s">
        <v>15</v>
      </c>
      <c r="D4116" s="333" t="s">
        <v>5019</v>
      </c>
      <c r="E4116" s="260" t="s">
        <v>13149</v>
      </c>
      <c r="F4116" s="362">
        <v>1781</v>
      </c>
      <c r="G4116" s="311">
        <v>1988</v>
      </c>
      <c r="H4116" s="369" t="s">
        <v>2658</v>
      </c>
      <c r="I4116" s="313">
        <v>135</v>
      </c>
      <c r="J4116" s="314">
        <v>6.4614500000000001</v>
      </c>
      <c r="K4116" s="314">
        <v>6.26145</v>
      </c>
      <c r="L4116" s="336">
        <f t="shared" si="43"/>
        <v>0.20000000000000018</v>
      </c>
      <c r="M4116" s="337"/>
    </row>
    <row r="4117" spans="1:13" s="71" customFormat="1" ht="26.4" customHeight="1">
      <c r="A4117" s="282">
        <v>521</v>
      </c>
      <c r="B4117" s="537"/>
      <c r="C4117" s="333" t="s">
        <v>15</v>
      </c>
      <c r="D4117" s="333" t="s">
        <v>5019</v>
      </c>
      <c r="E4117" s="260" t="s">
        <v>5045</v>
      </c>
      <c r="F4117" s="362">
        <v>1789</v>
      </c>
      <c r="G4117" s="311">
        <v>1989</v>
      </c>
      <c r="H4117" s="369" t="s">
        <v>2658</v>
      </c>
      <c r="I4117" s="313">
        <v>15</v>
      </c>
      <c r="J4117" s="314">
        <v>11.991</v>
      </c>
      <c r="K4117" s="314">
        <v>11.476319999999999</v>
      </c>
      <c r="L4117" s="336">
        <f t="shared" si="43"/>
        <v>0.51468000000000025</v>
      </c>
      <c r="M4117" s="337"/>
    </row>
    <row r="4118" spans="1:13" s="71" customFormat="1" ht="26.4" customHeight="1">
      <c r="A4118" s="282">
        <v>522</v>
      </c>
      <c r="B4118" s="537"/>
      <c r="C4118" s="333" t="s">
        <v>15</v>
      </c>
      <c r="D4118" s="333" t="s">
        <v>4597</v>
      </c>
      <c r="E4118" s="260" t="s">
        <v>5046</v>
      </c>
      <c r="F4118" s="362">
        <v>1790</v>
      </c>
      <c r="G4118" s="311">
        <v>1989</v>
      </c>
      <c r="H4118" s="369" t="s">
        <v>2658</v>
      </c>
      <c r="I4118" s="313">
        <v>399</v>
      </c>
      <c r="J4118" s="314">
        <v>19.827000000000002</v>
      </c>
      <c r="K4118" s="314">
        <v>19.793849999999999</v>
      </c>
      <c r="L4118" s="336">
        <f t="shared" si="43"/>
        <v>3.3150000000002677E-2</v>
      </c>
      <c r="M4118" s="337"/>
    </row>
    <row r="4119" spans="1:13" s="71" customFormat="1" ht="26.4" customHeight="1">
      <c r="A4119" s="282">
        <v>523</v>
      </c>
      <c r="B4119" s="537"/>
      <c r="C4119" s="333" t="s">
        <v>15</v>
      </c>
      <c r="D4119" s="333" t="s">
        <v>4856</v>
      </c>
      <c r="E4119" s="260" t="s">
        <v>5047</v>
      </c>
      <c r="F4119" s="362">
        <v>2071</v>
      </c>
      <c r="G4119" s="311">
        <v>1999</v>
      </c>
      <c r="H4119" s="369" t="s">
        <v>2658</v>
      </c>
      <c r="I4119" s="313">
        <v>2668</v>
      </c>
      <c r="J4119" s="314">
        <v>450.64</v>
      </c>
      <c r="K4119" s="314">
        <v>444.93741</v>
      </c>
      <c r="L4119" s="336">
        <f t="shared" si="43"/>
        <v>5.7025899999999865</v>
      </c>
      <c r="M4119" s="337"/>
    </row>
    <row r="4120" spans="1:13" s="71" customFormat="1" ht="26.4" customHeight="1">
      <c r="A4120" s="282">
        <v>524</v>
      </c>
      <c r="B4120" s="537"/>
      <c r="C4120" s="333" t="s">
        <v>15</v>
      </c>
      <c r="D4120" s="333" t="s">
        <v>5048</v>
      </c>
      <c r="E4120" s="260" t="s">
        <v>5049</v>
      </c>
      <c r="F4120" s="362">
        <v>2076</v>
      </c>
      <c r="G4120" s="311">
        <v>1999</v>
      </c>
      <c r="H4120" s="369" t="s">
        <v>2658</v>
      </c>
      <c r="I4120" s="313">
        <v>100</v>
      </c>
      <c r="J4120" s="314">
        <v>7.86219</v>
      </c>
      <c r="K4120" s="314">
        <v>7.4939200000000001</v>
      </c>
      <c r="L4120" s="336">
        <f t="shared" si="43"/>
        <v>0.36826999999999988</v>
      </c>
      <c r="M4120" s="337"/>
    </row>
    <row r="4121" spans="1:13" s="71" customFormat="1" ht="26.4" customHeight="1">
      <c r="A4121" s="282">
        <v>525</v>
      </c>
      <c r="B4121" s="537"/>
      <c r="C4121" s="333" t="s">
        <v>15</v>
      </c>
      <c r="D4121" s="333" t="s">
        <v>5050</v>
      </c>
      <c r="E4121" s="260" t="s">
        <v>5051</v>
      </c>
      <c r="F4121" s="362">
        <v>2081</v>
      </c>
      <c r="G4121" s="311">
        <v>1999</v>
      </c>
      <c r="H4121" s="369" t="s">
        <v>3243</v>
      </c>
      <c r="I4121" s="313" t="s">
        <v>3243</v>
      </c>
      <c r="J4121" s="314">
        <v>3.0139999999999998</v>
      </c>
      <c r="K4121" s="314">
        <v>2.9577499999999999</v>
      </c>
      <c r="L4121" s="336">
        <f t="shared" si="43"/>
        <v>5.6249999999999911E-2</v>
      </c>
      <c r="M4121" s="337"/>
    </row>
    <row r="4122" spans="1:13" s="71" customFormat="1" ht="26.4" customHeight="1">
      <c r="A4122" s="282">
        <v>526</v>
      </c>
      <c r="B4122" s="537"/>
      <c r="C4122" s="333" t="s">
        <v>15</v>
      </c>
      <c r="D4122" s="333" t="s">
        <v>5052</v>
      </c>
      <c r="E4122" s="260" t="s">
        <v>5053</v>
      </c>
      <c r="F4122" s="362">
        <v>2085</v>
      </c>
      <c r="G4122" s="311">
        <v>1987</v>
      </c>
      <c r="H4122" s="369" t="s">
        <v>2658</v>
      </c>
      <c r="I4122" s="313">
        <v>50</v>
      </c>
      <c r="J4122" s="314">
        <v>6.7881200000000002</v>
      </c>
      <c r="K4122" s="314">
        <v>6.1465199999999998</v>
      </c>
      <c r="L4122" s="336">
        <f t="shared" si="43"/>
        <v>0.64160000000000039</v>
      </c>
      <c r="M4122" s="337"/>
    </row>
    <row r="4123" spans="1:13" s="71" customFormat="1" ht="26.4" customHeight="1">
      <c r="A4123" s="282">
        <v>527</v>
      </c>
      <c r="B4123" s="537"/>
      <c r="C4123" s="333" t="s">
        <v>15</v>
      </c>
      <c r="D4123" s="333" t="s">
        <v>5054</v>
      </c>
      <c r="E4123" s="260" t="s">
        <v>5055</v>
      </c>
      <c r="F4123" s="362">
        <v>2086</v>
      </c>
      <c r="G4123" s="311">
        <v>1984</v>
      </c>
      <c r="H4123" s="369" t="s">
        <v>2658</v>
      </c>
      <c r="I4123" s="313">
        <v>340</v>
      </c>
      <c r="J4123" s="314">
        <v>3.9721600000000001</v>
      </c>
      <c r="K4123" s="314">
        <v>3.3888600000000002</v>
      </c>
      <c r="L4123" s="336">
        <f t="shared" si="43"/>
        <v>0.58329999999999993</v>
      </c>
      <c r="M4123" s="337"/>
    </row>
    <row r="4124" spans="1:13" s="71" customFormat="1" ht="26.4" customHeight="1">
      <c r="A4124" s="282">
        <v>528</v>
      </c>
      <c r="B4124" s="537"/>
      <c r="C4124" s="333" t="s">
        <v>15</v>
      </c>
      <c r="D4124" s="333" t="s">
        <v>5056</v>
      </c>
      <c r="E4124" s="260" t="s">
        <v>5057</v>
      </c>
      <c r="F4124" s="362">
        <v>2087</v>
      </c>
      <c r="G4124" s="311">
        <v>1982</v>
      </c>
      <c r="H4124" s="369" t="s">
        <v>2658</v>
      </c>
      <c r="I4124" s="313">
        <v>290</v>
      </c>
      <c r="J4124" s="314">
        <v>6.17516</v>
      </c>
      <c r="K4124" s="314">
        <v>5.5335599999999996</v>
      </c>
      <c r="L4124" s="336">
        <f t="shared" si="43"/>
        <v>0.64160000000000039</v>
      </c>
      <c r="M4124" s="337"/>
    </row>
    <row r="4125" spans="1:13" s="71" customFormat="1" ht="26.4" customHeight="1">
      <c r="A4125" s="282">
        <v>529</v>
      </c>
      <c r="B4125" s="537"/>
      <c r="C4125" s="333" t="s">
        <v>15</v>
      </c>
      <c r="D4125" s="333" t="s">
        <v>5058</v>
      </c>
      <c r="E4125" s="260" t="s">
        <v>5059</v>
      </c>
      <c r="F4125" s="362">
        <v>2088</v>
      </c>
      <c r="G4125" s="311">
        <v>1982</v>
      </c>
      <c r="H4125" s="369" t="s">
        <v>2658</v>
      </c>
      <c r="I4125" s="313">
        <v>80</v>
      </c>
      <c r="J4125" s="314">
        <v>1.8240799999999999</v>
      </c>
      <c r="K4125" s="314">
        <v>1.59073</v>
      </c>
      <c r="L4125" s="336">
        <f t="shared" si="43"/>
        <v>0.23334999999999995</v>
      </c>
      <c r="M4125" s="337"/>
    </row>
    <row r="4126" spans="1:13" s="71" customFormat="1" ht="26.4" customHeight="1">
      <c r="A4126" s="282">
        <v>530</v>
      </c>
      <c r="B4126" s="537"/>
      <c r="C4126" s="333" t="s">
        <v>15</v>
      </c>
      <c r="D4126" s="333" t="s">
        <v>5060</v>
      </c>
      <c r="E4126" s="260" t="s">
        <v>5061</v>
      </c>
      <c r="F4126" s="362">
        <v>2089</v>
      </c>
      <c r="G4126" s="311">
        <v>1989</v>
      </c>
      <c r="H4126" s="369" t="s">
        <v>2658</v>
      </c>
      <c r="I4126" s="313">
        <v>370</v>
      </c>
      <c r="J4126" s="314">
        <v>3.4461599999999999</v>
      </c>
      <c r="K4126" s="314">
        <v>3.2711100000000002</v>
      </c>
      <c r="L4126" s="336">
        <f t="shared" si="43"/>
        <v>0.17504999999999971</v>
      </c>
      <c r="M4126" s="337"/>
    </row>
    <row r="4127" spans="1:13" s="71" customFormat="1" ht="26.4" customHeight="1">
      <c r="A4127" s="282">
        <v>531</v>
      </c>
      <c r="B4127" s="537"/>
      <c r="C4127" s="333" t="s">
        <v>15</v>
      </c>
      <c r="D4127" s="333" t="s">
        <v>5062</v>
      </c>
      <c r="E4127" s="260" t="s">
        <v>5063</v>
      </c>
      <c r="F4127" s="362">
        <v>2090</v>
      </c>
      <c r="G4127" s="311">
        <v>1981</v>
      </c>
      <c r="H4127" s="369" t="s">
        <v>2658</v>
      </c>
      <c r="I4127" s="313">
        <v>260</v>
      </c>
      <c r="J4127" s="314">
        <v>2.6080800000000002</v>
      </c>
      <c r="K4127" s="314">
        <v>2.43303</v>
      </c>
      <c r="L4127" s="336">
        <f t="shared" si="43"/>
        <v>0.17505000000000015</v>
      </c>
      <c r="M4127" s="337"/>
    </row>
    <row r="4128" spans="1:13" s="71" customFormat="1" ht="26.4" customHeight="1">
      <c r="A4128" s="282">
        <v>532</v>
      </c>
      <c r="B4128" s="537"/>
      <c r="C4128" s="333" t="s">
        <v>15</v>
      </c>
      <c r="D4128" s="333" t="s">
        <v>4695</v>
      </c>
      <c r="E4128" s="260" t="s">
        <v>5064</v>
      </c>
      <c r="F4128" s="362">
        <v>2091</v>
      </c>
      <c r="G4128" s="311">
        <v>1980</v>
      </c>
      <c r="H4128" s="369" t="s">
        <v>2658</v>
      </c>
      <c r="I4128" s="313">
        <v>490</v>
      </c>
      <c r="J4128" s="314">
        <v>5.62216</v>
      </c>
      <c r="K4128" s="314">
        <v>5.0221099999999996</v>
      </c>
      <c r="L4128" s="336">
        <f t="shared" si="43"/>
        <v>0.60005000000000042</v>
      </c>
      <c r="M4128" s="337"/>
    </row>
    <row r="4129" spans="1:13" s="71" customFormat="1" ht="26.4" customHeight="1">
      <c r="A4129" s="282">
        <v>533</v>
      </c>
      <c r="B4129" s="537"/>
      <c r="C4129" s="333" t="s">
        <v>15</v>
      </c>
      <c r="D4129" s="333" t="s">
        <v>5065</v>
      </c>
      <c r="E4129" s="260" t="s">
        <v>5066</v>
      </c>
      <c r="F4129" s="362">
        <v>2092</v>
      </c>
      <c r="G4129" s="311">
        <v>1981</v>
      </c>
      <c r="H4129" s="369" t="s">
        <v>2658</v>
      </c>
      <c r="I4129" s="313">
        <v>130</v>
      </c>
      <c r="J4129" s="314">
        <v>3.0340799999999999</v>
      </c>
      <c r="K4129" s="314">
        <v>1.9090800000000001</v>
      </c>
      <c r="L4129" s="336">
        <f t="shared" si="43"/>
        <v>1.1249999999999998</v>
      </c>
      <c r="M4129" s="337"/>
    </row>
    <row r="4130" spans="1:13" s="71" customFormat="1" ht="26.4" customHeight="1">
      <c r="A4130" s="282">
        <v>534</v>
      </c>
      <c r="B4130" s="537"/>
      <c r="C4130" s="333" t="s">
        <v>15</v>
      </c>
      <c r="D4130" s="333" t="s">
        <v>5067</v>
      </c>
      <c r="E4130" s="260" t="s">
        <v>5068</v>
      </c>
      <c r="F4130" s="362">
        <v>2093</v>
      </c>
      <c r="G4130" s="311">
        <v>1985</v>
      </c>
      <c r="H4130" s="369" t="s">
        <v>2658</v>
      </c>
      <c r="I4130" s="313">
        <v>370</v>
      </c>
      <c r="J4130" s="314">
        <v>3.89608</v>
      </c>
      <c r="K4130" s="314">
        <v>3.1835300000000002</v>
      </c>
      <c r="L4130" s="336">
        <f t="shared" si="43"/>
        <v>0.71254999999999979</v>
      </c>
      <c r="M4130" s="337"/>
    </row>
    <row r="4131" spans="1:13" s="71" customFormat="1" ht="26.4" customHeight="1">
      <c r="A4131" s="282">
        <v>535</v>
      </c>
      <c r="B4131" s="537"/>
      <c r="C4131" s="333" t="s">
        <v>15</v>
      </c>
      <c r="D4131" s="333" t="s">
        <v>5069</v>
      </c>
      <c r="E4131" s="260" t="s">
        <v>5070</v>
      </c>
      <c r="F4131" s="362">
        <v>2094</v>
      </c>
      <c r="G4131" s="311">
        <v>1980</v>
      </c>
      <c r="H4131" s="369" t="s">
        <v>2658</v>
      </c>
      <c r="I4131" s="313">
        <v>200</v>
      </c>
      <c r="J4131" s="314">
        <v>2.9100799999999998</v>
      </c>
      <c r="K4131" s="314">
        <v>2.3559299999999999</v>
      </c>
      <c r="L4131" s="336">
        <f t="shared" si="43"/>
        <v>0.55414999999999992</v>
      </c>
      <c r="M4131" s="337"/>
    </row>
    <row r="4132" spans="1:13" s="71" customFormat="1" ht="26.4" customHeight="1">
      <c r="A4132" s="282">
        <v>536</v>
      </c>
      <c r="B4132" s="537"/>
      <c r="C4132" s="333" t="s">
        <v>15</v>
      </c>
      <c r="D4132" s="333" t="s">
        <v>5071</v>
      </c>
      <c r="E4132" s="260" t="s">
        <v>5072</v>
      </c>
      <c r="F4132" s="362">
        <v>2095</v>
      </c>
      <c r="G4132" s="311">
        <v>1979</v>
      </c>
      <c r="H4132" s="369" t="s">
        <v>2658</v>
      </c>
      <c r="I4132" s="313">
        <v>120</v>
      </c>
      <c r="J4132" s="314">
        <v>1.9960800000000001</v>
      </c>
      <c r="K4132" s="314">
        <v>1.7044299999999999</v>
      </c>
      <c r="L4132" s="336">
        <f t="shared" si="43"/>
        <v>0.29165000000000019</v>
      </c>
      <c r="M4132" s="337"/>
    </row>
    <row r="4133" spans="1:13" s="71" customFormat="1" ht="26.4" customHeight="1">
      <c r="A4133" s="282">
        <v>537</v>
      </c>
      <c r="B4133" s="537"/>
      <c r="C4133" s="333" t="s">
        <v>15</v>
      </c>
      <c r="D4133" s="333" t="s">
        <v>5073</v>
      </c>
      <c r="E4133" s="260" t="s">
        <v>5074</v>
      </c>
      <c r="F4133" s="362">
        <v>2096</v>
      </c>
      <c r="G4133" s="311">
        <v>1981</v>
      </c>
      <c r="H4133" s="369" t="s">
        <v>2658</v>
      </c>
      <c r="I4133" s="313">
        <v>640</v>
      </c>
      <c r="J4133" s="314">
        <v>5.8517999999999999</v>
      </c>
      <c r="K4133" s="314">
        <v>5.6014799999999996</v>
      </c>
      <c r="L4133" s="336">
        <f t="shared" si="43"/>
        <v>0.25032000000000032</v>
      </c>
      <c r="M4133" s="337"/>
    </row>
    <row r="4134" spans="1:13" s="71" customFormat="1" ht="26.4" customHeight="1">
      <c r="A4134" s="282">
        <v>538</v>
      </c>
      <c r="B4134" s="537"/>
      <c r="C4134" s="333" t="s">
        <v>15</v>
      </c>
      <c r="D4134" s="333" t="s">
        <v>5075</v>
      </c>
      <c r="E4134" s="260" t="s">
        <v>5076</v>
      </c>
      <c r="F4134" s="362">
        <v>2097</v>
      </c>
      <c r="G4134" s="311">
        <v>1982</v>
      </c>
      <c r="H4134" s="369" t="s">
        <v>2658</v>
      </c>
      <c r="I4134" s="313">
        <v>220</v>
      </c>
      <c r="J4134" s="314">
        <v>2.8260800000000001</v>
      </c>
      <c r="K4134" s="314">
        <v>2.2635800000000001</v>
      </c>
      <c r="L4134" s="336">
        <f t="shared" si="43"/>
        <v>0.5625</v>
      </c>
      <c r="M4134" s="337"/>
    </row>
    <row r="4135" spans="1:13" s="71" customFormat="1" ht="26.4" customHeight="1">
      <c r="A4135" s="282">
        <v>539</v>
      </c>
      <c r="B4135" s="537"/>
      <c r="C4135" s="333" t="s">
        <v>15</v>
      </c>
      <c r="D4135" s="333" t="s">
        <v>5077</v>
      </c>
      <c r="E4135" s="260" t="s">
        <v>5078</v>
      </c>
      <c r="F4135" s="362">
        <v>2098</v>
      </c>
      <c r="G4135" s="311">
        <v>1984</v>
      </c>
      <c r="H4135" s="369" t="s">
        <v>2658</v>
      </c>
      <c r="I4135" s="313">
        <v>240</v>
      </c>
      <c r="J4135" s="314">
        <v>3.0420799999999999</v>
      </c>
      <c r="K4135" s="314">
        <v>2.40463</v>
      </c>
      <c r="L4135" s="336">
        <f t="shared" si="43"/>
        <v>0.63744999999999985</v>
      </c>
      <c r="M4135" s="337"/>
    </row>
    <row r="4136" spans="1:13" s="71" customFormat="1" ht="26.4" customHeight="1">
      <c r="A4136" s="282">
        <v>540</v>
      </c>
      <c r="B4136" s="537"/>
      <c r="C4136" s="333" t="s">
        <v>15</v>
      </c>
      <c r="D4136" s="333" t="s">
        <v>5079</v>
      </c>
      <c r="E4136" s="260" t="s">
        <v>5080</v>
      </c>
      <c r="F4136" s="362">
        <v>2099</v>
      </c>
      <c r="G4136" s="311">
        <v>1980</v>
      </c>
      <c r="H4136" s="369" t="s">
        <v>2658</v>
      </c>
      <c r="I4136" s="313">
        <v>170</v>
      </c>
      <c r="J4136" s="314">
        <v>2.5860799999999999</v>
      </c>
      <c r="K4136" s="314">
        <v>1.98603</v>
      </c>
      <c r="L4136" s="336">
        <f t="shared" si="43"/>
        <v>0.60004999999999997</v>
      </c>
      <c r="M4136" s="337"/>
    </row>
    <row r="4137" spans="1:13" s="71" customFormat="1" ht="26.4" customHeight="1">
      <c r="A4137" s="282">
        <v>541</v>
      </c>
      <c r="B4137" s="537"/>
      <c r="C4137" s="333" t="s">
        <v>15</v>
      </c>
      <c r="D4137" s="333" t="s">
        <v>5081</v>
      </c>
      <c r="E4137" s="260" t="s">
        <v>5082</v>
      </c>
      <c r="F4137" s="362">
        <v>2101</v>
      </c>
      <c r="G4137" s="311">
        <v>1980</v>
      </c>
      <c r="H4137" s="369" t="s">
        <v>2658</v>
      </c>
      <c r="I4137" s="313">
        <v>30</v>
      </c>
      <c r="J4137" s="314">
        <v>1.37408</v>
      </c>
      <c r="K4137" s="314">
        <v>1.14073</v>
      </c>
      <c r="L4137" s="336">
        <f t="shared" si="43"/>
        <v>0.23334999999999995</v>
      </c>
      <c r="M4137" s="337"/>
    </row>
    <row r="4138" spans="1:13" s="71" customFormat="1" ht="26.4" customHeight="1">
      <c r="A4138" s="282">
        <v>542</v>
      </c>
      <c r="B4138" s="537"/>
      <c r="C4138" s="333" t="s">
        <v>15</v>
      </c>
      <c r="D4138" s="333" t="s">
        <v>5083</v>
      </c>
      <c r="E4138" s="260" t="s">
        <v>5084</v>
      </c>
      <c r="F4138" s="362">
        <v>2102</v>
      </c>
      <c r="G4138" s="311">
        <v>1979</v>
      </c>
      <c r="H4138" s="369" t="s">
        <v>2658</v>
      </c>
      <c r="I4138" s="313">
        <v>700</v>
      </c>
      <c r="J4138" s="314">
        <v>6.06</v>
      </c>
      <c r="K4138" s="314">
        <v>5.8003200000000001</v>
      </c>
      <c r="L4138" s="336">
        <f t="shared" si="43"/>
        <v>0.25967999999999947</v>
      </c>
      <c r="M4138" s="337"/>
    </row>
    <row r="4139" spans="1:13" s="71" customFormat="1" ht="26.4" customHeight="1">
      <c r="A4139" s="282">
        <v>543</v>
      </c>
      <c r="B4139" s="537"/>
      <c r="C4139" s="333" t="s">
        <v>15</v>
      </c>
      <c r="D4139" s="333" t="s">
        <v>4894</v>
      </c>
      <c r="E4139" s="260" t="s">
        <v>5085</v>
      </c>
      <c r="F4139" s="362">
        <v>2103</v>
      </c>
      <c r="G4139" s="311">
        <v>1985</v>
      </c>
      <c r="H4139" s="369" t="s">
        <v>2658</v>
      </c>
      <c r="I4139" s="313">
        <v>2780</v>
      </c>
      <c r="J4139" s="314">
        <v>52.222000000000001</v>
      </c>
      <c r="K4139" s="314">
        <v>51.493380000000002</v>
      </c>
      <c r="L4139" s="336">
        <f t="shared" si="43"/>
        <v>0.72861999999999938</v>
      </c>
      <c r="M4139" s="337"/>
    </row>
    <row r="4140" spans="1:13" s="71" customFormat="1" ht="26.4" customHeight="1">
      <c r="A4140" s="282">
        <v>544</v>
      </c>
      <c r="B4140" s="537"/>
      <c r="C4140" s="333" t="s">
        <v>15</v>
      </c>
      <c r="D4140" s="333" t="s">
        <v>5086</v>
      </c>
      <c r="E4140" s="260" t="s">
        <v>5087</v>
      </c>
      <c r="F4140" s="362">
        <v>2104</v>
      </c>
      <c r="G4140" s="311">
        <v>1982</v>
      </c>
      <c r="H4140" s="369" t="s">
        <v>2658</v>
      </c>
      <c r="I4140" s="313">
        <v>190</v>
      </c>
      <c r="J4140" s="314">
        <v>2.8020800000000001</v>
      </c>
      <c r="K4140" s="314">
        <v>2.1270799999999999</v>
      </c>
      <c r="L4140" s="336">
        <f t="shared" si="43"/>
        <v>0.67500000000000027</v>
      </c>
      <c r="M4140" s="337"/>
    </row>
    <row r="4141" spans="1:13" s="71" customFormat="1" ht="26.4" customHeight="1">
      <c r="A4141" s="282">
        <v>545</v>
      </c>
      <c r="B4141" s="537"/>
      <c r="C4141" s="333" t="s">
        <v>15</v>
      </c>
      <c r="D4141" s="333" t="s">
        <v>5086</v>
      </c>
      <c r="E4141" s="260" t="s">
        <v>5087</v>
      </c>
      <c r="F4141" s="362">
        <v>2105</v>
      </c>
      <c r="G4141" s="311">
        <v>1982</v>
      </c>
      <c r="H4141" s="369" t="s">
        <v>2658</v>
      </c>
      <c r="I4141" s="313">
        <v>110</v>
      </c>
      <c r="J4141" s="314">
        <v>2.91608</v>
      </c>
      <c r="K4141" s="314">
        <v>2.2035300000000002</v>
      </c>
      <c r="L4141" s="336">
        <f t="shared" si="43"/>
        <v>0.71254999999999979</v>
      </c>
      <c r="M4141" s="337"/>
    </row>
    <row r="4142" spans="1:13" s="71" customFormat="1" ht="26.4" customHeight="1">
      <c r="A4142" s="282">
        <v>546</v>
      </c>
      <c r="B4142" s="537"/>
      <c r="C4142" s="333" t="s">
        <v>15</v>
      </c>
      <c r="D4142" s="333" t="s">
        <v>4856</v>
      </c>
      <c r="E4142" s="260" t="s">
        <v>5088</v>
      </c>
      <c r="F4142" s="362">
        <v>2106</v>
      </c>
      <c r="G4142" s="311">
        <v>1987</v>
      </c>
      <c r="H4142" s="369" t="s">
        <v>2658</v>
      </c>
      <c r="I4142" s="313">
        <v>490</v>
      </c>
      <c r="J4142" s="314">
        <v>9.5797000000000008</v>
      </c>
      <c r="K4142" s="314">
        <v>8.5297000000000001</v>
      </c>
      <c r="L4142" s="336">
        <f t="shared" si="43"/>
        <v>1.0500000000000007</v>
      </c>
      <c r="M4142" s="337"/>
    </row>
    <row r="4143" spans="1:13" s="71" customFormat="1" ht="26.4" customHeight="1">
      <c r="A4143" s="282">
        <v>547</v>
      </c>
      <c r="B4143" s="537"/>
      <c r="C4143" s="333" t="s">
        <v>15</v>
      </c>
      <c r="D4143" s="333" t="s">
        <v>5089</v>
      </c>
      <c r="E4143" s="260" t="s">
        <v>5090</v>
      </c>
      <c r="F4143" s="362">
        <v>2107</v>
      </c>
      <c r="G4143" s="311">
        <v>1984</v>
      </c>
      <c r="H4143" s="369" t="s">
        <v>2658</v>
      </c>
      <c r="I4143" s="313">
        <v>180</v>
      </c>
      <c r="J4143" s="314">
        <v>2.6440800000000002</v>
      </c>
      <c r="K4143" s="314">
        <v>2.1773799999999999</v>
      </c>
      <c r="L4143" s="336">
        <f t="shared" si="43"/>
        <v>0.46670000000000034</v>
      </c>
      <c r="M4143" s="337"/>
    </row>
    <row r="4144" spans="1:13" s="71" customFormat="1" ht="26.4" customHeight="1">
      <c r="A4144" s="282">
        <v>548</v>
      </c>
      <c r="B4144" s="537"/>
      <c r="C4144" s="333" t="s">
        <v>15</v>
      </c>
      <c r="D4144" s="333" t="s">
        <v>5089</v>
      </c>
      <c r="E4144" s="260" t="s">
        <v>5090</v>
      </c>
      <c r="F4144" s="362">
        <v>2108</v>
      </c>
      <c r="G4144" s="311">
        <v>1984</v>
      </c>
      <c r="H4144" s="369" t="s">
        <v>2658</v>
      </c>
      <c r="I4144" s="313">
        <v>120</v>
      </c>
      <c r="J4144" s="314">
        <v>2.4860799999999998</v>
      </c>
      <c r="K4144" s="314">
        <v>2.04853</v>
      </c>
      <c r="L4144" s="336">
        <f t="shared" si="43"/>
        <v>0.43754999999999988</v>
      </c>
      <c r="M4144" s="337"/>
    </row>
    <row r="4145" spans="1:13" s="71" customFormat="1" ht="26.4" customHeight="1">
      <c r="A4145" s="282">
        <v>549</v>
      </c>
      <c r="B4145" s="537"/>
      <c r="C4145" s="333" t="s">
        <v>15</v>
      </c>
      <c r="D4145" s="333" t="s">
        <v>5091</v>
      </c>
      <c r="E4145" s="260" t="s">
        <v>5092</v>
      </c>
      <c r="F4145" s="362">
        <v>2109</v>
      </c>
      <c r="G4145" s="311">
        <v>1980</v>
      </c>
      <c r="H4145" s="369" t="s">
        <v>2658</v>
      </c>
      <c r="I4145" s="313">
        <v>430</v>
      </c>
      <c r="J4145" s="314">
        <v>2.61408</v>
      </c>
      <c r="K4145" s="314">
        <v>2.01403</v>
      </c>
      <c r="L4145" s="336">
        <f t="shared" si="43"/>
        <v>0.60004999999999997</v>
      </c>
      <c r="M4145" s="337"/>
    </row>
    <row r="4146" spans="1:13" s="71" customFormat="1" ht="26.4" customHeight="1">
      <c r="A4146" s="282">
        <v>550</v>
      </c>
      <c r="B4146" s="537"/>
      <c r="C4146" s="333" t="s">
        <v>15</v>
      </c>
      <c r="D4146" s="333" t="s">
        <v>5093</v>
      </c>
      <c r="E4146" s="260" t="s">
        <v>5094</v>
      </c>
      <c r="F4146" s="362">
        <v>2110</v>
      </c>
      <c r="G4146" s="311">
        <v>1983</v>
      </c>
      <c r="H4146" s="369" t="s">
        <v>2658</v>
      </c>
      <c r="I4146" s="313">
        <v>1310</v>
      </c>
      <c r="J4146" s="314">
        <v>14.1495</v>
      </c>
      <c r="K4146" s="314">
        <v>13.54514</v>
      </c>
      <c r="L4146" s="336">
        <f t="shared" si="43"/>
        <v>0.60435999999999979</v>
      </c>
      <c r="M4146" s="337"/>
    </row>
    <row r="4147" spans="1:13" s="71" customFormat="1" ht="26.4" customHeight="1">
      <c r="A4147" s="282">
        <v>551</v>
      </c>
      <c r="B4147" s="537"/>
      <c r="C4147" s="333" t="s">
        <v>15</v>
      </c>
      <c r="D4147" s="333" t="s">
        <v>5095</v>
      </c>
      <c r="E4147" s="260" t="s">
        <v>5096</v>
      </c>
      <c r="F4147" s="362">
        <v>2111</v>
      </c>
      <c r="G4147" s="311">
        <v>1983</v>
      </c>
      <c r="H4147" s="369" t="s">
        <v>2658</v>
      </c>
      <c r="I4147" s="313">
        <v>300</v>
      </c>
      <c r="J4147" s="314">
        <v>3.0900799999999999</v>
      </c>
      <c r="K4147" s="314">
        <v>2.7692800000000002</v>
      </c>
      <c r="L4147" s="336">
        <f t="shared" si="43"/>
        <v>0.32079999999999975</v>
      </c>
      <c r="M4147" s="337"/>
    </row>
    <row r="4148" spans="1:13" s="71" customFormat="1" ht="26.4" customHeight="1">
      <c r="A4148" s="282">
        <v>552</v>
      </c>
      <c r="B4148" s="537"/>
      <c r="C4148" s="333" t="s">
        <v>15</v>
      </c>
      <c r="D4148" s="333" t="s">
        <v>5097</v>
      </c>
      <c r="E4148" s="260" t="s">
        <v>5098</v>
      </c>
      <c r="F4148" s="362">
        <v>2112</v>
      </c>
      <c r="G4148" s="311">
        <v>1985</v>
      </c>
      <c r="H4148" s="369" t="s">
        <v>2658</v>
      </c>
      <c r="I4148" s="313">
        <v>650</v>
      </c>
      <c r="J4148" s="314">
        <v>4.6900000000000004</v>
      </c>
      <c r="K4148" s="314">
        <v>4.3028199999999996</v>
      </c>
      <c r="L4148" s="336">
        <f t="shared" si="43"/>
        <v>0.38718000000000075</v>
      </c>
      <c r="M4148" s="337"/>
    </row>
    <row r="4149" spans="1:13" s="71" customFormat="1" ht="26.4" customHeight="1">
      <c r="A4149" s="282">
        <v>553</v>
      </c>
      <c r="B4149" s="537"/>
      <c r="C4149" s="333" t="s">
        <v>15</v>
      </c>
      <c r="D4149" s="333" t="s">
        <v>5099</v>
      </c>
      <c r="E4149" s="260" t="s">
        <v>5100</v>
      </c>
      <c r="F4149" s="362">
        <v>2113</v>
      </c>
      <c r="G4149" s="311">
        <v>1983</v>
      </c>
      <c r="H4149" s="369" t="s">
        <v>2658</v>
      </c>
      <c r="I4149" s="313">
        <v>1400</v>
      </c>
      <c r="J4149" s="314">
        <v>9.27</v>
      </c>
      <c r="K4149" s="314">
        <v>8.7978199999999998</v>
      </c>
      <c r="L4149" s="336">
        <f t="shared" si="43"/>
        <v>0.47217999999999982</v>
      </c>
      <c r="M4149" s="337"/>
    </row>
    <row r="4150" spans="1:13" s="71" customFormat="1" ht="26.4" customHeight="1">
      <c r="A4150" s="282">
        <v>554</v>
      </c>
      <c r="B4150" s="537"/>
      <c r="C4150" s="333" t="s">
        <v>15</v>
      </c>
      <c r="D4150" s="333" t="s">
        <v>5101</v>
      </c>
      <c r="E4150" s="260" t="s">
        <v>5102</v>
      </c>
      <c r="F4150" s="362">
        <v>2114</v>
      </c>
      <c r="G4150" s="311">
        <v>1985</v>
      </c>
      <c r="H4150" s="369" t="s">
        <v>2658</v>
      </c>
      <c r="I4150" s="313">
        <v>150</v>
      </c>
      <c r="J4150" s="314">
        <v>2.92008</v>
      </c>
      <c r="K4150" s="314">
        <v>2.2075300000000002</v>
      </c>
      <c r="L4150" s="336">
        <f t="shared" si="43"/>
        <v>0.71254999999999979</v>
      </c>
      <c r="M4150" s="337"/>
    </row>
    <row r="4151" spans="1:13" s="71" customFormat="1" ht="26.4" customHeight="1">
      <c r="A4151" s="282">
        <v>555</v>
      </c>
      <c r="B4151" s="537"/>
      <c r="C4151" s="333" t="s">
        <v>15</v>
      </c>
      <c r="D4151" s="333" t="s">
        <v>5103</v>
      </c>
      <c r="E4151" s="260" t="s">
        <v>5104</v>
      </c>
      <c r="F4151" s="362">
        <v>2115</v>
      </c>
      <c r="G4151" s="311">
        <v>1980</v>
      </c>
      <c r="H4151" s="369" t="s">
        <v>2658</v>
      </c>
      <c r="I4151" s="313">
        <v>900</v>
      </c>
      <c r="J4151" s="314">
        <v>6.92</v>
      </c>
      <c r="K4151" s="314">
        <v>5.8325500000000003</v>
      </c>
      <c r="L4151" s="336">
        <f t="shared" si="43"/>
        <v>1.0874499999999996</v>
      </c>
      <c r="M4151" s="337"/>
    </row>
    <row r="4152" spans="1:13" s="71" customFormat="1" ht="26.4" customHeight="1">
      <c r="A4152" s="282">
        <v>556</v>
      </c>
      <c r="B4152" s="537"/>
      <c r="C4152" s="333" t="s">
        <v>15</v>
      </c>
      <c r="D4152" s="333" t="s">
        <v>5105</v>
      </c>
      <c r="E4152" s="260" t="s">
        <v>5106</v>
      </c>
      <c r="F4152" s="362">
        <v>2116</v>
      </c>
      <c r="G4152" s="311">
        <v>1979</v>
      </c>
      <c r="H4152" s="369" t="s">
        <v>2658</v>
      </c>
      <c r="I4152" s="313">
        <v>420</v>
      </c>
      <c r="J4152" s="314">
        <v>4.6860799999999996</v>
      </c>
      <c r="K4152" s="314">
        <v>1.0125</v>
      </c>
      <c r="L4152" s="336">
        <f t="shared" si="43"/>
        <v>3.6735799999999994</v>
      </c>
      <c r="M4152" s="337"/>
    </row>
    <row r="4153" spans="1:13" s="71" customFormat="1" ht="26.4" customHeight="1">
      <c r="A4153" s="282">
        <v>557</v>
      </c>
      <c r="B4153" s="537"/>
      <c r="C4153" s="333" t="s">
        <v>15</v>
      </c>
      <c r="D4153" s="333" t="s">
        <v>4675</v>
      </c>
      <c r="E4153" s="260" t="s">
        <v>5107</v>
      </c>
      <c r="F4153" s="362">
        <v>2117</v>
      </c>
      <c r="G4153" s="311">
        <v>1987</v>
      </c>
      <c r="H4153" s="369" t="s">
        <v>2658</v>
      </c>
      <c r="I4153" s="313">
        <v>430</v>
      </c>
      <c r="J4153" s="314">
        <v>5.4320000000000004</v>
      </c>
      <c r="K4153" s="314">
        <v>5.2105699999999997</v>
      </c>
      <c r="L4153" s="336">
        <f t="shared" si="43"/>
        <v>0.22143000000000068</v>
      </c>
      <c r="M4153" s="337"/>
    </row>
    <row r="4154" spans="1:13" s="71" customFormat="1" ht="26.4" customHeight="1">
      <c r="A4154" s="282">
        <v>558</v>
      </c>
      <c r="B4154" s="537"/>
      <c r="C4154" s="333" t="s">
        <v>15</v>
      </c>
      <c r="D4154" s="333" t="s">
        <v>5108</v>
      </c>
      <c r="E4154" s="260" t="s">
        <v>5109</v>
      </c>
      <c r="F4154" s="362">
        <v>2118</v>
      </c>
      <c r="G4154" s="311">
        <v>1983</v>
      </c>
      <c r="H4154" s="369" t="s">
        <v>2658</v>
      </c>
      <c r="I4154" s="313">
        <v>700</v>
      </c>
      <c r="J4154" s="314">
        <v>4.63</v>
      </c>
      <c r="K4154" s="314">
        <v>4.4317299999999999</v>
      </c>
      <c r="L4154" s="336">
        <f t="shared" si="43"/>
        <v>0.19826999999999995</v>
      </c>
      <c r="M4154" s="337"/>
    </row>
    <row r="4155" spans="1:13" s="71" customFormat="1" ht="26.4" customHeight="1">
      <c r="A4155" s="282">
        <v>559</v>
      </c>
      <c r="B4155" s="537"/>
      <c r="C4155" s="333" t="s">
        <v>15</v>
      </c>
      <c r="D4155" s="333" t="s">
        <v>5110</v>
      </c>
      <c r="E4155" s="260" t="s">
        <v>5111</v>
      </c>
      <c r="F4155" s="362">
        <v>2119</v>
      </c>
      <c r="G4155" s="311">
        <v>1981</v>
      </c>
      <c r="H4155" s="369" t="s">
        <v>2658</v>
      </c>
      <c r="I4155" s="313">
        <v>600</v>
      </c>
      <c r="J4155" s="314">
        <v>6.24</v>
      </c>
      <c r="K4155" s="314">
        <v>5.9756400000000003</v>
      </c>
      <c r="L4155" s="336">
        <f t="shared" si="43"/>
        <v>0.26435999999999993</v>
      </c>
      <c r="M4155" s="337"/>
    </row>
    <row r="4156" spans="1:13" s="71" customFormat="1" ht="26.4" customHeight="1">
      <c r="A4156" s="282">
        <v>560</v>
      </c>
      <c r="B4156" s="537"/>
      <c r="C4156" s="333" t="s">
        <v>15</v>
      </c>
      <c r="D4156" s="333" t="s">
        <v>5112</v>
      </c>
      <c r="E4156" s="260" t="s">
        <v>5113</v>
      </c>
      <c r="F4156" s="362">
        <v>2120</v>
      </c>
      <c r="G4156" s="311">
        <v>1981</v>
      </c>
      <c r="H4156" s="369" t="s">
        <v>2658</v>
      </c>
      <c r="I4156" s="313">
        <v>600</v>
      </c>
      <c r="J4156" s="314">
        <v>7.3899699999999999</v>
      </c>
      <c r="K4156" s="314">
        <v>6.1149199999999997</v>
      </c>
      <c r="L4156" s="336">
        <f t="shared" si="43"/>
        <v>1.2750500000000002</v>
      </c>
      <c r="M4156" s="337"/>
    </row>
    <row r="4157" spans="1:13" s="71" customFormat="1" ht="26.4" customHeight="1">
      <c r="A4157" s="282">
        <v>561</v>
      </c>
      <c r="B4157" s="537"/>
      <c r="C4157" s="333" t="s">
        <v>15</v>
      </c>
      <c r="D4157" s="333" t="s">
        <v>4583</v>
      </c>
      <c r="E4157" s="260" t="s">
        <v>5114</v>
      </c>
      <c r="F4157" s="362">
        <v>2121</v>
      </c>
      <c r="G4157" s="311">
        <v>1960</v>
      </c>
      <c r="H4157" s="369" t="s">
        <v>2658</v>
      </c>
      <c r="I4157" s="313">
        <v>1500</v>
      </c>
      <c r="J4157" s="314">
        <v>30.694120000000002</v>
      </c>
      <c r="K4157" s="314">
        <v>29.06082</v>
      </c>
      <c r="L4157" s="336">
        <f t="shared" si="43"/>
        <v>1.633300000000002</v>
      </c>
      <c r="M4157" s="337"/>
    </row>
    <row r="4158" spans="1:13" s="71" customFormat="1" ht="26.4" customHeight="1">
      <c r="A4158" s="282">
        <v>562</v>
      </c>
      <c r="B4158" s="537"/>
      <c r="C4158" s="333" t="s">
        <v>15</v>
      </c>
      <c r="D4158" s="333" t="s">
        <v>5115</v>
      </c>
      <c r="E4158" s="260" t="s">
        <v>5116</v>
      </c>
      <c r="F4158" s="362">
        <v>2122</v>
      </c>
      <c r="G4158" s="311">
        <v>1980</v>
      </c>
      <c r="H4158" s="369" t="s">
        <v>2658</v>
      </c>
      <c r="I4158" s="313">
        <v>1450</v>
      </c>
      <c r="J4158" s="314">
        <v>17.130369999999999</v>
      </c>
      <c r="K4158" s="314">
        <v>16.398510000000002</v>
      </c>
      <c r="L4158" s="336">
        <f t="shared" si="43"/>
        <v>0.73185999999999751</v>
      </c>
      <c r="M4158" s="337"/>
    </row>
    <row r="4159" spans="1:13" s="71" customFormat="1" ht="26.4" customHeight="1">
      <c r="A4159" s="282">
        <v>563</v>
      </c>
      <c r="B4159" s="537"/>
      <c r="C4159" s="333" t="s">
        <v>15</v>
      </c>
      <c r="D4159" s="333" t="s">
        <v>5079</v>
      </c>
      <c r="E4159" s="260" t="s">
        <v>5117</v>
      </c>
      <c r="F4159" s="362">
        <v>2123</v>
      </c>
      <c r="G4159" s="311">
        <v>1986</v>
      </c>
      <c r="H4159" s="369" t="s">
        <v>2658</v>
      </c>
      <c r="I4159" s="313">
        <v>350</v>
      </c>
      <c r="J4159" s="314">
        <v>3.3301599999999998</v>
      </c>
      <c r="K4159" s="314">
        <v>3.1551100000000001</v>
      </c>
      <c r="L4159" s="336">
        <f t="shared" si="43"/>
        <v>0.17504999999999971</v>
      </c>
      <c r="M4159" s="337"/>
    </row>
    <row r="4160" spans="1:13" s="71" customFormat="1" ht="26.4" customHeight="1">
      <c r="A4160" s="282">
        <v>564</v>
      </c>
      <c r="B4160" s="537"/>
      <c r="C4160" s="333" t="s">
        <v>15</v>
      </c>
      <c r="D4160" s="333" t="s">
        <v>5118</v>
      </c>
      <c r="E4160" s="260" t="s">
        <v>5119</v>
      </c>
      <c r="F4160" s="362">
        <v>2124</v>
      </c>
      <c r="G4160" s="311">
        <v>1981</v>
      </c>
      <c r="H4160" s="369" t="s">
        <v>2658</v>
      </c>
      <c r="I4160" s="313">
        <v>300</v>
      </c>
      <c r="J4160" s="314">
        <v>3.0900799999999999</v>
      </c>
      <c r="K4160" s="314">
        <v>2.7692800000000002</v>
      </c>
      <c r="L4160" s="336">
        <f t="shared" si="43"/>
        <v>0.32079999999999975</v>
      </c>
      <c r="M4160" s="337"/>
    </row>
    <row r="4161" spans="1:13" s="71" customFormat="1" ht="26.4" customHeight="1">
      <c r="A4161" s="282">
        <v>565</v>
      </c>
      <c r="B4161" s="537"/>
      <c r="C4161" s="333" t="s">
        <v>15</v>
      </c>
      <c r="D4161" s="333" t="s">
        <v>5120</v>
      </c>
      <c r="E4161" s="260" t="s">
        <v>5121</v>
      </c>
      <c r="F4161" s="362">
        <v>2125</v>
      </c>
      <c r="G4161" s="311">
        <v>1977</v>
      </c>
      <c r="H4161" s="369" t="s">
        <v>2658</v>
      </c>
      <c r="I4161" s="313">
        <v>125</v>
      </c>
      <c r="J4161" s="314">
        <v>13.25</v>
      </c>
      <c r="K4161" s="314">
        <v>3.65</v>
      </c>
      <c r="L4161" s="336">
        <f t="shared" si="43"/>
        <v>9.6</v>
      </c>
      <c r="M4161" s="337"/>
    </row>
    <row r="4162" spans="1:13" s="71" customFormat="1" ht="26.4" customHeight="1">
      <c r="A4162" s="282">
        <v>566</v>
      </c>
      <c r="B4162" s="537"/>
      <c r="C4162" s="333" t="s">
        <v>15</v>
      </c>
      <c r="D4162" s="333" t="s">
        <v>5122</v>
      </c>
      <c r="E4162" s="260" t="s">
        <v>5123</v>
      </c>
      <c r="F4162" s="362">
        <v>2126</v>
      </c>
      <c r="G4162" s="311">
        <v>1980</v>
      </c>
      <c r="H4162" s="369" t="s">
        <v>2658</v>
      </c>
      <c r="I4162" s="313">
        <v>400</v>
      </c>
      <c r="J4162" s="314">
        <v>4.2700800000000001</v>
      </c>
      <c r="K4162" s="314">
        <v>3.4076300000000002</v>
      </c>
      <c r="L4162" s="336">
        <f t="shared" si="43"/>
        <v>0.86244999999999994</v>
      </c>
      <c r="M4162" s="337"/>
    </row>
    <row r="4163" spans="1:13" s="71" customFormat="1" ht="26.4" customHeight="1">
      <c r="A4163" s="282">
        <v>567</v>
      </c>
      <c r="B4163" s="537"/>
      <c r="C4163" s="333" t="s">
        <v>15</v>
      </c>
      <c r="D4163" s="333" t="s">
        <v>5124</v>
      </c>
      <c r="E4163" s="260" t="s">
        <v>5125</v>
      </c>
      <c r="F4163" s="362">
        <v>2127</v>
      </c>
      <c r="G4163" s="311">
        <v>1984</v>
      </c>
      <c r="H4163" s="369" t="s">
        <v>2658</v>
      </c>
      <c r="I4163" s="313">
        <v>1400</v>
      </c>
      <c r="J4163" s="314">
        <v>16.59</v>
      </c>
      <c r="K4163" s="314">
        <v>15.465</v>
      </c>
      <c r="L4163" s="336">
        <f t="shared" si="43"/>
        <v>1.125</v>
      </c>
      <c r="M4163" s="337"/>
    </row>
    <row r="4164" spans="1:13" s="71" customFormat="1" ht="26.4" customHeight="1">
      <c r="A4164" s="282">
        <v>568</v>
      </c>
      <c r="B4164" s="537"/>
      <c r="C4164" s="333" t="s">
        <v>15</v>
      </c>
      <c r="D4164" s="333" t="s">
        <v>5126</v>
      </c>
      <c r="E4164" s="260" t="s">
        <v>5127</v>
      </c>
      <c r="F4164" s="362">
        <v>2128</v>
      </c>
      <c r="G4164" s="311">
        <v>1987</v>
      </c>
      <c r="H4164" s="369" t="s">
        <v>2658</v>
      </c>
      <c r="I4164" s="313">
        <v>600</v>
      </c>
      <c r="J4164" s="314">
        <v>3.9380000000000002</v>
      </c>
      <c r="K4164" s="314">
        <v>3.7688600000000001</v>
      </c>
      <c r="L4164" s="336">
        <f t="shared" si="43"/>
        <v>0.16914000000000007</v>
      </c>
      <c r="M4164" s="337"/>
    </row>
    <row r="4165" spans="1:13" s="71" customFormat="1" ht="26.4" customHeight="1">
      <c r="A4165" s="282">
        <v>569</v>
      </c>
      <c r="B4165" s="537"/>
      <c r="C4165" s="333" t="s">
        <v>15</v>
      </c>
      <c r="D4165" s="333" t="s">
        <v>5128</v>
      </c>
      <c r="E4165" s="260" t="s">
        <v>5129</v>
      </c>
      <c r="F4165" s="362">
        <v>2129</v>
      </c>
      <c r="G4165" s="311">
        <v>1985</v>
      </c>
      <c r="H4165" s="369" t="s">
        <v>2658</v>
      </c>
      <c r="I4165" s="313">
        <v>1100</v>
      </c>
      <c r="J4165" s="314">
        <v>7.18</v>
      </c>
      <c r="K4165" s="314">
        <v>6.8731400000000002</v>
      </c>
      <c r="L4165" s="336">
        <f t="shared" si="43"/>
        <v>0.30685999999999947</v>
      </c>
      <c r="M4165" s="337"/>
    </row>
    <row r="4166" spans="1:13" s="71" customFormat="1" ht="26.4" customHeight="1">
      <c r="A4166" s="282">
        <v>570</v>
      </c>
      <c r="B4166" s="537"/>
      <c r="C4166" s="333" t="s">
        <v>15</v>
      </c>
      <c r="D4166" s="333" t="s">
        <v>5130</v>
      </c>
      <c r="E4166" s="260" t="s">
        <v>5131</v>
      </c>
      <c r="F4166" s="362">
        <v>2130</v>
      </c>
      <c r="G4166" s="311">
        <v>1983</v>
      </c>
      <c r="H4166" s="369" t="s">
        <v>2658</v>
      </c>
      <c r="I4166" s="313">
        <v>470</v>
      </c>
      <c r="J4166" s="314">
        <v>6.7658800000000001</v>
      </c>
      <c r="K4166" s="314">
        <v>5.3409300000000002</v>
      </c>
      <c r="L4166" s="336">
        <f t="shared" si="43"/>
        <v>1.4249499999999999</v>
      </c>
      <c r="M4166" s="337"/>
    </row>
    <row r="4167" spans="1:13" s="71" customFormat="1" ht="26.4" customHeight="1">
      <c r="A4167" s="282">
        <v>571</v>
      </c>
      <c r="B4167" s="537"/>
      <c r="C4167" s="333" t="s">
        <v>15</v>
      </c>
      <c r="D4167" s="333" t="s">
        <v>5132</v>
      </c>
      <c r="E4167" s="260" t="s">
        <v>5133</v>
      </c>
      <c r="F4167" s="362">
        <v>2131</v>
      </c>
      <c r="G4167" s="311">
        <v>1979</v>
      </c>
      <c r="H4167" s="369" t="s">
        <v>2658</v>
      </c>
      <c r="I4167" s="313">
        <v>1640</v>
      </c>
      <c r="J4167" s="314">
        <v>31.006</v>
      </c>
      <c r="K4167" s="314">
        <v>30.422699999999999</v>
      </c>
      <c r="L4167" s="336">
        <f t="shared" si="43"/>
        <v>0.58330000000000126</v>
      </c>
      <c r="M4167" s="337"/>
    </row>
    <row r="4168" spans="1:13" s="71" customFormat="1" ht="26.4" customHeight="1">
      <c r="A4168" s="282">
        <v>572</v>
      </c>
      <c r="B4168" s="537"/>
      <c r="C4168" s="333" t="s">
        <v>15</v>
      </c>
      <c r="D4168" s="333" t="s">
        <v>5132</v>
      </c>
      <c r="E4168" s="260" t="s">
        <v>5133</v>
      </c>
      <c r="F4168" s="362">
        <v>2132</v>
      </c>
      <c r="G4168" s="311">
        <v>1978</v>
      </c>
      <c r="H4168" s="369" t="s">
        <v>2658</v>
      </c>
      <c r="I4168" s="313">
        <v>460</v>
      </c>
      <c r="J4168" s="314">
        <v>5.1881599999999999</v>
      </c>
      <c r="K4168" s="314">
        <v>4.8382100000000001</v>
      </c>
      <c r="L4168" s="336">
        <f t="shared" si="43"/>
        <v>0.34994999999999976</v>
      </c>
      <c r="M4168" s="337"/>
    </row>
    <row r="4169" spans="1:13" s="71" customFormat="1" ht="26.4" customHeight="1">
      <c r="A4169" s="282">
        <v>573</v>
      </c>
      <c r="B4169" s="537"/>
      <c r="C4169" s="333" t="s">
        <v>15</v>
      </c>
      <c r="D4169" s="333" t="s">
        <v>5134</v>
      </c>
      <c r="E4169" s="260" t="s">
        <v>5135</v>
      </c>
      <c r="F4169" s="362">
        <v>2133</v>
      </c>
      <c r="G4169" s="311">
        <v>1979</v>
      </c>
      <c r="H4169" s="369" t="s">
        <v>2658</v>
      </c>
      <c r="I4169" s="313">
        <v>210</v>
      </c>
      <c r="J4169" s="314">
        <v>2.2180800000000001</v>
      </c>
      <c r="K4169" s="314">
        <v>2.10148</v>
      </c>
      <c r="L4169" s="336">
        <f t="shared" si="43"/>
        <v>0.11660000000000004</v>
      </c>
      <c r="M4169" s="337"/>
    </row>
    <row r="4170" spans="1:13" s="71" customFormat="1" ht="26.4" customHeight="1">
      <c r="A4170" s="282">
        <v>574</v>
      </c>
      <c r="B4170" s="537"/>
      <c r="C4170" s="333" t="s">
        <v>15</v>
      </c>
      <c r="D4170" s="333" t="s">
        <v>5136</v>
      </c>
      <c r="E4170" s="260" t="s">
        <v>5137</v>
      </c>
      <c r="F4170" s="362">
        <v>2134</v>
      </c>
      <c r="G4170" s="311">
        <v>1987</v>
      </c>
      <c r="H4170" s="369" t="s">
        <v>2658</v>
      </c>
      <c r="I4170" s="313">
        <v>300</v>
      </c>
      <c r="J4170" s="314">
        <v>3.8900399999999999</v>
      </c>
      <c r="K4170" s="314">
        <v>3.1774900000000001</v>
      </c>
      <c r="L4170" s="336">
        <f t="shared" si="43"/>
        <v>0.71254999999999979</v>
      </c>
      <c r="M4170" s="337"/>
    </row>
    <row r="4171" spans="1:13" s="71" customFormat="1" ht="26.4" customHeight="1">
      <c r="A4171" s="282">
        <v>575</v>
      </c>
      <c r="B4171" s="537"/>
      <c r="C4171" s="333" t="s">
        <v>15</v>
      </c>
      <c r="D4171" s="333" t="s">
        <v>5138</v>
      </c>
      <c r="E4171" s="260" t="s">
        <v>5139</v>
      </c>
      <c r="F4171" s="362">
        <v>2135</v>
      </c>
      <c r="G4171" s="311">
        <v>1985</v>
      </c>
      <c r="H4171" s="369" t="s">
        <v>2658</v>
      </c>
      <c r="I4171" s="313">
        <v>600</v>
      </c>
      <c r="J4171" s="314">
        <v>6.2061200000000003</v>
      </c>
      <c r="K4171" s="314">
        <v>5.3810700000000002</v>
      </c>
      <c r="L4171" s="336">
        <f t="shared" si="43"/>
        <v>0.82505000000000006</v>
      </c>
      <c r="M4171" s="337"/>
    </row>
    <row r="4172" spans="1:13" s="71" customFormat="1" ht="26.4" customHeight="1">
      <c r="A4172" s="282">
        <v>576</v>
      </c>
      <c r="B4172" s="537"/>
      <c r="C4172" s="333" t="s">
        <v>15</v>
      </c>
      <c r="D4172" s="333" t="s">
        <v>5140</v>
      </c>
      <c r="E4172" s="260" t="s">
        <v>5141</v>
      </c>
      <c r="F4172" s="362">
        <v>2136</v>
      </c>
      <c r="G4172" s="311">
        <v>1988</v>
      </c>
      <c r="H4172" s="369" t="s">
        <v>2658</v>
      </c>
      <c r="I4172" s="313">
        <v>2050</v>
      </c>
      <c r="J4172" s="314">
        <v>15.99</v>
      </c>
      <c r="K4172" s="314">
        <v>15.80231</v>
      </c>
      <c r="L4172" s="336">
        <f t="shared" si="43"/>
        <v>0.18768999999999991</v>
      </c>
      <c r="M4172" s="337"/>
    </row>
    <row r="4173" spans="1:13" s="71" customFormat="1" ht="26.4" customHeight="1">
      <c r="A4173" s="282">
        <v>577</v>
      </c>
      <c r="B4173" s="537"/>
      <c r="C4173" s="333" t="s">
        <v>15</v>
      </c>
      <c r="D4173" s="333" t="s">
        <v>5142</v>
      </c>
      <c r="E4173" s="260" t="s">
        <v>5143</v>
      </c>
      <c r="F4173" s="362">
        <v>2137</v>
      </c>
      <c r="G4173" s="311">
        <v>1987</v>
      </c>
      <c r="H4173" s="369" t="s">
        <v>2658</v>
      </c>
      <c r="I4173" s="313">
        <v>4100</v>
      </c>
      <c r="J4173" s="314">
        <v>25.83</v>
      </c>
      <c r="K4173" s="314">
        <v>25.527200000000001</v>
      </c>
      <c r="L4173" s="336">
        <f t="shared" ref="L4173:L4236" si="44">J4173-K4173</f>
        <v>0.30279999999999774</v>
      </c>
      <c r="M4173" s="337"/>
    </row>
    <row r="4174" spans="1:13" s="71" customFormat="1" ht="26.4" customHeight="1">
      <c r="A4174" s="282">
        <v>578</v>
      </c>
      <c r="B4174" s="537"/>
      <c r="C4174" s="333" t="s">
        <v>15</v>
      </c>
      <c r="D4174" s="333" t="s">
        <v>5144</v>
      </c>
      <c r="E4174" s="260" t="s">
        <v>5145</v>
      </c>
      <c r="F4174" s="362">
        <v>2138</v>
      </c>
      <c r="G4174" s="311">
        <v>1990</v>
      </c>
      <c r="H4174" s="369" t="s">
        <v>2658</v>
      </c>
      <c r="I4174" s="313">
        <v>1000</v>
      </c>
      <c r="J4174" s="314">
        <v>6.93</v>
      </c>
      <c r="K4174" s="314">
        <v>6.6325000000000003</v>
      </c>
      <c r="L4174" s="336">
        <f t="shared" si="44"/>
        <v>0.29749999999999943</v>
      </c>
      <c r="M4174" s="337"/>
    </row>
    <row r="4175" spans="1:13" s="71" customFormat="1" ht="26.4" customHeight="1">
      <c r="A4175" s="282">
        <v>579</v>
      </c>
      <c r="B4175" s="537"/>
      <c r="C4175" s="333" t="s">
        <v>15</v>
      </c>
      <c r="D4175" s="333" t="s">
        <v>5050</v>
      </c>
      <c r="E4175" s="260" t="s">
        <v>5051</v>
      </c>
      <c r="F4175" s="362">
        <v>2139</v>
      </c>
      <c r="G4175" s="311">
        <v>1990</v>
      </c>
      <c r="H4175" s="369" t="s">
        <v>2658</v>
      </c>
      <c r="I4175" s="313">
        <v>1800</v>
      </c>
      <c r="J4175" s="314">
        <v>10.65</v>
      </c>
      <c r="K4175" s="314">
        <v>10.196730000000001</v>
      </c>
      <c r="L4175" s="336">
        <f t="shared" si="44"/>
        <v>0.45326999999999984</v>
      </c>
      <c r="M4175" s="337"/>
    </row>
    <row r="4176" spans="1:13" s="71" customFormat="1" ht="26.4" customHeight="1">
      <c r="A4176" s="282">
        <v>580</v>
      </c>
      <c r="B4176" s="537"/>
      <c r="C4176" s="333" t="s">
        <v>15</v>
      </c>
      <c r="D4176" s="333" t="s">
        <v>5146</v>
      </c>
      <c r="E4176" s="260" t="s">
        <v>5147</v>
      </c>
      <c r="F4176" s="362">
        <v>2140</v>
      </c>
      <c r="G4176" s="311">
        <v>1989</v>
      </c>
      <c r="H4176" s="369" t="s">
        <v>2658</v>
      </c>
      <c r="I4176" s="313">
        <v>600</v>
      </c>
      <c r="J4176" s="314">
        <v>3.93</v>
      </c>
      <c r="K4176" s="314">
        <v>3.7646799999999998</v>
      </c>
      <c r="L4176" s="336">
        <f t="shared" si="44"/>
        <v>0.16532000000000036</v>
      </c>
      <c r="M4176" s="337"/>
    </row>
    <row r="4177" spans="1:13" s="71" customFormat="1" ht="26.4" customHeight="1">
      <c r="A4177" s="282">
        <v>581</v>
      </c>
      <c r="B4177" s="537"/>
      <c r="C4177" s="333" t="s">
        <v>15</v>
      </c>
      <c r="D4177" s="333" t="s">
        <v>5148</v>
      </c>
      <c r="E4177" s="260" t="s">
        <v>5149</v>
      </c>
      <c r="F4177" s="362">
        <v>2141</v>
      </c>
      <c r="G4177" s="311">
        <v>1988</v>
      </c>
      <c r="H4177" s="369" t="s">
        <v>2658</v>
      </c>
      <c r="I4177" s="313">
        <v>600</v>
      </c>
      <c r="J4177" s="314">
        <v>3.99</v>
      </c>
      <c r="K4177" s="314">
        <v>3.82</v>
      </c>
      <c r="L4177" s="336">
        <f t="shared" si="44"/>
        <v>0.17000000000000037</v>
      </c>
      <c r="M4177" s="337"/>
    </row>
    <row r="4178" spans="1:13" s="71" customFormat="1" ht="26.4" customHeight="1">
      <c r="A4178" s="282">
        <v>582</v>
      </c>
      <c r="B4178" s="537"/>
      <c r="C4178" s="333" t="s">
        <v>15</v>
      </c>
      <c r="D4178" s="313" t="s">
        <v>5150</v>
      </c>
      <c r="E4178" s="260" t="s">
        <v>5151</v>
      </c>
      <c r="F4178" s="362">
        <v>2142</v>
      </c>
      <c r="G4178" s="311">
        <v>1986</v>
      </c>
      <c r="H4178" s="369" t="s">
        <v>2658</v>
      </c>
      <c r="I4178" s="313">
        <v>800</v>
      </c>
      <c r="J4178" s="314">
        <v>5.21</v>
      </c>
      <c r="K4178" s="314">
        <v>4.9881399999999996</v>
      </c>
      <c r="L4178" s="336">
        <f t="shared" si="44"/>
        <v>0.22186000000000039</v>
      </c>
      <c r="M4178" s="337"/>
    </row>
    <row r="4179" spans="1:13" s="71" customFormat="1" ht="26.4" customHeight="1">
      <c r="A4179" s="282">
        <v>583</v>
      </c>
      <c r="B4179" s="537"/>
      <c r="C4179" s="333" t="s">
        <v>15</v>
      </c>
      <c r="D4179" s="333" t="s">
        <v>5152</v>
      </c>
      <c r="E4179" s="260" t="s">
        <v>5153</v>
      </c>
      <c r="F4179" s="362">
        <v>2143</v>
      </c>
      <c r="G4179" s="311">
        <v>1980</v>
      </c>
      <c r="H4179" s="369" t="s">
        <v>2658</v>
      </c>
      <c r="I4179" s="313">
        <v>600</v>
      </c>
      <c r="J4179" s="314">
        <v>6.2080399999999996</v>
      </c>
      <c r="K4179" s="314">
        <v>5.3829900000000004</v>
      </c>
      <c r="L4179" s="336">
        <f t="shared" si="44"/>
        <v>0.82504999999999917</v>
      </c>
      <c r="M4179" s="337"/>
    </row>
    <row r="4180" spans="1:13" s="71" customFormat="1" ht="26.4" customHeight="1">
      <c r="A4180" s="282">
        <v>584</v>
      </c>
      <c r="B4180" s="537"/>
      <c r="C4180" s="333" t="s">
        <v>15</v>
      </c>
      <c r="D4180" s="333" t="s">
        <v>5154</v>
      </c>
      <c r="E4180" s="260" t="s">
        <v>5155</v>
      </c>
      <c r="F4180" s="362">
        <v>2144</v>
      </c>
      <c r="G4180" s="311">
        <v>1990</v>
      </c>
      <c r="H4180" s="369" t="s">
        <v>2658</v>
      </c>
      <c r="I4180" s="313">
        <v>700</v>
      </c>
      <c r="J4180" s="314">
        <v>4.71</v>
      </c>
      <c r="K4180" s="314">
        <v>4.4766500000000002</v>
      </c>
      <c r="L4180" s="336">
        <f t="shared" si="44"/>
        <v>0.23334999999999972</v>
      </c>
      <c r="M4180" s="337"/>
    </row>
    <row r="4181" spans="1:13" s="71" customFormat="1" ht="26.4" customHeight="1">
      <c r="A4181" s="282">
        <v>585</v>
      </c>
      <c r="B4181" s="537"/>
      <c r="C4181" s="333" t="s">
        <v>15</v>
      </c>
      <c r="D4181" s="333" t="s">
        <v>5156</v>
      </c>
      <c r="E4181" s="260" t="s">
        <v>5157</v>
      </c>
      <c r="F4181" s="362">
        <v>2145</v>
      </c>
      <c r="G4181" s="311">
        <v>1991</v>
      </c>
      <c r="H4181" s="369" t="s">
        <v>2658</v>
      </c>
      <c r="I4181" s="313">
        <v>210</v>
      </c>
      <c r="J4181" s="314">
        <v>2.4681600000000001</v>
      </c>
      <c r="K4181" s="314">
        <v>2.32226</v>
      </c>
      <c r="L4181" s="336">
        <f t="shared" si="44"/>
        <v>0.14590000000000014</v>
      </c>
      <c r="M4181" s="337"/>
    </row>
    <row r="4182" spans="1:13" s="71" customFormat="1" ht="26.4" customHeight="1">
      <c r="A4182" s="282">
        <v>586</v>
      </c>
      <c r="B4182" s="537"/>
      <c r="C4182" s="333" t="s">
        <v>15</v>
      </c>
      <c r="D4182" s="333" t="s">
        <v>5158</v>
      </c>
      <c r="E4182" s="260" t="s">
        <v>5159</v>
      </c>
      <c r="F4182" s="362">
        <v>2146</v>
      </c>
      <c r="G4182" s="311">
        <v>1987</v>
      </c>
      <c r="H4182" s="369" t="s">
        <v>2658</v>
      </c>
      <c r="I4182" s="313">
        <v>400</v>
      </c>
      <c r="J4182" s="314">
        <v>5.16</v>
      </c>
      <c r="K4182" s="314">
        <v>4.8975</v>
      </c>
      <c r="L4182" s="336">
        <f t="shared" si="44"/>
        <v>0.26250000000000018</v>
      </c>
      <c r="M4182" s="337"/>
    </row>
    <row r="4183" spans="1:13" s="71" customFormat="1" ht="26.4" customHeight="1">
      <c r="A4183" s="282">
        <v>587</v>
      </c>
      <c r="B4183" s="537"/>
      <c r="C4183" s="333" t="s">
        <v>15</v>
      </c>
      <c r="D4183" s="333" t="s">
        <v>4732</v>
      </c>
      <c r="E4183" s="260" t="s">
        <v>5160</v>
      </c>
      <c r="F4183" s="362">
        <v>2147</v>
      </c>
      <c r="G4183" s="311">
        <v>1991</v>
      </c>
      <c r="H4183" s="369" t="s">
        <v>2658</v>
      </c>
      <c r="I4183" s="313">
        <v>300</v>
      </c>
      <c r="J4183" s="314">
        <v>3.1901600000000001</v>
      </c>
      <c r="K4183" s="314">
        <v>2.7401599999999999</v>
      </c>
      <c r="L4183" s="336">
        <f t="shared" si="44"/>
        <v>0.45000000000000018</v>
      </c>
      <c r="M4183" s="337"/>
    </row>
    <row r="4184" spans="1:13" s="71" customFormat="1" ht="26.4" customHeight="1">
      <c r="A4184" s="282">
        <v>588</v>
      </c>
      <c r="B4184" s="537"/>
      <c r="C4184" s="333" t="s">
        <v>15</v>
      </c>
      <c r="D4184" s="333" t="s">
        <v>5161</v>
      </c>
      <c r="E4184" s="260" t="s">
        <v>5162</v>
      </c>
      <c r="F4184" s="362">
        <v>2148</v>
      </c>
      <c r="G4184" s="311">
        <v>1988</v>
      </c>
      <c r="H4184" s="369" t="s">
        <v>2658</v>
      </c>
      <c r="I4184" s="313">
        <v>600</v>
      </c>
      <c r="J4184" s="314">
        <v>4.04</v>
      </c>
      <c r="K4184" s="314">
        <v>3.87</v>
      </c>
      <c r="L4184" s="336">
        <f t="shared" si="44"/>
        <v>0.16999999999999993</v>
      </c>
      <c r="M4184" s="337"/>
    </row>
    <row r="4185" spans="1:13" s="71" customFormat="1" ht="26.4" customHeight="1">
      <c r="A4185" s="282">
        <v>589</v>
      </c>
      <c r="B4185" s="537"/>
      <c r="C4185" s="333" t="s">
        <v>15</v>
      </c>
      <c r="D4185" s="333" t="s">
        <v>5163</v>
      </c>
      <c r="E4185" s="260" t="s">
        <v>5164</v>
      </c>
      <c r="F4185" s="362">
        <v>2149</v>
      </c>
      <c r="G4185" s="311">
        <v>1968</v>
      </c>
      <c r="H4185" s="369" t="s">
        <v>2658</v>
      </c>
      <c r="I4185" s="313">
        <v>500</v>
      </c>
      <c r="J4185" s="314">
        <v>5.7</v>
      </c>
      <c r="K4185" s="314">
        <v>5.7</v>
      </c>
      <c r="L4185" s="336">
        <f t="shared" si="44"/>
        <v>0</v>
      </c>
      <c r="M4185" s="337"/>
    </row>
    <row r="4186" spans="1:13" s="71" customFormat="1" ht="26.4" customHeight="1">
      <c r="A4186" s="282">
        <v>590</v>
      </c>
      <c r="B4186" s="537"/>
      <c r="C4186" s="333" t="s">
        <v>15</v>
      </c>
      <c r="D4186" s="313" t="s">
        <v>5165</v>
      </c>
      <c r="E4186" s="260" t="s">
        <v>5166</v>
      </c>
      <c r="F4186" s="362">
        <v>2150</v>
      </c>
      <c r="G4186" s="311">
        <v>1986</v>
      </c>
      <c r="H4186" s="369" t="s">
        <v>2658</v>
      </c>
      <c r="I4186" s="313">
        <v>500</v>
      </c>
      <c r="J4186" s="314">
        <v>3.7160000000000002</v>
      </c>
      <c r="K4186" s="314">
        <v>3.5602299999999998</v>
      </c>
      <c r="L4186" s="336">
        <f t="shared" si="44"/>
        <v>0.15577000000000041</v>
      </c>
      <c r="M4186" s="337"/>
    </row>
    <row r="4187" spans="1:13" s="71" customFormat="1" ht="26.4" customHeight="1">
      <c r="A4187" s="282">
        <v>591</v>
      </c>
      <c r="B4187" s="537"/>
      <c r="C4187" s="333" t="s">
        <v>15</v>
      </c>
      <c r="D4187" s="333" t="s">
        <v>5167</v>
      </c>
      <c r="E4187" s="260" t="s">
        <v>5168</v>
      </c>
      <c r="F4187" s="362">
        <v>2151</v>
      </c>
      <c r="G4187" s="311">
        <v>1989</v>
      </c>
      <c r="H4187" s="369" t="s">
        <v>2658</v>
      </c>
      <c r="I4187" s="313">
        <v>500</v>
      </c>
      <c r="J4187" s="314">
        <v>3.0249999999999999</v>
      </c>
      <c r="K4187" s="314">
        <v>2.8951600000000002</v>
      </c>
      <c r="L4187" s="336">
        <f t="shared" si="44"/>
        <v>0.12983999999999973</v>
      </c>
      <c r="M4187" s="337"/>
    </row>
    <row r="4188" spans="1:13" s="71" customFormat="1" ht="26.4" customHeight="1">
      <c r="A4188" s="282">
        <v>592</v>
      </c>
      <c r="B4188" s="537"/>
      <c r="C4188" s="333" t="s">
        <v>15</v>
      </c>
      <c r="D4188" s="333" t="s">
        <v>5169</v>
      </c>
      <c r="E4188" s="260" t="s">
        <v>5170</v>
      </c>
      <c r="F4188" s="362">
        <v>2152</v>
      </c>
      <c r="G4188" s="311">
        <v>1990</v>
      </c>
      <c r="H4188" s="369" t="s">
        <v>2658</v>
      </c>
      <c r="I4188" s="313">
        <v>700</v>
      </c>
      <c r="J4188" s="314">
        <v>4.24</v>
      </c>
      <c r="K4188" s="314">
        <v>4.0606400000000002</v>
      </c>
      <c r="L4188" s="336">
        <f t="shared" si="44"/>
        <v>0.17935999999999996</v>
      </c>
      <c r="M4188" s="337"/>
    </row>
    <row r="4189" spans="1:13" s="71" customFormat="1" ht="26.4" customHeight="1">
      <c r="A4189" s="282">
        <v>593</v>
      </c>
      <c r="B4189" s="537"/>
      <c r="C4189" s="333" t="s">
        <v>15</v>
      </c>
      <c r="D4189" s="333" t="s">
        <v>5171</v>
      </c>
      <c r="E4189" s="260" t="s">
        <v>5172</v>
      </c>
      <c r="F4189" s="362">
        <v>2153</v>
      </c>
      <c r="G4189" s="311">
        <v>1985</v>
      </c>
      <c r="H4189" s="369" t="s">
        <v>2658</v>
      </c>
      <c r="I4189" s="313">
        <v>130</v>
      </c>
      <c r="J4189" s="314">
        <v>2.6891600000000002</v>
      </c>
      <c r="K4189" s="314">
        <v>1.9392100000000001</v>
      </c>
      <c r="L4189" s="336">
        <f t="shared" si="44"/>
        <v>0.74995000000000012</v>
      </c>
      <c r="M4189" s="337"/>
    </row>
    <row r="4190" spans="1:13" s="71" customFormat="1" ht="26.4" customHeight="1">
      <c r="A4190" s="282">
        <v>594</v>
      </c>
      <c r="B4190" s="537"/>
      <c r="C4190" s="333" t="s">
        <v>15</v>
      </c>
      <c r="D4190" s="313" t="s">
        <v>13288</v>
      </c>
      <c r="E4190" s="260" t="s">
        <v>13289</v>
      </c>
      <c r="F4190" s="362">
        <v>2154</v>
      </c>
      <c r="G4190" s="311">
        <v>1989</v>
      </c>
      <c r="H4190" s="369" t="s">
        <v>2658</v>
      </c>
      <c r="I4190" s="313">
        <v>110</v>
      </c>
      <c r="J4190" s="314">
        <v>2.18316</v>
      </c>
      <c r="K4190" s="314">
        <v>1.83321</v>
      </c>
      <c r="L4190" s="336">
        <f t="shared" si="44"/>
        <v>0.34994999999999998</v>
      </c>
      <c r="M4190" s="337"/>
    </row>
    <row r="4191" spans="1:13" s="71" customFormat="1" ht="26.4" customHeight="1">
      <c r="A4191" s="282">
        <v>595</v>
      </c>
      <c r="B4191" s="537"/>
      <c r="C4191" s="333" t="s">
        <v>15</v>
      </c>
      <c r="D4191" s="313" t="s">
        <v>5173</v>
      </c>
      <c r="E4191" s="260" t="s">
        <v>5174</v>
      </c>
      <c r="F4191" s="362">
        <v>2155</v>
      </c>
      <c r="G4191" s="311">
        <v>1987</v>
      </c>
      <c r="H4191" s="369" t="s">
        <v>2658</v>
      </c>
      <c r="I4191" s="313">
        <v>350</v>
      </c>
      <c r="J4191" s="314">
        <v>3.7051599999999998</v>
      </c>
      <c r="K4191" s="314">
        <v>3.0677099999999999</v>
      </c>
      <c r="L4191" s="336">
        <f t="shared" si="44"/>
        <v>0.63744999999999985</v>
      </c>
      <c r="M4191" s="337"/>
    </row>
    <row r="4192" spans="1:13" s="71" customFormat="1" ht="26.4" customHeight="1">
      <c r="A4192" s="282">
        <v>596</v>
      </c>
      <c r="B4192" s="537"/>
      <c r="C4192" s="333" t="s">
        <v>15</v>
      </c>
      <c r="D4192" s="333" t="s">
        <v>5175</v>
      </c>
      <c r="E4192" s="260" t="s">
        <v>5176</v>
      </c>
      <c r="F4192" s="362">
        <v>2156</v>
      </c>
      <c r="G4192" s="311">
        <v>1986</v>
      </c>
      <c r="H4192" s="369" t="s">
        <v>2658</v>
      </c>
      <c r="I4192" s="313">
        <v>270</v>
      </c>
      <c r="J4192" s="314">
        <v>2.6811600000000002</v>
      </c>
      <c r="K4192" s="314">
        <v>2.5352600000000001</v>
      </c>
      <c r="L4192" s="336">
        <f t="shared" si="44"/>
        <v>0.14590000000000014</v>
      </c>
      <c r="M4192" s="337"/>
    </row>
    <row r="4193" spans="1:13" s="71" customFormat="1" ht="26.4" customHeight="1">
      <c r="A4193" s="282">
        <v>597</v>
      </c>
      <c r="B4193" s="537"/>
      <c r="C4193" s="333" t="s">
        <v>15</v>
      </c>
      <c r="D4193" s="333" t="s">
        <v>5177</v>
      </c>
      <c r="E4193" s="260" t="s">
        <v>5178</v>
      </c>
      <c r="F4193" s="362">
        <v>2157</v>
      </c>
      <c r="G4193" s="311">
        <v>1991</v>
      </c>
      <c r="H4193" s="369" t="s">
        <v>2658</v>
      </c>
      <c r="I4193" s="313">
        <v>190</v>
      </c>
      <c r="J4193" s="314">
        <v>2.0070800000000002</v>
      </c>
      <c r="K4193" s="314">
        <v>1.8904799999999999</v>
      </c>
      <c r="L4193" s="336">
        <f t="shared" si="44"/>
        <v>0.11660000000000026</v>
      </c>
      <c r="M4193" s="337"/>
    </row>
    <row r="4194" spans="1:13" s="71" customFormat="1" ht="26.4" customHeight="1">
      <c r="A4194" s="282">
        <v>598</v>
      </c>
      <c r="B4194" s="537"/>
      <c r="C4194" s="333" t="s">
        <v>15</v>
      </c>
      <c r="D4194" s="333" t="s">
        <v>5179</v>
      </c>
      <c r="E4194" s="260" t="s">
        <v>5180</v>
      </c>
      <c r="F4194" s="362">
        <v>2158</v>
      </c>
      <c r="G4194" s="311">
        <v>1987</v>
      </c>
      <c r="H4194" s="369" t="s">
        <v>2658</v>
      </c>
      <c r="I4194" s="313">
        <v>140</v>
      </c>
      <c r="J4194" s="314">
        <v>2.0920800000000002</v>
      </c>
      <c r="K4194" s="314">
        <v>1.77128</v>
      </c>
      <c r="L4194" s="336">
        <f t="shared" si="44"/>
        <v>0.3208000000000002</v>
      </c>
      <c r="M4194" s="337"/>
    </row>
    <row r="4195" spans="1:13" s="71" customFormat="1" ht="26.4" customHeight="1">
      <c r="A4195" s="282">
        <v>599</v>
      </c>
      <c r="B4195" s="537"/>
      <c r="C4195" s="333" t="s">
        <v>15</v>
      </c>
      <c r="D4195" s="333" t="s">
        <v>5181</v>
      </c>
      <c r="E4195" s="260" t="s">
        <v>5182</v>
      </c>
      <c r="F4195" s="362">
        <v>2159</v>
      </c>
      <c r="G4195" s="311">
        <v>1986</v>
      </c>
      <c r="H4195" s="369" t="s">
        <v>2658</v>
      </c>
      <c r="I4195" s="313">
        <v>620</v>
      </c>
      <c r="J4195" s="314">
        <v>4.5490000000000004</v>
      </c>
      <c r="K4195" s="314">
        <v>4.1947700000000001</v>
      </c>
      <c r="L4195" s="336">
        <f t="shared" si="44"/>
        <v>0.35423000000000027</v>
      </c>
      <c r="M4195" s="337"/>
    </row>
    <row r="4196" spans="1:13" s="71" customFormat="1" ht="26.4" customHeight="1">
      <c r="A4196" s="282">
        <v>600</v>
      </c>
      <c r="B4196" s="537"/>
      <c r="C4196" s="333" t="s">
        <v>15</v>
      </c>
      <c r="D4196" s="333" t="s">
        <v>5183</v>
      </c>
      <c r="E4196" s="260" t="s">
        <v>5184</v>
      </c>
      <c r="F4196" s="362">
        <v>2160</v>
      </c>
      <c r="G4196" s="311">
        <v>1985</v>
      </c>
      <c r="H4196" s="369" t="s">
        <v>2658</v>
      </c>
      <c r="I4196" s="313">
        <v>620</v>
      </c>
      <c r="J4196" s="314">
        <v>4.2460000000000004</v>
      </c>
      <c r="K4196" s="314">
        <v>4.0126499999999998</v>
      </c>
      <c r="L4196" s="336">
        <f t="shared" si="44"/>
        <v>0.23335000000000061</v>
      </c>
      <c r="M4196" s="337"/>
    </row>
    <row r="4197" spans="1:13" s="71" customFormat="1" ht="26.4" customHeight="1">
      <c r="A4197" s="282">
        <v>601</v>
      </c>
      <c r="B4197" s="537"/>
      <c r="C4197" s="333" t="s">
        <v>15</v>
      </c>
      <c r="D4197" s="333" t="s">
        <v>5185</v>
      </c>
      <c r="E4197" s="260" t="s">
        <v>5186</v>
      </c>
      <c r="F4197" s="362">
        <v>2161</v>
      </c>
      <c r="G4197" s="311">
        <v>1986</v>
      </c>
      <c r="H4197" s="369" t="s">
        <v>2658</v>
      </c>
      <c r="I4197" s="313">
        <v>1000</v>
      </c>
      <c r="J4197" s="314">
        <v>6.6978999999999997</v>
      </c>
      <c r="K4197" s="314">
        <v>6.4146299999999998</v>
      </c>
      <c r="L4197" s="336">
        <f t="shared" si="44"/>
        <v>0.28326999999999991</v>
      </c>
      <c r="M4197" s="337"/>
    </row>
    <row r="4198" spans="1:13" s="71" customFormat="1" ht="26.4" customHeight="1">
      <c r="A4198" s="282">
        <v>602</v>
      </c>
      <c r="B4198" s="537"/>
      <c r="C4198" s="333" t="s">
        <v>15</v>
      </c>
      <c r="D4198" s="333" t="s">
        <v>5187</v>
      </c>
      <c r="E4198" s="260" t="s">
        <v>5188</v>
      </c>
      <c r="F4198" s="362">
        <v>2162</v>
      </c>
      <c r="G4198" s="311">
        <v>1990</v>
      </c>
      <c r="H4198" s="369" t="s">
        <v>2658</v>
      </c>
      <c r="I4198" s="313">
        <v>180</v>
      </c>
      <c r="J4198" s="314">
        <v>1.95408</v>
      </c>
      <c r="K4198" s="314">
        <v>1.83748</v>
      </c>
      <c r="L4198" s="336">
        <f t="shared" si="44"/>
        <v>0.11660000000000004</v>
      </c>
      <c r="M4198" s="337"/>
    </row>
    <row r="4199" spans="1:13" s="71" customFormat="1" ht="26.4" customHeight="1">
      <c r="A4199" s="282">
        <v>603</v>
      </c>
      <c r="B4199" s="537"/>
      <c r="C4199" s="333" t="s">
        <v>15</v>
      </c>
      <c r="D4199" s="333" t="s">
        <v>5189</v>
      </c>
      <c r="E4199" s="260" t="s">
        <v>5190</v>
      </c>
      <c r="F4199" s="362">
        <v>2163</v>
      </c>
      <c r="G4199" s="311">
        <v>1987</v>
      </c>
      <c r="H4199" s="369" t="s">
        <v>2658</v>
      </c>
      <c r="I4199" s="313">
        <v>610</v>
      </c>
      <c r="J4199" s="314">
        <v>4.048</v>
      </c>
      <c r="K4199" s="314">
        <v>3.8780000000000001</v>
      </c>
      <c r="L4199" s="336">
        <f t="shared" si="44"/>
        <v>0.16999999999999993</v>
      </c>
      <c r="M4199" s="337"/>
    </row>
    <row r="4200" spans="1:13" s="71" customFormat="1" ht="26.4" customHeight="1">
      <c r="A4200" s="282">
        <v>604</v>
      </c>
      <c r="B4200" s="537"/>
      <c r="C4200" s="333" t="s">
        <v>15</v>
      </c>
      <c r="D4200" s="313" t="s">
        <v>5191</v>
      </c>
      <c r="E4200" s="260" t="s">
        <v>5192</v>
      </c>
      <c r="F4200" s="362">
        <v>2164</v>
      </c>
      <c r="G4200" s="311">
        <v>1991</v>
      </c>
      <c r="H4200" s="369" t="s">
        <v>2658</v>
      </c>
      <c r="I4200" s="313">
        <v>100</v>
      </c>
      <c r="J4200" s="314">
        <v>1.5300800000000001</v>
      </c>
      <c r="K4200" s="314">
        <v>1.4426300000000001</v>
      </c>
      <c r="L4200" s="336">
        <f t="shared" si="44"/>
        <v>8.7450000000000028E-2</v>
      </c>
      <c r="M4200" s="337"/>
    </row>
    <row r="4201" spans="1:13" s="71" customFormat="1" ht="26.4" customHeight="1">
      <c r="A4201" s="282">
        <v>605</v>
      </c>
      <c r="B4201" s="537"/>
      <c r="C4201" s="333" t="s">
        <v>15</v>
      </c>
      <c r="D4201" s="333" t="s">
        <v>5193</v>
      </c>
      <c r="E4201" s="260" t="s">
        <v>5194</v>
      </c>
      <c r="F4201" s="362">
        <v>2165</v>
      </c>
      <c r="G4201" s="311">
        <v>1985</v>
      </c>
      <c r="H4201" s="369" t="s">
        <v>2658</v>
      </c>
      <c r="I4201" s="313">
        <v>100</v>
      </c>
      <c r="J4201" s="314">
        <v>1.5300800000000001</v>
      </c>
      <c r="K4201" s="314">
        <v>1.4426300000000001</v>
      </c>
      <c r="L4201" s="336">
        <f t="shared" si="44"/>
        <v>8.7450000000000028E-2</v>
      </c>
      <c r="M4201" s="337"/>
    </row>
    <row r="4202" spans="1:13" s="71" customFormat="1" ht="26.4" customHeight="1">
      <c r="A4202" s="282">
        <v>606</v>
      </c>
      <c r="B4202" s="537"/>
      <c r="C4202" s="333" t="s">
        <v>15</v>
      </c>
      <c r="D4202" s="313" t="s">
        <v>5195</v>
      </c>
      <c r="E4202" s="260" t="s">
        <v>5196</v>
      </c>
      <c r="F4202" s="362">
        <v>2166</v>
      </c>
      <c r="G4202" s="311">
        <v>1990</v>
      </c>
      <c r="H4202" s="369" t="s">
        <v>2658</v>
      </c>
      <c r="I4202" s="313">
        <v>200</v>
      </c>
      <c r="J4202" s="314">
        <v>2.1600799999999998</v>
      </c>
      <c r="K4202" s="314">
        <v>2.0434800000000002</v>
      </c>
      <c r="L4202" s="336">
        <f t="shared" si="44"/>
        <v>0.11659999999999959</v>
      </c>
      <c r="M4202" s="337"/>
    </row>
    <row r="4203" spans="1:13" s="71" customFormat="1" ht="26.4" customHeight="1">
      <c r="A4203" s="282">
        <v>607</v>
      </c>
      <c r="B4203" s="537"/>
      <c r="C4203" s="333" t="s">
        <v>15</v>
      </c>
      <c r="D4203" s="313" t="s">
        <v>5197</v>
      </c>
      <c r="E4203" s="260" t="s">
        <v>5198</v>
      </c>
      <c r="F4203" s="362">
        <v>2167</v>
      </c>
      <c r="G4203" s="311">
        <v>1987</v>
      </c>
      <c r="H4203" s="369" t="s">
        <v>2658</v>
      </c>
      <c r="I4203" s="313">
        <v>90</v>
      </c>
      <c r="J4203" s="314">
        <v>1.62208</v>
      </c>
      <c r="K4203" s="314">
        <v>1.44703</v>
      </c>
      <c r="L4203" s="336">
        <f t="shared" si="44"/>
        <v>0.17504999999999993</v>
      </c>
      <c r="M4203" s="337"/>
    </row>
    <row r="4204" spans="1:13" s="71" customFormat="1" ht="26.4" customHeight="1">
      <c r="A4204" s="282">
        <v>608</v>
      </c>
      <c r="B4204" s="537"/>
      <c r="C4204" s="333" t="s">
        <v>15</v>
      </c>
      <c r="D4204" s="333" t="s">
        <v>5199</v>
      </c>
      <c r="E4204" s="260" t="s">
        <v>5200</v>
      </c>
      <c r="F4204" s="362">
        <v>2168</v>
      </c>
      <c r="G4204" s="311">
        <v>1991</v>
      </c>
      <c r="H4204" s="369" t="s">
        <v>2658</v>
      </c>
      <c r="I4204" s="313">
        <v>100</v>
      </c>
      <c r="J4204" s="314">
        <v>1.4800800000000001</v>
      </c>
      <c r="K4204" s="314">
        <v>1.39263</v>
      </c>
      <c r="L4204" s="336">
        <f t="shared" si="44"/>
        <v>8.7450000000000028E-2</v>
      </c>
      <c r="M4204" s="337"/>
    </row>
    <row r="4205" spans="1:13" s="71" customFormat="1" ht="26.4" customHeight="1">
      <c r="A4205" s="282">
        <v>609</v>
      </c>
      <c r="B4205" s="537"/>
      <c r="C4205" s="333" t="s">
        <v>15</v>
      </c>
      <c r="D4205" s="313" t="s">
        <v>5201</v>
      </c>
      <c r="E4205" s="260" t="s">
        <v>5202</v>
      </c>
      <c r="F4205" s="362">
        <v>2169</v>
      </c>
      <c r="G4205" s="311">
        <v>1990</v>
      </c>
      <c r="H4205" s="369" t="s">
        <v>2658</v>
      </c>
      <c r="I4205" s="313">
        <v>180</v>
      </c>
      <c r="J4205" s="314">
        <v>2.5539999999999998</v>
      </c>
      <c r="K4205" s="314">
        <v>1.9540299999999999</v>
      </c>
      <c r="L4205" s="336">
        <f t="shared" si="44"/>
        <v>0.59996999999999989</v>
      </c>
      <c r="M4205" s="337"/>
    </row>
    <row r="4206" spans="1:13" s="71" customFormat="1" ht="26.4" customHeight="1">
      <c r="A4206" s="282">
        <v>610</v>
      </c>
      <c r="B4206" s="537"/>
      <c r="C4206" s="333" t="s">
        <v>15</v>
      </c>
      <c r="D4206" s="313" t="s">
        <v>5203</v>
      </c>
      <c r="E4206" s="260" t="s">
        <v>5204</v>
      </c>
      <c r="F4206" s="362">
        <v>2170</v>
      </c>
      <c r="G4206" s="311">
        <v>1987</v>
      </c>
      <c r="H4206" s="369" t="s">
        <v>2658</v>
      </c>
      <c r="I4206" s="313">
        <v>110</v>
      </c>
      <c r="J4206" s="314">
        <v>1.53308</v>
      </c>
      <c r="K4206" s="314">
        <v>1.44563</v>
      </c>
      <c r="L4206" s="336">
        <f t="shared" si="44"/>
        <v>8.7450000000000028E-2</v>
      </c>
      <c r="M4206" s="337"/>
    </row>
    <row r="4207" spans="1:13" s="71" customFormat="1" ht="26.4" customHeight="1">
      <c r="A4207" s="282">
        <v>611</v>
      </c>
      <c r="B4207" s="537"/>
      <c r="C4207" s="333" t="s">
        <v>15</v>
      </c>
      <c r="D4207" s="333" t="s">
        <v>5205</v>
      </c>
      <c r="E4207" s="260" t="s">
        <v>5206</v>
      </c>
      <c r="F4207" s="362">
        <v>2171</v>
      </c>
      <c r="G4207" s="311">
        <v>1989</v>
      </c>
      <c r="H4207" s="369" t="s">
        <v>2658</v>
      </c>
      <c r="I4207" s="313">
        <v>690</v>
      </c>
      <c r="J4207" s="314">
        <v>4.6520000000000001</v>
      </c>
      <c r="K4207" s="314">
        <v>4.4186500000000004</v>
      </c>
      <c r="L4207" s="336">
        <f t="shared" si="44"/>
        <v>0.23334999999999972</v>
      </c>
      <c r="M4207" s="337"/>
    </row>
    <row r="4208" spans="1:13" s="71" customFormat="1" ht="26.4" customHeight="1">
      <c r="A4208" s="282">
        <v>612</v>
      </c>
      <c r="B4208" s="537"/>
      <c r="C4208" s="333" t="s">
        <v>15</v>
      </c>
      <c r="D4208" s="333" t="s">
        <v>4569</v>
      </c>
      <c r="E4208" s="260" t="s">
        <v>5207</v>
      </c>
      <c r="F4208" s="362">
        <v>2172</v>
      </c>
      <c r="G4208" s="311">
        <v>1989</v>
      </c>
      <c r="H4208" s="369" t="s">
        <v>2658</v>
      </c>
      <c r="I4208" s="313">
        <v>140</v>
      </c>
      <c r="J4208" s="314">
        <v>2.2120799999999998</v>
      </c>
      <c r="K4208" s="314">
        <v>1.8621300000000001</v>
      </c>
      <c r="L4208" s="336">
        <f t="shared" si="44"/>
        <v>0.34994999999999976</v>
      </c>
      <c r="M4208" s="337"/>
    </row>
    <row r="4209" spans="1:13" s="71" customFormat="1" ht="26.4" customHeight="1">
      <c r="A4209" s="282">
        <v>613</v>
      </c>
      <c r="B4209" s="537"/>
      <c r="C4209" s="333" t="s">
        <v>15</v>
      </c>
      <c r="D4209" s="333" t="s">
        <v>5208</v>
      </c>
      <c r="E4209" s="260" t="s">
        <v>5209</v>
      </c>
      <c r="F4209" s="362">
        <v>2173</v>
      </c>
      <c r="G4209" s="311">
        <v>1985</v>
      </c>
      <c r="H4209" s="369" t="s">
        <v>2658</v>
      </c>
      <c r="I4209" s="313">
        <v>180</v>
      </c>
      <c r="J4209" s="314">
        <v>2.5040800000000001</v>
      </c>
      <c r="K4209" s="314">
        <v>2.0665300000000002</v>
      </c>
      <c r="L4209" s="336">
        <f t="shared" si="44"/>
        <v>0.43754999999999988</v>
      </c>
      <c r="M4209" s="337"/>
    </row>
    <row r="4210" spans="1:13" s="71" customFormat="1" ht="26.4" customHeight="1">
      <c r="A4210" s="282">
        <v>614</v>
      </c>
      <c r="B4210" s="537"/>
      <c r="C4210" s="333" t="s">
        <v>15</v>
      </c>
      <c r="D4210" s="307" t="s">
        <v>5210</v>
      </c>
      <c r="E4210" s="260" t="s">
        <v>5211</v>
      </c>
      <c r="F4210" s="362">
        <v>2174</v>
      </c>
      <c r="G4210" s="311">
        <v>1986</v>
      </c>
      <c r="H4210" s="369" t="s">
        <v>2658</v>
      </c>
      <c r="I4210" s="313">
        <v>600</v>
      </c>
      <c r="J4210" s="314">
        <v>3.98</v>
      </c>
      <c r="K4210" s="314">
        <v>3.6883499999999998</v>
      </c>
      <c r="L4210" s="336">
        <f t="shared" si="44"/>
        <v>0.29165000000000019</v>
      </c>
      <c r="M4210" s="337"/>
    </row>
    <row r="4211" spans="1:13" s="71" customFormat="1" ht="26.4" customHeight="1">
      <c r="A4211" s="282">
        <v>615</v>
      </c>
      <c r="B4211" s="537"/>
      <c r="C4211" s="333" t="s">
        <v>15</v>
      </c>
      <c r="D4211" s="333" t="s">
        <v>5212</v>
      </c>
      <c r="E4211" s="260" t="s">
        <v>5213</v>
      </c>
      <c r="F4211" s="362">
        <v>2175</v>
      </c>
      <c r="G4211" s="311">
        <v>1980</v>
      </c>
      <c r="H4211" s="369" t="s">
        <v>2658</v>
      </c>
      <c r="I4211" s="313">
        <v>120</v>
      </c>
      <c r="J4211" s="314">
        <v>1.64608</v>
      </c>
      <c r="K4211" s="314">
        <v>1.55863</v>
      </c>
      <c r="L4211" s="336">
        <f t="shared" si="44"/>
        <v>8.7450000000000028E-2</v>
      </c>
      <c r="M4211" s="337"/>
    </row>
    <row r="4212" spans="1:13" s="71" customFormat="1" ht="26.4" customHeight="1">
      <c r="A4212" s="282">
        <v>616</v>
      </c>
      <c r="B4212" s="537"/>
      <c r="C4212" s="333" t="s">
        <v>15</v>
      </c>
      <c r="D4212" s="333" t="s">
        <v>5214</v>
      </c>
      <c r="E4212" s="260" t="s">
        <v>5215</v>
      </c>
      <c r="F4212" s="362">
        <v>2176</v>
      </c>
      <c r="G4212" s="311">
        <v>1991</v>
      </c>
      <c r="H4212" s="369" t="s">
        <v>2658</v>
      </c>
      <c r="I4212" s="313">
        <v>600</v>
      </c>
      <c r="J4212" s="314">
        <v>4.92</v>
      </c>
      <c r="K4212" s="314">
        <v>4.71218</v>
      </c>
      <c r="L4212" s="336">
        <f t="shared" si="44"/>
        <v>0.20781999999999989</v>
      </c>
      <c r="M4212" s="337"/>
    </row>
    <row r="4213" spans="1:13" s="71" customFormat="1" ht="26.4" customHeight="1">
      <c r="A4213" s="282">
        <v>617</v>
      </c>
      <c r="B4213" s="537"/>
      <c r="C4213" s="333" t="s">
        <v>15</v>
      </c>
      <c r="D4213" s="333" t="s">
        <v>5216</v>
      </c>
      <c r="E4213" s="260" t="s">
        <v>5217</v>
      </c>
      <c r="F4213" s="362">
        <v>2177</v>
      </c>
      <c r="G4213" s="311">
        <v>1985</v>
      </c>
      <c r="H4213" s="369" t="s">
        <v>2658</v>
      </c>
      <c r="I4213" s="313">
        <v>300</v>
      </c>
      <c r="J4213" s="314">
        <v>3.0415999999999999</v>
      </c>
      <c r="K4213" s="314">
        <v>2.86511</v>
      </c>
      <c r="L4213" s="336">
        <f t="shared" si="44"/>
        <v>0.17648999999999981</v>
      </c>
      <c r="M4213" s="337"/>
    </row>
    <row r="4214" spans="1:13" s="71" customFormat="1" ht="26.4" customHeight="1">
      <c r="A4214" s="282">
        <v>618</v>
      </c>
      <c r="B4214" s="537"/>
      <c r="C4214" s="333" t="s">
        <v>15</v>
      </c>
      <c r="D4214" s="333" t="s">
        <v>5218</v>
      </c>
      <c r="E4214" s="260" t="s">
        <v>5219</v>
      </c>
      <c r="F4214" s="362">
        <v>2178</v>
      </c>
      <c r="G4214" s="311">
        <v>1989</v>
      </c>
      <c r="H4214" s="369" t="s">
        <v>2658</v>
      </c>
      <c r="I4214" s="313">
        <v>700</v>
      </c>
      <c r="J4214" s="314">
        <v>5.36</v>
      </c>
      <c r="K4214" s="314">
        <v>4.3099499999999997</v>
      </c>
      <c r="L4214" s="336">
        <f t="shared" si="44"/>
        <v>1.0500500000000006</v>
      </c>
      <c r="M4214" s="337"/>
    </row>
    <row r="4215" spans="1:13" s="71" customFormat="1" ht="26.4" customHeight="1">
      <c r="A4215" s="282">
        <v>619</v>
      </c>
      <c r="B4215" s="537"/>
      <c r="C4215" s="333" t="s">
        <v>15</v>
      </c>
      <c r="D4215" s="313" t="s">
        <v>5220</v>
      </c>
      <c r="E4215" s="260" t="s">
        <v>5221</v>
      </c>
      <c r="F4215" s="362">
        <v>2179</v>
      </c>
      <c r="G4215" s="311">
        <v>1989</v>
      </c>
      <c r="H4215" s="369" t="s">
        <v>2658</v>
      </c>
      <c r="I4215" s="313">
        <v>200</v>
      </c>
      <c r="J4215" s="314">
        <v>3.1601599999999999</v>
      </c>
      <c r="K4215" s="314">
        <v>2.3351099999999998</v>
      </c>
      <c r="L4215" s="336">
        <f t="shared" si="44"/>
        <v>0.82505000000000006</v>
      </c>
      <c r="M4215" s="337"/>
    </row>
    <row r="4216" spans="1:13" s="71" customFormat="1" ht="26.4" customHeight="1">
      <c r="A4216" s="282">
        <v>620</v>
      </c>
      <c r="B4216" s="537"/>
      <c r="C4216" s="333" t="s">
        <v>15</v>
      </c>
      <c r="D4216" s="333" t="s">
        <v>5222</v>
      </c>
      <c r="E4216" s="260" t="s">
        <v>5223</v>
      </c>
      <c r="F4216" s="362">
        <v>2180</v>
      </c>
      <c r="G4216" s="311">
        <v>1979</v>
      </c>
      <c r="H4216" s="369" t="s">
        <v>2658</v>
      </c>
      <c r="I4216" s="313">
        <v>90</v>
      </c>
      <c r="J4216" s="314">
        <v>1.4720800000000001</v>
      </c>
      <c r="K4216" s="314">
        <v>1.38463</v>
      </c>
      <c r="L4216" s="336">
        <f t="shared" si="44"/>
        <v>8.7450000000000028E-2</v>
      </c>
      <c r="M4216" s="337"/>
    </row>
    <row r="4217" spans="1:13" s="71" customFormat="1" ht="26.4" customHeight="1">
      <c r="A4217" s="282">
        <v>621</v>
      </c>
      <c r="B4217" s="537"/>
      <c r="C4217" s="333" t="s">
        <v>15</v>
      </c>
      <c r="D4217" s="333" t="s">
        <v>5224</v>
      </c>
      <c r="E4217" s="260" t="s">
        <v>5225</v>
      </c>
      <c r="F4217" s="362">
        <v>2181</v>
      </c>
      <c r="G4217" s="311">
        <v>1986</v>
      </c>
      <c r="H4217" s="369" t="s">
        <v>2658</v>
      </c>
      <c r="I4217" s="313">
        <v>770</v>
      </c>
      <c r="J4217" s="314">
        <v>4.8810000000000002</v>
      </c>
      <c r="K4217" s="314">
        <v>4.6185</v>
      </c>
      <c r="L4217" s="336">
        <f t="shared" si="44"/>
        <v>0.26250000000000018</v>
      </c>
      <c r="M4217" s="337"/>
    </row>
    <row r="4218" spans="1:13" s="71" customFormat="1" ht="26.4" customHeight="1">
      <c r="A4218" s="282">
        <v>622</v>
      </c>
      <c r="B4218" s="537"/>
      <c r="C4218" s="333" t="s">
        <v>15</v>
      </c>
      <c r="D4218" s="333" t="s">
        <v>4701</v>
      </c>
      <c r="E4218" s="260" t="s">
        <v>5226</v>
      </c>
      <c r="F4218" s="362">
        <v>2182</v>
      </c>
      <c r="G4218" s="311">
        <v>1976</v>
      </c>
      <c r="H4218" s="369" t="s">
        <v>2658</v>
      </c>
      <c r="I4218" s="313">
        <v>100</v>
      </c>
      <c r="J4218" s="314">
        <v>2.2290800000000002</v>
      </c>
      <c r="K4218" s="314">
        <v>2.1124800000000001</v>
      </c>
      <c r="L4218" s="336">
        <f t="shared" si="44"/>
        <v>0.11660000000000004</v>
      </c>
      <c r="M4218" s="337"/>
    </row>
    <row r="4219" spans="1:13" s="71" customFormat="1" ht="26.4" customHeight="1">
      <c r="A4219" s="282">
        <v>623</v>
      </c>
      <c r="B4219" s="537"/>
      <c r="C4219" s="333" t="s">
        <v>15</v>
      </c>
      <c r="D4219" s="333" t="s">
        <v>4572</v>
      </c>
      <c r="E4219" s="260" t="s">
        <v>4573</v>
      </c>
      <c r="F4219" s="362">
        <v>2183</v>
      </c>
      <c r="G4219" s="311">
        <v>1975</v>
      </c>
      <c r="H4219" s="369" t="s">
        <v>2658</v>
      </c>
      <c r="I4219" s="313">
        <v>440</v>
      </c>
      <c r="J4219" s="314">
        <v>5.9059999999999997</v>
      </c>
      <c r="K4219" s="314">
        <v>5.9059999999999997</v>
      </c>
      <c r="L4219" s="336">
        <f t="shared" si="44"/>
        <v>0</v>
      </c>
      <c r="M4219" s="337"/>
    </row>
    <row r="4220" spans="1:13" s="71" customFormat="1" ht="26.4" customHeight="1">
      <c r="A4220" s="282">
        <v>624</v>
      </c>
      <c r="B4220" s="537"/>
      <c r="C4220" s="333" t="s">
        <v>15</v>
      </c>
      <c r="D4220" s="333" t="s">
        <v>5227</v>
      </c>
      <c r="E4220" s="260" t="s">
        <v>5228</v>
      </c>
      <c r="F4220" s="362">
        <v>2184</v>
      </c>
      <c r="G4220" s="311">
        <v>1975</v>
      </c>
      <c r="H4220" s="369" t="s">
        <v>2658</v>
      </c>
      <c r="I4220" s="313">
        <v>500</v>
      </c>
      <c r="J4220" s="314">
        <v>4.25</v>
      </c>
      <c r="K4220" s="314">
        <v>4.25</v>
      </c>
      <c r="L4220" s="336">
        <f t="shared" si="44"/>
        <v>0</v>
      </c>
      <c r="M4220" s="337"/>
    </row>
    <row r="4221" spans="1:13" s="71" customFormat="1" ht="26.4" customHeight="1">
      <c r="A4221" s="282">
        <v>625</v>
      </c>
      <c r="B4221" s="537"/>
      <c r="C4221" s="333" t="s">
        <v>15</v>
      </c>
      <c r="D4221" s="333" t="s">
        <v>5229</v>
      </c>
      <c r="E4221" s="260" t="s">
        <v>5230</v>
      </c>
      <c r="F4221" s="362">
        <v>2185</v>
      </c>
      <c r="G4221" s="311">
        <v>1975</v>
      </c>
      <c r="H4221" s="369" t="s">
        <v>2658</v>
      </c>
      <c r="I4221" s="313">
        <v>100</v>
      </c>
      <c r="J4221" s="314">
        <v>3.6701600000000001</v>
      </c>
      <c r="K4221" s="314">
        <v>3.4659599999999999</v>
      </c>
      <c r="L4221" s="336">
        <f t="shared" si="44"/>
        <v>0.20420000000000016</v>
      </c>
      <c r="M4221" s="337"/>
    </row>
    <row r="4222" spans="1:13" s="71" customFormat="1" ht="26.4" customHeight="1">
      <c r="A4222" s="282">
        <v>626</v>
      </c>
      <c r="B4222" s="537"/>
      <c r="C4222" s="333" t="s">
        <v>15</v>
      </c>
      <c r="D4222" s="333" t="s">
        <v>4858</v>
      </c>
      <c r="E4222" s="260" t="s">
        <v>5231</v>
      </c>
      <c r="F4222" s="362">
        <v>2186</v>
      </c>
      <c r="G4222" s="311">
        <v>1975</v>
      </c>
      <c r="H4222" s="369" t="s">
        <v>2658</v>
      </c>
      <c r="I4222" s="313">
        <v>720</v>
      </c>
      <c r="J4222" s="314">
        <v>10.226000000000001</v>
      </c>
      <c r="K4222" s="314">
        <v>9.3934999999999995</v>
      </c>
      <c r="L4222" s="336">
        <f t="shared" si="44"/>
        <v>0.83250000000000135</v>
      </c>
      <c r="M4222" s="337"/>
    </row>
    <row r="4223" spans="1:13" s="71" customFormat="1" ht="26.4" customHeight="1">
      <c r="A4223" s="282">
        <v>627</v>
      </c>
      <c r="B4223" s="537"/>
      <c r="C4223" s="333" t="s">
        <v>15</v>
      </c>
      <c r="D4223" s="333" t="s">
        <v>5232</v>
      </c>
      <c r="E4223" s="260" t="s">
        <v>5233</v>
      </c>
      <c r="F4223" s="362">
        <v>2187</v>
      </c>
      <c r="G4223" s="311">
        <v>1956</v>
      </c>
      <c r="H4223" s="369" t="s">
        <v>2658</v>
      </c>
      <c r="I4223" s="313">
        <v>680</v>
      </c>
      <c r="J4223" s="314">
        <v>16.239999999999998</v>
      </c>
      <c r="K4223" s="314">
        <v>16.239999999999998</v>
      </c>
      <c r="L4223" s="336">
        <f t="shared" si="44"/>
        <v>0</v>
      </c>
      <c r="M4223" s="337"/>
    </row>
    <row r="4224" spans="1:13" s="71" customFormat="1" ht="26.4" customHeight="1">
      <c r="A4224" s="282">
        <v>628</v>
      </c>
      <c r="B4224" s="537"/>
      <c r="C4224" s="333" t="s">
        <v>15</v>
      </c>
      <c r="D4224" s="333" t="s">
        <v>5234</v>
      </c>
      <c r="E4224" s="260" t="s">
        <v>5235</v>
      </c>
      <c r="F4224" s="362">
        <v>2188</v>
      </c>
      <c r="G4224" s="311">
        <v>1956</v>
      </c>
      <c r="H4224" s="369" t="s">
        <v>2658</v>
      </c>
      <c r="I4224" s="313">
        <v>350</v>
      </c>
      <c r="J4224" s="314">
        <v>13.21</v>
      </c>
      <c r="K4224" s="314">
        <v>13.21</v>
      </c>
      <c r="L4224" s="336">
        <f t="shared" si="44"/>
        <v>0</v>
      </c>
      <c r="M4224" s="337"/>
    </row>
    <row r="4225" spans="1:13" s="71" customFormat="1" ht="26.4" customHeight="1">
      <c r="A4225" s="282">
        <v>629</v>
      </c>
      <c r="B4225" s="537"/>
      <c r="C4225" s="333" t="s">
        <v>15</v>
      </c>
      <c r="D4225" s="333" t="s">
        <v>4599</v>
      </c>
      <c r="E4225" s="260" t="s">
        <v>5236</v>
      </c>
      <c r="F4225" s="362">
        <v>2189</v>
      </c>
      <c r="G4225" s="311">
        <v>1958</v>
      </c>
      <c r="H4225" s="369" t="s">
        <v>2658</v>
      </c>
      <c r="I4225" s="313">
        <v>360</v>
      </c>
      <c r="J4225" s="314">
        <v>6.5385999999999997</v>
      </c>
      <c r="K4225" s="314">
        <v>6.1882099999999998</v>
      </c>
      <c r="L4225" s="336">
        <f t="shared" si="44"/>
        <v>0.35038999999999998</v>
      </c>
      <c r="M4225" s="337"/>
    </row>
    <row r="4226" spans="1:13" s="71" customFormat="1" ht="26.4" customHeight="1">
      <c r="A4226" s="282">
        <v>630</v>
      </c>
      <c r="B4226" s="537"/>
      <c r="C4226" s="333" t="s">
        <v>15</v>
      </c>
      <c r="D4226" s="333" t="s">
        <v>5048</v>
      </c>
      <c r="E4226" s="260" t="s">
        <v>5237</v>
      </c>
      <c r="F4226" s="362">
        <v>2190</v>
      </c>
      <c r="G4226" s="311">
        <v>1975</v>
      </c>
      <c r="H4226" s="369" t="s">
        <v>2658</v>
      </c>
      <c r="I4226" s="313">
        <v>370</v>
      </c>
      <c r="J4226" s="314">
        <v>3.7561599999999999</v>
      </c>
      <c r="K4226" s="314">
        <v>3.5519599999999998</v>
      </c>
      <c r="L4226" s="336">
        <f t="shared" si="44"/>
        <v>0.20420000000000016</v>
      </c>
      <c r="M4226" s="337"/>
    </row>
    <row r="4227" spans="1:13" s="71" customFormat="1" ht="26.4" customHeight="1">
      <c r="A4227" s="282">
        <v>631</v>
      </c>
      <c r="B4227" s="537"/>
      <c r="C4227" s="333" t="s">
        <v>15</v>
      </c>
      <c r="D4227" s="333" t="s">
        <v>5021</v>
      </c>
      <c r="E4227" s="260" t="s">
        <v>5238</v>
      </c>
      <c r="F4227" s="362">
        <v>2191</v>
      </c>
      <c r="G4227" s="311">
        <v>1976</v>
      </c>
      <c r="H4227" s="369" t="s">
        <v>2658</v>
      </c>
      <c r="I4227" s="313">
        <v>1850</v>
      </c>
      <c r="J4227" s="314">
        <v>15.874000000000001</v>
      </c>
      <c r="K4227" s="314">
        <v>15.874000000000001</v>
      </c>
      <c r="L4227" s="336">
        <f t="shared" si="44"/>
        <v>0</v>
      </c>
      <c r="M4227" s="337"/>
    </row>
    <row r="4228" spans="1:13" s="71" customFormat="1" ht="26.4" customHeight="1">
      <c r="A4228" s="282">
        <v>632</v>
      </c>
      <c r="B4228" s="537"/>
      <c r="C4228" s="333" t="s">
        <v>15</v>
      </c>
      <c r="D4228" s="333" t="s">
        <v>5239</v>
      </c>
      <c r="E4228" s="260" t="s">
        <v>5240</v>
      </c>
      <c r="F4228" s="362">
        <v>2192</v>
      </c>
      <c r="G4228" s="311">
        <v>1977</v>
      </c>
      <c r="H4228" s="369" t="s">
        <v>2658</v>
      </c>
      <c r="I4228" s="313">
        <v>600</v>
      </c>
      <c r="J4228" s="314">
        <v>4.9301599999999999</v>
      </c>
      <c r="K4228" s="314">
        <v>4.6676599999999997</v>
      </c>
      <c r="L4228" s="336">
        <f t="shared" si="44"/>
        <v>0.26250000000000018</v>
      </c>
      <c r="M4228" s="337"/>
    </row>
    <row r="4229" spans="1:13" s="71" customFormat="1" ht="26.4" customHeight="1">
      <c r="A4229" s="282">
        <v>633</v>
      </c>
      <c r="B4229" s="537"/>
      <c r="C4229" s="333" t="s">
        <v>15</v>
      </c>
      <c r="D4229" s="307" t="s">
        <v>5241</v>
      </c>
      <c r="E4229" s="260" t="s">
        <v>5242</v>
      </c>
      <c r="F4229" s="362">
        <v>2193</v>
      </c>
      <c r="G4229" s="311">
        <v>1979</v>
      </c>
      <c r="H4229" s="369" t="s">
        <v>2658</v>
      </c>
      <c r="I4229" s="313">
        <v>400</v>
      </c>
      <c r="J4229" s="314">
        <v>3.6701600000000001</v>
      </c>
      <c r="K4229" s="314">
        <v>3.40761</v>
      </c>
      <c r="L4229" s="336">
        <f t="shared" si="44"/>
        <v>0.26255000000000006</v>
      </c>
      <c r="M4229" s="337"/>
    </row>
    <row r="4230" spans="1:13" s="71" customFormat="1" ht="26.4" customHeight="1">
      <c r="A4230" s="282">
        <v>634</v>
      </c>
      <c r="B4230" s="537"/>
      <c r="C4230" s="333" t="s">
        <v>15</v>
      </c>
      <c r="D4230" s="333" t="s">
        <v>5243</v>
      </c>
      <c r="E4230" s="260" t="s">
        <v>5244</v>
      </c>
      <c r="F4230" s="362">
        <v>2194</v>
      </c>
      <c r="G4230" s="311">
        <v>1965</v>
      </c>
      <c r="H4230" s="369" t="s">
        <v>2658</v>
      </c>
      <c r="I4230" s="313">
        <v>700</v>
      </c>
      <c r="J4230" s="314">
        <v>20.62</v>
      </c>
      <c r="K4230" s="314">
        <v>20.62</v>
      </c>
      <c r="L4230" s="336">
        <f t="shared" si="44"/>
        <v>0</v>
      </c>
      <c r="M4230" s="337"/>
    </row>
    <row r="4231" spans="1:13" s="71" customFormat="1" ht="26.4" customHeight="1">
      <c r="A4231" s="282">
        <v>635</v>
      </c>
      <c r="B4231" s="537"/>
      <c r="C4231" s="333" t="s">
        <v>15</v>
      </c>
      <c r="D4231" s="333" t="s">
        <v>5245</v>
      </c>
      <c r="E4231" s="260" t="s">
        <v>5246</v>
      </c>
      <c r="F4231" s="362">
        <v>2195</v>
      </c>
      <c r="G4231" s="311">
        <v>1978</v>
      </c>
      <c r="H4231" s="369" t="s">
        <v>2658</v>
      </c>
      <c r="I4231" s="313">
        <v>200</v>
      </c>
      <c r="J4231" s="314">
        <v>2.1600799999999998</v>
      </c>
      <c r="K4231" s="314">
        <v>2.0434800000000002</v>
      </c>
      <c r="L4231" s="336">
        <f t="shared" si="44"/>
        <v>0.11659999999999959</v>
      </c>
      <c r="M4231" s="337"/>
    </row>
    <row r="4232" spans="1:13" s="71" customFormat="1" ht="26.4" customHeight="1">
      <c r="A4232" s="282">
        <v>636</v>
      </c>
      <c r="B4232" s="537"/>
      <c r="C4232" s="333" t="s">
        <v>15</v>
      </c>
      <c r="D4232" s="333" t="s">
        <v>5247</v>
      </c>
      <c r="E4232" s="260" t="s">
        <v>5248</v>
      </c>
      <c r="F4232" s="362">
        <v>2196</v>
      </c>
      <c r="G4232" s="311">
        <v>1979</v>
      </c>
      <c r="H4232" s="369" t="s">
        <v>2658</v>
      </c>
      <c r="I4232" s="313">
        <v>180</v>
      </c>
      <c r="J4232" s="314">
        <v>3.74</v>
      </c>
      <c r="K4232" s="314">
        <v>2.3191299999999999</v>
      </c>
      <c r="L4232" s="336">
        <f t="shared" si="44"/>
        <v>1.4208700000000003</v>
      </c>
      <c r="M4232" s="337"/>
    </row>
    <row r="4233" spans="1:13" s="71" customFormat="1" ht="26.4" customHeight="1">
      <c r="A4233" s="282">
        <v>637</v>
      </c>
      <c r="B4233" s="537"/>
      <c r="C4233" s="333" t="s">
        <v>15</v>
      </c>
      <c r="D4233" s="333" t="s">
        <v>5249</v>
      </c>
      <c r="E4233" s="260" t="s">
        <v>5250</v>
      </c>
      <c r="F4233" s="362">
        <v>2197</v>
      </c>
      <c r="G4233" s="311">
        <v>1987</v>
      </c>
      <c r="H4233" s="369" t="s">
        <v>2658</v>
      </c>
      <c r="I4233" s="313">
        <v>220</v>
      </c>
      <c r="J4233" s="314">
        <v>3.0760800000000001</v>
      </c>
      <c r="K4233" s="314">
        <v>2.32613</v>
      </c>
      <c r="L4233" s="336">
        <f t="shared" si="44"/>
        <v>0.74995000000000012</v>
      </c>
      <c r="M4233" s="337"/>
    </row>
    <row r="4234" spans="1:13" s="71" customFormat="1" ht="26.4" customHeight="1">
      <c r="A4234" s="282">
        <v>638</v>
      </c>
      <c r="B4234" s="537"/>
      <c r="C4234" s="333" t="s">
        <v>15</v>
      </c>
      <c r="D4234" s="333" t="s">
        <v>5251</v>
      </c>
      <c r="E4234" s="260" t="s">
        <v>5252</v>
      </c>
      <c r="F4234" s="362">
        <v>2198</v>
      </c>
      <c r="G4234" s="311">
        <v>1981</v>
      </c>
      <c r="H4234" s="369" t="s">
        <v>2658</v>
      </c>
      <c r="I4234" s="313">
        <v>320</v>
      </c>
      <c r="J4234" s="314">
        <v>3.7461600000000002</v>
      </c>
      <c r="K4234" s="314">
        <v>3.6419600000000001</v>
      </c>
      <c r="L4234" s="336">
        <f t="shared" si="44"/>
        <v>0.10420000000000007</v>
      </c>
      <c r="M4234" s="337"/>
    </row>
    <row r="4235" spans="1:13" s="71" customFormat="1" ht="26.4" customHeight="1">
      <c r="A4235" s="282">
        <v>639</v>
      </c>
      <c r="B4235" s="537"/>
      <c r="C4235" s="333" t="s">
        <v>15</v>
      </c>
      <c r="D4235" s="333" t="s">
        <v>5253</v>
      </c>
      <c r="E4235" s="260" t="s">
        <v>5254</v>
      </c>
      <c r="F4235" s="362">
        <v>2199</v>
      </c>
      <c r="G4235" s="311">
        <v>1979</v>
      </c>
      <c r="H4235" s="369" t="s">
        <v>2658</v>
      </c>
      <c r="I4235" s="313">
        <v>120</v>
      </c>
      <c r="J4235" s="314">
        <v>2.4960800000000001</v>
      </c>
      <c r="K4235" s="314">
        <v>1.74613</v>
      </c>
      <c r="L4235" s="336">
        <f t="shared" si="44"/>
        <v>0.74995000000000012</v>
      </c>
      <c r="M4235" s="337"/>
    </row>
    <row r="4236" spans="1:13" s="71" customFormat="1" ht="26.4" customHeight="1">
      <c r="A4236" s="282">
        <v>640</v>
      </c>
      <c r="B4236" s="537"/>
      <c r="C4236" s="333" t="s">
        <v>15</v>
      </c>
      <c r="D4236" s="333" t="s">
        <v>5255</v>
      </c>
      <c r="E4236" s="260" t="s">
        <v>5256</v>
      </c>
      <c r="F4236" s="362">
        <v>2200</v>
      </c>
      <c r="G4236" s="311">
        <v>1978</v>
      </c>
      <c r="H4236" s="369" t="s">
        <v>2658</v>
      </c>
      <c r="I4236" s="313">
        <v>250</v>
      </c>
      <c r="J4236" s="314">
        <v>3.9</v>
      </c>
      <c r="K4236" s="314">
        <v>3.1876099999999998</v>
      </c>
      <c r="L4236" s="336">
        <f t="shared" si="44"/>
        <v>0.71239000000000008</v>
      </c>
      <c r="M4236" s="337"/>
    </row>
    <row r="4237" spans="1:13" s="71" customFormat="1" ht="26.4" customHeight="1">
      <c r="A4237" s="282">
        <v>641</v>
      </c>
      <c r="B4237" s="537"/>
      <c r="C4237" s="333" t="s">
        <v>15</v>
      </c>
      <c r="D4237" s="333" t="s">
        <v>5257</v>
      </c>
      <c r="E4237" s="260" t="s">
        <v>5258</v>
      </c>
      <c r="F4237" s="362">
        <v>2201</v>
      </c>
      <c r="G4237" s="311">
        <v>1976</v>
      </c>
      <c r="H4237" s="369" t="s">
        <v>2658</v>
      </c>
      <c r="I4237" s="313">
        <v>180</v>
      </c>
      <c r="J4237" s="314">
        <v>2.4540799999999998</v>
      </c>
      <c r="K4237" s="314">
        <v>2.3081800000000001</v>
      </c>
      <c r="L4237" s="336">
        <f>J4237-K4237</f>
        <v>0.1458999999999997</v>
      </c>
      <c r="M4237" s="337"/>
    </row>
    <row r="4238" spans="1:13" s="71" customFormat="1" ht="26.4" customHeight="1">
      <c r="A4238" s="282">
        <v>642</v>
      </c>
      <c r="B4238" s="537"/>
      <c r="C4238" s="333" t="s">
        <v>15</v>
      </c>
      <c r="D4238" s="333" t="s">
        <v>4574</v>
      </c>
      <c r="E4238" s="260" t="s">
        <v>5259</v>
      </c>
      <c r="F4238" s="362">
        <v>2232</v>
      </c>
      <c r="G4238" s="311">
        <v>2008</v>
      </c>
      <c r="H4238" s="369" t="s">
        <v>2658</v>
      </c>
      <c r="I4238" s="313">
        <v>1206</v>
      </c>
      <c r="J4238" s="314">
        <v>504.3</v>
      </c>
      <c r="K4238" s="314">
        <v>174.3</v>
      </c>
      <c r="L4238" s="336">
        <f>J4238-K4238</f>
        <v>330</v>
      </c>
      <c r="M4238" s="337"/>
    </row>
    <row r="4239" spans="1:13" s="71" customFormat="1" ht="52.8">
      <c r="A4239" s="282">
        <v>643</v>
      </c>
      <c r="B4239" s="537"/>
      <c r="C4239" s="333" t="s">
        <v>15</v>
      </c>
      <c r="D4239" s="333" t="s">
        <v>5260</v>
      </c>
      <c r="E4239" s="260" t="s">
        <v>5261</v>
      </c>
      <c r="F4239" s="362">
        <v>2233</v>
      </c>
      <c r="G4239" s="311">
        <v>2008</v>
      </c>
      <c r="H4239" s="369" t="s">
        <v>2658</v>
      </c>
      <c r="I4239" s="313">
        <v>562</v>
      </c>
      <c r="J4239" s="314">
        <v>245.65562</v>
      </c>
      <c r="K4239" s="314">
        <v>66.190820000000002</v>
      </c>
      <c r="L4239" s="336">
        <f>J4239-K4239</f>
        <v>179.4648</v>
      </c>
      <c r="M4239" s="337"/>
    </row>
    <row r="4240" spans="1:13" s="71" customFormat="1" ht="26.4" customHeight="1">
      <c r="A4240" s="282">
        <v>644</v>
      </c>
      <c r="B4240" s="537"/>
      <c r="C4240" s="333" t="s">
        <v>15</v>
      </c>
      <c r="D4240" s="333" t="s">
        <v>4507</v>
      </c>
      <c r="E4240" s="260" t="s">
        <v>12714</v>
      </c>
      <c r="F4240" s="362">
        <v>4030</v>
      </c>
      <c r="G4240" s="311">
        <v>1931</v>
      </c>
      <c r="H4240" s="369" t="s">
        <v>2658</v>
      </c>
      <c r="I4240" s="313">
        <v>1850</v>
      </c>
      <c r="J4240" s="314">
        <v>22.27</v>
      </c>
      <c r="K4240" s="314">
        <v>21.08811</v>
      </c>
      <c r="L4240" s="336">
        <f>J4240-K4240</f>
        <v>1.1818899999999992</v>
      </c>
      <c r="M4240" s="337"/>
    </row>
    <row r="4241" spans="1:13" s="71" customFormat="1" ht="26.4" customHeight="1">
      <c r="A4241" s="282">
        <v>645</v>
      </c>
      <c r="B4241" s="538"/>
      <c r="C4241" s="333" t="s">
        <v>5262</v>
      </c>
      <c r="D4241" s="333" t="s">
        <v>4520</v>
      </c>
      <c r="E4241" s="260" t="s">
        <v>5263</v>
      </c>
      <c r="F4241" s="362">
        <v>50092</v>
      </c>
      <c r="G4241" s="311">
        <v>2012</v>
      </c>
      <c r="H4241" s="369" t="s">
        <v>2658</v>
      </c>
      <c r="I4241" s="313">
        <v>600</v>
      </c>
      <c r="J4241" s="314">
        <v>1335.58</v>
      </c>
      <c r="K4241" s="314">
        <v>519.39440000000002</v>
      </c>
      <c r="L4241" s="336">
        <f>J4241-K4241</f>
        <v>816.18559999999991</v>
      </c>
      <c r="M4241" s="337"/>
    </row>
    <row r="4242" spans="1:13" s="71" customFormat="1" ht="26.4" customHeight="1">
      <c r="A4242" s="324" t="s">
        <v>3</v>
      </c>
      <c r="B4242" s="341" t="s">
        <v>4</v>
      </c>
      <c r="C4242" s="342" t="s">
        <v>3</v>
      </c>
      <c r="D4242" s="342" t="s">
        <v>3</v>
      </c>
      <c r="E4242" s="343" t="s">
        <v>3</v>
      </c>
      <c r="F4242" s="344" t="s">
        <v>3</v>
      </c>
      <c r="G4242" s="345" t="s">
        <v>3</v>
      </c>
      <c r="H4242" s="423" t="s">
        <v>3</v>
      </c>
      <c r="I4242" s="343" t="s">
        <v>3</v>
      </c>
      <c r="J4242" s="370">
        <f>SUM(J3597:J4241)</f>
        <v>15424.691349999994</v>
      </c>
      <c r="K4242" s="370">
        <f>SUM(K3597:K4241)</f>
        <v>12581.358819999981</v>
      </c>
      <c r="L4242" s="370">
        <f>SUM(L3597:L4241)</f>
        <v>2843.332530000002</v>
      </c>
      <c r="M4242" s="337"/>
    </row>
    <row r="4243" spans="1:13" s="71" customFormat="1" ht="26.4" customHeight="1">
      <c r="A4243" s="282">
        <v>1</v>
      </c>
      <c r="B4243" s="534" t="s">
        <v>5264</v>
      </c>
      <c r="C4243" s="441" t="s">
        <v>5265</v>
      </c>
      <c r="D4243" s="441" t="s">
        <v>5266</v>
      </c>
      <c r="E4243" s="441" t="s">
        <v>5267</v>
      </c>
      <c r="F4243" s="442" t="s">
        <v>5268</v>
      </c>
      <c r="G4243" s="371" t="s">
        <v>5269</v>
      </c>
      <c r="H4243" s="374" t="s">
        <v>3243</v>
      </c>
      <c r="I4243" s="470" t="s">
        <v>3</v>
      </c>
      <c r="J4243" s="495">
        <v>31.76</v>
      </c>
      <c r="K4243" s="495">
        <v>31.76</v>
      </c>
      <c r="L4243" s="495">
        <f t="shared" ref="L4243:L4306" si="45">J4243-K4243</f>
        <v>0</v>
      </c>
      <c r="M4243" s="337"/>
    </row>
    <row r="4244" spans="1:13" s="71" customFormat="1" ht="26.4" customHeight="1">
      <c r="A4244" s="282">
        <v>2</v>
      </c>
      <c r="B4244" s="534"/>
      <c r="C4244" s="441" t="s">
        <v>5265</v>
      </c>
      <c r="D4244" s="441" t="s">
        <v>5270</v>
      </c>
      <c r="E4244" s="441" t="s">
        <v>2680</v>
      </c>
      <c r="F4244" s="442" t="s">
        <v>5271</v>
      </c>
      <c r="G4244" s="371" t="s">
        <v>1532</v>
      </c>
      <c r="H4244" s="374" t="s">
        <v>3243</v>
      </c>
      <c r="I4244" s="470" t="s">
        <v>3</v>
      </c>
      <c r="J4244" s="495">
        <v>18.88</v>
      </c>
      <c r="K4244" s="495">
        <v>18.88</v>
      </c>
      <c r="L4244" s="495">
        <f t="shared" si="45"/>
        <v>0</v>
      </c>
      <c r="M4244" s="337"/>
    </row>
    <row r="4245" spans="1:13" s="71" customFormat="1" ht="26.4" customHeight="1">
      <c r="A4245" s="282">
        <v>3</v>
      </c>
      <c r="B4245" s="534"/>
      <c r="C4245" s="441" t="s">
        <v>5265</v>
      </c>
      <c r="D4245" s="441" t="s">
        <v>5270</v>
      </c>
      <c r="E4245" s="441" t="s">
        <v>5272</v>
      </c>
      <c r="F4245" s="442" t="s">
        <v>5273</v>
      </c>
      <c r="G4245" s="371" t="s">
        <v>1532</v>
      </c>
      <c r="H4245" s="374" t="s">
        <v>3243</v>
      </c>
      <c r="I4245" s="470" t="s">
        <v>3</v>
      </c>
      <c r="J4245" s="495">
        <v>182.08</v>
      </c>
      <c r="K4245" s="495">
        <v>155.53</v>
      </c>
      <c r="L4245" s="495">
        <f t="shared" si="45"/>
        <v>26.550000000000011</v>
      </c>
      <c r="M4245" s="337"/>
    </row>
    <row r="4246" spans="1:13" s="71" customFormat="1" ht="26.4" customHeight="1">
      <c r="A4246" s="282">
        <v>4</v>
      </c>
      <c r="B4246" s="534"/>
      <c r="C4246" s="441" t="s">
        <v>5265</v>
      </c>
      <c r="D4246" s="441" t="s">
        <v>5274</v>
      </c>
      <c r="E4246" s="441" t="s">
        <v>5275</v>
      </c>
      <c r="F4246" s="442" t="s">
        <v>5276</v>
      </c>
      <c r="G4246" s="371" t="s">
        <v>1532</v>
      </c>
      <c r="H4246" s="374" t="s">
        <v>3243</v>
      </c>
      <c r="I4246" s="470" t="s">
        <v>3</v>
      </c>
      <c r="J4246" s="495">
        <v>125.77</v>
      </c>
      <c r="K4246" s="495">
        <v>98.4</v>
      </c>
      <c r="L4246" s="495">
        <f t="shared" si="45"/>
        <v>27.36999999999999</v>
      </c>
      <c r="M4246" s="337"/>
    </row>
    <row r="4247" spans="1:13" s="71" customFormat="1" ht="26.4" customHeight="1">
      <c r="A4247" s="282">
        <v>5</v>
      </c>
      <c r="B4247" s="534"/>
      <c r="C4247" s="441" t="s">
        <v>5277</v>
      </c>
      <c r="D4247" s="444" t="s">
        <v>5278</v>
      </c>
      <c r="E4247" s="260" t="s">
        <v>5279</v>
      </c>
      <c r="F4247" s="442" t="s">
        <v>5280</v>
      </c>
      <c r="G4247" s="371" t="s">
        <v>5281</v>
      </c>
      <c r="H4247" s="486" t="s">
        <v>1149</v>
      </c>
      <c r="I4247" s="454">
        <v>54</v>
      </c>
      <c r="J4247" s="495">
        <v>96.28</v>
      </c>
      <c r="K4247" s="495">
        <v>36.33</v>
      </c>
      <c r="L4247" s="495">
        <f t="shared" si="45"/>
        <v>59.95</v>
      </c>
      <c r="M4247" s="337"/>
    </row>
    <row r="4248" spans="1:13" s="71" customFormat="1" ht="26.4" customHeight="1">
      <c r="A4248" s="282">
        <v>6</v>
      </c>
      <c r="B4248" s="534"/>
      <c r="C4248" s="441" t="s">
        <v>5277</v>
      </c>
      <c r="D4248" s="444" t="s">
        <v>5282</v>
      </c>
      <c r="E4248" s="260" t="s">
        <v>5279</v>
      </c>
      <c r="F4248" s="442" t="s">
        <v>5283</v>
      </c>
      <c r="G4248" s="371" t="s">
        <v>1566</v>
      </c>
      <c r="H4248" s="486" t="s">
        <v>1149</v>
      </c>
      <c r="I4248" s="454">
        <v>54</v>
      </c>
      <c r="J4248" s="495">
        <v>284.11</v>
      </c>
      <c r="K4248" s="495">
        <v>106.33</v>
      </c>
      <c r="L4248" s="495">
        <f t="shared" si="45"/>
        <v>177.78000000000003</v>
      </c>
      <c r="M4248" s="337"/>
    </row>
    <row r="4249" spans="1:13" s="71" customFormat="1" ht="26.4" customHeight="1">
      <c r="A4249" s="282">
        <v>7</v>
      </c>
      <c r="B4249" s="534"/>
      <c r="C4249" s="441" t="s">
        <v>5284</v>
      </c>
      <c r="D4249" s="441" t="s">
        <v>5285</v>
      </c>
      <c r="E4249" s="441" t="s">
        <v>5286</v>
      </c>
      <c r="F4249" s="442" t="s">
        <v>5287</v>
      </c>
      <c r="G4249" s="371" t="s">
        <v>1582</v>
      </c>
      <c r="H4249" s="374" t="s">
        <v>3243</v>
      </c>
      <c r="I4249" s="470" t="s">
        <v>3</v>
      </c>
      <c r="J4249" s="495">
        <v>8.94</v>
      </c>
      <c r="K4249" s="495">
        <v>8.94</v>
      </c>
      <c r="L4249" s="495">
        <f t="shared" si="45"/>
        <v>0</v>
      </c>
      <c r="M4249" s="337"/>
    </row>
    <row r="4250" spans="1:13" s="71" customFormat="1" ht="26.4" customHeight="1">
      <c r="A4250" s="282">
        <v>8</v>
      </c>
      <c r="B4250" s="534"/>
      <c r="C4250" s="441" t="s">
        <v>5288</v>
      </c>
      <c r="D4250" s="441" t="s">
        <v>5289</v>
      </c>
      <c r="E4250" s="441" t="s">
        <v>962</v>
      </c>
      <c r="F4250" s="442" t="s">
        <v>5290</v>
      </c>
      <c r="G4250" s="371" t="s">
        <v>5291</v>
      </c>
      <c r="H4250" s="374" t="s">
        <v>3243</v>
      </c>
      <c r="I4250" s="470" t="s">
        <v>3</v>
      </c>
      <c r="J4250" s="495">
        <v>35.68</v>
      </c>
      <c r="K4250" s="495">
        <v>35.68</v>
      </c>
      <c r="L4250" s="495">
        <f t="shared" si="45"/>
        <v>0</v>
      </c>
      <c r="M4250" s="337"/>
    </row>
    <row r="4251" spans="1:13" s="71" customFormat="1" ht="26.4" customHeight="1">
      <c r="A4251" s="282">
        <v>9</v>
      </c>
      <c r="B4251" s="534"/>
      <c r="C4251" s="441" t="s">
        <v>5265</v>
      </c>
      <c r="D4251" s="441" t="s">
        <v>5292</v>
      </c>
      <c r="E4251" s="441" t="s">
        <v>5286</v>
      </c>
      <c r="F4251" s="442" t="s">
        <v>5293</v>
      </c>
      <c r="G4251" s="371" t="s">
        <v>5294</v>
      </c>
      <c r="H4251" s="374" t="s">
        <v>3243</v>
      </c>
      <c r="I4251" s="470" t="s">
        <v>3</v>
      </c>
      <c r="J4251" s="495">
        <v>22.84</v>
      </c>
      <c r="K4251" s="495">
        <v>21.83</v>
      </c>
      <c r="L4251" s="495">
        <f t="shared" si="45"/>
        <v>1.0100000000000016</v>
      </c>
      <c r="M4251" s="337"/>
    </row>
    <row r="4252" spans="1:13" s="71" customFormat="1" ht="26.4" customHeight="1">
      <c r="A4252" s="282">
        <v>10</v>
      </c>
      <c r="B4252" s="534"/>
      <c r="C4252" s="441" t="s">
        <v>5295</v>
      </c>
      <c r="D4252" s="441" t="s">
        <v>5296</v>
      </c>
      <c r="E4252" s="441" t="s">
        <v>5297</v>
      </c>
      <c r="F4252" s="442" t="s">
        <v>5298</v>
      </c>
      <c r="G4252" s="371" t="s">
        <v>5299</v>
      </c>
      <c r="H4252" s="374" t="s">
        <v>3243</v>
      </c>
      <c r="I4252" s="470" t="s">
        <v>3</v>
      </c>
      <c r="J4252" s="495">
        <v>7.8</v>
      </c>
      <c r="K4252" s="495">
        <v>6.88</v>
      </c>
      <c r="L4252" s="495">
        <f t="shared" si="45"/>
        <v>0.91999999999999993</v>
      </c>
      <c r="M4252" s="337"/>
    </row>
    <row r="4253" spans="1:13" s="71" customFormat="1" ht="26.4" customHeight="1">
      <c r="A4253" s="282">
        <v>11</v>
      </c>
      <c r="B4253" s="534"/>
      <c r="C4253" s="441" t="s">
        <v>5300</v>
      </c>
      <c r="D4253" s="441" t="s">
        <v>5301</v>
      </c>
      <c r="E4253" s="441" t="s">
        <v>5302</v>
      </c>
      <c r="F4253" s="442" t="s">
        <v>5303</v>
      </c>
      <c r="G4253" s="371" t="s">
        <v>1572</v>
      </c>
      <c r="H4253" s="374" t="s">
        <v>3243</v>
      </c>
      <c r="I4253" s="470" t="s">
        <v>3</v>
      </c>
      <c r="J4253" s="495">
        <v>27.95</v>
      </c>
      <c r="K4253" s="495">
        <v>20.38</v>
      </c>
      <c r="L4253" s="495">
        <f t="shared" si="45"/>
        <v>7.57</v>
      </c>
      <c r="M4253" s="337"/>
    </row>
    <row r="4254" spans="1:13" s="71" customFormat="1" ht="26.4" customHeight="1">
      <c r="A4254" s="282">
        <v>12</v>
      </c>
      <c r="B4254" s="534"/>
      <c r="C4254" s="441" t="s">
        <v>5300</v>
      </c>
      <c r="D4254" s="441" t="s">
        <v>5301</v>
      </c>
      <c r="E4254" s="441" t="s">
        <v>2680</v>
      </c>
      <c r="F4254" s="442" t="s">
        <v>5304</v>
      </c>
      <c r="G4254" s="371" t="s">
        <v>1572</v>
      </c>
      <c r="H4254" s="374" t="s">
        <v>3243</v>
      </c>
      <c r="I4254" s="470" t="s">
        <v>3</v>
      </c>
      <c r="J4254" s="495">
        <v>18.350000000000001</v>
      </c>
      <c r="K4254" s="495">
        <v>13.46</v>
      </c>
      <c r="L4254" s="495">
        <f t="shared" si="45"/>
        <v>4.8900000000000006</v>
      </c>
      <c r="M4254" s="337"/>
    </row>
    <row r="4255" spans="1:13" s="71" customFormat="1" ht="26.4" customHeight="1">
      <c r="A4255" s="282">
        <v>13</v>
      </c>
      <c r="B4255" s="534"/>
      <c r="C4255" s="441" t="s">
        <v>5305</v>
      </c>
      <c r="D4255" s="441" t="s">
        <v>5306</v>
      </c>
      <c r="E4255" s="441" t="s">
        <v>5307</v>
      </c>
      <c r="F4255" s="442" t="s">
        <v>5308</v>
      </c>
      <c r="G4255" s="371" t="s">
        <v>1570</v>
      </c>
      <c r="H4255" s="374" t="s">
        <v>3243</v>
      </c>
      <c r="I4255" s="470" t="s">
        <v>3</v>
      </c>
      <c r="J4255" s="495">
        <v>1696.67</v>
      </c>
      <c r="K4255" s="495">
        <v>964.67</v>
      </c>
      <c r="L4255" s="495">
        <f t="shared" si="45"/>
        <v>732.00000000000011</v>
      </c>
      <c r="M4255" s="337"/>
    </row>
    <row r="4256" spans="1:13" s="71" customFormat="1" ht="26.4" customHeight="1">
      <c r="A4256" s="282">
        <v>14</v>
      </c>
      <c r="B4256" s="534"/>
      <c r="C4256" s="441" t="s">
        <v>5277</v>
      </c>
      <c r="D4256" s="260" t="s">
        <v>5309</v>
      </c>
      <c r="E4256" s="441" t="s">
        <v>5310</v>
      </c>
      <c r="F4256" s="442" t="s">
        <v>5311</v>
      </c>
      <c r="G4256" s="371" t="s">
        <v>1558</v>
      </c>
      <c r="H4256" s="374" t="s">
        <v>3243</v>
      </c>
      <c r="I4256" s="470" t="s">
        <v>3</v>
      </c>
      <c r="J4256" s="495">
        <v>0.21</v>
      </c>
      <c r="K4256" s="495">
        <v>0.09</v>
      </c>
      <c r="L4256" s="495">
        <f t="shared" si="45"/>
        <v>0.12</v>
      </c>
      <c r="M4256" s="337"/>
    </row>
    <row r="4257" spans="1:13" s="71" customFormat="1" ht="26.4" customHeight="1">
      <c r="A4257" s="282">
        <v>15</v>
      </c>
      <c r="B4257" s="534"/>
      <c r="C4257" s="441" t="s">
        <v>5265</v>
      </c>
      <c r="D4257" s="441" t="s">
        <v>5312</v>
      </c>
      <c r="E4257" s="441" t="s">
        <v>5313</v>
      </c>
      <c r="F4257" s="442" t="s">
        <v>5314</v>
      </c>
      <c r="G4257" s="371" t="s">
        <v>1558</v>
      </c>
      <c r="H4257" s="374" t="s">
        <v>3243</v>
      </c>
      <c r="I4257" s="470" t="s">
        <v>3</v>
      </c>
      <c r="J4257" s="495">
        <v>366.91</v>
      </c>
      <c r="K4257" s="495">
        <v>308.68</v>
      </c>
      <c r="L4257" s="495">
        <f t="shared" si="45"/>
        <v>58.230000000000018</v>
      </c>
      <c r="M4257" s="337"/>
    </row>
    <row r="4258" spans="1:13" s="71" customFormat="1" ht="26.4" customHeight="1">
      <c r="A4258" s="282">
        <v>16</v>
      </c>
      <c r="B4258" s="534"/>
      <c r="C4258" s="441" t="s">
        <v>5315</v>
      </c>
      <c r="D4258" s="441" t="s">
        <v>5316</v>
      </c>
      <c r="E4258" s="441" t="s">
        <v>5317</v>
      </c>
      <c r="F4258" s="442" t="s">
        <v>5318</v>
      </c>
      <c r="G4258" s="371" t="s">
        <v>1558</v>
      </c>
      <c r="H4258" s="374" t="s">
        <v>3243</v>
      </c>
      <c r="I4258" s="470" t="s">
        <v>3</v>
      </c>
      <c r="J4258" s="495">
        <v>37.700000000000003</v>
      </c>
      <c r="K4258" s="495">
        <v>33.270000000000003</v>
      </c>
      <c r="L4258" s="495">
        <f t="shared" si="45"/>
        <v>4.43</v>
      </c>
      <c r="M4258" s="337"/>
    </row>
    <row r="4259" spans="1:13" s="71" customFormat="1" ht="26.4" customHeight="1">
      <c r="A4259" s="282">
        <v>17</v>
      </c>
      <c r="B4259" s="534"/>
      <c r="C4259" s="441" t="s">
        <v>5319</v>
      </c>
      <c r="D4259" s="441" t="s">
        <v>5301</v>
      </c>
      <c r="E4259" s="441" t="s">
        <v>5320</v>
      </c>
      <c r="F4259" s="442" t="s">
        <v>5321</v>
      </c>
      <c r="G4259" s="371" t="s">
        <v>1558</v>
      </c>
      <c r="H4259" s="374" t="s">
        <v>3243</v>
      </c>
      <c r="I4259" s="470" t="s">
        <v>3</v>
      </c>
      <c r="J4259" s="495">
        <v>0.21</v>
      </c>
      <c r="K4259" s="495">
        <v>0.08</v>
      </c>
      <c r="L4259" s="495">
        <f t="shared" si="45"/>
        <v>0.13</v>
      </c>
      <c r="M4259" s="337"/>
    </row>
    <row r="4260" spans="1:13" s="71" customFormat="1" ht="26.4" customHeight="1">
      <c r="A4260" s="282">
        <v>18</v>
      </c>
      <c r="B4260" s="534"/>
      <c r="C4260" s="441" t="s">
        <v>5265</v>
      </c>
      <c r="D4260" s="441" t="s">
        <v>5322</v>
      </c>
      <c r="E4260" s="441" t="s">
        <v>5323</v>
      </c>
      <c r="F4260" s="442" t="s">
        <v>5324</v>
      </c>
      <c r="G4260" s="371" t="s">
        <v>1569</v>
      </c>
      <c r="H4260" s="374" t="s">
        <v>3243</v>
      </c>
      <c r="I4260" s="470" t="s">
        <v>3</v>
      </c>
      <c r="J4260" s="495">
        <v>1.96</v>
      </c>
      <c r="K4260" s="495">
        <v>0.75</v>
      </c>
      <c r="L4260" s="495">
        <f t="shared" si="45"/>
        <v>1.21</v>
      </c>
      <c r="M4260" s="337"/>
    </row>
    <row r="4261" spans="1:13" s="71" customFormat="1" ht="26.4" customHeight="1">
      <c r="A4261" s="282">
        <v>19</v>
      </c>
      <c r="B4261" s="534"/>
      <c r="C4261" s="441" t="s">
        <v>5265</v>
      </c>
      <c r="D4261" s="441" t="s">
        <v>5322</v>
      </c>
      <c r="E4261" s="441" t="s">
        <v>5320</v>
      </c>
      <c r="F4261" s="442" t="s">
        <v>5325</v>
      </c>
      <c r="G4261" s="371" t="s">
        <v>1569</v>
      </c>
      <c r="H4261" s="374" t="s">
        <v>3243</v>
      </c>
      <c r="I4261" s="470" t="s">
        <v>3</v>
      </c>
      <c r="J4261" s="495">
        <v>0.26</v>
      </c>
      <c r="K4261" s="495">
        <v>0.15</v>
      </c>
      <c r="L4261" s="495">
        <f t="shared" si="45"/>
        <v>0.11000000000000001</v>
      </c>
      <c r="M4261" s="337"/>
    </row>
    <row r="4262" spans="1:13" s="71" customFormat="1" ht="26.4" customHeight="1">
      <c r="A4262" s="282">
        <v>20</v>
      </c>
      <c r="B4262" s="534"/>
      <c r="C4262" s="441" t="s">
        <v>5326</v>
      </c>
      <c r="D4262" s="441" t="s">
        <v>5327</v>
      </c>
      <c r="E4262" s="441" t="s">
        <v>5328</v>
      </c>
      <c r="F4262" s="442" t="s">
        <v>5329</v>
      </c>
      <c r="G4262" s="371" t="s">
        <v>1569</v>
      </c>
      <c r="H4262" s="374" t="s">
        <v>3243</v>
      </c>
      <c r="I4262" s="470" t="s">
        <v>3</v>
      </c>
      <c r="J4262" s="495">
        <v>1.1100000000000001</v>
      </c>
      <c r="K4262" s="495">
        <v>0.43</v>
      </c>
      <c r="L4262" s="495">
        <f t="shared" si="45"/>
        <v>0.68000000000000016</v>
      </c>
      <c r="M4262" s="337"/>
    </row>
    <row r="4263" spans="1:13" s="71" customFormat="1" ht="26.4" customHeight="1">
      <c r="A4263" s="282">
        <v>21</v>
      </c>
      <c r="B4263" s="534"/>
      <c r="C4263" s="441" t="s">
        <v>5265</v>
      </c>
      <c r="D4263" s="260" t="s">
        <v>5330</v>
      </c>
      <c r="E4263" s="441" t="s">
        <v>5331</v>
      </c>
      <c r="F4263" s="442" t="s">
        <v>5332</v>
      </c>
      <c r="G4263" s="371" t="s">
        <v>1569</v>
      </c>
      <c r="H4263" s="374" t="s">
        <v>3243</v>
      </c>
      <c r="I4263" s="470" t="s">
        <v>3</v>
      </c>
      <c r="J4263" s="495">
        <v>2.56</v>
      </c>
      <c r="K4263" s="495">
        <v>1.46</v>
      </c>
      <c r="L4263" s="495">
        <f t="shared" si="45"/>
        <v>1.1000000000000001</v>
      </c>
      <c r="M4263" s="337"/>
    </row>
    <row r="4264" spans="1:13" s="71" customFormat="1" ht="26.4" customHeight="1">
      <c r="A4264" s="282">
        <v>22</v>
      </c>
      <c r="B4264" s="534"/>
      <c r="C4264" s="441" t="s">
        <v>5288</v>
      </c>
      <c r="D4264" s="441" t="s">
        <v>5289</v>
      </c>
      <c r="E4264" s="441" t="s">
        <v>2680</v>
      </c>
      <c r="F4264" s="442" t="s">
        <v>5333</v>
      </c>
      <c r="G4264" s="371" t="s">
        <v>1569</v>
      </c>
      <c r="H4264" s="374" t="s">
        <v>3243</v>
      </c>
      <c r="I4264" s="470" t="s">
        <v>3</v>
      </c>
      <c r="J4264" s="495">
        <v>0.7</v>
      </c>
      <c r="K4264" s="495">
        <v>0.19</v>
      </c>
      <c r="L4264" s="495">
        <f t="shared" si="45"/>
        <v>0.51</v>
      </c>
      <c r="M4264" s="337"/>
    </row>
    <row r="4265" spans="1:13" s="71" customFormat="1" ht="26.4" customHeight="1">
      <c r="A4265" s="282">
        <v>23</v>
      </c>
      <c r="B4265" s="534"/>
      <c r="C4265" s="441" t="s">
        <v>5265</v>
      </c>
      <c r="D4265" s="441" t="s">
        <v>5334</v>
      </c>
      <c r="E4265" s="441" t="s">
        <v>5320</v>
      </c>
      <c r="F4265" s="442" t="s">
        <v>5335</v>
      </c>
      <c r="G4265" s="371" t="s">
        <v>1569</v>
      </c>
      <c r="H4265" s="374" t="s">
        <v>3243</v>
      </c>
      <c r="I4265" s="470" t="s">
        <v>3</v>
      </c>
      <c r="J4265" s="495">
        <v>0.26</v>
      </c>
      <c r="K4265" s="495">
        <v>0.16</v>
      </c>
      <c r="L4265" s="495">
        <f t="shared" si="45"/>
        <v>0.1</v>
      </c>
      <c r="M4265" s="337"/>
    </row>
    <row r="4266" spans="1:13" s="71" customFormat="1" ht="26.4" customHeight="1">
      <c r="A4266" s="282">
        <v>24</v>
      </c>
      <c r="B4266" s="534"/>
      <c r="C4266" s="441" t="s">
        <v>5265</v>
      </c>
      <c r="D4266" s="441" t="s">
        <v>5330</v>
      </c>
      <c r="E4266" s="441" t="s">
        <v>5320</v>
      </c>
      <c r="F4266" s="442" t="s">
        <v>5336</v>
      </c>
      <c r="G4266" s="371" t="s">
        <v>1569</v>
      </c>
      <c r="H4266" s="374" t="s">
        <v>3243</v>
      </c>
      <c r="I4266" s="470" t="s">
        <v>3</v>
      </c>
      <c r="J4266" s="495">
        <v>0.37</v>
      </c>
      <c r="K4266" s="495">
        <v>0.23</v>
      </c>
      <c r="L4266" s="495">
        <f t="shared" si="45"/>
        <v>0.13999999999999999</v>
      </c>
      <c r="M4266" s="337"/>
    </row>
    <row r="4267" spans="1:13" s="71" customFormat="1" ht="26.4" customHeight="1">
      <c r="A4267" s="282">
        <v>25</v>
      </c>
      <c r="B4267" s="534"/>
      <c r="C4267" s="441" t="s">
        <v>5288</v>
      </c>
      <c r="D4267" s="441" t="s">
        <v>5289</v>
      </c>
      <c r="E4267" s="441" t="s">
        <v>5337</v>
      </c>
      <c r="F4267" s="442" t="s">
        <v>5338</v>
      </c>
      <c r="G4267" s="371" t="s">
        <v>1569</v>
      </c>
      <c r="H4267" s="374" t="s">
        <v>3243</v>
      </c>
      <c r="I4267" s="470" t="s">
        <v>3</v>
      </c>
      <c r="J4267" s="495">
        <v>1.07</v>
      </c>
      <c r="K4267" s="495">
        <v>0.28999999999999998</v>
      </c>
      <c r="L4267" s="495">
        <f t="shared" si="45"/>
        <v>0.78</v>
      </c>
      <c r="M4267" s="337"/>
    </row>
    <row r="4268" spans="1:13" s="71" customFormat="1" ht="26.4" customHeight="1">
      <c r="A4268" s="282">
        <v>26</v>
      </c>
      <c r="B4268" s="534"/>
      <c r="C4268" s="441" t="s">
        <v>5288</v>
      </c>
      <c r="D4268" s="441" t="s">
        <v>5289</v>
      </c>
      <c r="E4268" s="441" t="s">
        <v>5339</v>
      </c>
      <c r="F4268" s="442" t="s">
        <v>5340</v>
      </c>
      <c r="G4268" s="371" t="s">
        <v>1569</v>
      </c>
      <c r="H4268" s="374" t="s">
        <v>3243</v>
      </c>
      <c r="I4268" s="470" t="s">
        <v>3</v>
      </c>
      <c r="J4268" s="495">
        <v>2.1</v>
      </c>
      <c r="K4268" s="495">
        <v>0.56999999999999995</v>
      </c>
      <c r="L4268" s="495">
        <f t="shared" si="45"/>
        <v>1.5300000000000002</v>
      </c>
      <c r="M4268" s="337"/>
    </row>
    <row r="4269" spans="1:13" s="71" customFormat="1" ht="26.4" customHeight="1">
      <c r="A4269" s="282">
        <v>27</v>
      </c>
      <c r="B4269" s="534"/>
      <c r="C4269" s="441" t="s">
        <v>5341</v>
      </c>
      <c r="D4269" s="260" t="s">
        <v>5342</v>
      </c>
      <c r="E4269" s="441" t="s">
        <v>5343</v>
      </c>
      <c r="F4269" s="442" t="s">
        <v>5344</v>
      </c>
      <c r="G4269" s="371" t="s">
        <v>1569</v>
      </c>
      <c r="H4269" s="374" t="s">
        <v>3243</v>
      </c>
      <c r="I4269" s="470" t="s">
        <v>3</v>
      </c>
      <c r="J4269" s="495">
        <v>0.21</v>
      </c>
      <c r="K4269" s="495">
        <v>7.0000000000000007E-2</v>
      </c>
      <c r="L4269" s="495">
        <f t="shared" si="45"/>
        <v>0.13999999999999999</v>
      </c>
      <c r="M4269" s="337"/>
    </row>
    <row r="4270" spans="1:13" s="71" customFormat="1" ht="26.4" customHeight="1">
      <c r="A4270" s="282">
        <v>28</v>
      </c>
      <c r="B4270" s="534"/>
      <c r="C4270" s="441" t="s">
        <v>5341</v>
      </c>
      <c r="D4270" s="260" t="s">
        <v>5342</v>
      </c>
      <c r="E4270" s="441" t="s">
        <v>5345</v>
      </c>
      <c r="F4270" s="442" t="s">
        <v>5346</v>
      </c>
      <c r="G4270" s="371" t="s">
        <v>1569</v>
      </c>
      <c r="H4270" s="374" t="s">
        <v>3243</v>
      </c>
      <c r="I4270" s="470" t="s">
        <v>3</v>
      </c>
      <c r="J4270" s="495">
        <v>1.76</v>
      </c>
      <c r="K4270" s="495">
        <v>0.6</v>
      </c>
      <c r="L4270" s="495">
        <f t="shared" si="45"/>
        <v>1.1600000000000001</v>
      </c>
      <c r="M4270" s="337"/>
    </row>
    <row r="4271" spans="1:13" s="71" customFormat="1" ht="26.4" customHeight="1">
      <c r="A4271" s="282">
        <v>29</v>
      </c>
      <c r="B4271" s="534"/>
      <c r="C4271" s="441" t="s">
        <v>5341</v>
      </c>
      <c r="D4271" s="441" t="s">
        <v>5347</v>
      </c>
      <c r="E4271" s="441" t="s">
        <v>5348</v>
      </c>
      <c r="F4271" s="442" t="s">
        <v>5349</v>
      </c>
      <c r="G4271" s="371" t="s">
        <v>1569</v>
      </c>
      <c r="H4271" s="374" t="s">
        <v>3243</v>
      </c>
      <c r="I4271" s="470" t="s">
        <v>3</v>
      </c>
      <c r="J4271" s="495">
        <v>0.91</v>
      </c>
      <c r="K4271" s="495">
        <v>0.31</v>
      </c>
      <c r="L4271" s="495">
        <f t="shared" si="45"/>
        <v>0.60000000000000009</v>
      </c>
      <c r="M4271" s="337"/>
    </row>
    <row r="4272" spans="1:13" s="71" customFormat="1" ht="26.4" customHeight="1">
      <c r="A4272" s="282">
        <v>30</v>
      </c>
      <c r="B4272" s="534"/>
      <c r="C4272" s="441" t="s">
        <v>5350</v>
      </c>
      <c r="D4272" s="441" t="s">
        <v>5327</v>
      </c>
      <c r="E4272" s="441" t="s">
        <v>5323</v>
      </c>
      <c r="F4272" s="442" t="s">
        <v>5351</v>
      </c>
      <c r="G4272" s="371" t="s">
        <v>1576</v>
      </c>
      <c r="H4272" s="374" t="s">
        <v>3243</v>
      </c>
      <c r="I4272" s="470" t="s">
        <v>3</v>
      </c>
      <c r="J4272" s="495">
        <v>1.016</v>
      </c>
      <c r="K4272" s="495">
        <v>0.14000000000000001</v>
      </c>
      <c r="L4272" s="495">
        <f t="shared" si="45"/>
        <v>0.876</v>
      </c>
      <c r="M4272" s="337"/>
    </row>
    <row r="4273" spans="1:13" s="71" customFormat="1" ht="26.4" customHeight="1">
      <c r="A4273" s="282">
        <v>31</v>
      </c>
      <c r="B4273" s="534"/>
      <c r="C4273" s="441" t="s">
        <v>5295</v>
      </c>
      <c r="D4273" s="441" t="s">
        <v>5296</v>
      </c>
      <c r="E4273" s="441" t="s">
        <v>1137</v>
      </c>
      <c r="F4273" s="442" t="s">
        <v>5352</v>
      </c>
      <c r="G4273" s="371" t="s">
        <v>5299</v>
      </c>
      <c r="H4273" s="374" t="s">
        <v>3243</v>
      </c>
      <c r="I4273" s="470" t="s">
        <v>3</v>
      </c>
      <c r="J4273" s="495">
        <v>94.92</v>
      </c>
      <c r="K4273" s="495">
        <v>94.92</v>
      </c>
      <c r="L4273" s="495">
        <f t="shared" si="45"/>
        <v>0</v>
      </c>
      <c r="M4273" s="337"/>
    </row>
    <row r="4274" spans="1:13" s="71" customFormat="1" ht="26.4" customHeight="1">
      <c r="A4274" s="282">
        <v>32</v>
      </c>
      <c r="B4274" s="534"/>
      <c r="C4274" s="441" t="s">
        <v>5265</v>
      </c>
      <c r="D4274" s="441" t="s">
        <v>5353</v>
      </c>
      <c r="E4274" s="441" t="s">
        <v>448</v>
      </c>
      <c r="F4274" s="442" t="s">
        <v>5354</v>
      </c>
      <c r="G4274" s="371" t="s">
        <v>1576</v>
      </c>
      <c r="H4274" s="374" t="s">
        <v>3243</v>
      </c>
      <c r="I4274" s="470" t="s">
        <v>3</v>
      </c>
      <c r="J4274" s="495">
        <v>380.26</v>
      </c>
      <c r="K4274" s="495">
        <v>314.82</v>
      </c>
      <c r="L4274" s="495">
        <f t="shared" si="45"/>
        <v>65.44</v>
      </c>
      <c r="M4274" s="337"/>
    </row>
    <row r="4275" spans="1:13" s="71" customFormat="1" ht="26.4" customHeight="1">
      <c r="A4275" s="282">
        <v>33</v>
      </c>
      <c r="B4275" s="534"/>
      <c r="C4275" s="441" t="s">
        <v>5265</v>
      </c>
      <c r="D4275" s="441" t="s">
        <v>5274</v>
      </c>
      <c r="E4275" s="441" t="s">
        <v>5355</v>
      </c>
      <c r="F4275" s="442" t="s">
        <v>5356</v>
      </c>
      <c r="G4275" s="371" t="s">
        <v>1561</v>
      </c>
      <c r="H4275" s="374" t="s">
        <v>3243</v>
      </c>
      <c r="I4275" s="470" t="s">
        <v>3</v>
      </c>
      <c r="J4275" s="495">
        <v>16.010000000000002</v>
      </c>
      <c r="K4275" s="495">
        <v>8.91</v>
      </c>
      <c r="L4275" s="495">
        <f t="shared" si="45"/>
        <v>7.1000000000000014</v>
      </c>
      <c r="M4275" s="337"/>
    </row>
    <row r="4276" spans="1:13" s="71" customFormat="1" ht="26.4" customHeight="1">
      <c r="A4276" s="282">
        <v>34</v>
      </c>
      <c r="B4276" s="534"/>
      <c r="C4276" s="441" t="s">
        <v>5265</v>
      </c>
      <c r="D4276" s="441" t="s">
        <v>5274</v>
      </c>
      <c r="E4276" s="441" t="s">
        <v>5357</v>
      </c>
      <c r="F4276" s="442" t="s">
        <v>5358</v>
      </c>
      <c r="G4276" s="371" t="s">
        <v>1571</v>
      </c>
      <c r="H4276" s="374" t="s">
        <v>3243</v>
      </c>
      <c r="I4276" s="470" t="s">
        <v>3</v>
      </c>
      <c r="J4276" s="495">
        <v>2.61</v>
      </c>
      <c r="K4276" s="495">
        <v>0.74</v>
      </c>
      <c r="L4276" s="495">
        <f t="shared" si="45"/>
        <v>1.8699999999999999</v>
      </c>
      <c r="M4276" s="337"/>
    </row>
    <row r="4277" spans="1:13" s="71" customFormat="1" ht="26.4" customHeight="1">
      <c r="A4277" s="282">
        <v>35</v>
      </c>
      <c r="B4277" s="534"/>
      <c r="C4277" s="441" t="s">
        <v>5315</v>
      </c>
      <c r="D4277" s="441" t="s">
        <v>5316</v>
      </c>
      <c r="E4277" s="441" t="s">
        <v>5359</v>
      </c>
      <c r="F4277" s="442" t="s">
        <v>5360</v>
      </c>
      <c r="G4277" s="371" t="s">
        <v>1571</v>
      </c>
      <c r="H4277" s="374" t="s">
        <v>3243</v>
      </c>
      <c r="I4277" s="470" t="s">
        <v>3</v>
      </c>
      <c r="J4277" s="495">
        <v>13.89</v>
      </c>
      <c r="K4277" s="495">
        <v>3.94</v>
      </c>
      <c r="L4277" s="495">
        <f t="shared" si="45"/>
        <v>9.9500000000000011</v>
      </c>
      <c r="M4277" s="337"/>
    </row>
    <row r="4278" spans="1:13" s="71" customFormat="1" ht="26.4" customHeight="1">
      <c r="A4278" s="282">
        <v>36</v>
      </c>
      <c r="B4278" s="534"/>
      <c r="C4278" s="441" t="s">
        <v>5288</v>
      </c>
      <c r="D4278" s="441" t="s">
        <v>5361</v>
      </c>
      <c r="E4278" s="441" t="s">
        <v>5362</v>
      </c>
      <c r="F4278" s="442" t="s">
        <v>5363</v>
      </c>
      <c r="G4278" s="371" t="s">
        <v>1547</v>
      </c>
      <c r="H4278" s="374" t="s">
        <v>3243</v>
      </c>
      <c r="I4278" s="470" t="s">
        <v>3</v>
      </c>
      <c r="J4278" s="495">
        <v>1.1000000000000001</v>
      </c>
      <c r="K4278" s="495">
        <v>0.56000000000000005</v>
      </c>
      <c r="L4278" s="495">
        <f t="shared" si="45"/>
        <v>0.54</v>
      </c>
      <c r="M4278" s="337"/>
    </row>
    <row r="4279" spans="1:13" s="71" customFormat="1" ht="26.4" customHeight="1">
      <c r="A4279" s="282">
        <v>37</v>
      </c>
      <c r="B4279" s="534"/>
      <c r="C4279" s="441" t="s">
        <v>5315</v>
      </c>
      <c r="D4279" s="441" t="s">
        <v>5364</v>
      </c>
      <c r="E4279" s="441" t="s">
        <v>5365</v>
      </c>
      <c r="F4279" s="442" t="s">
        <v>5366</v>
      </c>
      <c r="G4279" s="371" t="s">
        <v>1547</v>
      </c>
      <c r="H4279" s="374" t="s">
        <v>3243</v>
      </c>
      <c r="I4279" s="470" t="s">
        <v>3</v>
      </c>
      <c r="J4279" s="495">
        <v>15</v>
      </c>
      <c r="K4279" s="495">
        <v>7.7</v>
      </c>
      <c r="L4279" s="495">
        <f t="shared" si="45"/>
        <v>7.3</v>
      </c>
      <c r="M4279" s="337"/>
    </row>
    <row r="4280" spans="1:13" s="71" customFormat="1" ht="26.4" customHeight="1">
      <c r="A4280" s="282">
        <v>38</v>
      </c>
      <c r="B4280" s="534"/>
      <c r="C4280" s="441" t="s">
        <v>5367</v>
      </c>
      <c r="D4280" s="441" t="s">
        <v>5364</v>
      </c>
      <c r="E4280" s="441" t="s">
        <v>5368</v>
      </c>
      <c r="F4280" s="442" t="s">
        <v>5369</v>
      </c>
      <c r="G4280" s="371" t="s">
        <v>1547</v>
      </c>
      <c r="H4280" s="374" t="s">
        <v>3243</v>
      </c>
      <c r="I4280" s="470" t="s">
        <v>3</v>
      </c>
      <c r="J4280" s="495">
        <v>10</v>
      </c>
      <c r="K4280" s="495">
        <v>5.13</v>
      </c>
      <c r="L4280" s="495">
        <f t="shared" si="45"/>
        <v>4.87</v>
      </c>
      <c r="M4280" s="337"/>
    </row>
    <row r="4281" spans="1:13" s="71" customFormat="1" ht="26.4" customHeight="1">
      <c r="A4281" s="282">
        <v>39</v>
      </c>
      <c r="B4281" s="534"/>
      <c r="C4281" s="441" t="s">
        <v>5341</v>
      </c>
      <c r="D4281" s="260" t="s">
        <v>5342</v>
      </c>
      <c r="E4281" s="441" t="s">
        <v>2680</v>
      </c>
      <c r="F4281" s="442" t="s">
        <v>5370</v>
      </c>
      <c r="G4281" s="371" t="s">
        <v>1572</v>
      </c>
      <c r="H4281" s="374" t="s">
        <v>3243</v>
      </c>
      <c r="I4281" s="470" t="s">
        <v>3</v>
      </c>
      <c r="J4281" s="495">
        <v>17.12</v>
      </c>
      <c r="K4281" s="495">
        <v>12.44</v>
      </c>
      <c r="L4281" s="495">
        <f t="shared" si="45"/>
        <v>4.6800000000000015</v>
      </c>
      <c r="M4281" s="337"/>
    </row>
    <row r="4282" spans="1:13" s="71" customFormat="1" ht="26.4" customHeight="1">
      <c r="A4282" s="282">
        <v>40</v>
      </c>
      <c r="B4282" s="534"/>
      <c r="C4282" s="441" t="s">
        <v>5341</v>
      </c>
      <c r="D4282" s="260" t="s">
        <v>5342</v>
      </c>
      <c r="E4282" s="441" t="s">
        <v>5371</v>
      </c>
      <c r="F4282" s="442" t="s">
        <v>5372</v>
      </c>
      <c r="G4282" s="371" t="s">
        <v>1572</v>
      </c>
      <c r="H4282" s="374" t="s">
        <v>3243</v>
      </c>
      <c r="I4282" s="470" t="s">
        <v>3</v>
      </c>
      <c r="J4282" s="495">
        <v>18.98</v>
      </c>
      <c r="K4282" s="495">
        <v>13.84</v>
      </c>
      <c r="L4282" s="495">
        <f t="shared" si="45"/>
        <v>5.1400000000000006</v>
      </c>
      <c r="M4282" s="337"/>
    </row>
    <row r="4283" spans="1:13" s="71" customFormat="1" ht="26.4" customHeight="1">
      <c r="A4283" s="282">
        <v>41</v>
      </c>
      <c r="B4283" s="534"/>
      <c r="C4283" s="441" t="s">
        <v>5341</v>
      </c>
      <c r="D4283" s="260" t="s">
        <v>5330</v>
      </c>
      <c r="E4283" s="441" t="s">
        <v>13150</v>
      </c>
      <c r="F4283" s="442" t="s">
        <v>5373</v>
      </c>
      <c r="G4283" s="371" t="s">
        <v>1572</v>
      </c>
      <c r="H4283" s="374" t="s">
        <v>3243</v>
      </c>
      <c r="I4283" s="470" t="s">
        <v>3</v>
      </c>
      <c r="J4283" s="495">
        <v>8.58</v>
      </c>
      <c r="K4283" s="495">
        <v>6.26</v>
      </c>
      <c r="L4283" s="495">
        <f t="shared" si="45"/>
        <v>2.3200000000000003</v>
      </c>
      <c r="M4283" s="337"/>
    </row>
    <row r="4284" spans="1:13" s="71" customFormat="1" ht="26.4" customHeight="1">
      <c r="A4284" s="282">
        <v>42</v>
      </c>
      <c r="B4284" s="534"/>
      <c r="C4284" s="441" t="s">
        <v>5341</v>
      </c>
      <c r="D4284" s="260" t="s">
        <v>5342</v>
      </c>
      <c r="E4284" s="441" t="s">
        <v>5374</v>
      </c>
      <c r="F4284" s="442" t="s">
        <v>5375</v>
      </c>
      <c r="G4284" s="371" t="s">
        <v>1572</v>
      </c>
      <c r="H4284" s="374" t="s">
        <v>3243</v>
      </c>
      <c r="I4284" s="470" t="s">
        <v>3</v>
      </c>
      <c r="J4284" s="495">
        <v>33.630000000000003</v>
      </c>
      <c r="K4284" s="495">
        <v>24.52</v>
      </c>
      <c r="L4284" s="495">
        <f t="shared" si="45"/>
        <v>9.110000000000003</v>
      </c>
      <c r="M4284" s="337"/>
    </row>
    <row r="4285" spans="1:13" s="71" customFormat="1" ht="26.4" customHeight="1">
      <c r="A4285" s="282">
        <v>43</v>
      </c>
      <c r="B4285" s="534"/>
      <c r="C4285" s="441" t="s">
        <v>5265</v>
      </c>
      <c r="D4285" s="441" t="s">
        <v>5274</v>
      </c>
      <c r="E4285" s="441" t="s">
        <v>5376</v>
      </c>
      <c r="F4285" s="442" t="s">
        <v>5377</v>
      </c>
      <c r="G4285" s="371" t="s">
        <v>1532</v>
      </c>
      <c r="H4285" s="374" t="s">
        <v>3243</v>
      </c>
      <c r="I4285" s="470" t="s">
        <v>3</v>
      </c>
      <c r="J4285" s="495">
        <v>24.87</v>
      </c>
      <c r="K4285" s="495">
        <v>18.36</v>
      </c>
      <c r="L4285" s="495">
        <f t="shared" si="45"/>
        <v>6.5100000000000016</v>
      </c>
      <c r="M4285" s="337"/>
    </row>
    <row r="4286" spans="1:13" s="71" customFormat="1" ht="26.4" customHeight="1">
      <c r="A4286" s="282">
        <v>44</v>
      </c>
      <c r="B4286" s="534"/>
      <c r="C4286" s="441" t="s">
        <v>5350</v>
      </c>
      <c r="D4286" s="441" t="s">
        <v>5327</v>
      </c>
      <c r="E4286" s="441" t="s">
        <v>5378</v>
      </c>
      <c r="F4286" s="442" t="s">
        <v>5379</v>
      </c>
      <c r="G4286" s="371" t="s">
        <v>1585</v>
      </c>
      <c r="H4286" s="374" t="s">
        <v>3243</v>
      </c>
      <c r="I4286" s="470" t="s">
        <v>3</v>
      </c>
      <c r="J4286" s="495">
        <v>22.23</v>
      </c>
      <c r="K4286" s="495">
        <v>17.77</v>
      </c>
      <c r="L4286" s="495">
        <f t="shared" si="45"/>
        <v>4.4600000000000009</v>
      </c>
      <c r="M4286" s="337"/>
    </row>
    <row r="4287" spans="1:13" s="71" customFormat="1" ht="26.4" customHeight="1">
      <c r="A4287" s="282">
        <v>45</v>
      </c>
      <c r="B4287" s="534"/>
      <c r="C4287" s="441" t="s">
        <v>5350</v>
      </c>
      <c r="D4287" s="441" t="s">
        <v>5327</v>
      </c>
      <c r="E4287" s="441" t="s">
        <v>962</v>
      </c>
      <c r="F4287" s="442" t="s">
        <v>5380</v>
      </c>
      <c r="G4287" s="371" t="s">
        <v>1585</v>
      </c>
      <c r="H4287" s="374" t="s">
        <v>3243</v>
      </c>
      <c r="I4287" s="470" t="s">
        <v>3</v>
      </c>
      <c r="J4287" s="495">
        <v>19.149999999999999</v>
      </c>
      <c r="K4287" s="495">
        <v>19.149999999999999</v>
      </c>
      <c r="L4287" s="495">
        <f t="shared" si="45"/>
        <v>0</v>
      </c>
      <c r="M4287" s="337"/>
    </row>
    <row r="4288" spans="1:13" s="71" customFormat="1" ht="26.4" customHeight="1">
      <c r="A4288" s="282">
        <v>46</v>
      </c>
      <c r="B4288" s="534"/>
      <c r="C4288" s="441" t="s">
        <v>5350</v>
      </c>
      <c r="D4288" s="441" t="s">
        <v>5327</v>
      </c>
      <c r="E4288" s="441" t="s">
        <v>1137</v>
      </c>
      <c r="F4288" s="442" t="s">
        <v>5381</v>
      </c>
      <c r="G4288" s="371" t="s">
        <v>1585</v>
      </c>
      <c r="H4288" s="374" t="s">
        <v>3243</v>
      </c>
      <c r="I4288" s="470" t="s">
        <v>3</v>
      </c>
      <c r="J4288" s="495">
        <v>9.31</v>
      </c>
      <c r="K4288" s="495">
        <v>7.44</v>
      </c>
      <c r="L4288" s="495">
        <f t="shared" si="45"/>
        <v>1.87</v>
      </c>
      <c r="M4288" s="337"/>
    </row>
    <row r="4289" spans="1:13" s="71" customFormat="1" ht="26.4" customHeight="1">
      <c r="A4289" s="282">
        <v>47</v>
      </c>
      <c r="B4289" s="534"/>
      <c r="C4289" s="441" t="s">
        <v>5265</v>
      </c>
      <c r="D4289" s="441" t="s">
        <v>5274</v>
      </c>
      <c r="E4289" s="441" t="s">
        <v>5382</v>
      </c>
      <c r="F4289" s="442" t="s">
        <v>5383</v>
      </c>
      <c r="G4289" s="371" t="s">
        <v>1532</v>
      </c>
      <c r="H4289" s="374" t="s">
        <v>3243</v>
      </c>
      <c r="I4289" s="470" t="s">
        <v>3</v>
      </c>
      <c r="J4289" s="495">
        <v>59.16</v>
      </c>
      <c r="K4289" s="495">
        <v>42.81</v>
      </c>
      <c r="L4289" s="495">
        <f t="shared" si="45"/>
        <v>16.349999999999994</v>
      </c>
      <c r="M4289" s="337"/>
    </row>
    <row r="4290" spans="1:13" s="71" customFormat="1" ht="26.4" customHeight="1">
      <c r="A4290" s="282">
        <v>48</v>
      </c>
      <c r="B4290" s="534"/>
      <c r="C4290" s="441" t="s">
        <v>5341</v>
      </c>
      <c r="D4290" s="260" t="s">
        <v>5342</v>
      </c>
      <c r="E4290" s="441" t="s">
        <v>5384</v>
      </c>
      <c r="F4290" s="442" t="s">
        <v>5385</v>
      </c>
      <c r="G4290" s="371" t="s">
        <v>1572</v>
      </c>
      <c r="H4290" s="374" t="s">
        <v>3243</v>
      </c>
      <c r="I4290" s="470" t="s">
        <v>3</v>
      </c>
      <c r="J4290" s="495">
        <v>88.24</v>
      </c>
      <c r="K4290" s="495">
        <v>70.03</v>
      </c>
      <c r="L4290" s="495">
        <f t="shared" si="45"/>
        <v>18.209999999999994</v>
      </c>
      <c r="M4290" s="337"/>
    </row>
    <row r="4291" spans="1:13" s="71" customFormat="1" ht="26.4" customHeight="1">
      <c r="A4291" s="282">
        <v>49</v>
      </c>
      <c r="B4291" s="534"/>
      <c r="C4291" s="441" t="s">
        <v>5295</v>
      </c>
      <c r="D4291" s="441" t="s">
        <v>5386</v>
      </c>
      <c r="E4291" s="441" t="s">
        <v>5387</v>
      </c>
      <c r="F4291" s="442" t="s">
        <v>5388</v>
      </c>
      <c r="G4291" s="371" t="s">
        <v>1543</v>
      </c>
      <c r="H4291" s="374" t="s">
        <v>3243</v>
      </c>
      <c r="I4291" s="470" t="s">
        <v>3</v>
      </c>
      <c r="J4291" s="495">
        <v>1318.2</v>
      </c>
      <c r="K4291" s="495">
        <v>1112.8699999999999</v>
      </c>
      <c r="L4291" s="495">
        <f t="shared" si="45"/>
        <v>205.33000000000015</v>
      </c>
      <c r="M4291" s="337"/>
    </row>
    <row r="4292" spans="1:13" s="71" customFormat="1" ht="26.4" customHeight="1">
      <c r="A4292" s="282">
        <v>50</v>
      </c>
      <c r="B4292" s="534"/>
      <c r="C4292" s="441" t="s">
        <v>5265</v>
      </c>
      <c r="D4292" s="441" t="s">
        <v>5389</v>
      </c>
      <c r="E4292" s="441" t="s">
        <v>5390</v>
      </c>
      <c r="F4292" s="442" t="s">
        <v>5391</v>
      </c>
      <c r="G4292" s="371" t="s">
        <v>1543</v>
      </c>
      <c r="H4292" s="374" t="s">
        <v>3243</v>
      </c>
      <c r="I4292" s="470" t="s">
        <v>3</v>
      </c>
      <c r="J4292" s="495">
        <v>16.149999999999999</v>
      </c>
      <c r="K4292" s="495">
        <v>12.59</v>
      </c>
      <c r="L4292" s="495">
        <f t="shared" si="45"/>
        <v>3.5599999999999987</v>
      </c>
      <c r="M4292" s="337"/>
    </row>
    <row r="4293" spans="1:13" s="71" customFormat="1" ht="26.4" customHeight="1">
      <c r="A4293" s="282">
        <v>51</v>
      </c>
      <c r="B4293" s="534"/>
      <c r="C4293" s="441" t="s">
        <v>5350</v>
      </c>
      <c r="D4293" s="441" t="s">
        <v>5327</v>
      </c>
      <c r="E4293" s="441" t="s">
        <v>5392</v>
      </c>
      <c r="F4293" s="442" t="s">
        <v>5393</v>
      </c>
      <c r="G4293" s="371" t="s">
        <v>1578</v>
      </c>
      <c r="H4293" s="374" t="s">
        <v>3243</v>
      </c>
      <c r="I4293" s="470" t="s">
        <v>3</v>
      </c>
      <c r="J4293" s="495">
        <v>20.28</v>
      </c>
      <c r="K4293" s="495">
        <v>2.04</v>
      </c>
      <c r="L4293" s="495">
        <f t="shared" si="45"/>
        <v>18.240000000000002</v>
      </c>
      <c r="M4293" s="337"/>
    </row>
    <row r="4294" spans="1:13" s="71" customFormat="1" ht="26.4" customHeight="1">
      <c r="A4294" s="282">
        <v>52</v>
      </c>
      <c r="B4294" s="534"/>
      <c r="C4294" s="441" t="s">
        <v>5265</v>
      </c>
      <c r="D4294" s="260" t="s">
        <v>5394</v>
      </c>
      <c r="E4294" s="441" t="s">
        <v>5395</v>
      </c>
      <c r="F4294" s="442" t="s">
        <v>5396</v>
      </c>
      <c r="G4294" s="371" t="s">
        <v>1528</v>
      </c>
      <c r="H4294" s="374" t="s">
        <v>3243</v>
      </c>
      <c r="I4294" s="470" t="s">
        <v>3</v>
      </c>
      <c r="J4294" s="495">
        <v>135.79</v>
      </c>
      <c r="K4294" s="495">
        <v>102.52</v>
      </c>
      <c r="L4294" s="495">
        <f t="shared" si="45"/>
        <v>33.269999999999996</v>
      </c>
      <c r="M4294" s="337"/>
    </row>
    <row r="4295" spans="1:13" s="71" customFormat="1" ht="26.4" customHeight="1">
      <c r="A4295" s="282">
        <v>53</v>
      </c>
      <c r="B4295" s="534"/>
      <c r="C4295" s="441" t="s">
        <v>5277</v>
      </c>
      <c r="D4295" s="260" t="s">
        <v>5397</v>
      </c>
      <c r="E4295" s="441" t="s">
        <v>5398</v>
      </c>
      <c r="F4295" s="442" t="s">
        <v>5399</v>
      </c>
      <c r="G4295" s="371" t="s">
        <v>1566</v>
      </c>
      <c r="H4295" s="374" t="s">
        <v>3243</v>
      </c>
      <c r="I4295" s="470" t="s">
        <v>3</v>
      </c>
      <c r="J4295" s="495">
        <v>100.92</v>
      </c>
      <c r="K4295" s="495">
        <v>84.66</v>
      </c>
      <c r="L4295" s="495">
        <f t="shared" si="45"/>
        <v>16.260000000000005</v>
      </c>
      <c r="M4295" s="337"/>
    </row>
    <row r="4296" spans="1:13" s="71" customFormat="1" ht="26.4" customHeight="1">
      <c r="A4296" s="282">
        <v>54</v>
      </c>
      <c r="B4296" s="534"/>
      <c r="C4296" s="441" t="s">
        <v>5277</v>
      </c>
      <c r="D4296" s="260" t="s">
        <v>5400</v>
      </c>
      <c r="E4296" s="441" t="s">
        <v>5302</v>
      </c>
      <c r="F4296" s="442" t="s">
        <v>5401</v>
      </c>
      <c r="G4296" s="371" t="s">
        <v>1566</v>
      </c>
      <c r="H4296" s="374" t="s">
        <v>3243</v>
      </c>
      <c r="I4296" s="470" t="s">
        <v>3</v>
      </c>
      <c r="J4296" s="495">
        <v>150.88</v>
      </c>
      <c r="K4296" s="495">
        <v>126.57</v>
      </c>
      <c r="L4296" s="495">
        <f t="shared" si="45"/>
        <v>24.310000000000002</v>
      </c>
      <c r="M4296" s="337"/>
    </row>
    <row r="4297" spans="1:13" s="71" customFormat="1" ht="26.4" customHeight="1">
      <c r="A4297" s="282">
        <v>55</v>
      </c>
      <c r="B4297" s="534"/>
      <c r="C4297" s="441" t="s">
        <v>5300</v>
      </c>
      <c r="D4297" s="441" t="s">
        <v>5402</v>
      </c>
      <c r="E4297" s="441" t="s">
        <v>5403</v>
      </c>
      <c r="F4297" s="442" t="s">
        <v>5401</v>
      </c>
      <c r="G4297" s="371" t="s">
        <v>1533</v>
      </c>
      <c r="H4297" s="374" t="s">
        <v>3243</v>
      </c>
      <c r="I4297" s="470" t="s">
        <v>3</v>
      </c>
      <c r="J4297" s="495">
        <v>226.32</v>
      </c>
      <c r="K4297" s="495">
        <v>177.1</v>
      </c>
      <c r="L4297" s="495">
        <f t="shared" si="45"/>
        <v>49.22</v>
      </c>
      <c r="M4297" s="337"/>
    </row>
    <row r="4298" spans="1:13" s="71" customFormat="1" ht="26.4" customHeight="1">
      <c r="A4298" s="282">
        <v>56</v>
      </c>
      <c r="B4298" s="534"/>
      <c r="C4298" s="441" t="s">
        <v>5277</v>
      </c>
      <c r="D4298" s="260" t="s">
        <v>5397</v>
      </c>
      <c r="E4298" s="441" t="s">
        <v>5275</v>
      </c>
      <c r="F4298" s="442" t="s">
        <v>5404</v>
      </c>
      <c r="G4298" s="371" t="s">
        <v>1566</v>
      </c>
      <c r="H4298" s="374" t="s">
        <v>3243</v>
      </c>
      <c r="I4298" s="470" t="s">
        <v>3</v>
      </c>
      <c r="J4298" s="495">
        <v>48.21</v>
      </c>
      <c r="K4298" s="495">
        <v>40.44</v>
      </c>
      <c r="L4298" s="495">
        <f t="shared" si="45"/>
        <v>7.7700000000000031</v>
      </c>
      <c r="M4298" s="337"/>
    </row>
    <row r="4299" spans="1:13" s="71" customFormat="1" ht="26.4" customHeight="1">
      <c r="A4299" s="282">
        <v>57</v>
      </c>
      <c r="B4299" s="534"/>
      <c r="C4299" s="441" t="s">
        <v>5300</v>
      </c>
      <c r="D4299" s="260" t="s">
        <v>5405</v>
      </c>
      <c r="E4299" s="441" t="s">
        <v>5406</v>
      </c>
      <c r="F4299" s="442" t="s">
        <v>5407</v>
      </c>
      <c r="G4299" s="371" t="s">
        <v>1552</v>
      </c>
      <c r="H4299" s="374" t="s">
        <v>3243</v>
      </c>
      <c r="I4299" s="470" t="s">
        <v>3</v>
      </c>
      <c r="J4299" s="495">
        <v>44.45</v>
      </c>
      <c r="K4299" s="495">
        <v>33.14</v>
      </c>
      <c r="L4299" s="495">
        <f t="shared" si="45"/>
        <v>11.310000000000002</v>
      </c>
      <c r="M4299" s="337"/>
    </row>
    <row r="4300" spans="1:13" s="71" customFormat="1" ht="26.4" customHeight="1">
      <c r="A4300" s="282">
        <v>58</v>
      </c>
      <c r="B4300" s="534"/>
      <c r="C4300" s="441" t="s">
        <v>5277</v>
      </c>
      <c r="D4300" s="260" t="s">
        <v>5397</v>
      </c>
      <c r="E4300" s="441" t="s">
        <v>5408</v>
      </c>
      <c r="F4300" s="442" t="s">
        <v>5409</v>
      </c>
      <c r="G4300" s="371" t="s">
        <v>1566</v>
      </c>
      <c r="H4300" s="374" t="s">
        <v>3243</v>
      </c>
      <c r="I4300" s="470" t="s">
        <v>3</v>
      </c>
      <c r="J4300" s="495">
        <v>71.650000000000006</v>
      </c>
      <c r="K4300" s="495">
        <v>54.1</v>
      </c>
      <c r="L4300" s="495">
        <f t="shared" si="45"/>
        <v>17.550000000000004</v>
      </c>
      <c r="M4300" s="337"/>
    </row>
    <row r="4301" spans="1:13" s="71" customFormat="1" ht="26.4" customHeight="1">
      <c r="A4301" s="282">
        <v>59</v>
      </c>
      <c r="B4301" s="534"/>
      <c r="C4301" s="441" t="s">
        <v>5277</v>
      </c>
      <c r="D4301" s="260" t="s">
        <v>5309</v>
      </c>
      <c r="E4301" s="441" t="s">
        <v>5410</v>
      </c>
      <c r="F4301" s="442" t="s">
        <v>5411</v>
      </c>
      <c r="G4301" s="371" t="s">
        <v>1566</v>
      </c>
      <c r="H4301" s="374" t="s">
        <v>3243</v>
      </c>
      <c r="I4301" s="470" t="s">
        <v>3</v>
      </c>
      <c r="J4301" s="495">
        <v>58.64</v>
      </c>
      <c r="K4301" s="495">
        <v>46.14</v>
      </c>
      <c r="L4301" s="495">
        <f t="shared" si="45"/>
        <v>12.5</v>
      </c>
      <c r="M4301" s="337"/>
    </row>
    <row r="4302" spans="1:13" s="71" customFormat="1" ht="26.4" customHeight="1">
      <c r="A4302" s="282">
        <v>60</v>
      </c>
      <c r="B4302" s="534"/>
      <c r="C4302" s="441" t="s">
        <v>5277</v>
      </c>
      <c r="D4302" s="260" t="s">
        <v>5309</v>
      </c>
      <c r="E4302" s="441" t="s">
        <v>5275</v>
      </c>
      <c r="F4302" s="442" t="s">
        <v>5412</v>
      </c>
      <c r="G4302" s="371" t="s">
        <v>1566</v>
      </c>
      <c r="H4302" s="374" t="s">
        <v>3243</v>
      </c>
      <c r="I4302" s="470" t="s">
        <v>3</v>
      </c>
      <c r="J4302" s="495">
        <v>10.42</v>
      </c>
      <c r="K4302" s="495">
        <v>8.74</v>
      </c>
      <c r="L4302" s="495">
        <f t="shared" si="45"/>
        <v>1.6799999999999997</v>
      </c>
      <c r="M4302" s="337"/>
    </row>
    <row r="4303" spans="1:13" s="71" customFormat="1" ht="26.4" customHeight="1">
      <c r="A4303" s="282">
        <v>61</v>
      </c>
      <c r="B4303" s="534"/>
      <c r="C4303" s="441" t="s">
        <v>5277</v>
      </c>
      <c r="D4303" s="260" t="s">
        <v>5309</v>
      </c>
      <c r="E4303" s="441" t="s">
        <v>5359</v>
      </c>
      <c r="F4303" s="442" t="s">
        <v>5413</v>
      </c>
      <c r="G4303" s="371" t="s">
        <v>1566</v>
      </c>
      <c r="H4303" s="374" t="s">
        <v>3243</v>
      </c>
      <c r="I4303" s="470" t="s">
        <v>3</v>
      </c>
      <c r="J4303" s="495">
        <v>31.63</v>
      </c>
      <c r="K4303" s="495">
        <v>23.87</v>
      </c>
      <c r="L4303" s="495">
        <f t="shared" si="45"/>
        <v>7.759999999999998</v>
      </c>
      <c r="M4303" s="337"/>
    </row>
    <row r="4304" spans="1:13" s="71" customFormat="1" ht="26.4" customHeight="1">
      <c r="A4304" s="282">
        <v>62</v>
      </c>
      <c r="B4304" s="534"/>
      <c r="C4304" s="441" t="s">
        <v>5277</v>
      </c>
      <c r="D4304" s="260" t="s">
        <v>5309</v>
      </c>
      <c r="E4304" s="441" t="s">
        <v>5414</v>
      </c>
      <c r="F4304" s="442" t="s">
        <v>5415</v>
      </c>
      <c r="G4304" s="371" t="s">
        <v>1566</v>
      </c>
      <c r="H4304" s="374" t="s">
        <v>3243</v>
      </c>
      <c r="I4304" s="470" t="s">
        <v>3</v>
      </c>
      <c r="J4304" s="495">
        <v>7.02</v>
      </c>
      <c r="K4304" s="495">
        <v>5.3</v>
      </c>
      <c r="L4304" s="495">
        <f t="shared" si="45"/>
        <v>1.7199999999999998</v>
      </c>
      <c r="M4304" s="337"/>
    </row>
    <row r="4305" spans="1:13" s="71" customFormat="1" ht="26.4" customHeight="1">
      <c r="A4305" s="282">
        <v>63</v>
      </c>
      <c r="B4305" s="534"/>
      <c r="C4305" s="441" t="s">
        <v>5265</v>
      </c>
      <c r="D4305" s="441" t="s">
        <v>5416</v>
      </c>
      <c r="E4305" s="441" t="s">
        <v>5286</v>
      </c>
      <c r="F4305" s="442" t="s">
        <v>5417</v>
      </c>
      <c r="G4305" s="371" t="s">
        <v>1552</v>
      </c>
      <c r="H4305" s="374" t="s">
        <v>3243</v>
      </c>
      <c r="I4305" s="470" t="s">
        <v>3</v>
      </c>
      <c r="J4305" s="495">
        <v>68.78</v>
      </c>
      <c r="K4305" s="495">
        <v>51.67</v>
      </c>
      <c r="L4305" s="495">
        <f t="shared" si="45"/>
        <v>17.11</v>
      </c>
      <c r="M4305" s="337"/>
    </row>
    <row r="4306" spans="1:13" s="71" customFormat="1" ht="26.4" customHeight="1">
      <c r="A4306" s="282">
        <v>64</v>
      </c>
      <c r="B4306" s="534"/>
      <c r="C4306" s="441" t="s">
        <v>5265</v>
      </c>
      <c r="D4306" s="441" t="s">
        <v>5416</v>
      </c>
      <c r="E4306" s="441" t="s">
        <v>2680</v>
      </c>
      <c r="F4306" s="442" t="s">
        <v>5418</v>
      </c>
      <c r="G4306" s="371" t="s">
        <v>1552</v>
      </c>
      <c r="H4306" s="374" t="s">
        <v>3243</v>
      </c>
      <c r="I4306" s="470" t="s">
        <v>3</v>
      </c>
      <c r="J4306" s="495">
        <v>25.35</v>
      </c>
      <c r="K4306" s="495">
        <v>18.77</v>
      </c>
      <c r="L4306" s="495">
        <f t="shared" si="45"/>
        <v>6.5800000000000018</v>
      </c>
      <c r="M4306" s="337"/>
    </row>
    <row r="4307" spans="1:13" s="71" customFormat="1" ht="26.4" customHeight="1">
      <c r="A4307" s="282">
        <v>65</v>
      </c>
      <c r="B4307" s="534"/>
      <c r="C4307" s="441" t="s">
        <v>5265</v>
      </c>
      <c r="D4307" s="441" t="s">
        <v>5419</v>
      </c>
      <c r="E4307" s="441" t="s">
        <v>5286</v>
      </c>
      <c r="F4307" s="442" t="s">
        <v>5420</v>
      </c>
      <c r="G4307" s="371" t="s">
        <v>1544</v>
      </c>
      <c r="H4307" s="374" t="s">
        <v>3243</v>
      </c>
      <c r="I4307" s="470" t="s">
        <v>3</v>
      </c>
      <c r="J4307" s="495">
        <v>796.49</v>
      </c>
      <c r="K4307" s="495">
        <v>489.21</v>
      </c>
      <c r="L4307" s="495">
        <f t="shared" ref="L4307:L4370" si="46">J4307-K4307</f>
        <v>307.28000000000003</v>
      </c>
      <c r="M4307" s="337"/>
    </row>
    <row r="4308" spans="1:13" s="71" customFormat="1" ht="26.4" customHeight="1">
      <c r="A4308" s="282">
        <v>66</v>
      </c>
      <c r="B4308" s="534"/>
      <c r="C4308" s="441" t="s">
        <v>5277</v>
      </c>
      <c r="D4308" s="260" t="s">
        <v>5400</v>
      </c>
      <c r="E4308" s="441" t="s">
        <v>5421</v>
      </c>
      <c r="F4308" s="442" t="s">
        <v>5422</v>
      </c>
      <c r="G4308" s="371" t="s">
        <v>1566</v>
      </c>
      <c r="H4308" s="374" t="s">
        <v>3243</v>
      </c>
      <c r="I4308" s="470" t="s">
        <v>3</v>
      </c>
      <c r="J4308" s="495">
        <v>7.32</v>
      </c>
      <c r="K4308" s="495">
        <v>5.53</v>
      </c>
      <c r="L4308" s="495">
        <f t="shared" si="46"/>
        <v>1.79</v>
      </c>
      <c r="M4308" s="337"/>
    </row>
    <row r="4309" spans="1:13" s="71" customFormat="1" ht="26.4" customHeight="1">
      <c r="A4309" s="282">
        <v>67</v>
      </c>
      <c r="B4309" s="534"/>
      <c r="C4309" s="441" t="s">
        <v>5319</v>
      </c>
      <c r="D4309" s="441" t="s">
        <v>5423</v>
      </c>
      <c r="E4309" s="441" t="s">
        <v>5359</v>
      </c>
      <c r="F4309" s="442" t="s">
        <v>5424</v>
      </c>
      <c r="G4309" s="371" t="s">
        <v>1139</v>
      </c>
      <c r="H4309" s="374" t="s">
        <v>3243</v>
      </c>
      <c r="I4309" s="470" t="s">
        <v>3</v>
      </c>
      <c r="J4309" s="495">
        <v>28.62</v>
      </c>
      <c r="K4309" s="495">
        <v>18.899999999999999</v>
      </c>
      <c r="L4309" s="495">
        <f t="shared" si="46"/>
        <v>9.7200000000000024</v>
      </c>
      <c r="M4309" s="337"/>
    </row>
    <row r="4310" spans="1:13" s="71" customFormat="1" ht="26.4" customHeight="1">
      <c r="A4310" s="282">
        <v>68</v>
      </c>
      <c r="B4310" s="534"/>
      <c r="C4310" s="441" t="s">
        <v>5319</v>
      </c>
      <c r="D4310" s="441" t="s">
        <v>5425</v>
      </c>
      <c r="E4310" s="441" t="s">
        <v>953</v>
      </c>
      <c r="F4310" s="442" t="s">
        <v>5426</v>
      </c>
      <c r="G4310" s="371" t="s">
        <v>1139</v>
      </c>
      <c r="H4310" s="374" t="s">
        <v>3243</v>
      </c>
      <c r="I4310" s="470" t="s">
        <v>3</v>
      </c>
      <c r="J4310" s="495">
        <v>23.97</v>
      </c>
      <c r="K4310" s="495">
        <v>23.97</v>
      </c>
      <c r="L4310" s="495">
        <f t="shared" si="46"/>
        <v>0</v>
      </c>
      <c r="M4310" s="337"/>
    </row>
    <row r="4311" spans="1:13" s="71" customFormat="1" ht="26.4" customHeight="1">
      <c r="A4311" s="282">
        <v>69</v>
      </c>
      <c r="B4311" s="534"/>
      <c r="C4311" s="441" t="s">
        <v>5319</v>
      </c>
      <c r="D4311" s="441" t="s">
        <v>5425</v>
      </c>
      <c r="E4311" s="441" t="s">
        <v>5275</v>
      </c>
      <c r="F4311" s="442" t="s">
        <v>5427</v>
      </c>
      <c r="G4311" s="371" t="s">
        <v>1139</v>
      </c>
      <c r="H4311" s="374" t="s">
        <v>3243</v>
      </c>
      <c r="I4311" s="470" t="s">
        <v>3</v>
      </c>
      <c r="J4311" s="495">
        <v>43.86</v>
      </c>
      <c r="K4311" s="495">
        <v>28.03</v>
      </c>
      <c r="L4311" s="495">
        <f t="shared" si="46"/>
        <v>15.829999999999998</v>
      </c>
      <c r="M4311" s="337"/>
    </row>
    <row r="4312" spans="1:13" s="71" customFormat="1" ht="26.4" customHeight="1">
      <c r="A4312" s="282">
        <v>70</v>
      </c>
      <c r="B4312" s="534"/>
      <c r="C4312" s="441" t="s">
        <v>5319</v>
      </c>
      <c r="D4312" s="441" t="s">
        <v>5423</v>
      </c>
      <c r="E4312" s="441" t="s">
        <v>5428</v>
      </c>
      <c r="F4312" s="442">
        <v>3513</v>
      </c>
      <c r="G4312" s="371" t="s">
        <v>1580</v>
      </c>
      <c r="H4312" s="374" t="s">
        <v>3243</v>
      </c>
      <c r="I4312" s="470" t="s">
        <v>3</v>
      </c>
      <c r="J4312" s="495">
        <v>25.6</v>
      </c>
      <c r="K4312" s="495">
        <v>0.5</v>
      </c>
      <c r="L4312" s="495">
        <f t="shared" si="46"/>
        <v>25.1</v>
      </c>
      <c r="M4312" s="337"/>
    </row>
    <row r="4313" spans="1:13" s="71" customFormat="1" ht="26.4" customHeight="1">
      <c r="A4313" s="282">
        <v>71</v>
      </c>
      <c r="B4313" s="534"/>
      <c r="C4313" s="441" t="s">
        <v>5265</v>
      </c>
      <c r="D4313" s="260" t="s">
        <v>5429</v>
      </c>
      <c r="E4313" s="441" t="s">
        <v>5430</v>
      </c>
      <c r="F4313" s="442" t="s">
        <v>5431</v>
      </c>
      <c r="G4313" s="371" t="s">
        <v>1561</v>
      </c>
      <c r="H4313" s="374" t="s">
        <v>1136</v>
      </c>
      <c r="I4313" s="470">
        <v>600</v>
      </c>
      <c r="J4313" s="495">
        <v>96.13</v>
      </c>
      <c r="K4313" s="495">
        <v>37.119999999999997</v>
      </c>
      <c r="L4313" s="495">
        <f t="shared" si="46"/>
        <v>59.01</v>
      </c>
      <c r="M4313" s="337"/>
    </row>
    <row r="4314" spans="1:13" s="71" customFormat="1" ht="26.4" customHeight="1">
      <c r="A4314" s="282">
        <v>72</v>
      </c>
      <c r="B4314" s="534"/>
      <c r="C4314" s="441" t="s">
        <v>5265</v>
      </c>
      <c r="D4314" s="260" t="s">
        <v>5429</v>
      </c>
      <c r="E4314" s="441" t="s">
        <v>5432</v>
      </c>
      <c r="F4314" s="442" t="s">
        <v>5433</v>
      </c>
      <c r="G4314" s="371" t="s">
        <v>1569</v>
      </c>
      <c r="H4314" s="374" t="s">
        <v>3243</v>
      </c>
      <c r="I4314" s="470" t="s">
        <v>3</v>
      </c>
      <c r="J4314" s="495">
        <v>1.57</v>
      </c>
      <c r="K4314" s="495">
        <v>0.87</v>
      </c>
      <c r="L4314" s="495">
        <f t="shared" si="46"/>
        <v>0.70000000000000007</v>
      </c>
      <c r="M4314" s="337"/>
    </row>
    <row r="4315" spans="1:13" s="71" customFormat="1" ht="26.4" customHeight="1">
      <c r="A4315" s="282">
        <v>73</v>
      </c>
      <c r="B4315" s="534"/>
      <c r="C4315" s="441" t="s">
        <v>5284</v>
      </c>
      <c r="D4315" s="441" t="s">
        <v>5434</v>
      </c>
      <c r="E4315" s="441" t="s">
        <v>5435</v>
      </c>
      <c r="F4315" s="442" t="s">
        <v>5436</v>
      </c>
      <c r="G4315" s="371" t="s">
        <v>1584</v>
      </c>
      <c r="H4315" s="374" t="s">
        <v>5437</v>
      </c>
      <c r="I4315" s="470" t="s">
        <v>3</v>
      </c>
      <c r="J4315" s="495">
        <v>19.86</v>
      </c>
      <c r="K4315" s="495">
        <v>18.72</v>
      </c>
      <c r="L4315" s="495">
        <f t="shared" si="46"/>
        <v>1.1400000000000006</v>
      </c>
      <c r="M4315" s="337"/>
    </row>
    <row r="4316" spans="1:13" s="71" customFormat="1" ht="26.4" customHeight="1">
      <c r="A4316" s="282">
        <v>74</v>
      </c>
      <c r="B4316" s="534"/>
      <c r="C4316" s="441" t="s">
        <v>5284</v>
      </c>
      <c r="D4316" s="441" t="s">
        <v>5434</v>
      </c>
      <c r="E4316" s="441" t="s">
        <v>5438</v>
      </c>
      <c r="F4316" s="442" t="s">
        <v>5439</v>
      </c>
      <c r="G4316" s="371" t="s">
        <v>1584</v>
      </c>
      <c r="H4316" s="374" t="s">
        <v>1136</v>
      </c>
      <c r="I4316" s="470">
        <v>250</v>
      </c>
      <c r="J4316" s="495">
        <v>11.71</v>
      </c>
      <c r="K4316" s="495">
        <v>11.71</v>
      </c>
      <c r="L4316" s="495">
        <f t="shared" si="46"/>
        <v>0</v>
      </c>
      <c r="M4316" s="337"/>
    </row>
    <row r="4317" spans="1:13" s="71" customFormat="1" ht="26.4" customHeight="1">
      <c r="A4317" s="282">
        <v>75</v>
      </c>
      <c r="B4317" s="534"/>
      <c r="C4317" s="441" t="s">
        <v>5265</v>
      </c>
      <c r="D4317" s="441" t="s">
        <v>5416</v>
      </c>
      <c r="E4317" s="441" t="s">
        <v>5440</v>
      </c>
      <c r="F4317" s="442" t="s">
        <v>5441</v>
      </c>
      <c r="G4317" s="371" t="s">
        <v>1552</v>
      </c>
      <c r="H4317" s="374" t="s">
        <v>1136</v>
      </c>
      <c r="I4317" s="470">
        <v>6000</v>
      </c>
      <c r="J4317" s="495">
        <v>664.47</v>
      </c>
      <c r="K4317" s="495">
        <v>530.02</v>
      </c>
      <c r="L4317" s="495">
        <f t="shared" si="46"/>
        <v>134.45000000000005</v>
      </c>
      <c r="M4317" s="337"/>
    </row>
    <row r="4318" spans="1:13" s="71" customFormat="1" ht="26.4" customHeight="1">
      <c r="A4318" s="282">
        <v>76</v>
      </c>
      <c r="B4318" s="534"/>
      <c r="C4318" s="441" t="s">
        <v>5265</v>
      </c>
      <c r="D4318" s="441" t="s">
        <v>5442</v>
      </c>
      <c r="E4318" s="441" t="s">
        <v>5443</v>
      </c>
      <c r="F4318" s="442" t="s">
        <v>5444</v>
      </c>
      <c r="G4318" s="371" t="s">
        <v>1545</v>
      </c>
      <c r="H4318" s="374" t="s">
        <v>1136</v>
      </c>
      <c r="I4318" s="470">
        <v>500</v>
      </c>
      <c r="J4318" s="495">
        <v>11.41</v>
      </c>
      <c r="K4318" s="495">
        <v>11.41</v>
      </c>
      <c r="L4318" s="495">
        <f t="shared" si="46"/>
        <v>0</v>
      </c>
      <c r="M4318" s="337"/>
    </row>
    <row r="4319" spans="1:13" s="71" customFormat="1" ht="26.4" customHeight="1">
      <c r="A4319" s="282">
        <v>77</v>
      </c>
      <c r="B4319" s="534"/>
      <c r="C4319" s="441" t="s">
        <v>5265</v>
      </c>
      <c r="D4319" s="441" t="s">
        <v>5416</v>
      </c>
      <c r="E4319" s="441" t="s">
        <v>5445</v>
      </c>
      <c r="F4319" s="442" t="s">
        <v>5446</v>
      </c>
      <c r="G4319" s="371" t="s">
        <v>1552</v>
      </c>
      <c r="H4319" s="374" t="s">
        <v>3243</v>
      </c>
      <c r="I4319" s="470" t="s">
        <v>3</v>
      </c>
      <c r="J4319" s="495">
        <v>62.87</v>
      </c>
      <c r="K4319" s="495">
        <v>54.39</v>
      </c>
      <c r="L4319" s="495">
        <f t="shared" si="46"/>
        <v>8.4799999999999969</v>
      </c>
      <c r="M4319" s="337"/>
    </row>
    <row r="4320" spans="1:13" s="71" customFormat="1" ht="26.4" customHeight="1">
      <c r="A4320" s="282">
        <v>78</v>
      </c>
      <c r="B4320" s="534"/>
      <c r="C4320" s="441" t="s">
        <v>5265</v>
      </c>
      <c r="D4320" s="441" t="s">
        <v>5419</v>
      </c>
      <c r="E4320" s="260" t="s">
        <v>5447</v>
      </c>
      <c r="F4320" s="442" t="s">
        <v>5448</v>
      </c>
      <c r="G4320" s="371" t="s">
        <v>1579</v>
      </c>
      <c r="H4320" s="374" t="s">
        <v>1136</v>
      </c>
      <c r="I4320" s="470">
        <v>4000</v>
      </c>
      <c r="J4320" s="495">
        <v>14.14</v>
      </c>
      <c r="K4320" s="495">
        <v>8.74</v>
      </c>
      <c r="L4320" s="495">
        <f t="shared" si="46"/>
        <v>5.4</v>
      </c>
      <c r="M4320" s="337"/>
    </row>
    <row r="4321" spans="1:13" s="71" customFormat="1" ht="26.4" customHeight="1">
      <c r="A4321" s="282">
        <v>79</v>
      </c>
      <c r="B4321" s="534"/>
      <c r="C4321" s="441" t="s">
        <v>5265</v>
      </c>
      <c r="D4321" s="260" t="s">
        <v>5330</v>
      </c>
      <c r="E4321" s="441" t="s">
        <v>5449</v>
      </c>
      <c r="F4321" s="442" t="s">
        <v>5450</v>
      </c>
      <c r="G4321" s="371" t="s">
        <v>1569</v>
      </c>
      <c r="H4321" s="374" t="s">
        <v>1136</v>
      </c>
      <c r="I4321" s="470">
        <v>180</v>
      </c>
      <c r="J4321" s="495">
        <v>1.33</v>
      </c>
      <c r="K4321" s="495">
        <v>0.82</v>
      </c>
      <c r="L4321" s="495">
        <f t="shared" si="46"/>
        <v>0.51000000000000012</v>
      </c>
      <c r="M4321" s="337"/>
    </row>
    <row r="4322" spans="1:13" s="71" customFormat="1" ht="26.4" customHeight="1">
      <c r="A4322" s="282">
        <v>80</v>
      </c>
      <c r="B4322" s="534"/>
      <c r="C4322" s="441" t="s">
        <v>5265</v>
      </c>
      <c r="D4322" s="260" t="s">
        <v>5330</v>
      </c>
      <c r="E4322" s="441" t="s">
        <v>5451</v>
      </c>
      <c r="F4322" s="442" t="s">
        <v>5452</v>
      </c>
      <c r="G4322" s="371" t="s">
        <v>1569</v>
      </c>
      <c r="H4322" s="374" t="s">
        <v>3243</v>
      </c>
      <c r="I4322" s="470" t="s">
        <v>3243</v>
      </c>
      <c r="J4322" s="495">
        <v>0.45</v>
      </c>
      <c r="K4322" s="495">
        <v>0.28000000000000003</v>
      </c>
      <c r="L4322" s="495">
        <f t="shared" si="46"/>
        <v>0.16999999999999998</v>
      </c>
      <c r="M4322" s="337"/>
    </row>
    <row r="4323" spans="1:13" s="71" customFormat="1" ht="26.4" customHeight="1">
      <c r="A4323" s="282">
        <v>81</v>
      </c>
      <c r="B4323" s="534"/>
      <c r="C4323" s="441" t="s">
        <v>5265</v>
      </c>
      <c r="D4323" s="441" t="s">
        <v>5416</v>
      </c>
      <c r="E4323" s="441" t="s">
        <v>5453</v>
      </c>
      <c r="F4323" s="442" t="s">
        <v>5454</v>
      </c>
      <c r="G4323" s="371" t="s">
        <v>1569</v>
      </c>
      <c r="H4323" s="374" t="s">
        <v>3243</v>
      </c>
      <c r="I4323" s="470" t="s">
        <v>3</v>
      </c>
      <c r="J4323" s="495">
        <v>0.65</v>
      </c>
      <c r="K4323" s="495">
        <v>0.4</v>
      </c>
      <c r="L4323" s="495">
        <f t="shared" si="46"/>
        <v>0.25</v>
      </c>
      <c r="M4323" s="337"/>
    </row>
    <row r="4324" spans="1:13" s="71" customFormat="1" ht="26.4" customHeight="1">
      <c r="A4324" s="282">
        <v>82</v>
      </c>
      <c r="B4324" s="534"/>
      <c r="C4324" s="441" t="s">
        <v>5265</v>
      </c>
      <c r="D4324" s="441" t="s">
        <v>5419</v>
      </c>
      <c r="E4324" s="441" t="s">
        <v>5455</v>
      </c>
      <c r="F4324" s="442" t="s">
        <v>5456</v>
      </c>
      <c r="G4324" s="371" t="s">
        <v>1569</v>
      </c>
      <c r="H4324" s="374" t="s">
        <v>3243</v>
      </c>
      <c r="I4324" s="470" t="s">
        <v>3</v>
      </c>
      <c r="J4324" s="495">
        <v>1.29</v>
      </c>
      <c r="K4324" s="495">
        <v>0.79</v>
      </c>
      <c r="L4324" s="495">
        <f t="shared" si="46"/>
        <v>0.5</v>
      </c>
      <c r="M4324" s="337"/>
    </row>
    <row r="4325" spans="1:13" s="71" customFormat="1" ht="26.4" customHeight="1">
      <c r="A4325" s="282">
        <v>83</v>
      </c>
      <c r="B4325" s="534"/>
      <c r="C4325" s="441" t="s">
        <v>5265</v>
      </c>
      <c r="D4325" s="441" t="s">
        <v>5457</v>
      </c>
      <c r="E4325" s="260" t="s">
        <v>5458</v>
      </c>
      <c r="F4325" s="442" t="s">
        <v>5459</v>
      </c>
      <c r="G4325" s="371" t="s">
        <v>1532</v>
      </c>
      <c r="H4325" s="374" t="s">
        <v>3243</v>
      </c>
      <c r="I4325" s="470" t="s">
        <v>3</v>
      </c>
      <c r="J4325" s="495">
        <v>69.62</v>
      </c>
      <c r="K4325" s="495">
        <v>58.07</v>
      </c>
      <c r="L4325" s="495">
        <f t="shared" si="46"/>
        <v>11.550000000000004</v>
      </c>
      <c r="M4325" s="337"/>
    </row>
    <row r="4326" spans="1:13" s="71" customFormat="1" ht="26.4" customHeight="1">
      <c r="A4326" s="282">
        <v>84</v>
      </c>
      <c r="B4326" s="534"/>
      <c r="C4326" s="441" t="s">
        <v>5265</v>
      </c>
      <c r="D4326" s="441" t="s">
        <v>5457</v>
      </c>
      <c r="E4326" s="441" t="s">
        <v>5460</v>
      </c>
      <c r="F4326" s="442" t="s">
        <v>5461</v>
      </c>
      <c r="G4326" s="371" t="s">
        <v>1532</v>
      </c>
      <c r="H4326" s="374" t="s">
        <v>5462</v>
      </c>
      <c r="I4326" s="470">
        <v>700</v>
      </c>
      <c r="J4326" s="495">
        <v>61</v>
      </c>
      <c r="K4326" s="495">
        <v>55.81</v>
      </c>
      <c r="L4326" s="495">
        <f t="shared" si="46"/>
        <v>5.1899999999999977</v>
      </c>
      <c r="M4326" s="337"/>
    </row>
    <row r="4327" spans="1:13" s="71" customFormat="1" ht="26.4" customHeight="1">
      <c r="A4327" s="282">
        <v>85</v>
      </c>
      <c r="B4327" s="534"/>
      <c r="C4327" s="441" t="s">
        <v>5265</v>
      </c>
      <c r="D4327" s="441" t="s">
        <v>5457</v>
      </c>
      <c r="E4327" s="441" t="s">
        <v>5463</v>
      </c>
      <c r="F4327" s="442" t="s">
        <v>5464</v>
      </c>
      <c r="G4327" s="371" t="s">
        <v>1532</v>
      </c>
      <c r="H4327" s="374" t="s">
        <v>5462</v>
      </c>
      <c r="I4327" s="470">
        <v>1180</v>
      </c>
      <c r="J4327" s="495">
        <v>26.78</v>
      </c>
      <c r="K4327" s="495">
        <v>23.06</v>
      </c>
      <c r="L4327" s="495">
        <f t="shared" si="46"/>
        <v>3.7200000000000024</v>
      </c>
      <c r="M4327" s="337"/>
    </row>
    <row r="4328" spans="1:13" s="71" customFormat="1" ht="26.4" customHeight="1">
      <c r="A4328" s="282">
        <v>86</v>
      </c>
      <c r="B4328" s="534"/>
      <c r="C4328" s="441" t="s">
        <v>5265</v>
      </c>
      <c r="D4328" s="441" t="s">
        <v>5457</v>
      </c>
      <c r="E4328" s="441" t="s">
        <v>5465</v>
      </c>
      <c r="F4328" s="442" t="s">
        <v>5466</v>
      </c>
      <c r="G4328" s="371" t="s">
        <v>1532</v>
      </c>
      <c r="H4328" s="374" t="s">
        <v>3243</v>
      </c>
      <c r="I4328" s="470" t="s">
        <v>3243</v>
      </c>
      <c r="J4328" s="495">
        <v>11.17</v>
      </c>
      <c r="K4328" s="495">
        <v>7.82</v>
      </c>
      <c r="L4328" s="495">
        <f t="shared" si="46"/>
        <v>3.3499999999999996</v>
      </c>
      <c r="M4328" s="337"/>
    </row>
    <row r="4329" spans="1:13" s="71" customFormat="1" ht="26.4" customHeight="1">
      <c r="A4329" s="282">
        <v>87</v>
      </c>
      <c r="B4329" s="534"/>
      <c r="C4329" s="441" t="s">
        <v>5265</v>
      </c>
      <c r="D4329" s="441" t="s">
        <v>5457</v>
      </c>
      <c r="E4329" s="441" t="s">
        <v>5467</v>
      </c>
      <c r="F4329" s="442" t="s">
        <v>5468</v>
      </c>
      <c r="G4329" s="371" t="s">
        <v>1532</v>
      </c>
      <c r="H4329" s="374" t="s">
        <v>5462</v>
      </c>
      <c r="I4329" s="470">
        <v>1600</v>
      </c>
      <c r="J4329" s="495">
        <v>11.2</v>
      </c>
      <c r="K4329" s="495">
        <v>11.2</v>
      </c>
      <c r="L4329" s="495">
        <f t="shared" si="46"/>
        <v>0</v>
      </c>
      <c r="M4329" s="337"/>
    </row>
    <row r="4330" spans="1:13" s="71" customFormat="1" ht="26.4" customHeight="1">
      <c r="A4330" s="282">
        <v>88</v>
      </c>
      <c r="B4330" s="534"/>
      <c r="C4330" s="441" t="s">
        <v>5265</v>
      </c>
      <c r="D4330" s="441" t="s">
        <v>5457</v>
      </c>
      <c r="E4330" s="441" t="s">
        <v>5469</v>
      </c>
      <c r="F4330" s="442" t="s">
        <v>5470</v>
      </c>
      <c r="G4330" s="371" t="s">
        <v>1532</v>
      </c>
      <c r="H4330" s="374" t="s">
        <v>5462</v>
      </c>
      <c r="I4330" s="470">
        <v>1500</v>
      </c>
      <c r="J4330" s="495">
        <v>9.99</v>
      </c>
      <c r="K4330" s="495">
        <v>7.83</v>
      </c>
      <c r="L4330" s="495">
        <f t="shared" si="46"/>
        <v>2.16</v>
      </c>
      <c r="M4330" s="337"/>
    </row>
    <row r="4331" spans="1:13" s="71" customFormat="1" ht="26.4" customHeight="1">
      <c r="A4331" s="282">
        <v>89</v>
      </c>
      <c r="B4331" s="534"/>
      <c r="C4331" s="441" t="s">
        <v>5265</v>
      </c>
      <c r="D4331" s="441" t="s">
        <v>5457</v>
      </c>
      <c r="E4331" s="441" t="s">
        <v>5471</v>
      </c>
      <c r="F4331" s="442" t="s">
        <v>5472</v>
      </c>
      <c r="G4331" s="371" t="s">
        <v>1532</v>
      </c>
      <c r="H4331" s="374" t="s">
        <v>5462</v>
      </c>
      <c r="I4331" s="470">
        <v>930</v>
      </c>
      <c r="J4331" s="495">
        <v>7.15</v>
      </c>
      <c r="K4331" s="495">
        <v>5.5</v>
      </c>
      <c r="L4331" s="495">
        <f t="shared" si="46"/>
        <v>1.6500000000000004</v>
      </c>
      <c r="M4331" s="337"/>
    </row>
    <row r="4332" spans="1:13" s="71" customFormat="1" ht="26.4" customHeight="1">
      <c r="A4332" s="282">
        <v>90</v>
      </c>
      <c r="B4332" s="534"/>
      <c r="C4332" s="441" t="s">
        <v>5265</v>
      </c>
      <c r="D4332" s="441" t="s">
        <v>5457</v>
      </c>
      <c r="E4332" s="441" t="s">
        <v>5473</v>
      </c>
      <c r="F4332" s="442" t="s">
        <v>5474</v>
      </c>
      <c r="G4332" s="371" t="s">
        <v>1532</v>
      </c>
      <c r="H4332" s="374" t="s">
        <v>5462</v>
      </c>
      <c r="I4332" s="470">
        <v>1140</v>
      </c>
      <c r="J4332" s="495">
        <v>5.96</v>
      </c>
      <c r="K4332" s="495">
        <v>5.01</v>
      </c>
      <c r="L4332" s="495">
        <f t="shared" si="46"/>
        <v>0.95000000000000018</v>
      </c>
      <c r="M4332" s="337"/>
    </row>
    <row r="4333" spans="1:13" s="71" customFormat="1" ht="26.4" customHeight="1">
      <c r="A4333" s="282">
        <v>91</v>
      </c>
      <c r="B4333" s="534"/>
      <c r="C4333" s="441" t="s">
        <v>5265</v>
      </c>
      <c r="D4333" s="441" t="s">
        <v>5457</v>
      </c>
      <c r="E4333" s="441" t="s">
        <v>5475</v>
      </c>
      <c r="F4333" s="442" t="s">
        <v>5476</v>
      </c>
      <c r="G4333" s="371" t="s">
        <v>1532</v>
      </c>
      <c r="H4333" s="374" t="s">
        <v>5462</v>
      </c>
      <c r="I4333" s="470">
        <v>800</v>
      </c>
      <c r="J4333" s="495">
        <v>5</v>
      </c>
      <c r="K4333" s="495">
        <v>5</v>
      </c>
      <c r="L4333" s="495">
        <f t="shared" si="46"/>
        <v>0</v>
      </c>
      <c r="M4333" s="337"/>
    </row>
    <row r="4334" spans="1:13" s="71" customFormat="1" ht="26.4" customHeight="1">
      <c r="A4334" s="282">
        <v>92</v>
      </c>
      <c r="B4334" s="534"/>
      <c r="C4334" s="441" t="s">
        <v>5265</v>
      </c>
      <c r="D4334" s="441" t="s">
        <v>5457</v>
      </c>
      <c r="E4334" s="441" t="s">
        <v>5477</v>
      </c>
      <c r="F4334" s="442" t="s">
        <v>5478</v>
      </c>
      <c r="G4334" s="371" t="s">
        <v>1532</v>
      </c>
      <c r="H4334" s="374" t="s">
        <v>3243</v>
      </c>
      <c r="I4334" s="470" t="s">
        <v>3243</v>
      </c>
      <c r="J4334" s="495">
        <v>26.87</v>
      </c>
      <c r="K4334" s="495">
        <v>22.57</v>
      </c>
      <c r="L4334" s="495">
        <f t="shared" si="46"/>
        <v>4.3000000000000007</v>
      </c>
      <c r="M4334" s="337"/>
    </row>
    <row r="4335" spans="1:13" s="71" customFormat="1" ht="26.4" customHeight="1">
      <c r="A4335" s="282">
        <v>93</v>
      </c>
      <c r="B4335" s="534"/>
      <c r="C4335" s="441" t="s">
        <v>5265</v>
      </c>
      <c r="D4335" s="441" t="s">
        <v>5457</v>
      </c>
      <c r="E4335" s="441" t="s">
        <v>5479</v>
      </c>
      <c r="F4335" s="442" t="s">
        <v>5480</v>
      </c>
      <c r="G4335" s="371" t="s">
        <v>1532</v>
      </c>
      <c r="H4335" s="374" t="s">
        <v>3243</v>
      </c>
      <c r="I4335" s="470" t="s">
        <v>3</v>
      </c>
      <c r="J4335" s="495">
        <v>348.83</v>
      </c>
      <c r="K4335" s="495">
        <v>240.75</v>
      </c>
      <c r="L4335" s="495">
        <f t="shared" si="46"/>
        <v>108.07999999999998</v>
      </c>
      <c r="M4335" s="337"/>
    </row>
    <row r="4336" spans="1:13" s="71" customFormat="1" ht="26.4" customHeight="1">
      <c r="A4336" s="282">
        <v>94</v>
      </c>
      <c r="B4336" s="534"/>
      <c r="C4336" s="441" t="s">
        <v>5265</v>
      </c>
      <c r="D4336" s="441" t="s">
        <v>5457</v>
      </c>
      <c r="E4336" s="441" t="s">
        <v>5481</v>
      </c>
      <c r="F4336" s="442" t="s">
        <v>5482</v>
      </c>
      <c r="G4336" s="371" t="s">
        <v>1532</v>
      </c>
      <c r="H4336" s="374" t="s">
        <v>3243</v>
      </c>
      <c r="I4336" s="470" t="s">
        <v>3</v>
      </c>
      <c r="J4336" s="495">
        <v>68.13</v>
      </c>
      <c r="K4336" s="495">
        <v>48.95</v>
      </c>
      <c r="L4336" s="495">
        <f t="shared" si="46"/>
        <v>19.179999999999993</v>
      </c>
      <c r="M4336" s="337"/>
    </row>
    <row r="4337" spans="1:13" s="71" customFormat="1" ht="26.4" customHeight="1">
      <c r="A4337" s="282">
        <v>95</v>
      </c>
      <c r="B4337" s="534"/>
      <c r="C4337" s="441" t="s">
        <v>5265</v>
      </c>
      <c r="D4337" s="441" t="s">
        <v>5457</v>
      </c>
      <c r="E4337" s="441" t="s">
        <v>5483</v>
      </c>
      <c r="F4337" s="442" t="s">
        <v>5484</v>
      </c>
      <c r="G4337" s="371" t="s">
        <v>1532</v>
      </c>
      <c r="H4337" s="374" t="s">
        <v>3243</v>
      </c>
      <c r="I4337" s="470" t="s">
        <v>3</v>
      </c>
      <c r="J4337" s="495">
        <v>233.49</v>
      </c>
      <c r="K4337" s="495">
        <v>233.49</v>
      </c>
      <c r="L4337" s="495">
        <f t="shared" si="46"/>
        <v>0</v>
      </c>
      <c r="M4337" s="337"/>
    </row>
    <row r="4338" spans="1:13" s="71" customFormat="1" ht="26.4" customHeight="1">
      <c r="A4338" s="282">
        <v>96</v>
      </c>
      <c r="B4338" s="534"/>
      <c r="C4338" s="441" t="s">
        <v>5265</v>
      </c>
      <c r="D4338" s="441" t="s">
        <v>5457</v>
      </c>
      <c r="E4338" s="441" t="s">
        <v>5485</v>
      </c>
      <c r="F4338" s="442" t="s">
        <v>5486</v>
      </c>
      <c r="G4338" s="371" t="s">
        <v>1532</v>
      </c>
      <c r="H4338" s="374" t="s">
        <v>3243</v>
      </c>
      <c r="I4338" s="470" t="s">
        <v>3243</v>
      </c>
      <c r="J4338" s="495">
        <v>5.0999999999999996</v>
      </c>
      <c r="K4338" s="495">
        <v>4.17</v>
      </c>
      <c r="L4338" s="495">
        <f t="shared" si="46"/>
        <v>0.92999999999999972</v>
      </c>
      <c r="M4338" s="337"/>
    </row>
    <row r="4339" spans="1:13" s="71" customFormat="1" ht="26.4" customHeight="1">
      <c r="A4339" s="282">
        <v>97</v>
      </c>
      <c r="B4339" s="534"/>
      <c r="C4339" s="441" t="s">
        <v>5265</v>
      </c>
      <c r="D4339" s="441" t="s">
        <v>5457</v>
      </c>
      <c r="E4339" s="441" t="s">
        <v>5487</v>
      </c>
      <c r="F4339" s="442" t="s">
        <v>5488</v>
      </c>
      <c r="G4339" s="371" t="s">
        <v>1532</v>
      </c>
      <c r="H4339" s="374" t="s">
        <v>3243</v>
      </c>
      <c r="I4339" s="470" t="s">
        <v>3243</v>
      </c>
      <c r="J4339" s="495">
        <v>14.73</v>
      </c>
      <c r="K4339" s="495">
        <v>9.67</v>
      </c>
      <c r="L4339" s="495">
        <f t="shared" si="46"/>
        <v>5.0600000000000005</v>
      </c>
      <c r="M4339" s="337"/>
    </row>
    <row r="4340" spans="1:13" s="71" customFormat="1" ht="26.4" customHeight="1">
      <c r="A4340" s="282">
        <v>98</v>
      </c>
      <c r="B4340" s="534"/>
      <c r="C4340" s="441" t="s">
        <v>5265</v>
      </c>
      <c r="D4340" s="441" t="s">
        <v>5457</v>
      </c>
      <c r="E4340" s="441" t="s">
        <v>5489</v>
      </c>
      <c r="F4340" s="442" t="s">
        <v>5490</v>
      </c>
      <c r="G4340" s="371" t="s">
        <v>1532</v>
      </c>
      <c r="H4340" s="374" t="s">
        <v>3243</v>
      </c>
      <c r="I4340" s="470" t="s">
        <v>3243</v>
      </c>
      <c r="J4340" s="495">
        <v>124.87</v>
      </c>
      <c r="K4340" s="495">
        <v>104.17</v>
      </c>
      <c r="L4340" s="495">
        <f t="shared" si="46"/>
        <v>20.700000000000003</v>
      </c>
      <c r="M4340" s="337"/>
    </row>
    <row r="4341" spans="1:13" s="71" customFormat="1" ht="26.4" customHeight="1">
      <c r="A4341" s="282">
        <v>99</v>
      </c>
      <c r="B4341" s="534"/>
      <c r="C4341" s="441" t="s">
        <v>5265</v>
      </c>
      <c r="D4341" s="441" t="s">
        <v>5457</v>
      </c>
      <c r="E4341" s="441" t="s">
        <v>5491</v>
      </c>
      <c r="F4341" s="442" t="s">
        <v>5492</v>
      </c>
      <c r="G4341" s="371" t="s">
        <v>1532</v>
      </c>
      <c r="H4341" s="374" t="s">
        <v>3243</v>
      </c>
      <c r="I4341" s="470" t="s">
        <v>3243</v>
      </c>
      <c r="J4341" s="495">
        <v>111.43</v>
      </c>
      <c r="K4341" s="495">
        <v>92.34</v>
      </c>
      <c r="L4341" s="495">
        <f t="shared" si="46"/>
        <v>19.090000000000003</v>
      </c>
      <c r="M4341" s="337"/>
    </row>
    <row r="4342" spans="1:13" s="71" customFormat="1" ht="26.4" customHeight="1">
      <c r="A4342" s="282">
        <v>100</v>
      </c>
      <c r="B4342" s="534"/>
      <c r="C4342" s="441" t="s">
        <v>5265</v>
      </c>
      <c r="D4342" s="441" t="s">
        <v>5457</v>
      </c>
      <c r="E4342" s="441" t="s">
        <v>5493</v>
      </c>
      <c r="F4342" s="442" t="s">
        <v>5494</v>
      </c>
      <c r="G4342" s="371" t="s">
        <v>1532</v>
      </c>
      <c r="H4342" s="374" t="s">
        <v>3243</v>
      </c>
      <c r="I4342" s="470" t="s">
        <v>3243</v>
      </c>
      <c r="J4342" s="495">
        <v>100.93</v>
      </c>
      <c r="K4342" s="495">
        <v>79.38</v>
      </c>
      <c r="L4342" s="495">
        <f t="shared" si="46"/>
        <v>21.550000000000011</v>
      </c>
      <c r="M4342" s="337"/>
    </row>
    <row r="4343" spans="1:13" s="71" customFormat="1" ht="26.4" customHeight="1">
      <c r="A4343" s="282">
        <v>101</v>
      </c>
      <c r="B4343" s="534"/>
      <c r="C4343" s="441" t="s">
        <v>5265</v>
      </c>
      <c r="D4343" s="441" t="s">
        <v>5457</v>
      </c>
      <c r="E4343" s="441" t="s">
        <v>5495</v>
      </c>
      <c r="F4343" s="442" t="s">
        <v>5496</v>
      </c>
      <c r="G4343" s="371" t="s">
        <v>1532</v>
      </c>
      <c r="H4343" s="374" t="s">
        <v>3243</v>
      </c>
      <c r="I4343" s="470" t="s">
        <v>3243</v>
      </c>
      <c r="J4343" s="495">
        <v>14.23</v>
      </c>
      <c r="K4343" s="495">
        <v>11.19</v>
      </c>
      <c r="L4343" s="495">
        <f t="shared" si="46"/>
        <v>3.0400000000000009</v>
      </c>
      <c r="M4343" s="337"/>
    </row>
    <row r="4344" spans="1:13" s="71" customFormat="1" ht="26.4" customHeight="1">
      <c r="A4344" s="282">
        <v>102</v>
      </c>
      <c r="B4344" s="534"/>
      <c r="C4344" s="441" t="s">
        <v>5265</v>
      </c>
      <c r="D4344" s="441" t="s">
        <v>5457</v>
      </c>
      <c r="E4344" s="441" t="s">
        <v>5497</v>
      </c>
      <c r="F4344" s="442" t="s">
        <v>5498</v>
      </c>
      <c r="G4344" s="371" t="s">
        <v>1532</v>
      </c>
      <c r="H4344" s="374" t="s">
        <v>3243</v>
      </c>
      <c r="I4344" s="470" t="s">
        <v>3243</v>
      </c>
      <c r="J4344" s="495">
        <v>33.75</v>
      </c>
      <c r="K4344" s="495">
        <v>26.54</v>
      </c>
      <c r="L4344" s="495">
        <f t="shared" si="46"/>
        <v>7.2100000000000009</v>
      </c>
      <c r="M4344" s="337"/>
    </row>
    <row r="4345" spans="1:13" s="71" customFormat="1" ht="26.4" customHeight="1">
      <c r="A4345" s="282">
        <v>103</v>
      </c>
      <c r="B4345" s="534"/>
      <c r="C4345" s="441" t="s">
        <v>5265</v>
      </c>
      <c r="D4345" s="441" t="s">
        <v>5457</v>
      </c>
      <c r="E4345" s="441" t="s">
        <v>5499</v>
      </c>
      <c r="F4345" s="442" t="s">
        <v>5500</v>
      </c>
      <c r="G4345" s="371" t="s">
        <v>1532</v>
      </c>
      <c r="H4345" s="374" t="s">
        <v>3243</v>
      </c>
      <c r="I4345" s="470" t="s">
        <v>3243</v>
      </c>
      <c r="J4345" s="495">
        <v>0.38</v>
      </c>
      <c r="K4345" s="495">
        <v>0.38</v>
      </c>
      <c r="L4345" s="495">
        <f t="shared" si="46"/>
        <v>0</v>
      </c>
      <c r="M4345" s="337"/>
    </row>
    <row r="4346" spans="1:13" s="71" customFormat="1" ht="26.4" customHeight="1">
      <c r="A4346" s="282">
        <v>104</v>
      </c>
      <c r="B4346" s="534"/>
      <c r="C4346" s="441" t="s">
        <v>5265</v>
      </c>
      <c r="D4346" s="441" t="s">
        <v>5457</v>
      </c>
      <c r="E4346" s="260" t="s">
        <v>5501</v>
      </c>
      <c r="F4346" s="372" t="s">
        <v>5502</v>
      </c>
      <c r="G4346" s="373" t="s">
        <v>1561</v>
      </c>
      <c r="H4346" s="374" t="s">
        <v>5503</v>
      </c>
      <c r="I4346" s="470">
        <v>100</v>
      </c>
      <c r="J4346" s="495">
        <v>11.53</v>
      </c>
      <c r="K4346" s="495">
        <v>11.5</v>
      </c>
      <c r="L4346" s="495">
        <f t="shared" si="46"/>
        <v>2.9999999999999361E-2</v>
      </c>
      <c r="M4346" s="337"/>
    </row>
    <row r="4347" spans="1:13" s="71" customFormat="1" ht="26.4" customHeight="1">
      <c r="A4347" s="282">
        <v>105</v>
      </c>
      <c r="B4347" s="534"/>
      <c r="C4347" s="441" t="s">
        <v>5265</v>
      </c>
      <c r="D4347" s="441" t="s">
        <v>5457</v>
      </c>
      <c r="E4347" s="441" t="s">
        <v>5504</v>
      </c>
      <c r="F4347" s="442" t="s">
        <v>5505</v>
      </c>
      <c r="G4347" s="371" t="s">
        <v>5506</v>
      </c>
      <c r="H4347" s="374" t="s">
        <v>3243</v>
      </c>
      <c r="I4347" s="470" t="s">
        <v>3243</v>
      </c>
      <c r="J4347" s="495">
        <v>13.52</v>
      </c>
      <c r="K4347" s="495">
        <v>13.52</v>
      </c>
      <c r="L4347" s="495">
        <f t="shared" si="46"/>
        <v>0</v>
      </c>
      <c r="M4347" s="337"/>
    </row>
    <row r="4348" spans="1:13" s="71" customFormat="1" ht="26.4" customHeight="1">
      <c r="A4348" s="282">
        <v>106</v>
      </c>
      <c r="B4348" s="534"/>
      <c r="C4348" s="441" t="s">
        <v>5265</v>
      </c>
      <c r="D4348" s="441" t="s">
        <v>5457</v>
      </c>
      <c r="E4348" s="441" t="s">
        <v>5493</v>
      </c>
      <c r="F4348" s="442" t="s">
        <v>5507</v>
      </c>
      <c r="G4348" s="371" t="s">
        <v>5506</v>
      </c>
      <c r="H4348" s="374" t="s">
        <v>3243</v>
      </c>
      <c r="I4348" s="470" t="s">
        <v>3243</v>
      </c>
      <c r="J4348" s="495">
        <v>147.05000000000001</v>
      </c>
      <c r="K4348" s="495">
        <v>147.05000000000001</v>
      </c>
      <c r="L4348" s="495">
        <f t="shared" si="46"/>
        <v>0</v>
      </c>
      <c r="M4348" s="337"/>
    </row>
    <row r="4349" spans="1:13" s="71" customFormat="1" ht="26.4" customHeight="1">
      <c r="A4349" s="282">
        <v>107</v>
      </c>
      <c r="B4349" s="534"/>
      <c r="C4349" s="441" t="s">
        <v>5265</v>
      </c>
      <c r="D4349" s="441" t="s">
        <v>5457</v>
      </c>
      <c r="E4349" s="441" t="s">
        <v>5508</v>
      </c>
      <c r="F4349" s="442" t="s">
        <v>5509</v>
      </c>
      <c r="G4349" s="371" t="s">
        <v>5506</v>
      </c>
      <c r="H4349" s="374" t="s">
        <v>1136</v>
      </c>
      <c r="I4349" s="470">
        <v>288</v>
      </c>
      <c r="J4349" s="495">
        <v>80.62</v>
      </c>
      <c r="K4349" s="495">
        <v>80.62</v>
      </c>
      <c r="L4349" s="495">
        <f t="shared" si="46"/>
        <v>0</v>
      </c>
      <c r="M4349" s="337"/>
    </row>
    <row r="4350" spans="1:13" s="71" customFormat="1" ht="26.4" customHeight="1">
      <c r="A4350" s="282">
        <v>108</v>
      </c>
      <c r="B4350" s="534"/>
      <c r="C4350" s="441" t="s">
        <v>5265</v>
      </c>
      <c r="D4350" s="441" t="s">
        <v>5457</v>
      </c>
      <c r="E4350" s="441" t="s">
        <v>5510</v>
      </c>
      <c r="F4350" s="442" t="s">
        <v>5511</v>
      </c>
      <c r="G4350" s="371" t="s">
        <v>1566</v>
      </c>
      <c r="H4350" s="374" t="s">
        <v>1136</v>
      </c>
      <c r="I4350" s="470">
        <v>2040</v>
      </c>
      <c r="J4350" s="495">
        <v>215.05</v>
      </c>
      <c r="K4350" s="495">
        <v>215.05</v>
      </c>
      <c r="L4350" s="495">
        <f t="shared" si="46"/>
        <v>0</v>
      </c>
      <c r="M4350" s="337"/>
    </row>
    <row r="4351" spans="1:13" s="71" customFormat="1" ht="26.4" customHeight="1">
      <c r="A4351" s="282">
        <v>109</v>
      </c>
      <c r="B4351" s="534"/>
      <c r="C4351" s="441" t="s">
        <v>5265</v>
      </c>
      <c r="D4351" s="441" t="s">
        <v>5457</v>
      </c>
      <c r="E4351" s="441" t="s">
        <v>5512</v>
      </c>
      <c r="F4351" s="442" t="s">
        <v>5513</v>
      </c>
      <c r="G4351" s="371" t="s">
        <v>5506</v>
      </c>
      <c r="H4351" s="374" t="s">
        <v>5462</v>
      </c>
      <c r="I4351" s="470">
        <v>408</v>
      </c>
      <c r="J4351" s="495">
        <v>0.28999999999999998</v>
      </c>
      <c r="K4351" s="495">
        <v>0.28999999999999998</v>
      </c>
      <c r="L4351" s="495">
        <f t="shared" si="46"/>
        <v>0</v>
      </c>
      <c r="M4351" s="337"/>
    </row>
    <row r="4352" spans="1:13" s="71" customFormat="1" ht="26.4" customHeight="1">
      <c r="A4352" s="282">
        <v>110</v>
      </c>
      <c r="B4352" s="534"/>
      <c r="C4352" s="441" t="s">
        <v>5265</v>
      </c>
      <c r="D4352" s="441" t="s">
        <v>5457</v>
      </c>
      <c r="E4352" s="441" t="s">
        <v>5514</v>
      </c>
      <c r="F4352" s="442" t="s">
        <v>5515</v>
      </c>
      <c r="G4352" s="371" t="s">
        <v>5506</v>
      </c>
      <c r="H4352" s="374" t="s">
        <v>5462</v>
      </c>
      <c r="I4352" s="470">
        <v>450</v>
      </c>
      <c r="J4352" s="495">
        <v>14.11</v>
      </c>
      <c r="K4352" s="495">
        <v>14.11</v>
      </c>
      <c r="L4352" s="495">
        <f t="shared" si="46"/>
        <v>0</v>
      </c>
      <c r="M4352" s="337"/>
    </row>
    <row r="4353" spans="1:13" s="71" customFormat="1" ht="26.4" customHeight="1">
      <c r="A4353" s="282">
        <v>111</v>
      </c>
      <c r="B4353" s="534"/>
      <c r="C4353" s="441" t="s">
        <v>5265</v>
      </c>
      <c r="D4353" s="441" t="s">
        <v>5457</v>
      </c>
      <c r="E4353" s="441" t="s">
        <v>5516</v>
      </c>
      <c r="F4353" s="442" t="s">
        <v>5517</v>
      </c>
      <c r="G4353" s="371" t="s">
        <v>5506</v>
      </c>
      <c r="H4353" s="374" t="s">
        <v>5462</v>
      </c>
      <c r="I4353" s="470">
        <v>80</v>
      </c>
      <c r="J4353" s="495">
        <v>0.79</v>
      </c>
      <c r="K4353" s="495">
        <v>0.79</v>
      </c>
      <c r="L4353" s="495">
        <f t="shared" si="46"/>
        <v>0</v>
      </c>
      <c r="M4353" s="337"/>
    </row>
    <row r="4354" spans="1:13" s="71" customFormat="1" ht="26.4" customHeight="1">
      <c r="A4354" s="282">
        <v>112</v>
      </c>
      <c r="B4354" s="534"/>
      <c r="C4354" s="441" t="s">
        <v>5265</v>
      </c>
      <c r="D4354" s="441" t="s">
        <v>5457</v>
      </c>
      <c r="E4354" s="441" t="s">
        <v>5518</v>
      </c>
      <c r="F4354" s="442" t="s">
        <v>5519</v>
      </c>
      <c r="G4354" s="371" t="s">
        <v>5506</v>
      </c>
      <c r="H4354" s="374" t="s">
        <v>5462</v>
      </c>
      <c r="I4354" s="470">
        <v>1400</v>
      </c>
      <c r="J4354" s="495">
        <v>19.39</v>
      </c>
      <c r="K4354" s="495">
        <v>19.39</v>
      </c>
      <c r="L4354" s="495">
        <f t="shared" si="46"/>
        <v>0</v>
      </c>
      <c r="M4354" s="337"/>
    </row>
    <row r="4355" spans="1:13" s="71" customFormat="1" ht="26.4" customHeight="1">
      <c r="A4355" s="282">
        <v>113</v>
      </c>
      <c r="B4355" s="534"/>
      <c r="C4355" s="441" t="s">
        <v>5265</v>
      </c>
      <c r="D4355" s="441" t="s">
        <v>5457</v>
      </c>
      <c r="E4355" s="441" t="s">
        <v>5520</v>
      </c>
      <c r="F4355" s="442" t="s">
        <v>5521</v>
      </c>
      <c r="G4355" s="371" t="s">
        <v>5506</v>
      </c>
      <c r="H4355" s="374" t="s">
        <v>3243</v>
      </c>
      <c r="I4355" s="470" t="s">
        <v>3243</v>
      </c>
      <c r="J4355" s="495">
        <v>24.1</v>
      </c>
      <c r="K4355" s="495">
        <v>24.1</v>
      </c>
      <c r="L4355" s="495">
        <f t="shared" si="46"/>
        <v>0</v>
      </c>
      <c r="M4355" s="337"/>
    </row>
    <row r="4356" spans="1:13" s="71" customFormat="1" ht="26.4" customHeight="1">
      <c r="A4356" s="282">
        <v>114</v>
      </c>
      <c r="B4356" s="534"/>
      <c r="C4356" s="441" t="s">
        <v>5265</v>
      </c>
      <c r="D4356" s="441" t="s">
        <v>5457</v>
      </c>
      <c r="E4356" s="441" t="s">
        <v>5522</v>
      </c>
      <c r="F4356" s="442" t="s">
        <v>5523</v>
      </c>
      <c r="G4356" s="371" t="s">
        <v>1561</v>
      </c>
      <c r="H4356" s="374" t="s">
        <v>1136</v>
      </c>
      <c r="I4356" s="470">
        <v>2560</v>
      </c>
      <c r="J4356" s="495">
        <v>153.25</v>
      </c>
      <c r="K4356" s="495">
        <v>153.25</v>
      </c>
      <c r="L4356" s="495">
        <f t="shared" si="46"/>
        <v>0</v>
      </c>
      <c r="M4356" s="337"/>
    </row>
    <row r="4357" spans="1:13" s="71" customFormat="1" ht="26.4" customHeight="1">
      <c r="A4357" s="282">
        <v>115</v>
      </c>
      <c r="B4357" s="534"/>
      <c r="C4357" s="441" t="s">
        <v>5265</v>
      </c>
      <c r="D4357" s="441" t="s">
        <v>5457</v>
      </c>
      <c r="E4357" s="441" t="s">
        <v>5524</v>
      </c>
      <c r="F4357" s="442" t="s">
        <v>5525</v>
      </c>
      <c r="G4357" s="371" t="s">
        <v>1561</v>
      </c>
      <c r="H4357" s="374" t="s">
        <v>5462</v>
      </c>
      <c r="I4357" s="470">
        <v>450</v>
      </c>
      <c r="J4357" s="495">
        <v>14.11</v>
      </c>
      <c r="K4357" s="495">
        <v>14.11</v>
      </c>
      <c r="L4357" s="495">
        <f t="shared" si="46"/>
        <v>0</v>
      </c>
      <c r="M4357" s="337"/>
    </row>
    <row r="4358" spans="1:13" s="71" customFormat="1" ht="26.4" customHeight="1">
      <c r="A4358" s="282">
        <v>116</v>
      </c>
      <c r="B4358" s="534"/>
      <c r="C4358" s="441" t="s">
        <v>5265</v>
      </c>
      <c r="D4358" s="441" t="s">
        <v>5457</v>
      </c>
      <c r="E4358" s="441" t="s">
        <v>5526</v>
      </c>
      <c r="F4358" s="442" t="s">
        <v>5527</v>
      </c>
      <c r="G4358" s="371" t="s">
        <v>1561</v>
      </c>
      <c r="H4358" s="374" t="s">
        <v>1136</v>
      </c>
      <c r="I4358" s="470">
        <v>576</v>
      </c>
      <c r="J4358" s="495">
        <v>19.149999999999999</v>
      </c>
      <c r="K4358" s="495">
        <v>19.149999999999999</v>
      </c>
      <c r="L4358" s="495">
        <f t="shared" si="46"/>
        <v>0</v>
      </c>
      <c r="M4358" s="337"/>
    </row>
    <row r="4359" spans="1:13" s="71" customFormat="1" ht="26.4" customHeight="1">
      <c r="A4359" s="282">
        <v>117</v>
      </c>
      <c r="B4359" s="534"/>
      <c r="C4359" s="441" t="s">
        <v>5265</v>
      </c>
      <c r="D4359" s="441" t="s">
        <v>5457</v>
      </c>
      <c r="E4359" s="441" t="s">
        <v>5528</v>
      </c>
      <c r="F4359" s="442" t="s">
        <v>5529</v>
      </c>
      <c r="G4359" s="371" t="s">
        <v>1561</v>
      </c>
      <c r="H4359" s="374" t="s">
        <v>1136</v>
      </c>
      <c r="I4359" s="470">
        <v>300</v>
      </c>
      <c r="J4359" s="495">
        <v>11.26</v>
      </c>
      <c r="K4359" s="495">
        <v>11.26</v>
      </c>
      <c r="L4359" s="495">
        <f t="shared" si="46"/>
        <v>0</v>
      </c>
      <c r="M4359" s="337"/>
    </row>
    <row r="4360" spans="1:13" s="71" customFormat="1" ht="26.4" customHeight="1">
      <c r="A4360" s="282">
        <v>118</v>
      </c>
      <c r="B4360" s="534"/>
      <c r="C4360" s="441" t="s">
        <v>5265</v>
      </c>
      <c r="D4360" s="441" t="s">
        <v>5457</v>
      </c>
      <c r="E4360" s="441" t="s">
        <v>5530</v>
      </c>
      <c r="F4360" s="442" t="s">
        <v>5531</v>
      </c>
      <c r="G4360" s="371" t="s">
        <v>1561</v>
      </c>
      <c r="H4360" s="374" t="s">
        <v>3243</v>
      </c>
      <c r="I4360" s="470" t="s">
        <v>3243</v>
      </c>
      <c r="J4360" s="495">
        <v>19.45</v>
      </c>
      <c r="K4360" s="495">
        <v>19.45</v>
      </c>
      <c r="L4360" s="495">
        <f t="shared" si="46"/>
        <v>0</v>
      </c>
      <c r="M4360" s="337"/>
    </row>
    <row r="4361" spans="1:13" s="71" customFormat="1" ht="26.4" customHeight="1">
      <c r="A4361" s="282">
        <v>119</v>
      </c>
      <c r="B4361" s="534"/>
      <c r="C4361" s="441" t="s">
        <v>5265</v>
      </c>
      <c r="D4361" s="441" t="s">
        <v>5457</v>
      </c>
      <c r="E4361" s="441" t="s">
        <v>5532</v>
      </c>
      <c r="F4361" s="442" t="s">
        <v>5533</v>
      </c>
      <c r="G4361" s="371" t="s">
        <v>1561</v>
      </c>
      <c r="H4361" s="374" t="s">
        <v>1136</v>
      </c>
      <c r="I4361" s="470">
        <v>288</v>
      </c>
      <c r="J4361" s="495">
        <v>22.3</v>
      </c>
      <c r="K4361" s="495">
        <v>22.3</v>
      </c>
      <c r="L4361" s="495">
        <f t="shared" si="46"/>
        <v>0</v>
      </c>
      <c r="M4361" s="337"/>
    </row>
    <row r="4362" spans="1:13" s="71" customFormat="1" ht="26.4" customHeight="1">
      <c r="A4362" s="282">
        <v>120</v>
      </c>
      <c r="B4362" s="534"/>
      <c r="C4362" s="441" t="s">
        <v>5265</v>
      </c>
      <c r="D4362" s="441" t="s">
        <v>5457</v>
      </c>
      <c r="E4362" s="441" t="s">
        <v>5534</v>
      </c>
      <c r="F4362" s="442" t="s">
        <v>5535</v>
      </c>
      <c r="G4362" s="371" t="s">
        <v>1561</v>
      </c>
      <c r="H4362" s="374" t="s">
        <v>5462</v>
      </c>
      <c r="I4362" s="470">
        <v>650</v>
      </c>
      <c r="J4362" s="495">
        <v>6.39</v>
      </c>
      <c r="K4362" s="495">
        <v>6.39</v>
      </c>
      <c r="L4362" s="495">
        <f t="shared" si="46"/>
        <v>0</v>
      </c>
      <c r="M4362" s="337"/>
    </row>
    <row r="4363" spans="1:13" s="71" customFormat="1" ht="26.4" customHeight="1">
      <c r="A4363" s="282">
        <v>121</v>
      </c>
      <c r="B4363" s="534"/>
      <c r="C4363" s="441" t="s">
        <v>5265</v>
      </c>
      <c r="D4363" s="441" t="s">
        <v>5457</v>
      </c>
      <c r="E4363" s="441" t="s">
        <v>5536</v>
      </c>
      <c r="F4363" s="442" t="s">
        <v>5537</v>
      </c>
      <c r="G4363" s="371" t="s">
        <v>1561</v>
      </c>
      <c r="H4363" s="374" t="s">
        <v>5462</v>
      </c>
      <c r="I4363" s="470">
        <v>300</v>
      </c>
      <c r="J4363" s="495">
        <v>4.1500000000000004</v>
      </c>
      <c r="K4363" s="495">
        <v>4.1500000000000004</v>
      </c>
      <c r="L4363" s="495">
        <f t="shared" si="46"/>
        <v>0</v>
      </c>
      <c r="M4363" s="337"/>
    </row>
    <row r="4364" spans="1:13" s="71" customFormat="1" ht="26.4" customHeight="1">
      <c r="A4364" s="282">
        <v>122</v>
      </c>
      <c r="B4364" s="534"/>
      <c r="C4364" s="441" t="s">
        <v>5265</v>
      </c>
      <c r="D4364" s="441" t="s">
        <v>5457</v>
      </c>
      <c r="E4364" s="441" t="s">
        <v>5538</v>
      </c>
      <c r="F4364" s="442" t="s">
        <v>5539</v>
      </c>
      <c r="G4364" s="371" t="s">
        <v>1561</v>
      </c>
      <c r="H4364" s="374" t="s">
        <v>5462</v>
      </c>
      <c r="I4364" s="470">
        <v>256</v>
      </c>
      <c r="J4364" s="495">
        <v>6.33</v>
      </c>
      <c r="K4364" s="495">
        <v>6.33</v>
      </c>
      <c r="L4364" s="495">
        <f t="shared" si="46"/>
        <v>0</v>
      </c>
      <c r="M4364" s="337"/>
    </row>
    <row r="4365" spans="1:13" s="71" customFormat="1" ht="26.4" customHeight="1">
      <c r="A4365" s="282">
        <v>123</v>
      </c>
      <c r="B4365" s="534"/>
      <c r="C4365" s="441" t="s">
        <v>5265</v>
      </c>
      <c r="D4365" s="441" t="s">
        <v>5457</v>
      </c>
      <c r="E4365" s="441" t="s">
        <v>5540</v>
      </c>
      <c r="F4365" s="442" t="s">
        <v>5541</v>
      </c>
      <c r="G4365" s="371" t="s">
        <v>1561</v>
      </c>
      <c r="H4365" s="374" t="s">
        <v>5462</v>
      </c>
      <c r="I4365" s="470">
        <v>1400</v>
      </c>
      <c r="J4365" s="495">
        <v>19.39</v>
      </c>
      <c r="K4365" s="495">
        <v>19.39</v>
      </c>
      <c r="L4365" s="495">
        <f t="shared" si="46"/>
        <v>0</v>
      </c>
      <c r="M4365" s="337"/>
    </row>
    <row r="4366" spans="1:13" s="71" customFormat="1" ht="26.4" customHeight="1">
      <c r="A4366" s="282">
        <v>124</v>
      </c>
      <c r="B4366" s="534"/>
      <c r="C4366" s="441" t="s">
        <v>5265</v>
      </c>
      <c r="D4366" s="441" t="s">
        <v>5457</v>
      </c>
      <c r="E4366" s="441" t="s">
        <v>5542</v>
      </c>
      <c r="F4366" s="442" t="s">
        <v>5543</v>
      </c>
      <c r="G4366" s="371" t="s">
        <v>1561</v>
      </c>
      <c r="H4366" s="374" t="s">
        <v>5462</v>
      </c>
      <c r="I4366" s="470">
        <v>414</v>
      </c>
      <c r="J4366" s="495">
        <v>9.3800000000000008</v>
      </c>
      <c r="K4366" s="495">
        <v>9.3800000000000008</v>
      </c>
      <c r="L4366" s="495">
        <f t="shared" si="46"/>
        <v>0</v>
      </c>
      <c r="M4366" s="337"/>
    </row>
    <row r="4367" spans="1:13" s="71" customFormat="1" ht="26.4" customHeight="1">
      <c r="A4367" s="282">
        <v>125</v>
      </c>
      <c r="B4367" s="534"/>
      <c r="C4367" s="441" t="s">
        <v>5265</v>
      </c>
      <c r="D4367" s="441" t="s">
        <v>5457</v>
      </c>
      <c r="E4367" s="441" t="s">
        <v>5544</v>
      </c>
      <c r="F4367" s="442" t="s">
        <v>5545</v>
      </c>
      <c r="G4367" s="371" t="s">
        <v>1532</v>
      </c>
      <c r="H4367" s="374" t="s">
        <v>5462</v>
      </c>
      <c r="I4367" s="470">
        <v>7</v>
      </c>
      <c r="J4367" s="495">
        <v>78.56</v>
      </c>
      <c r="K4367" s="495">
        <v>70.349999999999994</v>
      </c>
      <c r="L4367" s="495">
        <f t="shared" si="46"/>
        <v>8.210000000000008</v>
      </c>
      <c r="M4367" s="337"/>
    </row>
    <row r="4368" spans="1:13" s="71" customFormat="1" ht="26.4" customHeight="1">
      <c r="A4368" s="282">
        <v>126</v>
      </c>
      <c r="B4368" s="534"/>
      <c r="C4368" s="441" t="s">
        <v>5265</v>
      </c>
      <c r="D4368" s="441" t="s">
        <v>5546</v>
      </c>
      <c r="E4368" s="441" t="s">
        <v>5547</v>
      </c>
      <c r="F4368" s="442" t="s">
        <v>5548</v>
      </c>
      <c r="G4368" s="371" t="s">
        <v>1579</v>
      </c>
      <c r="H4368" s="374" t="s">
        <v>3243</v>
      </c>
      <c r="I4368" s="470" t="s">
        <v>3243</v>
      </c>
      <c r="J4368" s="495">
        <v>1.9</v>
      </c>
      <c r="K4368" s="495">
        <v>1.9</v>
      </c>
      <c r="L4368" s="495">
        <f t="shared" si="46"/>
        <v>0</v>
      </c>
      <c r="M4368" s="337"/>
    </row>
    <row r="4369" spans="1:13" s="71" customFormat="1" ht="26.4" customHeight="1">
      <c r="A4369" s="282">
        <v>127</v>
      </c>
      <c r="B4369" s="534"/>
      <c r="C4369" s="441" t="s">
        <v>5265</v>
      </c>
      <c r="D4369" s="441" t="s">
        <v>5549</v>
      </c>
      <c r="E4369" s="441" t="s">
        <v>5550</v>
      </c>
      <c r="F4369" s="442" t="s">
        <v>5551</v>
      </c>
      <c r="G4369" s="371" t="s">
        <v>1552</v>
      </c>
      <c r="H4369" s="374" t="s">
        <v>5462</v>
      </c>
      <c r="I4369" s="470">
        <v>102</v>
      </c>
      <c r="J4369" s="495">
        <v>10.199999999999999</v>
      </c>
      <c r="K4369" s="495">
        <v>7.62</v>
      </c>
      <c r="L4369" s="495">
        <f t="shared" si="46"/>
        <v>2.5799999999999992</v>
      </c>
      <c r="M4369" s="337"/>
    </row>
    <row r="4370" spans="1:13" s="71" customFormat="1" ht="26.4" customHeight="1">
      <c r="A4370" s="282">
        <v>128</v>
      </c>
      <c r="B4370" s="534"/>
      <c r="C4370" s="441" t="s">
        <v>5265</v>
      </c>
      <c r="D4370" s="441" t="s">
        <v>5552</v>
      </c>
      <c r="E4370" s="441" t="s">
        <v>5553</v>
      </c>
      <c r="F4370" s="442" t="s">
        <v>5554</v>
      </c>
      <c r="G4370" s="371" t="s">
        <v>1579</v>
      </c>
      <c r="H4370" s="374" t="s">
        <v>5462</v>
      </c>
      <c r="I4370" s="470">
        <v>160</v>
      </c>
      <c r="J4370" s="495">
        <v>21.02</v>
      </c>
      <c r="K4370" s="495">
        <v>6.71</v>
      </c>
      <c r="L4370" s="495">
        <f t="shared" si="46"/>
        <v>14.309999999999999</v>
      </c>
      <c r="M4370" s="337"/>
    </row>
    <row r="4371" spans="1:13" s="71" customFormat="1" ht="26.4" customHeight="1">
      <c r="A4371" s="282">
        <v>129</v>
      </c>
      <c r="B4371" s="534"/>
      <c r="C4371" s="441" t="s">
        <v>5265</v>
      </c>
      <c r="D4371" s="441" t="s">
        <v>5555</v>
      </c>
      <c r="E4371" s="441" t="s">
        <v>5556</v>
      </c>
      <c r="F4371" s="442" t="s">
        <v>5557</v>
      </c>
      <c r="G4371" s="371" t="s">
        <v>1579</v>
      </c>
      <c r="H4371" s="374" t="s">
        <v>5462</v>
      </c>
      <c r="I4371" s="470">
        <v>43</v>
      </c>
      <c r="J4371" s="495">
        <v>1.61</v>
      </c>
      <c r="K4371" s="495">
        <v>1.61</v>
      </c>
      <c r="L4371" s="495">
        <f t="shared" ref="L4371:L4434" si="47">J4371-K4371</f>
        <v>0</v>
      </c>
      <c r="M4371" s="337"/>
    </row>
    <row r="4372" spans="1:13" s="71" customFormat="1" ht="26.4" customHeight="1">
      <c r="A4372" s="282">
        <v>130</v>
      </c>
      <c r="B4372" s="534"/>
      <c r="C4372" s="441" t="s">
        <v>5265</v>
      </c>
      <c r="D4372" s="449" t="s">
        <v>5558</v>
      </c>
      <c r="E4372" s="260" t="s">
        <v>5559</v>
      </c>
      <c r="F4372" s="442" t="s">
        <v>5560</v>
      </c>
      <c r="G4372" s="371" t="s">
        <v>1579</v>
      </c>
      <c r="H4372" s="374" t="s">
        <v>5462</v>
      </c>
      <c r="I4372" s="470">
        <v>86</v>
      </c>
      <c r="J4372" s="495">
        <v>4.03</v>
      </c>
      <c r="K4372" s="495">
        <v>2.78</v>
      </c>
      <c r="L4372" s="495">
        <f t="shared" si="47"/>
        <v>1.2500000000000004</v>
      </c>
      <c r="M4372" s="337"/>
    </row>
    <row r="4373" spans="1:13" s="71" customFormat="1" ht="26.4" customHeight="1">
      <c r="A4373" s="282">
        <v>131</v>
      </c>
      <c r="B4373" s="534"/>
      <c r="C4373" s="441" t="s">
        <v>5265</v>
      </c>
      <c r="D4373" s="441" t="s">
        <v>5555</v>
      </c>
      <c r="E4373" s="441" t="s">
        <v>5561</v>
      </c>
      <c r="F4373" s="442" t="s">
        <v>5562</v>
      </c>
      <c r="G4373" s="371" t="s">
        <v>1530</v>
      </c>
      <c r="H4373" s="374" t="s">
        <v>5462</v>
      </c>
      <c r="I4373" s="470">
        <v>75</v>
      </c>
      <c r="J4373" s="495">
        <v>4.6900000000000004</v>
      </c>
      <c r="K4373" s="495">
        <v>4.42</v>
      </c>
      <c r="L4373" s="495">
        <f t="shared" si="47"/>
        <v>0.27000000000000046</v>
      </c>
      <c r="M4373" s="337"/>
    </row>
    <row r="4374" spans="1:13" s="71" customFormat="1" ht="26.4" customHeight="1">
      <c r="A4374" s="282">
        <v>132</v>
      </c>
      <c r="B4374" s="534"/>
      <c r="C4374" s="441" t="s">
        <v>5265</v>
      </c>
      <c r="D4374" s="260" t="s">
        <v>5563</v>
      </c>
      <c r="E4374" s="441" t="s">
        <v>5564</v>
      </c>
      <c r="F4374" s="442" t="s">
        <v>5565</v>
      </c>
      <c r="G4374" s="371" t="s">
        <v>1530</v>
      </c>
      <c r="H4374" s="374" t="s">
        <v>5462</v>
      </c>
      <c r="I4374" s="470">
        <v>782</v>
      </c>
      <c r="J4374" s="495">
        <v>14.97</v>
      </c>
      <c r="K4374" s="495">
        <v>11.03</v>
      </c>
      <c r="L4374" s="495">
        <f t="shared" si="47"/>
        <v>3.9400000000000013</v>
      </c>
      <c r="M4374" s="337"/>
    </row>
    <row r="4375" spans="1:13" s="71" customFormat="1" ht="26.4" customHeight="1">
      <c r="A4375" s="282">
        <v>133</v>
      </c>
      <c r="B4375" s="534"/>
      <c r="C4375" s="441" t="s">
        <v>5265</v>
      </c>
      <c r="D4375" s="441" t="s">
        <v>5566</v>
      </c>
      <c r="E4375" s="441" t="s">
        <v>5567</v>
      </c>
      <c r="F4375" s="442" t="s">
        <v>5568</v>
      </c>
      <c r="G4375" s="371" t="s">
        <v>1544</v>
      </c>
      <c r="H4375" s="374" t="s">
        <v>5462</v>
      </c>
      <c r="I4375" s="470">
        <v>190</v>
      </c>
      <c r="J4375" s="495">
        <v>8.7899999999999991</v>
      </c>
      <c r="K4375" s="495">
        <v>6.92</v>
      </c>
      <c r="L4375" s="495">
        <f t="shared" si="47"/>
        <v>1.8699999999999992</v>
      </c>
      <c r="M4375" s="337"/>
    </row>
    <row r="4376" spans="1:13" s="71" customFormat="1" ht="26.4" customHeight="1">
      <c r="A4376" s="282">
        <v>134</v>
      </c>
      <c r="B4376" s="534"/>
      <c r="C4376" s="441" t="s">
        <v>5265</v>
      </c>
      <c r="D4376" s="441" t="s">
        <v>5569</v>
      </c>
      <c r="E4376" s="260" t="s">
        <v>5570</v>
      </c>
      <c r="F4376" s="442" t="s">
        <v>5571</v>
      </c>
      <c r="G4376" s="371" t="s">
        <v>1559</v>
      </c>
      <c r="H4376" s="374" t="s">
        <v>3243</v>
      </c>
      <c r="I4376" s="470" t="s">
        <v>3243</v>
      </c>
      <c r="J4376" s="495">
        <v>19.87</v>
      </c>
      <c r="K4376" s="495">
        <v>10.65</v>
      </c>
      <c r="L4376" s="495">
        <f t="shared" si="47"/>
        <v>9.2200000000000006</v>
      </c>
      <c r="M4376" s="337"/>
    </row>
    <row r="4377" spans="1:13" s="71" customFormat="1" ht="26.4" customHeight="1">
      <c r="A4377" s="282">
        <v>135</v>
      </c>
      <c r="B4377" s="534"/>
      <c r="C4377" s="441" t="s">
        <v>5265</v>
      </c>
      <c r="D4377" s="441" t="s">
        <v>5572</v>
      </c>
      <c r="E4377" s="441" t="s">
        <v>5573</v>
      </c>
      <c r="F4377" s="442" t="s">
        <v>5574</v>
      </c>
      <c r="G4377" s="371" t="s">
        <v>1561</v>
      </c>
      <c r="H4377" s="374" t="s">
        <v>3243</v>
      </c>
      <c r="I4377" s="470" t="s">
        <v>3243</v>
      </c>
      <c r="J4377" s="495">
        <v>86.27</v>
      </c>
      <c r="K4377" s="495">
        <v>82.2</v>
      </c>
      <c r="L4377" s="495">
        <f t="shared" si="47"/>
        <v>4.0699999999999932</v>
      </c>
      <c r="M4377" s="337"/>
    </row>
    <row r="4378" spans="1:13" s="71" customFormat="1" ht="26.4" customHeight="1">
      <c r="A4378" s="282">
        <v>136</v>
      </c>
      <c r="B4378" s="534"/>
      <c r="C4378" s="441" t="s">
        <v>5265</v>
      </c>
      <c r="D4378" s="441" t="s">
        <v>5572</v>
      </c>
      <c r="E4378" s="441" t="s">
        <v>13290</v>
      </c>
      <c r="F4378" s="442" t="s">
        <v>5575</v>
      </c>
      <c r="G4378" s="371" t="s">
        <v>1561</v>
      </c>
      <c r="H4378" s="374" t="s">
        <v>3243</v>
      </c>
      <c r="I4378" s="470" t="s">
        <v>3243</v>
      </c>
      <c r="J4378" s="495">
        <v>7.83</v>
      </c>
      <c r="K4378" s="495">
        <v>7.56</v>
      </c>
      <c r="L4378" s="495">
        <f t="shared" si="47"/>
        <v>0.27000000000000046</v>
      </c>
      <c r="M4378" s="337"/>
    </row>
    <row r="4379" spans="1:13" s="71" customFormat="1" ht="26.4" customHeight="1">
      <c r="A4379" s="282">
        <v>137</v>
      </c>
      <c r="B4379" s="534"/>
      <c r="C4379" s="441" t="s">
        <v>5265</v>
      </c>
      <c r="D4379" s="441" t="s">
        <v>5576</v>
      </c>
      <c r="E4379" s="441" t="s">
        <v>5577</v>
      </c>
      <c r="F4379" s="442" t="s">
        <v>5578</v>
      </c>
      <c r="G4379" s="371" t="s">
        <v>1561</v>
      </c>
      <c r="H4379" s="374" t="s">
        <v>3243</v>
      </c>
      <c r="I4379" s="470" t="s">
        <v>3243</v>
      </c>
      <c r="J4379" s="495">
        <v>66.38</v>
      </c>
      <c r="K4379" s="495">
        <v>45.23</v>
      </c>
      <c r="L4379" s="495">
        <f t="shared" si="47"/>
        <v>21.15</v>
      </c>
      <c r="M4379" s="337"/>
    </row>
    <row r="4380" spans="1:13" s="71" customFormat="1" ht="26.4" customHeight="1">
      <c r="A4380" s="282">
        <v>138</v>
      </c>
      <c r="B4380" s="534"/>
      <c r="C4380" s="441" t="s">
        <v>5265</v>
      </c>
      <c r="D4380" s="441" t="s">
        <v>5579</v>
      </c>
      <c r="E4380" s="441" t="s">
        <v>5580</v>
      </c>
      <c r="F4380" s="442" t="s">
        <v>5581</v>
      </c>
      <c r="G4380" s="371" t="s">
        <v>1561</v>
      </c>
      <c r="H4380" s="374" t="s">
        <v>3243</v>
      </c>
      <c r="I4380" s="470" t="s">
        <v>3243</v>
      </c>
      <c r="J4380" s="495">
        <v>10.31</v>
      </c>
      <c r="K4380" s="495">
        <v>9.1</v>
      </c>
      <c r="L4380" s="495">
        <f t="shared" si="47"/>
        <v>1.2100000000000009</v>
      </c>
      <c r="M4380" s="337"/>
    </row>
    <row r="4381" spans="1:13" s="71" customFormat="1" ht="26.4" customHeight="1">
      <c r="A4381" s="282">
        <v>139</v>
      </c>
      <c r="B4381" s="534"/>
      <c r="C4381" s="441" t="s">
        <v>5265</v>
      </c>
      <c r="D4381" s="441" t="s">
        <v>5552</v>
      </c>
      <c r="E4381" s="441" t="s">
        <v>5582</v>
      </c>
      <c r="F4381" s="442" t="s">
        <v>5583</v>
      </c>
      <c r="G4381" s="371" t="s">
        <v>1561</v>
      </c>
      <c r="H4381" s="374" t="s">
        <v>3243</v>
      </c>
      <c r="I4381" s="470" t="s">
        <v>3243</v>
      </c>
      <c r="J4381" s="495">
        <v>5.72</v>
      </c>
      <c r="K4381" s="495">
        <v>5.45</v>
      </c>
      <c r="L4381" s="495">
        <f t="shared" si="47"/>
        <v>0.26999999999999957</v>
      </c>
      <c r="M4381" s="337"/>
    </row>
    <row r="4382" spans="1:13" s="71" customFormat="1" ht="39.6">
      <c r="A4382" s="282">
        <v>140</v>
      </c>
      <c r="B4382" s="534"/>
      <c r="C4382" s="441" t="s">
        <v>5265</v>
      </c>
      <c r="D4382" s="441" t="s">
        <v>5584</v>
      </c>
      <c r="E4382" s="441" t="s">
        <v>5585</v>
      </c>
      <c r="F4382" s="442" t="s">
        <v>5586</v>
      </c>
      <c r="G4382" s="371" t="s">
        <v>1561</v>
      </c>
      <c r="H4382" s="374" t="s">
        <v>3243</v>
      </c>
      <c r="I4382" s="470" t="s">
        <v>3243</v>
      </c>
      <c r="J4382" s="495">
        <v>11.63</v>
      </c>
      <c r="K4382" s="495">
        <v>11.36</v>
      </c>
      <c r="L4382" s="495">
        <f t="shared" si="47"/>
        <v>0.27000000000000135</v>
      </c>
      <c r="M4382" s="337"/>
    </row>
    <row r="4383" spans="1:13" s="71" customFormat="1" ht="26.4" customHeight="1">
      <c r="A4383" s="282">
        <v>141</v>
      </c>
      <c r="B4383" s="534"/>
      <c r="C4383" s="441" t="s">
        <v>5265</v>
      </c>
      <c r="D4383" s="260" t="s">
        <v>5587</v>
      </c>
      <c r="E4383" s="441" t="s">
        <v>5588</v>
      </c>
      <c r="F4383" s="442" t="s">
        <v>5589</v>
      </c>
      <c r="G4383" s="371" t="s">
        <v>1561</v>
      </c>
      <c r="H4383" s="374" t="s">
        <v>3243</v>
      </c>
      <c r="I4383" s="470" t="s">
        <v>3243</v>
      </c>
      <c r="J4383" s="495">
        <v>51.26</v>
      </c>
      <c r="K4383" s="495">
        <v>48.97</v>
      </c>
      <c r="L4383" s="495">
        <f t="shared" si="47"/>
        <v>2.2899999999999991</v>
      </c>
      <c r="M4383" s="337"/>
    </row>
    <row r="4384" spans="1:13" s="71" customFormat="1" ht="26.4" customHeight="1">
      <c r="A4384" s="282">
        <v>142</v>
      </c>
      <c r="B4384" s="534"/>
      <c r="C4384" s="441" t="s">
        <v>5265</v>
      </c>
      <c r="D4384" s="441" t="s">
        <v>5590</v>
      </c>
      <c r="E4384" s="441" t="s">
        <v>5591</v>
      </c>
      <c r="F4384" s="442" t="s">
        <v>5592</v>
      </c>
      <c r="G4384" s="371" t="s">
        <v>1561</v>
      </c>
      <c r="H4384" s="374" t="s">
        <v>3243</v>
      </c>
      <c r="I4384" s="470" t="s">
        <v>3243</v>
      </c>
      <c r="J4384" s="495">
        <v>18.03</v>
      </c>
      <c r="K4384" s="495">
        <v>17.760000000000002</v>
      </c>
      <c r="L4384" s="495">
        <f t="shared" si="47"/>
        <v>0.26999999999999957</v>
      </c>
      <c r="M4384" s="337"/>
    </row>
    <row r="4385" spans="1:13" s="71" customFormat="1" ht="26.4" customHeight="1">
      <c r="A4385" s="282">
        <v>143</v>
      </c>
      <c r="B4385" s="534"/>
      <c r="C4385" s="441" t="s">
        <v>5265</v>
      </c>
      <c r="D4385" s="441" t="s">
        <v>5593</v>
      </c>
      <c r="E4385" s="441" t="s">
        <v>5594</v>
      </c>
      <c r="F4385" s="442" t="s">
        <v>5595</v>
      </c>
      <c r="G4385" s="371" t="s">
        <v>1561</v>
      </c>
      <c r="H4385" s="374" t="s">
        <v>3243</v>
      </c>
      <c r="I4385" s="470" t="s">
        <v>3243</v>
      </c>
      <c r="J4385" s="495">
        <v>6140.01</v>
      </c>
      <c r="K4385" s="495">
        <v>1407.78</v>
      </c>
      <c r="L4385" s="495">
        <f t="shared" si="47"/>
        <v>4732.2300000000005</v>
      </c>
      <c r="M4385" s="337"/>
    </row>
    <row r="4386" spans="1:13" s="71" customFormat="1" ht="26.4" customHeight="1">
      <c r="A4386" s="282">
        <v>144</v>
      </c>
      <c r="B4386" s="534"/>
      <c r="C4386" s="441" t="s">
        <v>5265</v>
      </c>
      <c r="D4386" s="441" t="s">
        <v>5593</v>
      </c>
      <c r="E4386" s="441" t="s">
        <v>5596</v>
      </c>
      <c r="F4386" s="442" t="s">
        <v>5597</v>
      </c>
      <c r="G4386" s="371" t="s">
        <v>1561</v>
      </c>
      <c r="H4386" s="374" t="s">
        <v>3243</v>
      </c>
      <c r="I4386" s="470" t="s">
        <v>3243</v>
      </c>
      <c r="J4386" s="495">
        <v>33.72</v>
      </c>
      <c r="K4386" s="495">
        <v>32.22</v>
      </c>
      <c r="L4386" s="495">
        <f t="shared" si="47"/>
        <v>1.5</v>
      </c>
      <c r="M4386" s="337"/>
    </row>
    <row r="4387" spans="1:13" s="71" customFormat="1" ht="26.4" customHeight="1">
      <c r="A4387" s="282">
        <v>145</v>
      </c>
      <c r="B4387" s="534"/>
      <c r="C4387" s="441" t="s">
        <v>5265</v>
      </c>
      <c r="D4387" s="441" t="s">
        <v>5593</v>
      </c>
      <c r="E4387" s="441" t="s">
        <v>5598</v>
      </c>
      <c r="F4387" s="442" t="s">
        <v>5599</v>
      </c>
      <c r="G4387" s="371" t="s">
        <v>1561</v>
      </c>
      <c r="H4387" s="374" t="s">
        <v>3243</v>
      </c>
      <c r="I4387" s="470" t="s">
        <v>3243</v>
      </c>
      <c r="J4387" s="495">
        <v>147.47999999999999</v>
      </c>
      <c r="K4387" s="495">
        <v>70.92</v>
      </c>
      <c r="L4387" s="495">
        <f t="shared" si="47"/>
        <v>76.559999999999988</v>
      </c>
      <c r="M4387" s="337"/>
    </row>
    <row r="4388" spans="1:13" s="71" customFormat="1" ht="26.4" customHeight="1">
      <c r="A4388" s="282">
        <v>146</v>
      </c>
      <c r="B4388" s="534"/>
      <c r="C4388" s="441" t="s">
        <v>5265</v>
      </c>
      <c r="D4388" s="260" t="s">
        <v>5600</v>
      </c>
      <c r="E4388" s="260" t="s">
        <v>5601</v>
      </c>
      <c r="F4388" s="442" t="s">
        <v>5602</v>
      </c>
      <c r="G4388" s="371" t="s">
        <v>1578</v>
      </c>
      <c r="H4388" s="374" t="s">
        <v>5462</v>
      </c>
      <c r="I4388" s="470">
        <v>780</v>
      </c>
      <c r="J4388" s="495">
        <v>11.54</v>
      </c>
      <c r="K4388" s="495">
        <v>11.27</v>
      </c>
      <c r="L4388" s="495">
        <f t="shared" si="47"/>
        <v>0.26999999999999957</v>
      </c>
      <c r="M4388" s="337"/>
    </row>
    <row r="4389" spans="1:13" s="71" customFormat="1" ht="39.6">
      <c r="A4389" s="282">
        <v>147</v>
      </c>
      <c r="B4389" s="534"/>
      <c r="C4389" s="441" t="s">
        <v>5265</v>
      </c>
      <c r="D4389" s="441" t="s">
        <v>5603</v>
      </c>
      <c r="E4389" s="441" t="s">
        <v>12863</v>
      </c>
      <c r="F4389" s="442" t="s">
        <v>5604</v>
      </c>
      <c r="G4389" s="371" t="s">
        <v>1546</v>
      </c>
      <c r="H4389" s="374" t="s">
        <v>5462</v>
      </c>
      <c r="I4389" s="470">
        <v>130</v>
      </c>
      <c r="J4389" s="495">
        <v>17.57</v>
      </c>
      <c r="K4389" s="495">
        <v>16.53</v>
      </c>
      <c r="L4389" s="495">
        <f t="shared" si="47"/>
        <v>1.0399999999999991</v>
      </c>
      <c r="M4389" s="337"/>
    </row>
    <row r="4390" spans="1:13" s="71" customFormat="1" ht="26.4" customHeight="1">
      <c r="A4390" s="282">
        <v>148</v>
      </c>
      <c r="B4390" s="534"/>
      <c r="C4390" s="441" t="s">
        <v>5265</v>
      </c>
      <c r="D4390" s="441" t="s">
        <v>5590</v>
      </c>
      <c r="E4390" s="441" t="s">
        <v>5605</v>
      </c>
      <c r="F4390" s="442" t="s">
        <v>5606</v>
      </c>
      <c r="G4390" s="371" t="s">
        <v>1579</v>
      </c>
      <c r="H4390" s="374" t="s">
        <v>5462</v>
      </c>
      <c r="I4390" s="470">
        <v>845</v>
      </c>
      <c r="J4390" s="495">
        <v>2.31</v>
      </c>
      <c r="K4390" s="495">
        <v>2.04</v>
      </c>
      <c r="L4390" s="495">
        <f t="shared" si="47"/>
        <v>0.27</v>
      </c>
      <c r="M4390" s="337"/>
    </row>
    <row r="4391" spans="1:13" s="71" customFormat="1" ht="26.4" customHeight="1">
      <c r="A4391" s="282">
        <v>149</v>
      </c>
      <c r="B4391" s="534"/>
      <c r="C4391" s="441" t="s">
        <v>5265</v>
      </c>
      <c r="D4391" s="441" t="s">
        <v>5607</v>
      </c>
      <c r="E4391" s="441" t="s">
        <v>5608</v>
      </c>
      <c r="F4391" s="442" t="s">
        <v>5609</v>
      </c>
      <c r="G4391" s="371" t="s">
        <v>1579</v>
      </c>
      <c r="H4391" s="374" t="s">
        <v>5462</v>
      </c>
      <c r="I4391" s="470">
        <v>250</v>
      </c>
      <c r="J4391" s="495">
        <v>6.05</v>
      </c>
      <c r="K4391" s="495">
        <v>4.4400000000000004</v>
      </c>
      <c r="L4391" s="495">
        <f t="shared" si="47"/>
        <v>1.6099999999999994</v>
      </c>
      <c r="M4391" s="337"/>
    </row>
    <row r="4392" spans="1:13" s="71" customFormat="1" ht="26.4" customHeight="1">
      <c r="A4392" s="282">
        <v>150</v>
      </c>
      <c r="B4392" s="534"/>
      <c r="C4392" s="441" t="s">
        <v>5265</v>
      </c>
      <c r="D4392" s="441" t="s">
        <v>5610</v>
      </c>
      <c r="E4392" s="441" t="s">
        <v>5611</v>
      </c>
      <c r="F4392" s="442" t="s">
        <v>5612</v>
      </c>
      <c r="G4392" s="371" t="s">
        <v>1579</v>
      </c>
      <c r="H4392" s="374" t="s">
        <v>5462</v>
      </c>
      <c r="I4392" s="470">
        <v>85</v>
      </c>
      <c r="J4392" s="495">
        <v>7.25</v>
      </c>
      <c r="K4392" s="495">
        <v>4.24</v>
      </c>
      <c r="L4392" s="495">
        <f t="shared" si="47"/>
        <v>3.01</v>
      </c>
      <c r="M4392" s="337"/>
    </row>
    <row r="4393" spans="1:13" s="71" customFormat="1" ht="26.4" customHeight="1">
      <c r="A4393" s="282">
        <v>151</v>
      </c>
      <c r="B4393" s="534"/>
      <c r="C4393" s="441" t="s">
        <v>5265</v>
      </c>
      <c r="D4393" s="441" t="s">
        <v>5610</v>
      </c>
      <c r="E4393" s="441" t="s">
        <v>5613</v>
      </c>
      <c r="F4393" s="442" t="s">
        <v>5614</v>
      </c>
      <c r="G4393" s="371" t="s">
        <v>1579</v>
      </c>
      <c r="H4393" s="374" t="s">
        <v>5462</v>
      </c>
      <c r="I4393" s="470">
        <v>363</v>
      </c>
      <c r="J4393" s="495">
        <v>2.12</v>
      </c>
      <c r="K4393" s="495">
        <v>1.85</v>
      </c>
      <c r="L4393" s="495">
        <f t="shared" si="47"/>
        <v>0.27</v>
      </c>
      <c r="M4393" s="337"/>
    </row>
    <row r="4394" spans="1:13" s="71" customFormat="1" ht="26.4" customHeight="1">
      <c r="A4394" s="282">
        <v>152</v>
      </c>
      <c r="B4394" s="534"/>
      <c r="C4394" s="441" t="s">
        <v>5265</v>
      </c>
      <c r="D4394" s="441" t="s">
        <v>5610</v>
      </c>
      <c r="E4394" s="441" t="s">
        <v>5615</v>
      </c>
      <c r="F4394" s="442" t="s">
        <v>5616</v>
      </c>
      <c r="G4394" s="371" t="s">
        <v>1566</v>
      </c>
      <c r="H4394" s="374" t="s">
        <v>3243</v>
      </c>
      <c r="I4394" s="470" t="s">
        <v>3243</v>
      </c>
      <c r="J4394" s="495">
        <v>11.89</v>
      </c>
      <c r="K4394" s="495">
        <v>10.15</v>
      </c>
      <c r="L4394" s="495">
        <f t="shared" si="47"/>
        <v>1.7400000000000002</v>
      </c>
      <c r="M4394" s="337"/>
    </row>
    <row r="4395" spans="1:13" s="71" customFormat="1" ht="26.4" customHeight="1">
      <c r="A4395" s="282">
        <v>153</v>
      </c>
      <c r="B4395" s="534"/>
      <c r="C4395" s="441" t="s">
        <v>5265</v>
      </c>
      <c r="D4395" s="441" t="s">
        <v>5610</v>
      </c>
      <c r="E4395" s="441" t="s">
        <v>5617</v>
      </c>
      <c r="F4395" s="442" t="s">
        <v>5618</v>
      </c>
      <c r="G4395" s="371" t="s">
        <v>1549</v>
      </c>
      <c r="H4395" s="374" t="s">
        <v>5462</v>
      </c>
      <c r="I4395" s="470">
        <v>280</v>
      </c>
      <c r="J4395" s="495">
        <v>2.21</v>
      </c>
      <c r="K4395" s="495">
        <v>1.94</v>
      </c>
      <c r="L4395" s="495">
        <f t="shared" si="47"/>
        <v>0.27</v>
      </c>
      <c r="M4395" s="337"/>
    </row>
    <row r="4396" spans="1:13" s="71" customFormat="1" ht="26.4" customHeight="1">
      <c r="A4396" s="282">
        <v>154</v>
      </c>
      <c r="B4396" s="534"/>
      <c r="C4396" s="441" t="s">
        <v>5265</v>
      </c>
      <c r="D4396" s="441" t="s">
        <v>5619</v>
      </c>
      <c r="E4396" s="441" t="s">
        <v>5620</v>
      </c>
      <c r="F4396" s="442" t="s">
        <v>5621</v>
      </c>
      <c r="G4396" s="371" t="s">
        <v>1579</v>
      </c>
      <c r="H4396" s="374" t="s">
        <v>5462</v>
      </c>
      <c r="I4396" s="470">
        <v>61</v>
      </c>
      <c r="J4396" s="495">
        <v>2.83</v>
      </c>
      <c r="K4396" s="495">
        <v>2.56</v>
      </c>
      <c r="L4396" s="495">
        <f t="shared" si="47"/>
        <v>0.27</v>
      </c>
      <c r="M4396" s="337"/>
    </row>
    <row r="4397" spans="1:13" s="71" customFormat="1" ht="26.4" customHeight="1">
      <c r="A4397" s="282">
        <v>155</v>
      </c>
      <c r="B4397" s="534"/>
      <c r="C4397" s="441" t="s">
        <v>5265</v>
      </c>
      <c r="D4397" s="441" t="s">
        <v>5619</v>
      </c>
      <c r="E4397" s="441" t="s">
        <v>5620</v>
      </c>
      <c r="F4397" s="442" t="s">
        <v>5622</v>
      </c>
      <c r="G4397" s="371" t="s">
        <v>1579</v>
      </c>
      <c r="H4397" s="374" t="s">
        <v>5462</v>
      </c>
      <c r="I4397" s="470">
        <v>60</v>
      </c>
      <c r="J4397" s="495">
        <v>2.54</v>
      </c>
      <c r="K4397" s="495">
        <v>2.27</v>
      </c>
      <c r="L4397" s="495">
        <f t="shared" si="47"/>
        <v>0.27</v>
      </c>
      <c r="M4397" s="337"/>
    </row>
    <row r="4398" spans="1:13" s="71" customFormat="1" ht="26.4" customHeight="1">
      <c r="A4398" s="282">
        <v>156</v>
      </c>
      <c r="B4398" s="534"/>
      <c r="C4398" s="441" t="s">
        <v>5265</v>
      </c>
      <c r="D4398" s="441" t="s">
        <v>5623</v>
      </c>
      <c r="E4398" s="441" t="s">
        <v>5624</v>
      </c>
      <c r="F4398" s="442" t="s">
        <v>5625</v>
      </c>
      <c r="G4398" s="371" t="s">
        <v>1579</v>
      </c>
      <c r="H4398" s="374" t="s">
        <v>5462</v>
      </c>
      <c r="I4398" s="470">
        <v>265</v>
      </c>
      <c r="J4398" s="495">
        <v>6.57</v>
      </c>
      <c r="K4398" s="495">
        <v>4.96</v>
      </c>
      <c r="L4398" s="495">
        <f t="shared" si="47"/>
        <v>1.6100000000000003</v>
      </c>
      <c r="M4398" s="337"/>
    </row>
    <row r="4399" spans="1:13" s="71" customFormat="1" ht="26.4" customHeight="1">
      <c r="A4399" s="282">
        <v>157</v>
      </c>
      <c r="B4399" s="534"/>
      <c r="C4399" s="441" t="s">
        <v>5265</v>
      </c>
      <c r="D4399" s="441" t="s">
        <v>5552</v>
      </c>
      <c r="E4399" s="441" t="s">
        <v>5626</v>
      </c>
      <c r="F4399" s="442" t="s">
        <v>5627</v>
      </c>
      <c r="G4399" s="371" t="s">
        <v>1550</v>
      </c>
      <c r="H4399" s="374" t="s">
        <v>5462</v>
      </c>
      <c r="I4399" s="470">
        <v>1506</v>
      </c>
      <c r="J4399" s="495">
        <v>84.01</v>
      </c>
      <c r="K4399" s="495">
        <v>34.590000000000003</v>
      </c>
      <c r="L4399" s="495">
        <f t="shared" si="47"/>
        <v>49.42</v>
      </c>
      <c r="M4399" s="337"/>
    </row>
    <row r="4400" spans="1:13" s="71" customFormat="1" ht="26.4" customHeight="1">
      <c r="A4400" s="282">
        <v>158</v>
      </c>
      <c r="B4400" s="534"/>
      <c r="C4400" s="441" t="s">
        <v>5265</v>
      </c>
      <c r="D4400" s="441" t="s">
        <v>5628</v>
      </c>
      <c r="E4400" s="441" t="s">
        <v>5629</v>
      </c>
      <c r="F4400" s="442" t="s">
        <v>5630</v>
      </c>
      <c r="G4400" s="371" t="s">
        <v>1552</v>
      </c>
      <c r="H4400" s="374" t="s">
        <v>3243</v>
      </c>
      <c r="I4400" s="470" t="s">
        <v>3243</v>
      </c>
      <c r="J4400" s="495">
        <v>89.34</v>
      </c>
      <c r="K4400" s="495">
        <v>71.709999999999994</v>
      </c>
      <c r="L4400" s="495">
        <f t="shared" si="47"/>
        <v>17.63000000000001</v>
      </c>
      <c r="M4400" s="337"/>
    </row>
    <row r="4401" spans="1:13" s="71" customFormat="1" ht="26.4" customHeight="1">
      <c r="A4401" s="282">
        <v>159</v>
      </c>
      <c r="B4401" s="534"/>
      <c r="C4401" s="441" t="s">
        <v>5265</v>
      </c>
      <c r="D4401" s="441" t="s">
        <v>5628</v>
      </c>
      <c r="E4401" s="441" t="s">
        <v>5631</v>
      </c>
      <c r="F4401" s="442" t="s">
        <v>5632</v>
      </c>
      <c r="G4401" s="371" t="s">
        <v>1528</v>
      </c>
      <c r="H4401" s="374" t="s">
        <v>5462</v>
      </c>
      <c r="I4401" s="470">
        <v>150</v>
      </c>
      <c r="J4401" s="495">
        <v>3.2</v>
      </c>
      <c r="K4401" s="495">
        <v>2.93</v>
      </c>
      <c r="L4401" s="495">
        <f t="shared" si="47"/>
        <v>0.27</v>
      </c>
      <c r="M4401" s="337"/>
    </row>
    <row r="4402" spans="1:13" s="71" customFormat="1" ht="26.4" customHeight="1">
      <c r="A4402" s="282">
        <v>160</v>
      </c>
      <c r="B4402" s="534"/>
      <c r="C4402" s="441" t="s">
        <v>5265</v>
      </c>
      <c r="D4402" s="441" t="s">
        <v>5628</v>
      </c>
      <c r="E4402" s="441" t="s">
        <v>5633</v>
      </c>
      <c r="F4402" s="442" t="s">
        <v>5634</v>
      </c>
      <c r="G4402" s="371" t="s">
        <v>1528</v>
      </c>
      <c r="H4402" s="374" t="s">
        <v>5462</v>
      </c>
      <c r="I4402" s="470">
        <v>70</v>
      </c>
      <c r="J4402" s="495">
        <v>1.81</v>
      </c>
      <c r="K4402" s="495">
        <v>1.54</v>
      </c>
      <c r="L4402" s="495">
        <f t="shared" si="47"/>
        <v>0.27</v>
      </c>
      <c r="M4402" s="337"/>
    </row>
    <row r="4403" spans="1:13" s="71" customFormat="1" ht="26.4" customHeight="1">
      <c r="A4403" s="282">
        <v>161</v>
      </c>
      <c r="B4403" s="534"/>
      <c r="C4403" s="441" t="s">
        <v>5265</v>
      </c>
      <c r="D4403" s="441" t="s">
        <v>5635</v>
      </c>
      <c r="E4403" s="441" t="s">
        <v>5636</v>
      </c>
      <c r="F4403" s="442" t="s">
        <v>5637</v>
      </c>
      <c r="G4403" s="371" t="s">
        <v>1528</v>
      </c>
      <c r="H4403" s="374" t="s">
        <v>5462</v>
      </c>
      <c r="I4403" s="470">
        <v>190</v>
      </c>
      <c r="J4403" s="495">
        <v>3.18</v>
      </c>
      <c r="K4403" s="495">
        <v>2.91</v>
      </c>
      <c r="L4403" s="495">
        <f t="shared" si="47"/>
        <v>0.27</v>
      </c>
      <c r="M4403" s="337"/>
    </row>
    <row r="4404" spans="1:13" s="71" customFormat="1" ht="26.4" customHeight="1">
      <c r="A4404" s="282">
        <v>162</v>
      </c>
      <c r="B4404" s="534"/>
      <c r="C4404" s="441" t="s">
        <v>5265</v>
      </c>
      <c r="D4404" s="441" t="s">
        <v>5638</v>
      </c>
      <c r="E4404" s="441" t="s">
        <v>5639</v>
      </c>
      <c r="F4404" s="442" t="s">
        <v>5640</v>
      </c>
      <c r="G4404" s="371" t="s">
        <v>1528</v>
      </c>
      <c r="H4404" s="374" t="s">
        <v>5462</v>
      </c>
      <c r="I4404" s="470">
        <v>201</v>
      </c>
      <c r="J4404" s="495">
        <v>3.35</v>
      </c>
      <c r="K4404" s="495">
        <v>3.08</v>
      </c>
      <c r="L4404" s="495">
        <f t="shared" si="47"/>
        <v>0.27</v>
      </c>
      <c r="M4404" s="337"/>
    </row>
    <row r="4405" spans="1:13" s="71" customFormat="1" ht="26.4" customHeight="1">
      <c r="A4405" s="282">
        <v>163</v>
      </c>
      <c r="B4405" s="534"/>
      <c r="C4405" s="441" t="s">
        <v>5265</v>
      </c>
      <c r="D4405" s="441" t="s">
        <v>5641</v>
      </c>
      <c r="E4405" s="441" t="s">
        <v>12715</v>
      </c>
      <c r="F4405" s="442" t="s">
        <v>5642</v>
      </c>
      <c r="G4405" s="371" t="s">
        <v>1529</v>
      </c>
      <c r="H4405" s="374" t="s">
        <v>5462</v>
      </c>
      <c r="I4405" s="470">
        <v>124</v>
      </c>
      <c r="J4405" s="495">
        <v>2.75</v>
      </c>
      <c r="K4405" s="495">
        <v>2.71</v>
      </c>
      <c r="L4405" s="495">
        <f t="shared" si="47"/>
        <v>4.0000000000000036E-2</v>
      </c>
      <c r="M4405" s="337"/>
    </row>
    <row r="4406" spans="1:13" s="71" customFormat="1" ht="26.4" customHeight="1">
      <c r="A4406" s="282">
        <v>164</v>
      </c>
      <c r="B4406" s="534"/>
      <c r="C4406" s="441" t="s">
        <v>5265</v>
      </c>
      <c r="D4406" s="441" t="s">
        <v>5643</v>
      </c>
      <c r="E4406" s="441" t="s">
        <v>13291</v>
      </c>
      <c r="F4406" s="442" t="s">
        <v>5644</v>
      </c>
      <c r="G4406" s="371" t="s">
        <v>1139</v>
      </c>
      <c r="H4406" s="374" t="s">
        <v>5462</v>
      </c>
      <c r="I4406" s="470">
        <v>113</v>
      </c>
      <c r="J4406" s="495">
        <v>6.96</v>
      </c>
      <c r="K4406" s="495">
        <v>6.03</v>
      </c>
      <c r="L4406" s="495">
        <f t="shared" si="47"/>
        <v>0.92999999999999972</v>
      </c>
      <c r="M4406" s="337"/>
    </row>
    <row r="4407" spans="1:13" s="71" customFormat="1" ht="26.4" customHeight="1">
      <c r="A4407" s="282">
        <v>165</v>
      </c>
      <c r="B4407" s="534"/>
      <c r="C4407" s="441" t="s">
        <v>5265</v>
      </c>
      <c r="D4407" s="441" t="s">
        <v>5645</v>
      </c>
      <c r="E4407" s="441" t="s">
        <v>5646</v>
      </c>
      <c r="F4407" s="442" t="s">
        <v>5647</v>
      </c>
      <c r="G4407" s="371" t="s">
        <v>1557</v>
      </c>
      <c r="H4407" s="374" t="s">
        <v>5462</v>
      </c>
      <c r="I4407" s="470">
        <v>70</v>
      </c>
      <c r="J4407" s="495">
        <v>2.78</v>
      </c>
      <c r="K4407" s="495">
        <v>2.5099999999999998</v>
      </c>
      <c r="L4407" s="495">
        <f t="shared" si="47"/>
        <v>0.27</v>
      </c>
      <c r="M4407" s="337"/>
    </row>
    <row r="4408" spans="1:13" s="71" customFormat="1" ht="26.4" customHeight="1">
      <c r="A4408" s="282">
        <v>166</v>
      </c>
      <c r="B4408" s="534"/>
      <c r="C4408" s="441" t="s">
        <v>5265</v>
      </c>
      <c r="D4408" s="441" t="s">
        <v>5648</v>
      </c>
      <c r="E4408" s="441" t="s">
        <v>12716</v>
      </c>
      <c r="F4408" s="442" t="s">
        <v>5649</v>
      </c>
      <c r="G4408" s="371" t="s">
        <v>1139</v>
      </c>
      <c r="H4408" s="374" t="s">
        <v>3243</v>
      </c>
      <c r="I4408" s="470" t="s">
        <v>3243</v>
      </c>
      <c r="J4408" s="495">
        <v>2.2200000000000002</v>
      </c>
      <c r="K4408" s="495">
        <v>1.95</v>
      </c>
      <c r="L4408" s="495">
        <f t="shared" si="47"/>
        <v>0.27000000000000024</v>
      </c>
      <c r="M4408" s="337"/>
    </row>
    <row r="4409" spans="1:13" s="71" customFormat="1" ht="26.4" customHeight="1">
      <c r="A4409" s="282">
        <v>167</v>
      </c>
      <c r="B4409" s="534"/>
      <c r="C4409" s="441" t="s">
        <v>5265</v>
      </c>
      <c r="D4409" s="441" t="s">
        <v>5650</v>
      </c>
      <c r="E4409" s="441" t="s">
        <v>12717</v>
      </c>
      <c r="F4409" s="442" t="s">
        <v>5651</v>
      </c>
      <c r="G4409" s="371" t="s">
        <v>1139</v>
      </c>
      <c r="H4409" s="374" t="s">
        <v>5462</v>
      </c>
      <c r="I4409" s="470">
        <v>16</v>
      </c>
      <c r="J4409" s="495">
        <v>2.33</v>
      </c>
      <c r="K4409" s="495">
        <v>2.06</v>
      </c>
      <c r="L4409" s="495">
        <f t="shared" si="47"/>
        <v>0.27</v>
      </c>
      <c r="M4409" s="337"/>
    </row>
    <row r="4410" spans="1:13" s="71" customFormat="1" ht="26.4" customHeight="1">
      <c r="A4410" s="282">
        <v>168</v>
      </c>
      <c r="B4410" s="534"/>
      <c r="C4410" s="441" t="s">
        <v>5265</v>
      </c>
      <c r="D4410" s="441" t="s">
        <v>5645</v>
      </c>
      <c r="E4410" s="441" t="s">
        <v>5652</v>
      </c>
      <c r="F4410" s="442" t="s">
        <v>5653</v>
      </c>
      <c r="G4410" s="371" t="s">
        <v>1139</v>
      </c>
      <c r="H4410" s="374" t="s">
        <v>5462</v>
      </c>
      <c r="I4410" s="470">
        <v>37.5</v>
      </c>
      <c r="J4410" s="495">
        <v>1.23</v>
      </c>
      <c r="K4410" s="495">
        <v>0.96</v>
      </c>
      <c r="L4410" s="495">
        <f t="shared" si="47"/>
        <v>0.27</v>
      </c>
      <c r="M4410" s="337"/>
    </row>
    <row r="4411" spans="1:13" s="71" customFormat="1" ht="26.4" customHeight="1">
      <c r="A4411" s="282">
        <v>169</v>
      </c>
      <c r="B4411" s="534"/>
      <c r="C4411" s="441" t="s">
        <v>5265</v>
      </c>
      <c r="D4411" s="441" t="s">
        <v>5654</v>
      </c>
      <c r="E4411" s="441" t="s">
        <v>12718</v>
      </c>
      <c r="F4411" s="442" t="s">
        <v>5655</v>
      </c>
      <c r="G4411" s="371" t="s">
        <v>1139</v>
      </c>
      <c r="H4411" s="374" t="s">
        <v>5462</v>
      </c>
      <c r="I4411" s="470">
        <v>103</v>
      </c>
      <c r="J4411" s="495">
        <v>3.99</v>
      </c>
      <c r="K4411" s="495">
        <v>2.76</v>
      </c>
      <c r="L4411" s="495">
        <f t="shared" si="47"/>
        <v>1.2300000000000004</v>
      </c>
      <c r="M4411" s="337"/>
    </row>
    <row r="4412" spans="1:13" s="71" customFormat="1" ht="26.4" customHeight="1">
      <c r="A4412" s="282">
        <v>170</v>
      </c>
      <c r="B4412" s="534"/>
      <c r="C4412" s="441" t="s">
        <v>5265</v>
      </c>
      <c r="D4412" s="441" t="s">
        <v>5628</v>
      </c>
      <c r="E4412" s="441" t="s">
        <v>5656</v>
      </c>
      <c r="F4412" s="442" t="s">
        <v>5657</v>
      </c>
      <c r="G4412" s="371" t="s">
        <v>1139</v>
      </c>
      <c r="H4412" s="374" t="s">
        <v>5462</v>
      </c>
      <c r="I4412" s="470">
        <v>60</v>
      </c>
      <c r="J4412" s="495">
        <v>7.12</v>
      </c>
      <c r="K4412" s="495">
        <v>4.93</v>
      </c>
      <c r="L4412" s="495">
        <f t="shared" si="47"/>
        <v>2.1900000000000004</v>
      </c>
      <c r="M4412" s="337"/>
    </row>
    <row r="4413" spans="1:13" s="71" customFormat="1" ht="26.4" customHeight="1">
      <c r="A4413" s="282">
        <v>171</v>
      </c>
      <c r="B4413" s="534"/>
      <c r="C4413" s="441" t="s">
        <v>5265</v>
      </c>
      <c r="D4413" s="441" t="s">
        <v>5658</v>
      </c>
      <c r="E4413" s="441" t="s">
        <v>12719</v>
      </c>
      <c r="F4413" s="442" t="s">
        <v>5659</v>
      </c>
      <c r="G4413" s="371" t="s">
        <v>1139</v>
      </c>
      <c r="H4413" s="374" t="s">
        <v>3243</v>
      </c>
      <c r="I4413" s="470" t="s">
        <v>3243</v>
      </c>
      <c r="J4413" s="495">
        <v>2.4</v>
      </c>
      <c r="K4413" s="495">
        <v>1.63</v>
      </c>
      <c r="L4413" s="495">
        <f t="shared" si="47"/>
        <v>0.77</v>
      </c>
      <c r="M4413" s="337"/>
    </row>
    <row r="4414" spans="1:13" s="71" customFormat="1" ht="26.4" customHeight="1">
      <c r="A4414" s="282">
        <v>172</v>
      </c>
      <c r="B4414" s="534"/>
      <c r="C4414" s="441" t="s">
        <v>5265</v>
      </c>
      <c r="D4414" s="441" t="s">
        <v>5650</v>
      </c>
      <c r="E4414" s="441" t="s">
        <v>12720</v>
      </c>
      <c r="F4414" s="442" t="s">
        <v>5660</v>
      </c>
      <c r="G4414" s="371" t="s">
        <v>1139</v>
      </c>
      <c r="H4414" s="374" t="s">
        <v>5462</v>
      </c>
      <c r="I4414" s="470">
        <v>39</v>
      </c>
      <c r="J4414" s="495">
        <v>2.82</v>
      </c>
      <c r="K4414" s="495">
        <v>1.91</v>
      </c>
      <c r="L4414" s="495">
        <f t="shared" si="47"/>
        <v>0.90999999999999992</v>
      </c>
      <c r="M4414" s="337"/>
    </row>
    <row r="4415" spans="1:13" s="71" customFormat="1" ht="26.4" customHeight="1">
      <c r="A4415" s="282">
        <v>173</v>
      </c>
      <c r="B4415" s="534"/>
      <c r="C4415" s="441" t="s">
        <v>5265</v>
      </c>
      <c r="D4415" s="441" t="s">
        <v>5635</v>
      </c>
      <c r="E4415" s="441" t="s">
        <v>5661</v>
      </c>
      <c r="F4415" s="442" t="s">
        <v>5662</v>
      </c>
      <c r="G4415" s="371" t="s">
        <v>1529</v>
      </c>
      <c r="H4415" s="374" t="s">
        <v>5462</v>
      </c>
      <c r="I4415" s="470">
        <v>101</v>
      </c>
      <c r="J4415" s="495">
        <v>11.17</v>
      </c>
      <c r="K4415" s="495">
        <v>6.94</v>
      </c>
      <c r="L4415" s="495">
        <f t="shared" si="47"/>
        <v>4.2299999999999995</v>
      </c>
      <c r="M4415" s="337"/>
    </row>
    <row r="4416" spans="1:13" s="71" customFormat="1" ht="26.4" customHeight="1">
      <c r="A4416" s="282">
        <v>174</v>
      </c>
      <c r="B4416" s="534"/>
      <c r="C4416" s="441" t="s">
        <v>5265</v>
      </c>
      <c r="D4416" s="441" t="s">
        <v>5648</v>
      </c>
      <c r="E4416" s="441" t="s">
        <v>5663</v>
      </c>
      <c r="F4416" s="442" t="s">
        <v>5664</v>
      </c>
      <c r="G4416" s="371" t="s">
        <v>1139</v>
      </c>
      <c r="H4416" s="374" t="s">
        <v>5462</v>
      </c>
      <c r="I4416" s="470">
        <v>327</v>
      </c>
      <c r="J4416" s="495">
        <v>6.34</v>
      </c>
      <c r="K4416" s="495">
        <v>4.3899999999999997</v>
      </c>
      <c r="L4416" s="495">
        <f t="shared" si="47"/>
        <v>1.9500000000000002</v>
      </c>
      <c r="M4416" s="337"/>
    </row>
    <row r="4417" spans="1:13" s="71" customFormat="1" ht="26.4" customHeight="1">
      <c r="A4417" s="282">
        <v>175</v>
      </c>
      <c r="B4417" s="534"/>
      <c r="C4417" s="441" t="s">
        <v>5265</v>
      </c>
      <c r="D4417" s="441" t="s">
        <v>5665</v>
      </c>
      <c r="E4417" s="441" t="s">
        <v>5666</v>
      </c>
      <c r="F4417" s="442" t="s">
        <v>5667</v>
      </c>
      <c r="G4417" s="371" t="s">
        <v>1139</v>
      </c>
      <c r="H4417" s="374" t="s">
        <v>5462</v>
      </c>
      <c r="I4417" s="470">
        <v>1208</v>
      </c>
      <c r="J4417" s="495">
        <v>41.49</v>
      </c>
      <c r="K4417" s="495">
        <v>28.1</v>
      </c>
      <c r="L4417" s="495">
        <f t="shared" si="47"/>
        <v>13.39</v>
      </c>
      <c r="M4417" s="337"/>
    </row>
    <row r="4418" spans="1:13" s="71" customFormat="1" ht="26.4" customHeight="1">
      <c r="A4418" s="282">
        <v>176</v>
      </c>
      <c r="B4418" s="534"/>
      <c r="C4418" s="441" t="s">
        <v>5265</v>
      </c>
      <c r="D4418" s="441" t="s">
        <v>5665</v>
      </c>
      <c r="E4418" s="441" t="s">
        <v>5668</v>
      </c>
      <c r="F4418" s="442" t="s">
        <v>5669</v>
      </c>
      <c r="G4418" s="371" t="s">
        <v>1534</v>
      </c>
      <c r="H4418" s="374" t="s">
        <v>5462</v>
      </c>
      <c r="I4418" s="470">
        <v>180</v>
      </c>
      <c r="J4418" s="495">
        <v>22.67</v>
      </c>
      <c r="K4418" s="495">
        <v>20.92</v>
      </c>
      <c r="L4418" s="495">
        <f t="shared" si="47"/>
        <v>1.75</v>
      </c>
      <c r="M4418" s="337"/>
    </row>
    <row r="4419" spans="1:13" s="71" customFormat="1" ht="26.4" customHeight="1">
      <c r="A4419" s="282">
        <v>177</v>
      </c>
      <c r="B4419" s="534"/>
      <c r="C4419" s="441" t="s">
        <v>5265</v>
      </c>
      <c r="D4419" s="260" t="s">
        <v>5670</v>
      </c>
      <c r="E4419" s="441" t="s">
        <v>5671</v>
      </c>
      <c r="F4419" s="442" t="s">
        <v>5672</v>
      </c>
      <c r="G4419" s="371" t="s">
        <v>1532</v>
      </c>
      <c r="H4419" s="374" t="s">
        <v>5462</v>
      </c>
      <c r="I4419" s="470">
        <v>156</v>
      </c>
      <c r="J4419" s="495">
        <v>45.05</v>
      </c>
      <c r="K4419" s="495">
        <v>43.72</v>
      </c>
      <c r="L4419" s="495">
        <f t="shared" si="47"/>
        <v>1.3299999999999983</v>
      </c>
      <c r="M4419" s="337"/>
    </row>
    <row r="4420" spans="1:13" s="71" customFormat="1" ht="26.4" customHeight="1">
      <c r="A4420" s="282">
        <v>178</v>
      </c>
      <c r="B4420" s="534"/>
      <c r="C4420" s="441" t="s">
        <v>5265</v>
      </c>
      <c r="D4420" s="441" t="s">
        <v>5673</v>
      </c>
      <c r="E4420" s="441" t="s">
        <v>5674</v>
      </c>
      <c r="F4420" s="442" t="s">
        <v>5675</v>
      </c>
      <c r="G4420" s="371" t="s">
        <v>1534</v>
      </c>
      <c r="H4420" s="374" t="s">
        <v>5462</v>
      </c>
      <c r="I4420" s="470">
        <v>101</v>
      </c>
      <c r="J4420" s="495">
        <v>2.69</v>
      </c>
      <c r="K4420" s="495">
        <v>1.84</v>
      </c>
      <c r="L4420" s="495">
        <f t="shared" si="47"/>
        <v>0.84999999999999987</v>
      </c>
      <c r="M4420" s="337"/>
    </row>
    <row r="4421" spans="1:13" s="71" customFormat="1" ht="26.4" customHeight="1">
      <c r="A4421" s="282">
        <v>179</v>
      </c>
      <c r="B4421" s="534"/>
      <c r="C4421" s="441" t="s">
        <v>5265</v>
      </c>
      <c r="D4421" s="441" t="s">
        <v>5676</v>
      </c>
      <c r="E4421" s="441" t="s">
        <v>5677</v>
      </c>
      <c r="F4421" s="442" t="s">
        <v>5678</v>
      </c>
      <c r="G4421" s="371" t="s">
        <v>1534</v>
      </c>
      <c r="H4421" s="374" t="s">
        <v>5462</v>
      </c>
      <c r="I4421" s="470">
        <v>101</v>
      </c>
      <c r="J4421" s="495">
        <v>2.67</v>
      </c>
      <c r="K4421" s="495">
        <v>1.83</v>
      </c>
      <c r="L4421" s="495">
        <f t="shared" si="47"/>
        <v>0.83999999999999986</v>
      </c>
      <c r="M4421" s="337"/>
    </row>
    <row r="4422" spans="1:13" s="71" customFormat="1" ht="26.4" customHeight="1">
      <c r="A4422" s="282">
        <v>180</v>
      </c>
      <c r="B4422" s="534"/>
      <c r="C4422" s="441" t="s">
        <v>5265</v>
      </c>
      <c r="D4422" s="441" t="s">
        <v>5579</v>
      </c>
      <c r="E4422" s="441" t="s">
        <v>13292</v>
      </c>
      <c r="F4422" s="442" t="s">
        <v>5679</v>
      </c>
      <c r="G4422" s="371" t="s">
        <v>1534</v>
      </c>
      <c r="H4422" s="374" t="s">
        <v>5462</v>
      </c>
      <c r="I4422" s="470">
        <v>83</v>
      </c>
      <c r="J4422" s="495">
        <v>2.85</v>
      </c>
      <c r="K4422" s="495">
        <v>2.58</v>
      </c>
      <c r="L4422" s="495">
        <f t="shared" si="47"/>
        <v>0.27</v>
      </c>
      <c r="M4422" s="337"/>
    </row>
    <row r="4423" spans="1:13" s="71" customFormat="1" ht="26.4" customHeight="1">
      <c r="A4423" s="282">
        <v>181</v>
      </c>
      <c r="B4423" s="534"/>
      <c r="C4423" s="441" t="s">
        <v>5265</v>
      </c>
      <c r="D4423" s="441" t="s">
        <v>5680</v>
      </c>
      <c r="E4423" s="441" t="s">
        <v>5681</v>
      </c>
      <c r="F4423" s="442" t="s">
        <v>5682</v>
      </c>
      <c r="G4423" s="371" t="s">
        <v>1534</v>
      </c>
      <c r="H4423" s="374" t="s">
        <v>5462</v>
      </c>
      <c r="I4423" s="470">
        <v>413</v>
      </c>
      <c r="J4423" s="495">
        <v>11.13</v>
      </c>
      <c r="K4423" s="495">
        <v>7.62</v>
      </c>
      <c r="L4423" s="495">
        <f t="shared" si="47"/>
        <v>3.5100000000000007</v>
      </c>
      <c r="M4423" s="337"/>
    </row>
    <row r="4424" spans="1:13" s="71" customFormat="1" ht="26.4" customHeight="1">
      <c r="A4424" s="282">
        <v>182</v>
      </c>
      <c r="B4424" s="534"/>
      <c r="C4424" s="441" t="s">
        <v>5265</v>
      </c>
      <c r="D4424" s="441" t="s">
        <v>5683</v>
      </c>
      <c r="E4424" s="441" t="s">
        <v>5684</v>
      </c>
      <c r="F4424" s="442" t="s">
        <v>5685</v>
      </c>
      <c r="G4424" s="371" t="s">
        <v>1560</v>
      </c>
      <c r="H4424" s="374" t="s">
        <v>5462</v>
      </c>
      <c r="I4424" s="470">
        <v>200</v>
      </c>
      <c r="J4424" s="495">
        <v>3.47</v>
      </c>
      <c r="K4424" s="495">
        <v>2.34</v>
      </c>
      <c r="L4424" s="495">
        <f t="shared" si="47"/>
        <v>1.1300000000000003</v>
      </c>
      <c r="M4424" s="337"/>
    </row>
    <row r="4425" spans="1:13" s="71" customFormat="1" ht="26.4" customHeight="1">
      <c r="A4425" s="282">
        <v>183</v>
      </c>
      <c r="B4425" s="534"/>
      <c r="C4425" s="441" t="s">
        <v>5265</v>
      </c>
      <c r="D4425" s="441" t="s">
        <v>5686</v>
      </c>
      <c r="E4425" s="441" t="s">
        <v>5687</v>
      </c>
      <c r="F4425" s="442" t="s">
        <v>5688</v>
      </c>
      <c r="G4425" s="371" t="s">
        <v>1560</v>
      </c>
      <c r="H4425" s="374" t="s">
        <v>5462</v>
      </c>
      <c r="I4425" s="470">
        <v>102</v>
      </c>
      <c r="J4425" s="495">
        <v>3.46</v>
      </c>
      <c r="K4425" s="495">
        <v>2.33</v>
      </c>
      <c r="L4425" s="495">
        <f t="shared" si="47"/>
        <v>1.1299999999999999</v>
      </c>
      <c r="M4425" s="337"/>
    </row>
    <row r="4426" spans="1:13" s="71" customFormat="1" ht="26.4" customHeight="1">
      <c r="A4426" s="282">
        <v>184</v>
      </c>
      <c r="B4426" s="534"/>
      <c r="C4426" s="441" t="s">
        <v>5265</v>
      </c>
      <c r="D4426" s="441" t="s">
        <v>5689</v>
      </c>
      <c r="E4426" s="441" t="s">
        <v>5690</v>
      </c>
      <c r="F4426" s="442" t="s">
        <v>5691</v>
      </c>
      <c r="G4426" s="371" t="s">
        <v>1560</v>
      </c>
      <c r="H4426" s="374" t="s">
        <v>5462</v>
      </c>
      <c r="I4426" s="470">
        <v>156</v>
      </c>
      <c r="J4426" s="495">
        <v>5.0199999999999996</v>
      </c>
      <c r="K4426" s="495">
        <v>3.38</v>
      </c>
      <c r="L4426" s="495">
        <f t="shared" si="47"/>
        <v>1.6399999999999997</v>
      </c>
      <c r="M4426" s="337"/>
    </row>
    <row r="4427" spans="1:13" s="71" customFormat="1" ht="26.4" customHeight="1">
      <c r="A4427" s="282">
        <v>185</v>
      </c>
      <c r="B4427" s="534"/>
      <c r="C4427" s="441" t="s">
        <v>5265</v>
      </c>
      <c r="D4427" s="441" t="s">
        <v>5692</v>
      </c>
      <c r="E4427" s="441" t="s">
        <v>5693</v>
      </c>
      <c r="F4427" s="442" t="s">
        <v>5694</v>
      </c>
      <c r="G4427" s="371" t="s">
        <v>1560</v>
      </c>
      <c r="H4427" s="374" t="s">
        <v>5462</v>
      </c>
      <c r="I4427" s="470">
        <v>86</v>
      </c>
      <c r="J4427" s="495">
        <v>3.27</v>
      </c>
      <c r="K4427" s="495">
        <v>2.2000000000000002</v>
      </c>
      <c r="L4427" s="495">
        <f t="shared" si="47"/>
        <v>1.0699999999999998</v>
      </c>
      <c r="M4427" s="337"/>
    </row>
    <row r="4428" spans="1:13" s="71" customFormat="1" ht="26.4" customHeight="1">
      <c r="A4428" s="282">
        <v>186</v>
      </c>
      <c r="B4428" s="534"/>
      <c r="C4428" s="441" t="s">
        <v>5265</v>
      </c>
      <c r="D4428" s="441" t="s">
        <v>5692</v>
      </c>
      <c r="E4428" s="441" t="s">
        <v>5695</v>
      </c>
      <c r="F4428" s="442" t="s">
        <v>5696</v>
      </c>
      <c r="G4428" s="371" t="s">
        <v>1581</v>
      </c>
      <c r="H4428" s="374" t="s">
        <v>5462</v>
      </c>
      <c r="I4428" s="470">
        <v>200</v>
      </c>
      <c r="J4428" s="495">
        <v>9.9700000000000006</v>
      </c>
      <c r="K4428" s="495">
        <v>9.6999999999999993</v>
      </c>
      <c r="L4428" s="495">
        <f t="shared" si="47"/>
        <v>0.27000000000000135</v>
      </c>
      <c r="M4428" s="337"/>
    </row>
    <row r="4429" spans="1:13" s="71" customFormat="1" ht="26.4" customHeight="1">
      <c r="A4429" s="282">
        <v>187</v>
      </c>
      <c r="B4429" s="534"/>
      <c r="C4429" s="441" t="s">
        <v>5265</v>
      </c>
      <c r="D4429" s="441" t="s">
        <v>5697</v>
      </c>
      <c r="E4429" s="441" t="s">
        <v>5698</v>
      </c>
      <c r="F4429" s="442" t="s">
        <v>5699</v>
      </c>
      <c r="G4429" s="371" t="s">
        <v>5700</v>
      </c>
      <c r="H4429" s="374" t="s">
        <v>5462</v>
      </c>
      <c r="I4429" s="470">
        <v>420</v>
      </c>
      <c r="J4429" s="495">
        <v>30.6</v>
      </c>
      <c r="K4429" s="495">
        <v>17.16</v>
      </c>
      <c r="L4429" s="495">
        <f t="shared" si="47"/>
        <v>13.440000000000001</v>
      </c>
      <c r="M4429" s="337"/>
    </row>
    <row r="4430" spans="1:13" s="71" customFormat="1" ht="26.4" customHeight="1">
      <c r="A4430" s="282">
        <v>188</v>
      </c>
      <c r="B4430" s="534"/>
      <c r="C4430" s="441" t="s">
        <v>5265</v>
      </c>
      <c r="D4430" s="441" t="s">
        <v>5701</v>
      </c>
      <c r="E4430" s="441" t="s">
        <v>5702</v>
      </c>
      <c r="F4430" s="442" t="s">
        <v>5703</v>
      </c>
      <c r="G4430" s="371" t="s">
        <v>1572</v>
      </c>
      <c r="H4430" s="374" t="s">
        <v>5462</v>
      </c>
      <c r="I4430" s="470">
        <v>231</v>
      </c>
      <c r="J4430" s="495">
        <v>4.78</v>
      </c>
      <c r="K4430" s="495">
        <v>3.8</v>
      </c>
      <c r="L4430" s="495">
        <f t="shared" si="47"/>
        <v>0.98000000000000043</v>
      </c>
      <c r="M4430" s="337"/>
    </row>
    <row r="4431" spans="1:13" s="71" customFormat="1" ht="26.4" customHeight="1">
      <c r="A4431" s="282">
        <v>189</v>
      </c>
      <c r="B4431" s="534"/>
      <c r="C4431" s="441" t="s">
        <v>5265</v>
      </c>
      <c r="D4431" s="441" t="s">
        <v>5704</v>
      </c>
      <c r="E4431" s="441" t="s">
        <v>5705</v>
      </c>
      <c r="F4431" s="442" t="s">
        <v>5706</v>
      </c>
      <c r="G4431" s="371" t="s">
        <v>1559</v>
      </c>
      <c r="H4431" s="374" t="s">
        <v>5462</v>
      </c>
      <c r="I4431" s="470">
        <v>300</v>
      </c>
      <c r="J4431" s="495">
        <v>1.02</v>
      </c>
      <c r="K4431" s="495">
        <v>0.75</v>
      </c>
      <c r="L4431" s="495">
        <f t="shared" si="47"/>
        <v>0.27</v>
      </c>
      <c r="M4431" s="337"/>
    </row>
    <row r="4432" spans="1:13" s="71" customFormat="1" ht="26.4" customHeight="1">
      <c r="A4432" s="282">
        <v>190</v>
      </c>
      <c r="B4432" s="534"/>
      <c r="C4432" s="441" t="s">
        <v>5265</v>
      </c>
      <c r="D4432" s="441" t="s">
        <v>5707</v>
      </c>
      <c r="E4432" s="441" t="s">
        <v>5708</v>
      </c>
      <c r="F4432" s="442" t="s">
        <v>5709</v>
      </c>
      <c r="G4432" s="371" t="s">
        <v>1559</v>
      </c>
      <c r="H4432" s="374" t="s">
        <v>5462</v>
      </c>
      <c r="I4432" s="470">
        <v>250</v>
      </c>
      <c r="J4432" s="495">
        <v>1.01</v>
      </c>
      <c r="K4432" s="495">
        <v>0.8</v>
      </c>
      <c r="L4432" s="495">
        <f t="shared" si="47"/>
        <v>0.20999999999999996</v>
      </c>
      <c r="M4432" s="337"/>
    </row>
    <row r="4433" spans="1:13" s="71" customFormat="1" ht="26.4" customHeight="1">
      <c r="A4433" s="282">
        <v>191</v>
      </c>
      <c r="B4433" s="534"/>
      <c r="C4433" s="441" t="s">
        <v>5265</v>
      </c>
      <c r="D4433" s="260" t="s">
        <v>5710</v>
      </c>
      <c r="E4433" s="441" t="s">
        <v>5711</v>
      </c>
      <c r="F4433" s="442">
        <v>1743</v>
      </c>
      <c r="G4433" s="371" t="s">
        <v>1559</v>
      </c>
      <c r="H4433" s="374" t="s">
        <v>5462</v>
      </c>
      <c r="I4433" s="470">
        <v>49</v>
      </c>
      <c r="J4433" s="495">
        <v>21.31</v>
      </c>
      <c r="K4433" s="495">
        <v>6.7</v>
      </c>
      <c r="L4433" s="495">
        <f t="shared" si="47"/>
        <v>14.61</v>
      </c>
      <c r="M4433" s="337"/>
    </row>
    <row r="4434" spans="1:13" s="71" customFormat="1" ht="26.4" customHeight="1">
      <c r="A4434" s="282">
        <v>192</v>
      </c>
      <c r="B4434" s="534"/>
      <c r="C4434" s="441" t="s">
        <v>5265</v>
      </c>
      <c r="D4434" s="260" t="s">
        <v>5710</v>
      </c>
      <c r="E4434" s="441" t="s">
        <v>5712</v>
      </c>
      <c r="F4434" s="442" t="s">
        <v>5713</v>
      </c>
      <c r="G4434" s="371" t="s">
        <v>1564</v>
      </c>
      <c r="H4434" s="374" t="s">
        <v>5462</v>
      </c>
      <c r="I4434" s="470">
        <v>200</v>
      </c>
      <c r="J4434" s="495">
        <v>1.1399999999999999</v>
      </c>
      <c r="K4434" s="495">
        <v>0.87</v>
      </c>
      <c r="L4434" s="495">
        <f t="shared" si="47"/>
        <v>0.26999999999999991</v>
      </c>
      <c r="M4434" s="337"/>
    </row>
    <row r="4435" spans="1:13" s="71" customFormat="1" ht="26.4" customHeight="1">
      <c r="A4435" s="282">
        <v>193</v>
      </c>
      <c r="B4435" s="534"/>
      <c r="C4435" s="441" t="s">
        <v>5265</v>
      </c>
      <c r="D4435" s="441" t="s">
        <v>5714</v>
      </c>
      <c r="E4435" s="260" t="s">
        <v>5715</v>
      </c>
      <c r="F4435" s="442" t="s">
        <v>5716</v>
      </c>
      <c r="G4435" s="371" t="s">
        <v>1530</v>
      </c>
      <c r="H4435" s="374" t="s">
        <v>5462</v>
      </c>
      <c r="I4435" s="470">
        <v>1557.9</v>
      </c>
      <c r="J4435" s="495">
        <v>28.91</v>
      </c>
      <c r="K4435" s="495">
        <v>24.21</v>
      </c>
      <c r="L4435" s="495">
        <f t="shared" ref="L4435:L4498" si="48">J4435-K4435</f>
        <v>4.6999999999999993</v>
      </c>
      <c r="M4435" s="337"/>
    </row>
    <row r="4436" spans="1:13" s="71" customFormat="1" ht="26.4" customHeight="1">
      <c r="A4436" s="282">
        <v>194</v>
      </c>
      <c r="B4436" s="534"/>
      <c r="C4436" s="441" t="s">
        <v>5265</v>
      </c>
      <c r="D4436" s="441" t="s">
        <v>5628</v>
      </c>
      <c r="E4436" s="441" t="s">
        <v>5717</v>
      </c>
      <c r="F4436" s="442" t="s">
        <v>5718</v>
      </c>
      <c r="G4436" s="371" t="s">
        <v>1579</v>
      </c>
      <c r="H4436" s="374" t="s">
        <v>5462</v>
      </c>
      <c r="I4436" s="470">
        <v>155</v>
      </c>
      <c r="J4436" s="495">
        <v>2.27</v>
      </c>
      <c r="K4436" s="495">
        <v>1.51</v>
      </c>
      <c r="L4436" s="495">
        <f t="shared" si="48"/>
        <v>0.76</v>
      </c>
      <c r="M4436" s="337"/>
    </row>
    <row r="4437" spans="1:13" s="71" customFormat="1" ht="26.4" customHeight="1">
      <c r="A4437" s="282">
        <v>195</v>
      </c>
      <c r="B4437" s="534"/>
      <c r="C4437" s="441" t="s">
        <v>5265</v>
      </c>
      <c r="D4437" s="441" t="s">
        <v>5701</v>
      </c>
      <c r="E4437" s="441" t="s">
        <v>5719</v>
      </c>
      <c r="F4437" s="442" t="s">
        <v>5720</v>
      </c>
      <c r="G4437" s="371" t="s">
        <v>1569</v>
      </c>
      <c r="H4437" s="374" t="s">
        <v>5462</v>
      </c>
      <c r="I4437" s="470">
        <v>2250.4</v>
      </c>
      <c r="J4437" s="495">
        <v>50.12</v>
      </c>
      <c r="K4437" s="495">
        <v>38.22</v>
      </c>
      <c r="L4437" s="495">
        <f t="shared" si="48"/>
        <v>11.899999999999999</v>
      </c>
      <c r="M4437" s="337"/>
    </row>
    <row r="4438" spans="1:13" s="71" customFormat="1" ht="26.4" customHeight="1">
      <c r="A4438" s="282">
        <v>196</v>
      </c>
      <c r="B4438" s="534"/>
      <c r="C4438" s="441" t="s">
        <v>5265</v>
      </c>
      <c r="D4438" s="441" t="s">
        <v>5721</v>
      </c>
      <c r="E4438" s="441" t="s">
        <v>5722</v>
      </c>
      <c r="F4438" s="442" t="s">
        <v>5723</v>
      </c>
      <c r="G4438" s="371" t="s">
        <v>1543</v>
      </c>
      <c r="H4438" s="374" t="s">
        <v>5462</v>
      </c>
      <c r="I4438" s="470">
        <v>225</v>
      </c>
      <c r="J4438" s="495">
        <v>3.84</v>
      </c>
      <c r="K4438" s="495">
        <v>2.63</v>
      </c>
      <c r="L4438" s="495">
        <f t="shared" si="48"/>
        <v>1.21</v>
      </c>
      <c r="M4438" s="337"/>
    </row>
    <row r="4439" spans="1:13" s="71" customFormat="1" ht="26.4" customHeight="1">
      <c r="A4439" s="282">
        <v>197</v>
      </c>
      <c r="B4439" s="534"/>
      <c r="C4439" s="441" t="s">
        <v>5265</v>
      </c>
      <c r="D4439" s="260" t="s">
        <v>5552</v>
      </c>
      <c r="E4439" s="441" t="s">
        <v>5724</v>
      </c>
      <c r="F4439" s="442">
        <v>2072</v>
      </c>
      <c r="G4439" s="371" t="s">
        <v>1560</v>
      </c>
      <c r="H4439" s="374" t="s">
        <v>5462</v>
      </c>
      <c r="I4439" s="470">
        <v>600</v>
      </c>
      <c r="J4439" s="495">
        <v>2.3199999999999998</v>
      </c>
      <c r="K4439" s="495">
        <v>1.54</v>
      </c>
      <c r="L4439" s="495">
        <f t="shared" si="48"/>
        <v>0.7799999999999998</v>
      </c>
      <c r="M4439" s="337"/>
    </row>
    <row r="4440" spans="1:13" s="71" customFormat="1" ht="26.4" customHeight="1">
      <c r="A4440" s="282">
        <v>198</v>
      </c>
      <c r="B4440" s="534"/>
      <c r="C4440" s="441" t="s">
        <v>5265</v>
      </c>
      <c r="D4440" s="260" t="s">
        <v>5725</v>
      </c>
      <c r="E4440" s="441" t="s">
        <v>5726</v>
      </c>
      <c r="F4440" s="442" t="s">
        <v>5727</v>
      </c>
      <c r="G4440" s="371" t="s">
        <v>1560</v>
      </c>
      <c r="H4440" s="374" t="s">
        <v>5462</v>
      </c>
      <c r="I4440" s="470">
        <v>380</v>
      </c>
      <c r="J4440" s="495">
        <v>6.7</v>
      </c>
      <c r="K4440" s="495">
        <v>4.45</v>
      </c>
      <c r="L4440" s="495">
        <f t="shared" si="48"/>
        <v>2.25</v>
      </c>
      <c r="M4440" s="337"/>
    </row>
    <row r="4441" spans="1:13" s="71" customFormat="1" ht="26.4" customHeight="1">
      <c r="A4441" s="282">
        <v>199</v>
      </c>
      <c r="B4441" s="534"/>
      <c r="C4441" s="441" t="s">
        <v>5265</v>
      </c>
      <c r="D4441" s="441" t="s">
        <v>5686</v>
      </c>
      <c r="E4441" s="441" t="s">
        <v>5728</v>
      </c>
      <c r="F4441" s="442" t="s">
        <v>5729</v>
      </c>
      <c r="G4441" s="371" t="s">
        <v>1554</v>
      </c>
      <c r="H4441" s="374" t="s">
        <v>5462</v>
      </c>
      <c r="I4441" s="470">
        <v>230</v>
      </c>
      <c r="J4441" s="495">
        <v>4.71</v>
      </c>
      <c r="K4441" s="495">
        <v>2.13</v>
      </c>
      <c r="L4441" s="495">
        <f t="shared" si="48"/>
        <v>2.58</v>
      </c>
      <c r="M4441" s="337"/>
    </row>
    <row r="4442" spans="1:13" s="71" customFormat="1" ht="26.4" customHeight="1">
      <c r="A4442" s="282">
        <v>200</v>
      </c>
      <c r="B4442" s="534"/>
      <c r="C4442" s="441" t="s">
        <v>5265</v>
      </c>
      <c r="D4442" s="441" t="s">
        <v>5676</v>
      </c>
      <c r="E4442" s="441" t="s">
        <v>5730</v>
      </c>
      <c r="F4442" s="442" t="s">
        <v>5731</v>
      </c>
      <c r="G4442" s="371" t="s">
        <v>1554</v>
      </c>
      <c r="H4442" s="374" t="s">
        <v>5462</v>
      </c>
      <c r="I4442" s="470">
        <v>130</v>
      </c>
      <c r="J4442" s="495">
        <v>6.04</v>
      </c>
      <c r="K4442" s="495">
        <v>3.46</v>
      </c>
      <c r="L4442" s="495">
        <f t="shared" si="48"/>
        <v>2.58</v>
      </c>
      <c r="M4442" s="337"/>
    </row>
    <row r="4443" spans="1:13" s="71" customFormat="1" ht="26.4" customHeight="1">
      <c r="A4443" s="282">
        <v>201</v>
      </c>
      <c r="B4443" s="534"/>
      <c r="C4443" s="441" t="s">
        <v>5265</v>
      </c>
      <c r="D4443" s="441" t="s">
        <v>5732</v>
      </c>
      <c r="E4443" s="441" t="s">
        <v>5733</v>
      </c>
      <c r="F4443" s="442" t="s">
        <v>5734</v>
      </c>
      <c r="G4443" s="371" t="s">
        <v>1542</v>
      </c>
      <c r="H4443" s="374" t="s">
        <v>5462</v>
      </c>
      <c r="I4443" s="470">
        <v>440</v>
      </c>
      <c r="J4443" s="495">
        <v>3.8</v>
      </c>
      <c r="K4443" s="495">
        <v>1.22</v>
      </c>
      <c r="L4443" s="495">
        <f t="shared" si="48"/>
        <v>2.58</v>
      </c>
      <c r="M4443" s="337"/>
    </row>
    <row r="4444" spans="1:13" s="71" customFormat="1" ht="26.4" customHeight="1">
      <c r="A4444" s="282">
        <v>202</v>
      </c>
      <c r="B4444" s="534"/>
      <c r="C4444" s="441" t="s">
        <v>5265</v>
      </c>
      <c r="D4444" s="441" t="s">
        <v>5735</v>
      </c>
      <c r="E4444" s="441" t="s">
        <v>5736</v>
      </c>
      <c r="F4444" s="442">
        <v>2078</v>
      </c>
      <c r="G4444" s="371" t="s">
        <v>1139</v>
      </c>
      <c r="H4444" s="374" t="s">
        <v>5462</v>
      </c>
      <c r="I4444" s="470">
        <v>302</v>
      </c>
      <c r="J4444" s="495">
        <v>28.53</v>
      </c>
      <c r="K4444" s="495">
        <v>15</v>
      </c>
      <c r="L4444" s="495">
        <f t="shared" si="48"/>
        <v>13.530000000000001</v>
      </c>
      <c r="M4444" s="337"/>
    </row>
    <row r="4445" spans="1:13" s="71" customFormat="1" ht="26.4" customHeight="1">
      <c r="A4445" s="282">
        <v>203</v>
      </c>
      <c r="B4445" s="534"/>
      <c r="C4445" s="441" t="s">
        <v>5265</v>
      </c>
      <c r="D4445" s="260" t="s">
        <v>5552</v>
      </c>
      <c r="E4445" s="260" t="s">
        <v>5737</v>
      </c>
      <c r="F4445" s="442" t="s">
        <v>5738</v>
      </c>
      <c r="G4445" s="371" t="s">
        <v>1555</v>
      </c>
      <c r="H4445" s="374" t="s">
        <v>5462</v>
      </c>
      <c r="I4445" s="470">
        <v>3500</v>
      </c>
      <c r="J4445" s="495">
        <v>779.01</v>
      </c>
      <c r="K4445" s="495">
        <v>475.15</v>
      </c>
      <c r="L4445" s="495">
        <f t="shared" si="48"/>
        <v>303.86</v>
      </c>
      <c r="M4445" s="337"/>
    </row>
    <row r="4446" spans="1:13" s="71" customFormat="1" ht="26.4" customHeight="1">
      <c r="A4446" s="282">
        <v>204</v>
      </c>
      <c r="B4446" s="534"/>
      <c r="C4446" s="441" t="s">
        <v>5265</v>
      </c>
      <c r="D4446" s="260" t="s">
        <v>5739</v>
      </c>
      <c r="E4446" s="260" t="s">
        <v>5740</v>
      </c>
      <c r="F4446" s="442" t="s">
        <v>5741</v>
      </c>
      <c r="G4446" s="371" t="s">
        <v>1555</v>
      </c>
      <c r="H4446" s="374" t="s">
        <v>5462</v>
      </c>
      <c r="I4446" s="470">
        <v>380</v>
      </c>
      <c r="J4446" s="495">
        <v>49.8</v>
      </c>
      <c r="K4446" s="495">
        <v>29.11</v>
      </c>
      <c r="L4446" s="495">
        <f t="shared" si="48"/>
        <v>20.689999999999998</v>
      </c>
      <c r="M4446" s="337"/>
    </row>
    <row r="4447" spans="1:13" s="71" customFormat="1" ht="26.4" customHeight="1">
      <c r="A4447" s="282">
        <v>205</v>
      </c>
      <c r="B4447" s="534"/>
      <c r="C4447" s="441" t="s">
        <v>5265</v>
      </c>
      <c r="D4447" s="441" t="s">
        <v>5742</v>
      </c>
      <c r="E4447" s="260" t="s">
        <v>5743</v>
      </c>
      <c r="F4447" s="442" t="s">
        <v>5744</v>
      </c>
      <c r="G4447" s="371" t="s">
        <v>1538</v>
      </c>
      <c r="H4447" s="374" t="s">
        <v>5462</v>
      </c>
      <c r="I4447" s="470">
        <v>255</v>
      </c>
      <c r="J4447" s="495">
        <v>30.23</v>
      </c>
      <c r="K4447" s="495">
        <v>17.760000000000002</v>
      </c>
      <c r="L4447" s="495">
        <f t="shared" si="48"/>
        <v>12.469999999999999</v>
      </c>
      <c r="M4447" s="337"/>
    </row>
    <row r="4448" spans="1:13" s="71" customFormat="1" ht="26.4" customHeight="1">
      <c r="A4448" s="282">
        <v>206</v>
      </c>
      <c r="B4448" s="534"/>
      <c r="C4448" s="441" t="s">
        <v>5265</v>
      </c>
      <c r="D4448" s="260" t="s">
        <v>5745</v>
      </c>
      <c r="E4448" s="441" t="s">
        <v>5746</v>
      </c>
      <c r="F4448" s="442">
        <v>3096</v>
      </c>
      <c r="G4448" s="371" t="s">
        <v>5747</v>
      </c>
      <c r="H4448" s="374" t="s">
        <v>5462</v>
      </c>
      <c r="I4448" s="470">
        <v>200</v>
      </c>
      <c r="J4448" s="495">
        <v>7.73</v>
      </c>
      <c r="K4448" s="495">
        <v>3.82</v>
      </c>
      <c r="L4448" s="495">
        <f t="shared" si="48"/>
        <v>3.9100000000000006</v>
      </c>
      <c r="M4448" s="337"/>
    </row>
    <row r="4449" spans="1:13" s="71" customFormat="1" ht="26.4" customHeight="1">
      <c r="A4449" s="282">
        <v>207</v>
      </c>
      <c r="B4449" s="534"/>
      <c r="C4449" s="441" t="s">
        <v>5265</v>
      </c>
      <c r="D4449" s="441" t="s">
        <v>5748</v>
      </c>
      <c r="E4449" s="441" t="s">
        <v>5749</v>
      </c>
      <c r="F4449" s="442" t="s">
        <v>5750</v>
      </c>
      <c r="G4449" s="371" t="s">
        <v>5747</v>
      </c>
      <c r="H4449" s="374" t="s">
        <v>5462</v>
      </c>
      <c r="I4449" s="470">
        <v>128</v>
      </c>
      <c r="J4449" s="495">
        <v>81.98</v>
      </c>
      <c r="K4449" s="495">
        <v>34.9</v>
      </c>
      <c r="L4449" s="495">
        <f t="shared" si="48"/>
        <v>47.080000000000005</v>
      </c>
      <c r="M4449" s="337"/>
    </row>
    <row r="4450" spans="1:13" s="71" customFormat="1" ht="26.4" customHeight="1">
      <c r="A4450" s="282">
        <v>208</v>
      </c>
      <c r="B4450" s="534"/>
      <c r="C4450" s="441" t="s">
        <v>5265</v>
      </c>
      <c r="D4450" s="441" t="s">
        <v>5751</v>
      </c>
      <c r="E4450" s="441" t="s">
        <v>5752</v>
      </c>
      <c r="F4450" s="442" t="s">
        <v>5753</v>
      </c>
      <c r="G4450" s="371" t="s">
        <v>1579</v>
      </c>
      <c r="H4450" s="374" t="s">
        <v>5462</v>
      </c>
      <c r="I4450" s="470">
        <v>80</v>
      </c>
      <c r="J4450" s="495">
        <v>3.16</v>
      </c>
      <c r="K4450" s="495">
        <v>2.88</v>
      </c>
      <c r="L4450" s="495">
        <f t="shared" si="48"/>
        <v>0.28000000000000025</v>
      </c>
      <c r="M4450" s="337"/>
    </row>
    <row r="4451" spans="1:13" s="71" customFormat="1" ht="26.4" customHeight="1">
      <c r="A4451" s="282">
        <v>209</v>
      </c>
      <c r="B4451" s="534"/>
      <c r="C4451" s="441" t="s">
        <v>5265</v>
      </c>
      <c r="D4451" s="441" t="s">
        <v>5628</v>
      </c>
      <c r="E4451" s="441" t="s">
        <v>5754</v>
      </c>
      <c r="F4451" s="442" t="s">
        <v>5755</v>
      </c>
      <c r="G4451" s="371" t="s">
        <v>5281</v>
      </c>
      <c r="H4451" s="374" t="s">
        <v>5462</v>
      </c>
      <c r="I4451" s="470">
        <v>70</v>
      </c>
      <c r="J4451" s="495">
        <v>0.64</v>
      </c>
      <c r="K4451" s="495">
        <v>0.64</v>
      </c>
      <c r="L4451" s="495">
        <f t="shared" si="48"/>
        <v>0</v>
      </c>
      <c r="M4451" s="337"/>
    </row>
    <row r="4452" spans="1:13" s="71" customFormat="1" ht="26.4" customHeight="1">
      <c r="A4452" s="282">
        <v>210</v>
      </c>
      <c r="B4452" s="534"/>
      <c r="C4452" s="441" t="s">
        <v>5265</v>
      </c>
      <c r="D4452" s="441" t="s">
        <v>5628</v>
      </c>
      <c r="E4452" s="441" t="s">
        <v>5756</v>
      </c>
      <c r="F4452" s="442" t="s">
        <v>5757</v>
      </c>
      <c r="G4452" s="371" t="s">
        <v>5291</v>
      </c>
      <c r="H4452" s="374" t="s">
        <v>5462</v>
      </c>
      <c r="I4452" s="470">
        <v>200</v>
      </c>
      <c r="J4452" s="495">
        <v>2.79</v>
      </c>
      <c r="K4452" s="495">
        <v>2.79</v>
      </c>
      <c r="L4452" s="495">
        <f t="shared" si="48"/>
        <v>0</v>
      </c>
      <c r="M4452" s="337"/>
    </row>
    <row r="4453" spans="1:13" s="71" customFormat="1" ht="26.4" customHeight="1">
      <c r="A4453" s="282">
        <v>211</v>
      </c>
      <c r="B4453" s="534"/>
      <c r="C4453" s="441" t="s">
        <v>5315</v>
      </c>
      <c r="D4453" s="441" t="s">
        <v>5758</v>
      </c>
      <c r="E4453" s="441" t="s">
        <v>5759</v>
      </c>
      <c r="F4453" s="442" t="s">
        <v>5760</v>
      </c>
      <c r="G4453" s="371" t="s">
        <v>5291</v>
      </c>
      <c r="H4453" s="374" t="s">
        <v>3243</v>
      </c>
      <c r="I4453" s="470" t="s">
        <v>3243</v>
      </c>
      <c r="J4453" s="495">
        <v>1.24</v>
      </c>
      <c r="K4453" s="495">
        <v>1.24</v>
      </c>
      <c r="L4453" s="495">
        <f t="shared" si="48"/>
        <v>0</v>
      </c>
      <c r="M4453" s="337"/>
    </row>
    <row r="4454" spans="1:13" s="71" customFormat="1" ht="26.4" customHeight="1">
      <c r="A4454" s="282">
        <v>212</v>
      </c>
      <c r="B4454" s="534"/>
      <c r="C4454" s="441" t="s">
        <v>5315</v>
      </c>
      <c r="D4454" s="441" t="s">
        <v>5758</v>
      </c>
      <c r="E4454" s="441" t="s">
        <v>5493</v>
      </c>
      <c r="F4454" s="442" t="s">
        <v>5761</v>
      </c>
      <c r="G4454" s="371" t="s">
        <v>5291</v>
      </c>
      <c r="H4454" s="374" t="s">
        <v>1136</v>
      </c>
      <c r="I4454" s="470">
        <v>96</v>
      </c>
      <c r="J4454" s="495">
        <v>13.34</v>
      </c>
      <c r="K4454" s="495">
        <v>13.34</v>
      </c>
      <c r="L4454" s="495">
        <f t="shared" si="48"/>
        <v>0</v>
      </c>
      <c r="M4454" s="337"/>
    </row>
    <row r="4455" spans="1:13" s="71" customFormat="1" ht="26.4" customHeight="1">
      <c r="A4455" s="282">
        <v>213</v>
      </c>
      <c r="B4455" s="534"/>
      <c r="C4455" s="441" t="s">
        <v>5315</v>
      </c>
      <c r="D4455" s="441" t="s">
        <v>5386</v>
      </c>
      <c r="E4455" s="441" t="s">
        <v>5756</v>
      </c>
      <c r="F4455" s="442" t="s">
        <v>5762</v>
      </c>
      <c r="G4455" s="371" t="s">
        <v>5299</v>
      </c>
      <c r="H4455" s="374" t="s">
        <v>5462</v>
      </c>
      <c r="I4455" s="470">
        <v>1200</v>
      </c>
      <c r="J4455" s="495">
        <v>35.31</v>
      </c>
      <c r="K4455" s="495">
        <v>35.31</v>
      </c>
      <c r="L4455" s="495">
        <f t="shared" si="48"/>
        <v>0</v>
      </c>
      <c r="M4455" s="337"/>
    </row>
    <row r="4456" spans="1:13" s="71" customFormat="1" ht="26.4" customHeight="1">
      <c r="A4456" s="282">
        <v>214</v>
      </c>
      <c r="B4456" s="534"/>
      <c r="C4456" s="441" t="s">
        <v>5315</v>
      </c>
      <c r="D4456" s="441" t="s">
        <v>5386</v>
      </c>
      <c r="E4456" s="441" t="s">
        <v>5763</v>
      </c>
      <c r="F4456" s="442" t="s">
        <v>5764</v>
      </c>
      <c r="G4456" s="371" t="s">
        <v>5299</v>
      </c>
      <c r="H4456" s="374" t="s">
        <v>1136</v>
      </c>
      <c r="I4456" s="470">
        <v>1200</v>
      </c>
      <c r="J4456" s="495">
        <v>205.14</v>
      </c>
      <c r="K4456" s="495">
        <v>205.14</v>
      </c>
      <c r="L4456" s="495">
        <f t="shared" si="48"/>
        <v>0</v>
      </c>
      <c r="M4456" s="337"/>
    </row>
    <row r="4457" spans="1:13" s="71" customFormat="1" ht="26.4" customHeight="1">
      <c r="A4457" s="282">
        <v>215</v>
      </c>
      <c r="B4457" s="534"/>
      <c r="C4457" s="441" t="s">
        <v>5315</v>
      </c>
      <c r="D4457" s="441" t="s">
        <v>5386</v>
      </c>
      <c r="E4457" s="441" t="s">
        <v>5493</v>
      </c>
      <c r="F4457" s="442" t="s">
        <v>5765</v>
      </c>
      <c r="G4457" s="371" t="s">
        <v>5299</v>
      </c>
      <c r="H4457" s="374" t="s">
        <v>3243</v>
      </c>
      <c r="I4457" s="470" t="s">
        <v>3243</v>
      </c>
      <c r="J4457" s="495">
        <v>67.14</v>
      </c>
      <c r="K4457" s="495">
        <v>67.14</v>
      </c>
      <c r="L4457" s="495">
        <f t="shared" si="48"/>
        <v>0</v>
      </c>
      <c r="M4457" s="337"/>
    </row>
    <row r="4458" spans="1:13" s="71" customFormat="1" ht="26.4" customHeight="1">
      <c r="A4458" s="282">
        <v>216</v>
      </c>
      <c r="B4458" s="534"/>
      <c r="C4458" s="441" t="s">
        <v>5315</v>
      </c>
      <c r="D4458" s="441" t="s">
        <v>5386</v>
      </c>
      <c r="E4458" s="441" t="s">
        <v>5489</v>
      </c>
      <c r="F4458" s="442" t="s">
        <v>5766</v>
      </c>
      <c r="G4458" s="371" t="s">
        <v>5299</v>
      </c>
      <c r="H4458" s="374" t="s">
        <v>3243</v>
      </c>
      <c r="I4458" s="470" t="s">
        <v>3243</v>
      </c>
      <c r="J4458" s="495">
        <v>22.12</v>
      </c>
      <c r="K4458" s="495">
        <v>22.12</v>
      </c>
      <c r="L4458" s="495">
        <f t="shared" si="48"/>
        <v>0</v>
      </c>
      <c r="M4458" s="337"/>
    </row>
    <row r="4459" spans="1:13" s="71" customFormat="1" ht="26.4" customHeight="1">
      <c r="A4459" s="282">
        <v>217</v>
      </c>
      <c r="B4459" s="534"/>
      <c r="C4459" s="441" t="s">
        <v>5315</v>
      </c>
      <c r="D4459" s="441" t="s">
        <v>5386</v>
      </c>
      <c r="E4459" s="441" t="s">
        <v>5767</v>
      </c>
      <c r="F4459" s="442" t="s">
        <v>5768</v>
      </c>
      <c r="G4459" s="371" t="s">
        <v>5299</v>
      </c>
      <c r="H4459" s="374" t="s">
        <v>3243</v>
      </c>
      <c r="I4459" s="470" t="s">
        <v>3243</v>
      </c>
      <c r="J4459" s="495">
        <v>38.33</v>
      </c>
      <c r="K4459" s="495">
        <v>38.33</v>
      </c>
      <c r="L4459" s="495">
        <f t="shared" si="48"/>
        <v>0</v>
      </c>
      <c r="M4459" s="337"/>
    </row>
    <row r="4460" spans="1:13" s="71" customFormat="1" ht="26.4" customHeight="1">
      <c r="A4460" s="282">
        <v>218</v>
      </c>
      <c r="B4460" s="534"/>
      <c r="C4460" s="441" t="s">
        <v>5315</v>
      </c>
      <c r="D4460" s="441" t="s">
        <v>5386</v>
      </c>
      <c r="E4460" s="441" t="s">
        <v>5769</v>
      </c>
      <c r="F4460" s="442" t="s">
        <v>5770</v>
      </c>
      <c r="G4460" s="371" t="s">
        <v>5299</v>
      </c>
      <c r="H4460" s="374" t="s">
        <v>5462</v>
      </c>
      <c r="I4460" s="470">
        <v>1180</v>
      </c>
      <c r="J4460" s="495">
        <v>6.81</v>
      </c>
      <c r="K4460" s="495">
        <v>6.81</v>
      </c>
      <c r="L4460" s="495">
        <f t="shared" si="48"/>
        <v>0</v>
      </c>
      <c r="M4460" s="337"/>
    </row>
    <row r="4461" spans="1:13" s="71" customFormat="1" ht="26.4" customHeight="1">
      <c r="A4461" s="282">
        <v>219</v>
      </c>
      <c r="B4461" s="534"/>
      <c r="C4461" s="441" t="s">
        <v>5315</v>
      </c>
      <c r="D4461" s="441" t="s">
        <v>5758</v>
      </c>
      <c r="E4461" s="441" t="s">
        <v>5489</v>
      </c>
      <c r="F4461" s="442" t="s">
        <v>5771</v>
      </c>
      <c r="G4461" s="371" t="s">
        <v>5291</v>
      </c>
      <c r="H4461" s="374" t="s">
        <v>3243</v>
      </c>
      <c r="I4461" s="470" t="s">
        <v>3243</v>
      </c>
      <c r="J4461" s="495">
        <v>13.34</v>
      </c>
      <c r="K4461" s="495">
        <v>13.34</v>
      </c>
      <c r="L4461" s="495">
        <f t="shared" si="48"/>
        <v>0</v>
      </c>
      <c r="M4461" s="337"/>
    </row>
    <row r="4462" spans="1:13" s="71" customFormat="1" ht="26.4" customHeight="1">
      <c r="A4462" s="282">
        <v>220</v>
      </c>
      <c r="B4462" s="534"/>
      <c r="C4462" s="441" t="s">
        <v>5315</v>
      </c>
      <c r="D4462" s="441" t="s">
        <v>5386</v>
      </c>
      <c r="E4462" s="441" t="s">
        <v>5772</v>
      </c>
      <c r="F4462" s="442" t="s">
        <v>5773</v>
      </c>
      <c r="G4462" s="371" t="s">
        <v>5299</v>
      </c>
      <c r="H4462" s="374" t="s">
        <v>5462</v>
      </c>
      <c r="I4462" s="470">
        <v>90</v>
      </c>
      <c r="J4462" s="495">
        <v>9.1</v>
      </c>
      <c r="K4462" s="495">
        <v>9.1</v>
      </c>
      <c r="L4462" s="495">
        <f t="shared" si="48"/>
        <v>0</v>
      </c>
      <c r="M4462" s="337"/>
    </row>
    <row r="4463" spans="1:13" s="71" customFormat="1" ht="26.4" customHeight="1">
      <c r="A4463" s="282">
        <v>221</v>
      </c>
      <c r="B4463" s="534"/>
      <c r="C4463" s="441" t="s">
        <v>5315</v>
      </c>
      <c r="D4463" s="441" t="s">
        <v>5386</v>
      </c>
      <c r="E4463" s="441" t="s">
        <v>5774</v>
      </c>
      <c r="F4463" s="442" t="s">
        <v>5775</v>
      </c>
      <c r="G4463" s="371" t="s">
        <v>5299</v>
      </c>
      <c r="H4463" s="374" t="s">
        <v>5462</v>
      </c>
      <c r="I4463" s="470">
        <v>70</v>
      </c>
      <c r="J4463" s="495">
        <v>9.19</v>
      </c>
      <c r="K4463" s="495">
        <v>9.19</v>
      </c>
      <c r="L4463" s="495">
        <f t="shared" si="48"/>
        <v>0</v>
      </c>
      <c r="M4463" s="337"/>
    </row>
    <row r="4464" spans="1:13" s="71" customFormat="1" ht="26.4" customHeight="1">
      <c r="A4464" s="282">
        <v>222</v>
      </c>
      <c r="B4464" s="534"/>
      <c r="C4464" s="441" t="s">
        <v>5776</v>
      </c>
      <c r="D4464" s="441" t="s">
        <v>5777</v>
      </c>
      <c r="E4464" s="441" t="s">
        <v>5495</v>
      </c>
      <c r="F4464" s="442" t="s">
        <v>5778</v>
      </c>
      <c r="G4464" s="371" t="s">
        <v>1585</v>
      </c>
      <c r="H4464" s="374" t="s">
        <v>3243</v>
      </c>
      <c r="I4464" s="470" t="s">
        <v>5779</v>
      </c>
      <c r="J4464" s="495">
        <v>5.15</v>
      </c>
      <c r="K4464" s="495">
        <v>4.68</v>
      </c>
      <c r="L4464" s="495">
        <f t="shared" si="48"/>
        <v>0.47000000000000064</v>
      </c>
      <c r="M4464" s="337"/>
    </row>
    <row r="4465" spans="1:13" s="71" customFormat="1" ht="26.4" customHeight="1">
      <c r="A4465" s="282">
        <v>223</v>
      </c>
      <c r="B4465" s="534"/>
      <c r="C4465" s="441" t="s">
        <v>5776</v>
      </c>
      <c r="D4465" s="441" t="s">
        <v>5777</v>
      </c>
      <c r="E4465" s="441" t="s">
        <v>5780</v>
      </c>
      <c r="F4465" s="442" t="s">
        <v>5781</v>
      </c>
      <c r="G4465" s="371" t="s">
        <v>1585</v>
      </c>
      <c r="H4465" s="374" t="s">
        <v>5462</v>
      </c>
      <c r="I4465" s="470">
        <v>1660</v>
      </c>
      <c r="J4465" s="495">
        <v>18.38</v>
      </c>
      <c r="K4465" s="495">
        <v>18.38</v>
      </c>
      <c r="L4465" s="495">
        <f t="shared" si="48"/>
        <v>0</v>
      </c>
      <c r="M4465" s="337"/>
    </row>
    <row r="4466" spans="1:13" s="71" customFormat="1" ht="26.4" customHeight="1">
      <c r="A4466" s="282">
        <v>224</v>
      </c>
      <c r="B4466" s="534"/>
      <c r="C4466" s="441" t="s">
        <v>5776</v>
      </c>
      <c r="D4466" s="441" t="s">
        <v>5777</v>
      </c>
      <c r="E4466" s="441" t="s">
        <v>5782</v>
      </c>
      <c r="F4466" s="442" t="s">
        <v>5783</v>
      </c>
      <c r="G4466" s="371" t="s">
        <v>1585</v>
      </c>
      <c r="H4466" s="374" t="s">
        <v>5462</v>
      </c>
      <c r="I4466" s="470">
        <v>175</v>
      </c>
      <c r="J4466" s="495">
        <v>4.74</v>
      </c>
      <c r="K4466" s="495">
        <v>4.74</v>
      </c>
      <c r="L4466" s="495">
        <f t="shared" si="48"/>
        <v>0</v>
      </c>
      <c r="M4466" s="337"/>
    </row>
    <row r="4467" spans="1:13" s="71" customFormat="1" ht="26.4" customHeight="1">
      <c r="A4467" s="282">
        <v>225</v>
      </c>
      <c r="B4467" s="534"/>
      <c r="C4467" s="441" t="s">
        <v>5776</v>
      </c>
      <c r="D4467" s="441" t="s">
        <v>5777</v>
      </c>
      <c r="E4467" s="441" t="s">
        <v>5784</v>
      </c>
      <c r="F4467" s="442" t="s">
        <v>5785</v>
      </c>
      <c r="G4467" s="371" t="s">
        <v>1585</v>
      </c>
      <c r="H4467" s="374" t="s">
        <v>5462</v>
      </c>
      <c r="I4467" s="470">
        <v>26</v>
      </c>
      <c r="J4467" s="495">
        <v>2.89</v>
      </c>
      <c r="K4467" s="495">
        <v>2.89</v>
      </c>
      <c r="L4467" s="495">
        <f t="shared" si="48"/>
        <v>0</v>
      </c>
      <c r="M4467" s="337"/>
    </row>
    <row r="4468" spans="1:13" s="71" customFormat="1" ht="26.4" customHeight="1">
      <c r="A4468" s="282">
        <v>226</v>
      </c>
      <c r="B4468" s="534"/>
      <c r="C4468" s="441" t="s">
        <v>5776</v>
      </c>
      <c r="D4468" s="441" t="s">
        <v>5777</v>
      </c>
      <c r="E4468" s="441" t="s">
        <v>5786</v>
      </c>
      <c r="F4468" s="442" t="s">
        <v>5787</v>
      </c>
      <c r="G4468" s="371" t="s">
        <v>1585</v>
      </c>
      <c r="H4468" s="374" t="s">
        <v>5462</v>
      </c>
      <c r="I4468" s="470">
        <v>165</v>
      </c>
      <c r="J4468" s="495">
        <v>4.49</v>
      </c>
      <c r="K4468" s="495">
        <v>4.49</v>
      </c>
      <c r="L4468" s="495">
        <f t="shared" si="48"/>
        <v>0</v>
      </c>
      <c r="M4468" s="337"/>
    </row>
    <row r="4469" spans="1:13" s="71" customFormat="1" ht="26.4" customHeight="1">
      <c r="A4469" s="282">
        <v>227</v>
      </c>
      <c r="B4469" s="534"/>
      <c r="C4469" s="441" t="s">
        <v>5776</v>
      </c>
      <c r="D4469" s="441" t="s">
        <v>5777</v>
      </c>
      <c r="E4469" s="441" t="s">
        <v>5788</v>
      </c>
      <c r="F4469" s="442" t="s">
        <v>5789</v>
      </c>
      <c r="G4469" s="371" t="s">
        <v>1585</v>
      </c>
      <c r="H4469" s="374" t="s">
        <v>5462</v>
      </c>
      <c r="I4469" s="470">
        <v>220</v>
      </c>
      <c r="J4469" s="495">
        <v>3.35</v>
      </c>
      <c r="K4469" s="495">
        <v>3.35</v>
      </c>
      <c r="L4469" s="495">
        <f t="shared" si="48"/>
        <v>0</v>
      </c>
      <c r="M4469" s="337"/>
    </row>
    <row r="4470" spans="1:13" s="71" customFormat="1" ht="26.4" customHeight="1">
      <c r="A4470" s="282">
        <v>228</v>
      </c>
      <c r="B4470" s="534"/>
      <c r="C4470" s="441" t="s">
        <v>5776</v>
      </c>
      <c r="D4470" s="441" t="s">
        <v>5777</v>
      </c>
      <c r="E4470" s="441" t="s">
        <v>5790</v>
      </c>
      <c r="F4470" s="442" t="s">
        <v>5791</v>
      </c>
      <c r="G4470" s="371" t="s">
        <v>1585</v>
      </c>
      <c r="H4470" s="374" t="s">
        <v>5462</v>
      </c>
      <c r="I4470" s="470">
        <v>440</v>
      </c>
      <c r="J4470" s="495">
        <v>6.69</v>
      </c>
      <c r="K4470" s="495">
        <v>6.69</v>
      </c>
      <c r="L4470" s="495">
        <f t="shared" si="48"/>
        <v>0</v>
      </c>
      <c r="M4470" s="337"/>
    </row>
    <row r="4471" spans="1:13" s="71" customFormat="1" ht="26.4" customHeight="1">
      <c r="A4471" s="282">
        <v>229</v>
      </c>
      <c r="B4471" s="534"/>
      <c r="C4471" s="441" t="s">
        <v>5776</v>
      </c>
      <c r="D4471" s="441" t="s">
        <v>5777</v>
      </c>
      <c r="E4471" s="441" t="s">
        <v>5792</v>
      </c>
      <c r="F4471" s="442" t="s">
        <v>5793</v>
      </c>
      <c r="G4471" s="371" t="s">
        <v>1585</v>
      </c>
      <c r="H4471" s="374" t="s">
        <v>3243</v>
      </c>
      <c r="I4471" s="470" t="s">
        <v>3243</v>
      </c>
      <c r="J4471" s="495">
        <v>4.91</v>
      </c>
      <c r="K4471" s="495">
        <v>4.0999999999999996</v>
      </c>
      <c r="L4471" s="495">
        <f t="shared" si="48"/>
        <v>0.8100000000000005</v>
      </c>
      <c r="M4471" s="337"/>
    </row>
    <row r="4472" spans="1:13" s="71" customFormat="1" ht="26.4" customHeight="1">
      <c r="A4472" s="282">
        <v>230</v>
      </c>
      <c r="B4472" s="534"/>
      <c r="C4472" s="441" t="s">
        <v>5776</v>
      </c>
      <c r="D4472" s="441" t="s">
        <v>5777</v>
      </c>
      <c r="E4472" s="441" t="s">
        <v>5767</v>
      </c>
      <c r="F4472" s="442" t="s">
        <v>5794</v>
      </c>
      <c r="G4472" s="371" t="s">
        <v>1585</v>
      </c>
      <c r="H4472" s="374" t="s">
        <v>3243</v>
      </c>
      <c r="I4472" s="470" t="s">
        <v>3243</v>
      </c>
      <c r="J4472" s="495">
        <v>1.63</v>
      </c>
      <c r="K4472" s="495">
        <v>1.63</v>
      </c>
      <c r="L4472" s="495">
        <f t="shared" si="48"/>
        <v>0</v>
      </c>
      <c r="M4472" s="337"/>
    </row>
    <row r="4473" spans="1:13" s="71" customFormat="1" ht="26.4" customHeight="1">
      <c r="A4473" s="282">
        <v>231</v>
      </c>
      <c r="B4473" s="534"/>
      <c r="C4473" s="441" t="s">
        <v>5776</v>
      </c>
      <c r="D4473" s="441" t="s">
        <v>5777</v>
      </c>
      <c r="E4473" s="441" t="s">
        <v>5489</v>
      </c>
      <c r="F4473" s="442" t="s">
        <v>5795</v>
      </c>
      <c r="G4473" s="371" t="s">
        <v>1585</v>
      </c>
      <c r="H4473" s="374" t="s">
        <v>1136</v>
      </c>
      <c r="I4473" s="470">
        <v>259</v>
      </c>
      <c r="J4473" s="495">
        <v>91.39</v>
      </c>
      <c r="K4473" s="495">
        <v>91.39</v>
      </c>
      <c r="L4473" s="495">
        <f t="shared" si="48"/>
        <v>0</v>
      </c>
      <c r="M4473" s="337"/>
    </row>
    <row r="4474" spans="1:13" s="71" customFormat="1" ht="26.4" customHeight="1">
      <c r="A4474" s="282">
        <v>232</v>
      </c>
      <c r="B4474" s="534"/>
      <c r="C4474" s="441" t="s">
        <v>5776</v>
      </c>
      <c r="D4474" s="441" t="s">
        <v>5777</v>
      </c>
      <c r="E4474" s="441" t="s">
        <v>5796</v>
      </c>
      <c r="F4474" s="442" t="s">
        <v>5797</v>
      </c>
      <c r="G4474" s="371" t="s">
        <v>1585</v>
      </c>
      <c r="H4474" s="374" t="s">
        <v>3243</v>
      </c>
      <c r="I4474" s="470" t="s">
        <v>3243</v>
      </c>
      <c r="J4474" s="495">
        <v>182.76</v>
      </c>
      <c r="K4474" s="495">
        <v>182.76</v>
      </c>
      <c r="L4474" s="495">
        <f t="shared" si="48"/>
        <v>0</v>
      </c>
      <c r="M4474" s="337"/>
    </row>
    <row r="4475" spans="1:13" s="71" customFormat="1" ht="26.4" customHeight="1">
      <c r="A4475" s="282">
        <v>233</v>
      </c>
      <c r="B4475" s="534"/>
      <c r="C4475" s="441" t="s">
        <v>5776</v>
      </c>
      <c r="D4475" s="441" t="s">
        <v>5777</v>
      </c>
      <c r="E4475" s="441" t="s">
        <v>5493</v>
      </c>
      <c r="F4475" s="442" t="s">
        <v>5798</v>
      </c>
      <c r="G4475" s="371" t="s">
        <v>1585</v>
      </c>
      <c r="H4475" s="374" t="s">
        <v>1136</v>
      </c>
      <c r="I4475" s="470">
        <v>460</v>
      </c>
      <c r="J4475" s="495">
        <v>31.05</v>
      </c>
      <c r="K4475" s="495">
        <v>31.05</v>
      </c>
      <c r="L4475" s="495">
        <f t="shared" si="48"/>
        <v>0</v>
      </c>
      <c r="M4475" s="337"/>
    </row>
    <row r="4476" spans="1:13" s="71" customFormat="1" ht="26.4" customHeight="1">
      <c r="A4476" s="282">
        <v>234</v>
      </c>
      <c r="B4476" s="534"/>
      <c r="C4476" s="441" t="s">
        <v>5776</v>
      </c>
      <c r="D4476" s="441" t="s">
        <v>5777</v>
      </c>
      <c r="E4476" s="441" t="s">
        <v>5799</v>
      </c>
      <c r="F4476" s="442" t="s">
        <v>5800</v>
      </c>
      <c r="G4476" s="371" t="s">
        <v>1585</v>
      </c>
      <c r="H4476" s="374" t="s">
        <v>3243</v>
      </c>
      <c r="I4476" s="470" t="s">
        <v>3243</v>
      </c>
      <c r="J4476" s="495">
        <v>7.46</v>
      </c>
      <c r="K4476" s="495">
        <v>7.46</v>
      </c>
      <c r="L4476" s="495">
        <f t="shared" si="48"/>
        <v>0</v>
      </c>
      <c r="M4476" s="337"/>
    </row>
    <row r="4477" spans="1:13" s="71" customFormat="1" ht="26.4" customHeight="1">
      <c r="A4477" s="282">
        <v>235</v>
      </c>
      <c r="B4477" s="534"/>
      <c r="C4477" s="441" t="s">
        <v>5776</v>
      </c>
      <c r="D4477" s="441" t="s">
        <v>5777</v>
      </c>
      <c r="E4477" s="441" t="s">
        <v>5801</v>
      </c>
      <c r="F4477" s="442" t="s">
        <v>5802</v>
      </c>
      <c r="G4477" s="371" t="s">
        <v>1585</v>
      </c>
      <c r="H4477" s="374" t="s">
        <v>3243</v>
      </c>
      <c r="I4477" s="470" t="s">
        <v>3243</v>
      </c>
      <c r="J4477" s="495">
        <v>627.83000000000004</v>
      </c>
      <c r="K4477" s="495">
        <v>627.83000000000004</v>
      </c>
      <c r="L4477" s="495">
        <f t="shared" si="48"/>
        <v>0</v>
      </c>
      <c r="M4477" s="337"/>
    </row>
    <row r="4478" spans="1:13" s="71" customFormat="1" ht="26.4" customHeight="1">
      <c r="A4478" s="282">
        <v>236</v>
      </c>
      <c r="B4478" s="534"/>
      <c r="C4478" s="441" t="s">
        <v>5776</v>
      </c>
      <c r="D4478" s="441" t="s">
        <v>5777</v>
      </c>
      <c r="E4478" s="441" t="s">
        <v>5756</v>
      </c>
      <c r="F4478" s="442" t="s">
        <v>5803</v>
      </c>
      <c r="G4478" s="371" t="s">
        <v>1585</v>
      </c>
      <c r="H4478" s="374" t="s">
        <v>5462</v>
      </c>
      <c r="I4478" s="470">
        <v>62</v>
      </c>
      <c r="J4478" s="495">
        <v>16.809999999999999</v>
      </c>
      <c r="K4478" s="495">
        <v>16.809999999999999</v>
      </c>
      <c r="L4478" s="495">
        <f t="shared" si="48"/>
        <v>0</v>
      </c>
      <c r="M4478" s="337"/>
    </row>
    <row r="4479" spans="1:13" s="71" customFormat="1" ht="26.4" customHeight="1">
      <c r="A4479" s="282">
        <v>237</v>
      </c>
      <c r="B4479" s="534"/>
      <c r="C4479" s="441" t="s">
        <v>5776</v>
      </c>
      <c r="D4479" s="441" t="s">
        <v>5777</v>
      </c>
      <c r="E4479" s="441" t="s">
        <v>5804</v>
      </c>
      <c r="F4479" s="442">
        <v>3266</v>
      </c>
      <c r="G4479" s="371" t="s">
        <v>1569</v>
      </c>
      <c r="H4479" s="374" t="s">
        <v>3243</v>
      </c>
      <c r="I4479" s="470" t="s">
        <v>3243</v>
      </c>
      <c r="J4479" s="495">
        <v>1.02</v>
      </c>
      <c r="K4479" s="495">
        <v>0.39</v>
      </c>
      <c r="L4479" s="495">
        <f t="shared" si="48"/>
        <v>0.63</v>
      </c>
      <c r="M4479" s="337"/>
    </row>
    <row r="4480" spans="1:13" s="71" customFormat="1" ht="26.4" customHeight="1">
      <c r="A4480" s="282">
        <v>238</v>
      </c>
      <c r="B4480" s="534"/>
      <c r="C4480" s="441" t="s">
        <v>5315</v>
      </c>
      <c r="D4480" s="441" t="s">
        <v>5364</v>
      </c>
      <c r="E4480" s="441" t="s">
        <v>5805</v>
      </c>
      <c r="F4480" s="442" t="s">
        <v>5806</v>
      </c>
      <c r="G4480" s="371" t="s">
        <v>5281</v>
      </c>
      <c r="H4480" s="374" t="s">
        <v>1136</v>
      </c>
      <c r="I4480" s="470">
        <v>600</v>
      </c>
      <c r="J4480" s="495">
        <v>19.5</v>
      </c>
      <c r="K4480" s="495">
        <v>18.8</v>
      </c>
      <c r="L4480" s="495">
        <f t="shared" si="48"/>
        <v>0.69999999999999929</v>
      </c>
      <c r="M4480" s="337"/>
    </row>
    <row r="4481" spans="1:13" s="71" customFormat="1" ht="26.4" customHeight="1">
      <c r="A4481" s="282">
        <v>239</v>
      </c>
      <c r="B4481" s="534"/>
      <c r="C4481" s="260" t="s">
        <v>5807</v>
      </c>
      <c r="D4481" s="260" t="s">
        <v>5808</v>
      </c>
      <c r="E4481" s="441" t="s">
        <v>5809</v>
      </c>
      <c r="F4481" s="442" t="s">
        <v>5810</v>
      </c>
      <c r="G4481" s="371" t="s">
        <v>5291</v>
      </c>
      <c r="H4481" s="374" t="s">
        <v>5462</v>
      </c>
      <c r="I4481" s="470">
        <v>8410</v>
      </c>
      <c r="J4481" s="495">
        <v>3.76</v>
      </c>
      <c r="K4481" s="495">
        <v>3.06</v>
      </c>
      <c r="L4481" s="495">
        <f t="shared" si="48"/>
        <v>0.69999999999999973</v>
      </c>
      <c r="M4481" s="337"/>
    </row>
    <row r="4482" spans="1:13" s="71" customFormat="1" ht="26.4" customHeight="1">
      <c r="A4482" s="282">
        <v>240</v>
      </c>
      <c r="B4482" s="534"/>
      <c r="C4482" s="441" t="s">
        <v>5367</v>
      </c>
      <c r="D4482" s="441" t="s">
        <v>5811</v>
      </c>
      <c r="E4482" s="441" t="s">
        <v>5812</v>
      </c>
      <c r="F4482" s="442" t="s">
        <v>5813</v>
      </c>
      <c r="G4482" s="371" t="s">
        <v>5299</v>
      </c>
      <c r="H4482" s="374" t="s">
        <v>5462</v>
      </c>
      <c r="I4482" s="470">
        <v>950</v>
      </c>
      <c r="J4482" s="495">
        <v>10.46</v>
      </c>
      <c r="K4482" s="495">
        <v>9.76</v>
      </c>
      <c r="L4482" s="495">
        <f t="shared" si="48"/>
        <v>0.70000000000000107</v>
      </c>
      <c r="M4482" s="337"/>
    </row>
    <row r="4483" spans="1:13" s="71" customFormat="1" ht="26.4" customHeight="1">
      <c r="A4483" s="282">
        <v>241</v>
      </c>
      <c r="B4483" s="534"/>
      <c r="C4483" s="441" t="s">
        <v>5367</v>
      </c>
      <c r="D4483" s="441" t="s">
        <v>5814</v>
      </c>
      <c r="E4483" s="441" t="s">
        <v>5815</v>
      </c>
      <c r="F4483" s="442" t="s">
        <v>5816</v>
      </c>
      <c r="G4483" s="371" t="s">
        <v>5299</v>
      </c>
      <c r="H4483" s="374" t="s">
        <v>5462</v>
      </c>
      <c r="I4483" s="470">
        <v>800</v>
      </c>
      <c r="J4483" s="495">
        <v>12.7</v>
      </c>
      <c r="K4483" s="495">
        <v>12.01</v>
      </c>
      <c r="L4483" s="495">
        <f t="shared" si="48"/>
        <v>0.6899999999999995</v>
      </c>
      <c r="M4483" s="337"/>
    </row>
    <row r="4484" spans="1:13" s="71" customFormat="1" ht="26.4" customHeight="1">
      <c r="A4484" s="282">
        <v>242</v>
      </c>
      <c r="B4484" s="534"/>
      <c r="C4484" s="441" t="s">
        <v>5367</v>
      </c>
      <c r="D4484" s="441" t="s">
        <v>5817</v>
      </c>
      <c r="E4484" s="441" t="s">
        <v>5818</v>
      </c>
      <c r="F4484" s="442" t="s">
        <v>5819</v>
      </c>
      <c r="G4484" s="371" t="s">
        <v>5299</v>
      </c>
      <c r="H4484" s="374" t="s">
        <v>5462</v>
      </c>
      <c r="I4484" s="470">
        <v>900</v>
      </c>
      <c r="J4484" s="495">
        <v>12.84</v>
      </c>
      <c r="K4484" s="495">
        <v>12.05</v>
      </c>
      <c r="L4484" s="495">
        <f t="shared" si="48"/>
        <v>0.78999999999999915</v>
      </c>
      <c r="M4484" s="337"/>
    </row>
    <row r="4485" spans="1:13" s="71" customFormat="1" ht="26.4" customHeight="1">
      <c r="A4485" s="282">
        <v>243</v>
      </c>
      <c r="B4485" s="534"/>
      <c r="C4485" s="441" t="s">
        <v>5367</v>
      </c>
      <c r="D4485" s="441" t="s">
        <v>5820</v>
      </c>
      <c r="E4485" s="441" t="s">
        <v>5821</v>
      </c>
      <c r="F4485" s="442" t="s">
        <v>5822</v>
      </c>
      <c r="G4485" s="371" t="s">
        <v>5299</v>
      </c>
      <c r="H4485" s="374" t="s">
        <v>5462</v>
      </c>
      <c r="I4485" s="470">
        <v>900</v>
      </c>
      <c r="J4485" s="495">
        <v>12.7</v>
      </c>
      <c r="K4485" s="495">
        <v>12.01</v>
      </c>
      <c r="L4485" s="495">
        <f t="shared" si="48"/>
        <v>0.6899999999999995</v>
      </c>
      <c r="M4485" s="337"/>
    </row>
    <row r="4486" spans="1:13" s="71" customFormat="1" ht="26.4" customHeight="1">
      <c r="A4486" s="282">
        <v>244</v>
      </c>
      <c r="B4486" s="534"/>
      <c r="C4486" s="441" t="s">
        <v>5367</v>
      </c>
      <c r="D4486" s="441" t="s">
        <v>5823</v>
      </c>
      <c r="E4486" s="441" t="s">
        <v>5824</v>
      </c>
      <c r="F4486" s="442" t="s">
        <v>5825</v>
      </c>
      <c r="G4486" s="371" t="s">
        <v>5299</v>
      </c>
      <c r="H4486" s="374" t="s">
        <v>5462</v>
      </c>
      <c r="I4486" s="470">
        <v>900</v>
      </c>
      <c r="J4486" s="495">
        <v>13.4</v>
      </c>
      <c r="K4486" s="495">
        <v>12.23</v>
      </c>
      <c r="L4486" s="495">
        <f t="shared" si="48"/>
        <v>1.17</v>
      </c>
      <c r="M4486" s="337"/>
    </row>
    <row r="4487" spans="1:13" s="71" customFormat="1" ht="26.4" customHeight="1">
      <c r="A4487" s="282">
        <v>245</v>
      </c>
      <c r="B4487" s="534"/>
      <c r="C4487" s="441" t="s">
        <v>5367</v>
      </c>
      <c r="D4487" s="441" t="s">
        <v>5826</v>
      </c>
      <c r="E4487" s="441" t="s">
        <v>5827</v>
      </c>
      <c r="F4487" s="442" t="s">
        <v>5828</v>
      </c>
      <c r="G4487" s="371" t="s">
        <v>5299</v>
      </c>
      <c r="H4487" s="374" t="s">
        <v>5462</v>
      </c>
      <c r="I4487" s="470">
        <v>1900</v>
      </c>
      <c r="J4487" s="495">
        <v>39.11</v>
      </c>
      <c r="K4487" s="495">
        <v>27.33</v>
      </c>
      <c r="L4487" s="495">
        <f t="shared" si="48"/>
        <v>11.780000000000001</v>
      </c>
      <c r="M4487" s="337"/>
    </row>
    <row r="4488" spans="1:13" s="71" customFormat="1" ht="26.4" customHeight="1">
      <c r="A4488" s="282">
        <v>246</v>
      </c>
      <c r="B4488" s="534"/>
      <c r="C4488" s="441" t="s">
        <v>5367</v>
      </c>
      <c r="D4488" s="441" t="s">
        <v>5829</v>
      </c>
      <c r="E4488" s="441" t="s">
        <v>5830</v>
      </c>
      <c r="F4488" s="442" t="s">
        <v>5831</v>
      </c>
      <c r="G4488" s="371" t="s">
        <v>5299</v>
      </c>
      <c r="H4488" s="374" t="s">
        <v>5462</v>
      </c>
      <c r="I4488" s="470">
        <v>2600</v>
      </c>
      <c r="J4488" s="495">
        <v>48.5</v>
      </c>
      <c r="K4488" s="495">
        <v>44.76</v>
      </c>
      <c r="L4488" s="495">
        <f t="shared" si="48"/>
        <v>3.740000000000002</v>
      </c>
      <c r="M4488" s="337"/>
    </row>
    <row r="4489" spans="1:13" s="71" customFormat="1" ht="26.4" customHeight="1">
      <c r="A4489" s="282">
        <v>247</v>
      </c>
      <c r="B4489" s="534"/>
      <c r="C4489" s="441" t="s">
        <v>5367</v>
      </c>
      <c r="D4489" s="441" t="s">
        <v>5832</v>
      </c>
      <c r="E4489" s="441" t="s">
        <v>13420</v>
      </c>
      <c r="F4489" s="442" t="s">
        <v>5833</v>
      </c>
      <c r="G4489" s="371" t="s">
        <v>5299</v>
      </c>
      <c r="H4489" s="374" t="s">
        <v>5462</v>
      </c>
      <c r="I4489" s="470">
        <v>1600</v>
      </c>
      <c r="J4489" s="495">
        <v>45.3</v>
      </c>
      <c r="K4489" s="495">
        <v>44.24</v>
      </c>
      <c r="L4489" s="495">
        <f t="shared" si="48"/>
        <v>1.0599999999999952</v>
      </c>
      <c r="M4489" s="337"/>
    </row>
    <row r="4490" spans="1:13" s="71" customFormat="1" ht="26.4" customHeight="1">
      <c r="A4490" s="282">
        <v>248</v>
      </c>
      <c r="B4490" s="534"/>
      <c r="C4490" s="441" t="s">
        <v>5367</v>
      </c>
      <c r="D4490" s="441" t="s">
        <v>5834</v>
      </c>
      <c r="E4490" s="441" t="s">
        <v>5835</v>
      </c>
      <c r="F4490" s="442" t="s">
        <v>5836</v>
      </c>
      <c r="G4490" s="371" t="s">
        <v>5299</v>
      </c>
      <c r="H4490" s="374" t="s">
        <v>5462</v>
      </c>
      <c r="I4490" s="470">
        <v>1300</v>
      </c>
      <c r="J4490" s="495">
        <v>24.69</v>
      </c>
      <c r="K4490" s="495">
        <v>18.600000000000001</v>
      </c>
      <c r="L4490" s="495">
        <f t="shared" si="48"/>
        <v>6.09</v>
      </c>
      <c r="M4490" s="337"/>
    </row>
    <row r="4491" spans="1:13" s="71" customFormat="1" ht="26.4" customHeight="1">
      <c r="A4491" s="282">
        <v>249</v>
      </c>
      <c r="B4491" s="534"/>
      <c r="C4491" s="441" t="s">
        <v>5367</v>
      </c>
      <c r="D4491" s="441" t="s">
        <v>5837</v>
      </c>
      <c r="E4491" s="441" t="s">
        <v>5838</v>
      </c>
      <c r="F4491" s="442" t="s">
        <v>5839</v>
      </c>
      <c r="G4491" s="371" t="s">
        <v>5299</v>
      </c>
      <c r="H4491" s="374" t="s">
        <v>5462</v>
      </c>
      <c r="I4491" s="470">
        <v>800</v>
      </c>
      <c r="J4491" s="495">
        <v>9.11</v>
      </c>
      <c r="K4491" s="495">
        <v>8.41</v>
      </c>
      <c r="L4491" s="495">
        <f t="shared" si="48"/>
        <v>0.69999999999999929</v>
      </c>
      <c r="M4491" s="337"/>
    </row>
    <row r="4492" spans="1:13" s="71" customFormat="1" ht="26.4" customHeight="1">
      <c r="A4492" s="282">
        <v>250</v>
      </c>
      <c r="B4492" s="534"/>
      <c r="C4492" s="441" t="s">
        <v>5367</v>
      </c>
      <c r="D4492" s="441" t="s">
        <v>5840</v>
      </c>
      <c r="E4492" s="441" t="s">
        <v>5841</v>
      </c>
      <c r="F4492" s="442">
        <v>326</v>
      </c>
      <c r="G4492" s="371" t="s">
        <v>5299</v>
      </c>
      <c r="H4492" s="374" t="s">
        <v>5462</v>
      </c>
      <c r="I4492" s="470">
        <v>300</v>
      </c>
      <c r="J4492" s="495">
        <v>7.77</v>
      </c>
      <c r="K4492" s="495">
        <v>5.97</v>
      </c>
      <c r="L4492" s="495">
        <f t="shared" si="48"/>
        <v>1.7999999999999998</v>
      </c>
      <c r="M4492" s="337"/>
    </row>
    <row r="4493" spans="1:13" s="71" customFormat="1" ht="26.4" customHeight="1">
      <c r="A4493" s="282">
        <v>251</v>
      </c>
      <c r="B4493" s="534"/>
      <c r="C4493" s="441" t="s">
        <v>5367</v>
      </c>
      <c r="D4493" s="441" t="s">
        <v>5842</v>
      </c>
      <c r="E4493" s="441" t="s">
        <v>5843</v>
      </c>
      <c r="F4493" s="442" t="s">
        <v>5844</v>
      </c>
      <c r="G4493" s="371" t="s">
        <v>5299</v>
      </c>
      <c r="H4493" s="374" t="s">
        <v>5462</v>
      </c>
      <c r="I4493" s="470">
        <v>400</v>
      </c>
      <c r="J4493" s="495">
        <v>5.05</v>
      </c>
      <c r="K4493" s="495">
        <v>4.3600000000000003</v>
      </c>
      <c r="L4493" s="495">
        <f t="shared" si="48"/>
        <v>0.6899999999999995</v>
      </c>
      <c r="M4493" s="337"/>
    </row>
    <row r="4494" spans="1:13" s="71" customFormat="1" ht="26.4" customHeight="1">
      <c r="A4494" s="282">
        <v>252</v>
      </c>
      <c r="B4494" s="534"/>
      <c r="C4494" s="441" t="s">
        <v>5367</v>
      </c>
      <c r="D4494" s="441" t="s">
        <v>5845</v>
      </c>
      <c r="E4494" s="441" t="s">
        <v>5846</v>
      </c>
      <c r="F4494" s="442" t="s">
        <v>5847</v>
      </c>
      <c r="G4494" s="371" t="s">
        <v>5299</v>
      </c>
      <c r="H4494" s="374" t="s">
        <v>5462</v>
      </c>
      <c r="I4494" s="470">
        <v>300</v>
      </c>
      <c r="J4494" s="495">
        <v>5.05</v>
      </c>
      <c r="K4494" s="495">
        <v>4.3600000000000003</v>
      </c>
      <c r="L4494" s="495">
        <f t="shared" si="48"/>
        <v>0.6899999999999995</v>
      </c>
      <c r="M4494" s="337"/>
    </row>
    <row r="4495" spans="1:13" s="71" customFormat="1" ht="26.4" customHeight="1">
      <c r="A4495" s="282">
        <v>253</v>
      </c>
      <c r="B4495" s="534"/>
      <c r="C4495" s="441" t="s">
        <v>5367</v>
      </c>
      <c r="D4495" s="441" t="s">
        <v>5848</v>
      </c>
      <c r="E4495" s="441" t="s">
        <v>5849</v>
      </c>
      <c r="F4495" s="442">
        <v>329</v>
      </c>
      <c r="G4495" s="371" t="s">
        <v>5299</v>
      </c>
      <c r="H4495" s="374" t="s">
        <v>5462</v>
      </c>
      <c r="I4495" s="470">
        <v>300</v>
      </c>
      <c r="J4495" s="495">
        <v>7.12</v>
      </c>
      <c r="K4495" s="495">
        <v>6.43</v>
      </c>
      <c r="L4495" s="495">
        <f t="shared" si="48"/>
        <v>0.69000000000000039</v>
      </c>
      <c r="M4495" s="337"/>
    </row>
    <row r="4496" spans="1:13" s="71" customFormat="1" ht="26.4" customHeight="1">
      <c r="A4496" s="282">
        <v>254</v>
      </c>
      <c r="B4496" s="534"/>
      <c r="C4496" s="441" t="s">
        <v>5367</v>
      </c>
      <c r="D4496" s="441" t="s">
        <v>5850</v>
      </c>
      <c r="E4496" s="441" t="s">
        <v>13151</v>
      </c>
      <c r="F4496" s="442">
        <v>330</v>
      </c>
      <c r="G4496" s="371" t="s">
        <v>5299</v>
      </c>
      <c r="H4496" s="374" t="s">
        <v>5462</v>
      </c>
      <c r="I4496" s="470">
        <v>400</v>
      </c>
      <c r="J4496" s="495">
        <v>7.12</v>
      </c>
      <c r="K4496" s="495">
        <v>6.43</v>
      </c>
      <c r="L4496" s="495">
        <f t="shared" si="48"/>
        <v>0.69000000000000039</v>
      </c>
      <c r="M4496" s="337"/>
    </row>
    <row r="4497" spans="1:13" s="71" customFormat="1" ht="26.4" customHeight="1">
      <c r="A4497" s="282">
        <v>255</v>
      </c>
      <c r="B4497" s="534"/>
      <c r="C4497" s="441" t="s">
        <v>5367</v>
      </c>
      <c r="D4497" s="441" t="s">
        <v>5851</v>
      </c>
      <c r="E4497" s="441" t="s">
        <v>5852</v>
      </c>
      <c r="F4497" s="442" t="s">
        <v>5853</v>
      </c>
      <c r="G4497" s="371" t="s">
        <v>5299</v>
      </c>
      <c r="H4497" s="374" t="s">
        <v>5462</v>
      </c>
      <c r="I4497" s="470">
        <v>400</v>
      </c>
      <c r="J4497" s="495">
        <v>18.079999999999998</v>
      </c>
      <c r="K4497" s="495">
        <v>17.39</v>
      </c>
      <c r="L4497" s="495">
        <f t="shared" si="48"/>
        <v>0.68999999999999773</v>
      </c>
      <c r="M4497" s="337"/>
    </row>
    <row r="4498" spans="1:13" s="71" customFormat="1" ht="26.4" customHeight="1">
      <c r="A4498" s="282">
        <v>256</v>
      </c>
      <c r="B4498" s="534"/>
      <c r="C4498" s="441" t="s">
        <v>5367</v>
      </c>
      <c r="D4498" s="441" t="s">
        <v>5854</v>
      </c>
      <c r="E4498" s="441" t="s">
        <v>5855</v>
      </c>
      <c r="F4498" s="442">
        <v>332</v>
      </c>
      <c r="G4498" s="371" t="s">
        <v>5299</v>
      </c>
      <c r="H4498" s="374" t="s">
        <v>5462</v>
      </c>
      <c r="I4498" s="470">
        <v>800</v>
      </c>
      <c r="J4498" s="495">
        <v>21.5</v>
      </c>
      <c r="K4498" s="495">
        <v>20.81</v>
      </c>
      <c r="L4498" s="495">
        <f t="shared" si="48"/>
        <v>0.69000000000000128</v>
      </c>
      <c r="M4498" s="337"/>
    </row>
    <row r="4499" spans="1:13" s="71" customFormat="1" ht="26.4" customHeight="1">
      <c r="A4499" s="282">
        <v>257</v>
      </c>
      <c r="B4499" s="534"/>
      <c r="C4499" s="441" t="s">
        <v>5367</v>
      </c>
      <c r="D4499" s="441" t="s">
        <v>5856</v>
      </c>
      <c r="E4499" s="441" t="s">
        <v>5857</v>
      </c>
      <c r="F4499" s="442" t="s">
        <v>5858</v>
      </c>
      <c r="G4499" s="371" t="s">
        <v>5299</v>
      </c>
      <c r="H4499" s="374" t="s">
        <v>5462</v>
      </c>
      <c r="I4499" s="470">
        <v>700</v>
      </c>
      <c r="J4499" s="495">
        <v>10.93</v>
      </c>
      <c r="K4499" s="495">
        <v>10.24</v>
      </c>
      <c r="L4499" s="495">
        <f t="shared" ref="L4499:L4562" si="49">J4499-K4499</f>
        <v>0.6899999999999995</v>
      </c>
      <c r="M4499" s="337"/>
    </row>
    <row r="4500" spans="1:13" s="71" customFormat="1" ht="26.4" customHeight="1">
      <c r="A4500" s="282">
        <v>258</v>
      </c>
      <c r="B4500" s="534"/>
      <c r="C4500" s="441" t="s">
        <v>5367</v>
      </c>
      <c r="D4500" s="441" t="s">
        <v>5856</v>
      </c>
      <c r="E4500" s="441" t="s">
        <v>5859</v>
      </c>
      <c r="F4500" s="442" t="s">
        <v>5860</v>
      </c>
      <c r="G4500" s="371" t="s">
        <v>5299</v>
      </c>
      <c r="H4500" s="374" t="s">
        <v>5462</v>
      </c>
      <c r="I4500" s="470">
        <v>19800</v>
      </c>
      <c r="J4500" s="495">
        <v>58.08</v>
      </c>
      <c r="K4500" s="495">
        <v>57.38</v>
      </c>
      <c r="L4500" s="495">
        <f t="shared" si="49"/>
        <v>0.69999999999999574</v>
      </c>
      <c r="M4500" s="337"/>
    </row>
    <row r="4501" spans="1:13" s="71" customFormat="1" ht="26.4" customHeight="1">
      <c r="A4501" s="282">
        <v>259</v>
      </c>
      <c r="B4501" s="534"/>
      <c r="C4501" s="441" t="s">
        <v>5367</v>
      </c>
      <c r="D4501" s="441" t="s">
        <v>5811</v>
      </c>
      <c r="E4501" s="441" t="s">
        <v>5861</v>
      </c>
      <c r="F4501" s="442" t="s">
        <v>5862</v>
      </c>
      <c r="G4501" s="371" t="s">
        <v>1557</v>
      </c>
      <c r="H4501" s="374" t="s">
        <v>5462</v>
      </c>
      <c r="I4501" s="470">
        <v>4300</v>
      </c>
      <c r="J4501" s="495">
        <v>4176.2</v>
      </c>
      <c r="K4501" s="495">
        <v>1567.59</v>
      </c>
      <c r="L4501" s="495">
        <f t="shared" si="49"/>
        <v>2608.6099999999997</v>
      </c>
      <c r="M4501" s="337"/>
    </row>
    <row r="4502" spans="1:13" s="71" customFormat="1" ht="26.4" customHeight="1">
      <c r="A4502" s="282">
        <v>260</v>
      </c>
      <c r="B4502" s="534"/>
      <c r="C4502" s="441" t="s">
        <v>5367</v>
      </c>
      <c r="D4502" s="441" t="s">
        <v>5811</v>
      </c>
      <c r="E4502" s="441" t="s">
        <v>5465</v>
      </c>
      <c r="F4502" s="442" t="s">
        <v>5863</v>
      </c>
      <c r="G4502" s="371" t="s">
        <v>1534</v>
      </c>
      <c r="H4502" s="374" t="s">
        <v>5462</v>
      </c>
      <c r="I4502" s="470">
        <v>136</v>
      </c>
      <c r="J4502" s="495">
        <v>3.84</v>
      </c>
      <c r="K4502" s="495">
        <v>2.54</v>
      </c>
      <c r="L4502" s="495">
        <f t="shared" si="49"/>
        <v>1.2999999999999998</v>
      </c>
      <c r="M4502" s="337"/>
    </row>
    <row r="4503" spans="1:13" s="71" customFormat="1" ht="26.4" customHeight="1">
      <c r="A4503" s="282">
        <v>261</v>
      </c>
      <c r="B4503" s="534"/>
      <c r="C4503" s="441" t="s">
        <v>5367</v>
      </c>
      <c r="D4503" s="441" t="s">
        <v>5864</v>
      </c>
      <c r="E4503" s="441" t="s">
        <v>5865</v>
      </c>
      <c r="F4503" s="442" t="s">
        <v>5866</v>
      </c>
      <c r="G4503" s="371" t="s">
        <v>1564</v>
      </c>
      <c r="H4503" s="374" t="s">
        <v>3243</v>
      </c>
      <c r="I4503" s="470" t="s">
        <v>3243</v>
      </c>
      <c r="J4503" s="495">
        <v>2.81</v>
      </c>
      <c r="K4503" s="495">
        <v>2.11</v>
      </c>
      <c r="L4503" s="495">
        <f t="shared" si="49"/>
        <v>0.70000000000000018</v>
      </c>
      <c r="M4503" s="337"/>
    </row>
    <row r="4504" spans="1:13" s="71" customFormat="1" ht="26.4" customHeight="1">
      <c r="A4504" s="282">
        <v>262</v>
      </c>
      <c r="B4504" s="534"/>
      <c r="C4504" s="441" t="s">
        <v>5367</v>
      </c>
      <c r="D4504" s="441" t="s">
        <v>5864</v>
      </c>
      <c r="E4504" s="441" t="s">
        <v>5867</v>
      </c>
      <c r="F4504" s="442" t="s">
        <v>5868</v>
      </c>
      <c r="G4504" s="371" t="s">
        <v>1572</v>
      </c>
      <c r="H4504" s="374" t="s">
        <v>5462</v>
      </c>
      <c r="I4504" s="470">
        <v>90</v>
      </c>
      <c r="J4504" s="495">
        <v>2.86</v>
      </c>
      <c r="K4504" s="495">
        <v>1.89</v>
      </c>
      <c r="L4504" s="495">
        <f t="shared" si="49"/>
        <v>0.97</v>
      </c>
      <c r="M4504" s="337"/>
    </row>
    <row r="4505" spans="1:13" s="71" customFormat="1" ht="26.4" customHeight="1">
      <c r="A4505" s="282">
        <v>263</v>
      </c>
      <c r="B4505" s="534"/>
      <c r="C4505" s="441" t="s">
        <v>5367</v>
      </c>
      <c r="D4505" s="441" t="s">
        <v>5811</v>
      </c>
      <c r="E4505" s="441" t="s">
        <v>5869</v>
      </c>
      <c r="F4505" s="442" t="s">
        <v>5870</v>
      </c>
      <c r="G4505" s="371" t="s">
        <v>1572</v>
      </c>
      <c r="H4505" s="374" t="s">
        <v>5462</v>
      </c>
      <c r="I4505" s="470">
        <v>109</v>
      </c>
      <c r="J4505" s="495">
        <v>2.57</v>
      </c>
      <c r="K4505" s="495">
        <v>1.88</v>
      </c>
      <c r="L4505" s="495">
        <f t="shared" si="49"/>
        <v>0.69</v>
      </c>
      <c r="M4505" s="337"/>
    </row>
    <row r="4506" spans="1:13" s="71" customFormat="1" ht="26.4" customHeight="1">
      <c r="A4506" s="282">
        <v>264</v>
      </c>
      <c r="B4506" s="534"/>
      <c r="C4506" s="441" t="s">
        <v>5367</v>
      </c>
      <c r="D4506" s="441" t="s">
        <v>5864</v>
      </c>
      <c r="E4506" s="441" t="s">
        <v>5871</v>
      </c>
      <c r="F4506" s="442" t="s">
        <v>5872</v>
      </c>
      <c r="G4506" s="371" t="s">
        <v>1572</v>
      </c>
      <c r="H4506" s="374" t="s">
        <v>5462</v>
      </c>
      <c r="I4506" s="470">
        <v>98</v>
      </c>
      <c r="J4506" s="495">
        <v>2.41</v>
      </c>
      <c r="K4506" s="495">
        <v>1.71</v>
      </c>
      <c r="L4506" s="495">
        <f t="shared" si="49"/>
        <v>0.70000000000000018</v>
      </c>
      <c r="M4506" s="337"/>
    </row>
    <row r="4507" spans="1:13" s="71" customFormat="1" ht="26.4" customHeight="1">
      <c r="A4507" s="282">
        <v>265</v>
      </c>
      <c r="B4507" s="534"/>
      <c r="C4507" s="441" t="s">
        <v>5367</v>
      </c>
      <c r="D4507" s="441" t="s">
        <v>5864</v>
      </c>
      <c r="E4507" s="441" t="s">
        <v>5873</v>
      </c>
      <c r="F4507" s="442" t="s">
        <v>5874</v>
      </c>
      <c r="G4507" s="371" t="s">
        <v>1572</v>
      </c>
      <c r="H4507" s="374" t="s">
        <v>5462</v>
      </c>
      <c r="I4507" s="470">
        <v>107</v>
      </c>
      <c r="J4507" s="495">
        <v>2.71</v>
      </c>
      <c r="K4507" s="495">
        <v>2.0099999999999998</v>
      </c>
      <c r="L4507" s="495">
        <f t="shared" si="49"/>
        <v>0.70000000000000018</v>
      </c>
      <c r="M4507" s="337"/>
    </row>
    <row r="4508" spans="1:13" s="71" customFormat="1" ht="26.4" customHeight="1">
      <c r="A4508" s="282">
        <v>266</v>
      </c>
      <c r="B4508" s="534"/>
      <c r="C4508" s="441" t="s">
        <v>5367</v>
      </c>
      <c r="D4508" s="441" t="s">
        <v>5864</v>
      </c>
      <c r="E4508" s="441" t="s">
        <v>5875</v>
      </c>
      <c r="F4508" s="442" t="s">
        <v>5876</v>
      </c>
      <c r="G4508" s="371" t="s">
        <v>1542</v>
      </c>
      <c r="H4508" s="374" t="s">
        <v>3243</v>
      </c>
      <c r="I4508" s="470" t="s">
        <v>3243</v>
      </c>
      <c r="J4508" s="495">
        <v>1.08</v>
      </c>
      <c r="K4508" s="495">
        <v>0.38</v>
      </c>
      <c r="L4508" s="495">
        <f t="shared" si="49"/>
        <v>0.70000000000000007</v>
      </c>
      <c r="M4508" s="337"/>
    </row>
    <row r="4509" spans="1:13" s="71" customFormat="1" ht="26.4" customHeight="1">
      <c r="A4509" s="282">
        <v>267</v>
      </c>
      <c r="B4509" s="534"/>
      <c r="C4509" s="441" t="s">
        <v>5367</v>
      </c>
      <c r="D4509" s="441" t="s">
        <v>5864</v>
      </c>
      <c r="E4509" s="441" t="s">
        <v>5877</v>
      </c>
      <c r="F4509" s="442" t="s">
        <v>5878</v>
      </c>
      <c r="G4509" s="371" t="s">
        <v>1560</v>
      </c>
      <c r="H4509" s="374" t="s">
        <v>3243</v>
      </c>
      <c r="I4509" s="470" t="s">
        <v>3243</v>
      </c>
      <c r="J4509" s="495">
        <v>5.05</v>
      </c>
      <c r="K4509" s="495">
        <v>4.3600000000000003</v>
      </c>
      <c r="L4509" s="495">
        <f t="shared" si="49"/>
        <v>0.6899999999999995</v>
      </c>
      <c r="M4509" s="337"/>
    </row>
    <row r="4510" spans="1:13" s="71" customFormat="1" ht="26.4" customHeight="1">
      <c r="A4510" s="282">
        <v>268</v>
      </c>
      <c r="B4510" s="534"/>
      <c r="C4510" s="441" t="s">
        <v>5305</v>
      </c>
      <c r="D4510" s="441" t="s">
        <v>5879</v>
      </c>
      <c r="E4510" s="441" t="s">
        <v>5880</v>
      </c>
      <c r="F4510" s="442" t="s">
        <v>5881</v>
      </c>
      <c r="G4510" s="371" t="s">
        <v>5291</v>
      </c>
      <c r="H4510" s="374" t="s">
        <v>1136</v>
      </c>
      <c r="I4510" s="470">
        <v>300</v>
      </c>
      <c r="J4510" s="495">
        <v>29.47</v>
      </c>
      <c r="K4510" s="495">
        <v>28.77</v>
      </c>
      <c r="L4510" s="495">
        <f t="shared" si="49"/>
        <v>0.69999999999999929</v>
      </c>
      <c r="M4510" s="337"/>
    </row>
    <row r="4511" spans="1:13" s="71" customFormat="1" ht="26.4" customHeight="1">
      <c r="A4511" s="282">
        <v>269</v>
      </c>
      <c r="B4511" s="534"/>
      <c r="C4511" s="441" t="s">
        <v>5305</v>
      </c>
      <c r="D4511" s="441" t="s">
        <v>5879</v>
      </c>
      <c r="E4511" s="441" t="s">
        <v>5818</v>
      </c>
      <c r="F4511" s="442" t="s">
        <v>5882</v>
      </c>
      <c r="G4511" s="371" t="s">
        <v>5291</v>
      </c>
      <c r="H4511" s="374" t="s">
        <v>5462</v>
      </c>
      <c r="I4511" s="470">
        <v>540</v>
      </c>
      <c r="J4511" s="495">
        <v>7.15</v>
      </c>
      <c r="K4511" s="495">
        <v>6.46</v>
      </c>
      <c r="L4511" s="495">
        <f t="shared" si="49"/>
        <v>0.69000000000000039</v>
      </c>
      <c r="M4511" s="337"/>
    </row>
    <row r="4512" spans="1:13" s="71" customFormat="1" ht="26.4" customHeight="1">
      <c r="A4512" s="282">
        <v>270</v>
      </c>
      <c r="B4512" s="534"/>
      <c r="C4512" s="441" t="s">
        <v>5305</v>
      </c>
      <c r="D4512" s="441" t="s">
        <v>5883</v>
      </c>
      <c r="E4512" s="441" t="s">
        <v>5884</v>
      </c>
      <c r="F4512" s="442" t="s">
        <v>5885</v>
      </c>
      <c r="G4512" s="371" t="s">
        <v>5291</v>
      </c>
      <c r="H4512" s="374" t="s">
        <v>5462</v>
      </c>
      <c r="I4512" s="470">
        <v>200</v>
      </c>
      <c r="J4512" s="495">
        <v>3.7</v>
      </c>
      <c r="K4512" s="495">
        <v>3.01</v>
      </c>
      <c r="L4512" s="495">
        <f t="shared" si="49"/>
        <v>0.69000000000000039</v>
      </c>
      <c r="M4512" s="337"/>
    </row>
    <row r="4513" spans="1:13" s="71" customFormat="1" ht="26.4" customHeight="1">
      <c r="A4513" s="282">
        <v>271</v>
      </c>
      <c r="B4513" s="534"/>
      <c r="C4513" s="441" t="s">
        <v>5305</v>
      </c>
      <c r="D4513" s="441" t="s">
        <v>5886</v>
      </c>
      <c r="E4513" s="441" t="s">
        <v>5887</v>
      </c>
      <c r="F4513" s="442" t="s">
        <v>5888</v>
      </c>
      <c r="G4513" s="371" t="s">
        <v>5291</v>
      </c>
      <c r="H4513" s="374" t="s">
        <v>5462</v>
      </c>
      <c r="I4513" s="470">
        <v>1285</v>
      </c>
      <c r="J4513" s="495">
        <v>16.54</v>
      </c>
      <c r="K4513" s="495">
        <v>15.58</v>
      </c>
      <c r="L4513" s="495">
        <f t="shared" si="49"/>
        <v>0.95999999999999908</v>
      </c>
      <c r="M4513" s="337"/>
    </row>
    <row r="4514" spans="1:13" s="71" customFormat="1" ht="26.4" customHeight="1">
      <c r="A4514" s="282">
        <v>272</v>
      </c>
      <c r="B4514" s="534"/>
      <c r="C4514" s="441" t="s">
        <v>5305</v>
      </c>
      <c r="D4514" s="441" t="s">
        <v>5889</v>
      </c>
      <c r="E4514" s="441" t="s">
        <v>5890</v>
      </c>
      <c r="F4514" s="442" t="s">
        <v>5891</v>
      </c>
      <c r="G4514" s="371" t="s">
        <v>5291</v>
      </c>
      <c r="H4514" s="374" t="s">
        <v>5462</v>
      </c>
      <c r="I4514" s="470">
        <v>720</v>
      </c>
      <c r="J4514" s="495">
        <v>16.760000000000002</v>
      </c>
      <c r="K4514" s="495">
        <v>16.07</v>
      </c>
      <c r="L4514" s="495">
        <f t="shared" si="49"/>
        <v>0.69000000000000128</v>
      </c>
      <c r="M4514" s="337"/>
    </row>
    <row r="4515" spans="1:13" s="71" customFormat="1" ht="26.4" customHeight="1">
      <c r="A4515" s="282">
        <v>273</v>
      </c>
      <c r="B4515" s="534"/>
      <c r="C4515" s="441" t="s">
        <v>5305</v>
      </c>
      <c r="D4515" s="441" t="s">
        <v>5892</v>
      </c>
      <c r="E4515" s="441" t="s">
        <v>5893</v>
      </c>
      <c r="F4515" s="442">
        <v>406</v>
      </c>
      <c r="G4515" s="371" t="s">
        <v>5291</v>
      </c>
      <c r="H4515" s="374" t="s">
        <v>5462</v>
      </c>
      <c r="I4515" s="470">
        <v>840</v>
      </c>
      <c r="J4515" s="495">
        <v>17.059999999999999</v>
      </c>
      <c r="K4515" s="495">
        <v>10.78</v>
      </c>
      <c r="L4515" s="495">
        <f t="shared" si="49"/>
        <v>6.2799999999999994</v>
      </c>
      <c r="M4515" s="337"/>
    </row>
    <row r="4516" spans="1:13" s="71" customFormat="1" ht="26.4" customHeight="1">
      <c r="A4516" s="282">
        <v>274</v>
      </c>
      <c r="B4516" s="534"/>
      <c r="C4516" s="441" t="s">
        <v>5305</v>
      </c>
      <c r="D4516" s="441" t="s">
        <v>5894</v>
      </c>
      <c r="E4516" s="441" t="s">
        <v>13152</v>
      </c>
      <c r="F4516" s="442" t="s">
        <v>5895</v>
      </c>
      <c r="G4516" s="371" t="s">
        <v>5291</v>
      </c>
      <c r="H4516" s="374" t="s">
        <v>5462</v>
      </c>
      <c r="I4516" s="470">
        <v>750</v>
      </c>
      <c r="J4516" s="495">
        <v>9.94</v>
      </c>
      <c r="K4516" s="495">
        <v>8.93</v>
      </c>
      <c r="L4516" s="495">
        <f t="shared" si="49"/>
        <v>1.0099999999999998</v>
      </c>
      <c r="M4516" s="337"/>
    </row>
    <row r="4517" spans="1:13" s="71" customFormat="1" ht="26.4" customHeight="1">
      <c r="A4517" s="282">
        <v>275</v>
      </c>
      <c r="B4517" s="534"/>
      <c r="C4517" s="441" t="s">
        <v>5305</v>
      </c>
      <c r="D4517" s="441" t="s">
        <v>5896</v>
      </c>
      <c r="E4517" s="441" t="s">
        <v>5852</v>
      </c>
      <c r="F4517" s="442">
        <v>408</v>
      </c>
      <c r="G4517" s="371" t="s">
        <v>5291</v>
      </c>
      <c r="H4517" s="374" t="s">
        <v>5462</v>
      </c>
      <c r="I4517" s="470">
        <v>940</v>
      </c>
      <c r="J4517" s="495">
        <v>11.71</v>
      </c>
      <c r="K4517" s="495">
        <v>11.01</v>
      </c>
      <c r="L4517" s="495">
        <f t="shared" si="49"/>
        <v>0.70000000000000107</v>
      </c>
      <c r="M4517" s="337"/>
    </row>
    <row r="4518" spans="1:13" s="71" customFormat="1" ht="26.4" customHeight="1">
      <c r="A4518" s="282">
        <v>276</v>
      </c>
      <c r="B4518" s="534"/>
      <c r="C4518" s="441" t="s">
        <v>5305</v>
      </c>
      <c r="D4518" s="441" t="s">
        <v>5897</v>
      </c>
      <c r="E4518" s="441" t="s">
        <v>5898</v>
      </c>
      <c r="F4518" s="442" t="s">
        <v>5899</v>
      </c>
      <c r="G4518" s="371" t="s">
        <v>5291</v>
      </c>
      <c r="H4518" s="374" t="s">
        <v>5462</v>
      </c>
      <c r="I4518" s="470">
        <v>2150</v>
      </c>
      <c r="J4518" s="495">
        <v>58.3</v>
      </c>
      <c r="K4518" s="495">
        <v>57.6</v>
      </c>
      <c r="L4518" s="495">
        <f t="shared" si="49"/>
        <v>0.69999999999999574</v>
      </c>
      <c r="M4518" s="337"/>
    </row>
    <row r="4519" spans="1:13" s="71" customFormat="1" ht="26.4" customHeight="1">
      <c r="A4519" s="282">
        <v>277</v>
      </c>
      <c r="B4519" s="534"/>
      <c r="C4519" s="441" t="s">
        <v>5305</v>
      </c>
      <c r="D4519" s="441" t="s">
        <v>5896</v>
      </c>
      <c r="E4519" s="441" t="s">
        <v>5852</v>
      </c>
      <c r="F4519" s="442" t="s">
        <v>5900</v>
      </c>
      <c r="G4519" s="371" t="s">
        <v>5291</v>
      </c>
      <c r="H4519" s="374" t="s">
        <v>5462</v>
      </c>
      <c r="I4519" s="470">
        <v>6370</v>
      </c>
      <c r="J4519" s="495">
        <v>94.19</v>
      </c>
      <c r="K4519" s="495">
        <v>93.49</v>
      </c>
      <c r="L4519" s="495">
        <f t="shared" si="49"/>
        <v>0.70000000000000284</v>
      </c>
      <c r="M4519" s="337"/>
    </row>
    <row r="4520" spans="1:13" s="71" customFormat="1" ht="26.4" customHeight="1">
      <c r="A4520" s="282">
        <v>278</v>
      </c>
      <c r="B4520" s="534"/>
      <c r="C4520" s="441" t="s">
        <v>5305</v>
      </c>
      <c r="D4520" s="441" t="s">
        <v>5901</v>
      </c>
      <c r="E4520" s="441" t="s">
        <v>5902</v>
      </c>
      <c r="F4520" s="442" t="s">
        <v>5903</v>
      </c>
      <c r="G4520" s="371" t="s">
        <v>5291</v>
      </c>
      <c r="H4520" s="374" t="s">
        <v>5462</v>
      </c>
      <c r="I4520" s="470">
        <v>1630</v>
      </c>
      <c r="J4520" s="495">
        <v>23.32</v>
      </c>
      <c r="K4520" s="495">
        <v>22.33</v>
      </c>
      <c r="L4520" s="495">
        <f t="shared" si="49"/>
        <v>0.99000000000000199</v>
      </c>
      <c r="M4520" s="337"/>
    </row>
    <row r="4521" spans="1:13" s="71" customFormat="1" ht="26.4" customHeight="1">
      <c r="A4521" s="282">
        <v>279</v>
      </c>
      <c r="B4521" s="534"/>
      <c r="C4521" s="441" t="s">
        <v>5305</v>
      </c>
      <c r="D4521" s="441" t="s">
        <v>5904</v>
      </c>
      <c r="E4521" s="441" t="s">
        <v>5857</v>
      </c>
      <c r="F4521" s="442" t="s">
        <v>5905</v>
      </c>
      <c r="G4521" s="371" t="s">
        <v>5291</v>
      </c>
      <c r="H4521" s="374" t="s">
        <v>5462</v>
      </c>
      <c r="I4521" s="470">
        <v>1970</v>
      </c>
      <c r="J4521" s="495">
        <v>24.5</v>
      </c>
      <c r="K4521" s="495">
        <v>22.52</v>
      </c>
      <c r="L4521" s="495">
        <f t="shared" si="49"/>
        <v>1.9800000000000004</v>
      </c>
      <c r="M4521" s="337"/>
    </row>
    <row r="4522" spans="1:13" s="71" customFormat="1" ht="26.4" customHeight="1">
      <c r="A4522" s="282">
        <v>280</v>
      </c>
      <c r="B4522" s="534"/>
      <c r="C4522" s="441" t="s">
        <v>5305</v>
      </c>
      <c r="D4522" s="441" t="s">
        <v>5906</v>
      </c>
      <c r="E4522" s="441" t="s">
        <v>5907</v>
      </c>
      <c r="F4522" s="442" t="s">
        <v>5908</v>
      </c>
      <c r="G4522" s="371" t="s">
        <v>5291</v>
      </c>
      <c r="H4522" s="374" t="s">
        <v>5462</v>
      </c>
      <c r="I4522" s="470">
        <v>400</v>
      </c>
      <c r="J4522" s="495">
        <v>5.56</v>
      </c>
      <c r="K4522" s="495">
        <v>4.8600000000000003</v>
      </c>
      <c r="L4522" s="495">
        <f t="shared" si="49"/>
        <v>0.69999999999999929</v>
      </c>
      <c r="M4522" s="337"/>
    </row>
    <row r="4523" spans="1:13" s="71" customFormat="1" ht="26.4" customHeight="1">
      <c r="A4523" s="282">
        <v>281</v>
      </c>
      <c r="B4523" s="534"/>
      <c r="C4523" s="441" t="s">
        <v>5305</v>
      </c>
      <c r="D4523" s="441" t="s">
        <v>5909</v>
      </c>
      <c r="E4523" s="441" t="s">
        <v>5910</v>
      </c>
      <c r="F4523" s="442" t="s">
        <v>5911</v>
      </c>
      <c r="G4523" s="371" t="s">
        <v>5291</v>
      </c>
      <c r="H4523" s="374" t="s">
        <v>5462</v>
      </c>
      <c r="I4523" s="470">
        <v>940</v>
      </c>
      <c r="J4523" s="495">
        <v>12.14</v>
      </c>
      <c r="K4523" s="495">
        <v>10.68</v>
      </c>
      <c r="L4523" s="495">
        <f t="shared" si="49"/>
        <v>1.4600000000000009</v>
      </c>
      <c r="M4523" s="337"/>
    </row>
    <row r="4524" spans="1:13" s="71" customFormat="1" ht="26.4" customHeight="1">
      <c r="A4524" s="282">
        <v>282</v>
      </c>
      <c r="B4524" s="534"/>
      <c r="C4524" s="441" t="s">
        <v>5305</v>
      </c>
      <c r="D4524" s="441" t="s">
        <v>5912</v>
      </c>
      <c r="E4524" s="441" t="s">
        <v>5913</v>
      </c>
      <c r="F4524" s="442" t="s">
        <v>5914</v>
      </c>
      <c r="G4524" s="371" t="s">
        <v>5291</v>
      </c>
      <c r="H4524" s="374" t="s">
        <v>5462</v>
      </c>
      <c r="I4524" s="470">
        <v>330</v>
      </c>
      <c r="J4524" s="495">
        <v>4.76</v>
      </c>
      <c r="K4524" s="495">
        <v>4.0599999999999996</v>
      </c>
      <c r="L4524" s="495">
        <f t="shared" si="49"/>
        <v>0.70000000000000018</v>
      </c>
      <c r="M4524" s="337"/>
    </row>
    <row r="4525" spans="1:13" s="71" customFormat="1" ht="26.4" customHeight="1">
      <c r="A4525" s="282">
        <v>283</v>
      </c>
      <c r="B4525" s="534"/>
      <c r="C4525" s="441" t="s">
        <v>5305</v>
      </c>
      <c r="D4525" s="441" t="s">
        <v>5915</v>
      </c>
      <c r="E4525" s="441" t="s">
        <v>5916</v>
      </c>
      <c r="F4525" s="442" t="s">
        <v>5917</v>
      </c>
      <c r="G4525" s="371" t="s">
        <v>5291</v>
      </c>
      <c r="H4525" s="374" t="s">
        <v>5462</v>
      </c>
      <c r="I4525" s="470">
        <v>200</v>
      </c>
      <c r="J4525" s="495">
        <v>3.14</v>
      </c>
      <c r="K4525" s="495">
        <v>2.4500000000000002</v>
      </c>
      <c r="L4525" s="495">
        <f t="shared" si="49"/>
        <v>0.69</v>
      </c>
      <c r="M4525" s="337"/>
    </row>
    <row r="4526" spans="1:13" s="71" customFormat="1" ht="26.4" customHeight="1">
      <c r="A4526" s="282">
        <v>284</v>
      </c>
      <c r="B4526" s="534"/>
      <c r="C4526" s="441" t="s">
        <v>5305</v>
      </c>
      <c r="D4526" s="441" t="s">
        <v>5918</v>
      </c>
      <c r="E4526" s="441" t="s">
        <v>5919</v>
      </c>
      <c r="F4526" s="442" t="s">
        <v>5920</v>
      </c>
      <c r="G4526" s="371" t="s">
        <v>5291</v>
      </c>
      <c r="H4526" s="374" t="s">
        <v>5462</v>
      </c>
      <c r="I4526" s="470">
        <v>1140</v>
      </c>
      <c r="J4526" s="495">
        <v>13.99</v>
      </c>
      <c r="K4526" s="495">
        <v>13.29</v>
      </c>
      <c r="L4526" s="495">
        <f t="shared" si="49"/>
        <v>0.70000000000000107</v>
      </c>
      <c r="M4526" s="337"/>
    </row>
    <row r="4527" spans="1:13" s="71" customFormat="1" ht="26.4" customHeight="1">
      <c r="A4527" s="282">
        <v>285</v>
      </c>
      <c r="B4527" s="534"/>
      <c r="C4527" s="441" t="s">
        <v>5305</v>
      </c>
      <c r="D4527" s="441" t="s">
        <v>5921</v>
      </c>
      <c r="E4527" s="441" t="s">
        <v>5922</v>
      </c>
      <c r="F4527" s="442">
        <v>418</v>
      </c>
      <c r="G4527" s="371" t="s">
        <v>5291</v>
      </c>
      <c r="H4527" s="374" t="s">
        <v>5462</v>
      </c>
      <c r="I4527" s="470">
        <v>200</v>
      </c>
      <c r="J4527" s="495">
        <v>3.7</v>
      </c>
      <c r="K4527" s="495">
        <v>3.01</v>
      </c>
      <c r="L4527" s="495">
        <f t="shared" si="49"/>
        <v>0.69000000000000039</v>
      </c>
      <c r="M4527" s="337"/>
    </row>
    <row r="4528" spans="1:13" s="71" customFormat="1" ht="26.4" customHeight="1">
      <c r="A4528" s="282">
        <v>286</v>
      </c>
      <c r="B4528" s="534"/>
      <c r="C4528" s="441" t="s">
        <v>5305</v>
      </c>
      <c r="D4528" s="441" t="s">
        <v>5923</v>
      </c>
      <c r="E4528" s="441" t="s">
        <v>5924</v>
      </c>
      <c r="F4528" s="442" t="s">
        <v>5925</v>
      </c>
      <c r="G4528" s="371" t="s">
        <v>1573</v>
      </c>
      <c r="H4528" s="374" t="s">
        <v>5462</v>
      </c>
      <c r="I4528" s="470">
        <v>4765</v>
      </c>
      <c r="J4528" s="495">
        <v>71.16</v>
      </c>
      <c r="K4528" s="495">
        <v>62.1</v>
      </c>
      <c r="L4528" s="495">
        <f t="shared" si="49"/>
        <v>9.0599999999999952</v>
      </c>
      <c r="M4528" s="337"/>
    </row>
    <row r="4529" spans="1:13" s="71" customFormat="1" ht="26.4" customHeight="1">
      <c r="A4529" s="282">
        <v>287</v>
      </c>
      <c r="B4529" s="534"/>
      <c r="C4529" s="441" t="s">
        <v>5305</v>
      </c>
      <c r="D4529" s="441" t="s">
        <v>5926</v>
      </c>
      <c r="E4529" s="441" t="s">
        <v>5927</v>
      </c>
      <c r="F4529" s="442" t="s">
        <v>5928</v>
      </c>
      <c r="G4529" s="371" t="s">
        <v>1578</v>
      </c>
      <c r="H4529" s="374" t="s">
        <v>5462</v>
      </c>
      <c r="I4529" s="470">
        <v>3507</v>
      </c>
      <c r="J4529" s="495">
        <v>86.07</v>
      </c>
      <c r="K4529" s="495">
        <v>77.459999999999994</v>
      </c>
      <c r="L4529" s="495">
        <f t="shared" si="49"/>
        <v>8.61</v>
      </c>
      <c r="M4529" s="337"/>
    </row>
    <row r="4530" spans="1:13" s="71" customFormat="1" ht="26.4" customHeight="1">
      <c r="A4530" s="282">
        <v>288</v>
      </c>
      <c r="B4530" s="534"/>
      <c r="C4530" s="441" t="s">
        <v>5305</v>
      </c>
      <c r="D4530" s="441" t="s">
        <v>5929</v>
      </c>
      <c r="E4530" s="441" t="s">
        <v>5930</v>
      </c>
      <c r="F4530" s="442">
        <v>631</v>
      </c>
      <c r="G4530" s="371" t="s">
        <v>1579</v>
      </c>
      <c r="H4530" s="374" t="s">
        <v>5462</v>
      </c>
      <c r="I4530" s="470">
        <v>621</v>
      </c>
      <c r="J4530" s="495">
        <v>9.7100000000000009</v>
      </c>
      <c r="K4530" s="495">
        <v>7.41</v>
      </c>
      <c r="L4530" s="495">
        <f t="shared" si="49"/>
        <v>2.3000000000000007</v>
      </c>
      <c r="M4530" s="337"/>
    </row>
    <row r="4531" spans="1:13" s="71" customFormat="1" ht="26.4" customHeight="1">
      <c r="A4531" s="282">
        <v>289</v>
      </c>
      <c r="B4531" s="534"/>
      <c r="C4531" s="441" t="s">
        <v>5305</v>
      </c>
      <c r="D4531" s="441" t="s">
        <v>5929</v>
      </c>
      <c r="E4531" s="441" t="s">
        <v>5931</v>
      </c>
      <c r="F4531" s="442" t="s">
        <v>5932</v>
      </c>
      <c r="G4531" s="371" t="s">
        <v>1579</v>
      </c>
      <c r="H4531" s="374" t="s">
        <v>5462</v>
      </c>
      <c r="I4531" s="470">
        <v>155</v>
      </c>
      <c r="J4531" s="495">
        <v>3.07</v>
      </c>
      <c r="K4531" s="495">
        <v>2.27</v>
      </c>
      <c r="L4531" s="495">
        <f t="shared" si="49"/>
        <v>0.79999999999999982</v>
      </c>
      <c r="M4531" s="337"/>
    </row>
    <row r="4532" spans="1:13" s="71" customFormat="1" ht="26.4" customHeight="1">
      <c r="A4532" s="282">
        <v>290</v>
      </c>
      <c r="B4532" s="534"/>
      <c r="C4532" s="441" t="s">
        <v>5305</v>
      </c>
      <c r="D4532" s="441" t="s">
        <v>5929</v>
      </c>
      <c r="E4532" s="441" t="s">
        <v>5933</v>
      </c>
      <c r="F4532" s="442" t="s">
        <v>5934</v>
      </c>
      <c r="G4532" s="371" t="s">
        <v>1557</v>
      </c>
      <c r="H4532" s="374" t="s">
        <v>5462</v>
      </c>
      <c r="I4532" s="470">
        <v>4</v>
      </c>
      <c r="J4532" s="495">
        <v>1.24</v>
      </c>
      <c r="K4532" s="495">
        <v>0.55000000000000004</v>
      </c>
      <c r="L4532" s="495">
        <f t="shared" si="49"/>
        <v>0.69</v>
      </c>
      <c r="M4532" s="337"/>
    </row>
    <row r="4533" spans="1:13" s="71" customFormat="1" ht="26.4" customHeight="1">
      <c r="A4533" s="282">
        <v>291</v>
      </c>
      <c r="B4533" s="534"/>
      <c r="C4533" s="441" t="s">
        <v>5305</v>
      </c>
      <c r="D4533" s="441" t="s">
        <v>5929</v>
      </c>
      <c r="E4533" s="441" t="s">
        <v>5935</v>
      </c>
      <c r="F4533" s="442" t="s">
        <v>5936</v>
      </c>
      <c r="G4533" s="371" t="s">
        <v>1557</v>
      </c>
      <c r="H4533" s="374" t="s">
        <v>5462</v>
      </c>
      <c r="I4533" s="470">
        <v>12</v>
      </c>
      <c r="J4533" s="495">
        <v>3.29</v>
      </c>
      <c r="K4533" s="495">
        <v>2.2400000000000002</v>
      </c>
      <c r="L4533" s="495">
        <f t="shared" si="49"/>
        <v>1.0499999999999998</v>
      </c>
      <c r="M4533" s="337"/>
    </row>
    <row r="4534" spans="1:13" s="71" customFormat="1" ht="26.4" customHeight="1">
      <c r="A4534" s="282">
        <v>292</v>
      </c>
      <c r="B4534" s="534"/>
      <c r="C4534" s="441" t="s">
        <v>5305</v>
      </c>
      <c r="D4534" s="441" t="s">
        <v>5937</v>
      </c>
      <c r="E4534" s="441" t="s">
        <v>5938</v>
      </c>
      <c r="F4534" s="442" t="s">
        <v>5939</v>
      </c>
      <c r="G4534" s="371" t="s">
        <v>1530</v>
      </c>
      <c r="H4534" s="374" t="s">
        <v>5462</v>
      </c>
      <c r="I4534" s="470">
        <v>130</v>
      </c>
      <c r="J4534" s="495">
        <v>2.27</v>
      </c>
      <c r="K4534" s="495">
        <v>1.58</v>
      </c>
      <c r="L4534" s="495">
        <f t="shared" si="49"/>
        <v>0.69</v>
      </c>
      <c r="M4534" s="337"/>
    </row>
    <row r="4535" spans="1:13" s="71" customFormat="1" ht="26.4" customHeight="1">
      <c r="A4535" s="282">
        <v>293</v>
      </c>
      <c r="B4535" s="534"/>
      <c r="C4535" s="441" t="s">
        <v>5305</v>
      </c>
      <c r="D4535" s="441" t="s">
        <v>5937</v>
      </c>
      <c r="E4535" s="441" t="s">
        <v>5940</v>
      </c>
      <c r="F4535" s="442" t="s">
        <v>5941</v>
      </c>
      <c r="G4535" s="371" t="s">
        <v>1530</v>
      </c>
      <c r="H4535" s="374" t="s">
        <v>5462</v>
      </c>
      <c r="I4535" s="470">
        <v>90</v>
      </c>
      <c r="J4535" s="495">
        <v>2.2999999999999998</v>
      </c>
      <c r="K4535" s="495">
        <v>1.6</v>
      </c>
      <c r="L4535" s="495">
        <f t="shared" si="49"/>
        <v>0.69999999999999973</v>
      </c>
      <c r="M4535" s="337"/>
    </row>
    <row r="4536" spans="1:13" s="71" customFormat="1" ht="26.4" customHeight="1">
      <c r="A4536" s="282">
        <v>294</v>
      </c>
      <c r="B4536" s="534"/>
      <c r="C4536" s="441" t="s">
        <v>5305</v>
      </c>
      <c r="D4536" s="441" t="s">
        <v>5942</v>
      </c>
      <c r="E4536" s="441" t="s">
        <v>5943</v>
      </c>
      <c r="F4536" s="442" t="s">
        <v>5944</v>
      </c>
      <c r="G4536" s="371" t="s">
        <v>1549</v>
      </c>
      <c r="H4536" s="374" t="s">
        <v>5462</v>
      </c>
      <c r="I4536" s="470">
        <v>2779</v>
      </c>
      <c r="J4536" s="495">
        <v>166.26</v>
      </c>
      <c r="K4536" s="495">
        <v>134.56</v>
      </c>
      <c r="L4536" s="495">
        <f t="shared" si="49"/>
        <v>31.699999999999989</v>
      </c>
      <c r="M4536" s="337"/>
    </row>
    <row r="4537" spans="1:13" s="71" customFormat="1" ht="26.4" customHeight="1">
      <c r="A4537" s="282">
        <v>295</v>
      </c>
      <c r="B4537" s="534"/>
      <c r="C4537" s="441" t="s">
        <v>5305</v>
      </c>
      <c r="D4537" s="441" t="s">
        <v>5942</v>
      </c>
      <c r="E4537" s="441" t="s">
        <v>5945</v>
      </c>
      <c r="F4537" s="442" t="s">
        <v>5946</v>
      </c>
      <c r="G4537" s="371" t="s">
        <v>1549</v>
      </c>
      <c r="H4537" s="374" t="s">
        <v>5462</v>
      </c>
      <c r="I4537" s="470">
        <v>100</v>
      </c>
      <c r="J4537" s="495">
        <v>3.52</v>
      </c>
      <c r="K4537" s="495">
        <v>2.56</v>
      </c>
      <c r="L4537" s="495">
        <f t="shared" si="49"/>
        <v>0.96</v>
      </c>
      <c r="M4537" s="337"/>
    </row>
    <row r="4538" spans="1:13" s="71" customFormat="1" ht="26.4" customHeight="1">
      <c r="A4538" s="282">
        <v>296</v>
      </c>
      <c r="B4538" s="534"/>
      <c r="C4538" s="441" t="s">
        <v>5305</v>
      </c>
      <c r="D4538" s="441" t="s">
        <v>5947</v>
      </c>
      <c r="E4538" s="441" t="s">
        <v>5948</v>
      </c>
      <c r="F4538" s="442" t="s">
        <v>5949</v>
      </c>
      <c r="G4538" s="371" t="s">
        <v>1552</v>
      </c>
      <c r="H4538" s="374" t="s">
        <v>5462</v>
      </c>
      <c r="I4538" s="470">
        <v>110</v>
      </c>
      <c r="J4538" s="495">
        <v>2.7</v>
      </c>
      <c r="K4538" s="495">
        <v>2</v>
      </c>
      <c r="L4538" s="495">
        <f t="shared" si="49"/>
        <v>0.70000000000000018</v>
      </c>
      <c r="M4538" s="337"/>
    </row>
    <row r="4539" spans="1:13" s="71" customFormat="1" ht="26.4" customHeight="1">
      <c r="A4539" s="282">
        <v>297</v>
      </c>
      <c r="B4539" s="534"/>
      <c r="C4539" s="441" t="s">
        <v>5305</v>
      </c>
      <c r="D4539" s="441" t="s">
        <v>5947</v>
      </c>
      <c r="E4539" s="441" t="s">
        <v>5948</v>
      </c>
      <c r="F4539" s="442" t="s">
        <v>5950</v>
      </c>
      <c r="G4539" s="371" t="s">
        <v>1552</v>
      </c>
      <c r="H4539" s="374" t="s">
        <v>5462</v>
      </c>
      <c r="I4539" s="470">
        <v>145</v>
      </c>
      <c r="J4539" s="495">
        <v>2.7</v>
      </c>
      <c r="K4539" s="495">
        <v>2</v>
      </c>
      <c r="L4539" s="495">
        <f t="shared" si="49"/>
        <v>0.70000000000000018</v>
      </c>
      <c r="M4539" s="337"/>
    </row>
    <row r="4540" spans="1:13" s="71" customFormat="1" ht="26.4" customHeight="1">
      <c r="A4540" s="282">
        <v>298</v>
      </c>
      <c r="B4540" s="534"/>
      <c r="C4540" s="441" t="s">
        <v>5305</v>
      </c>
      <c r="D4540" s="441" t="s">
        <v>5951</v>
      </c>
      <c r="E4540" s="441" t="s">
        <v>5952</v>
      </c>
      <c r="F4540" s="442" t="s">
        <v>5953</v>
      </c>
      <c r="G4540" s="371" t="s">
        <v>1528</v>
      </c>
      <c r="H4540" s="374" t="s">
        <v>5462</v>
      </c>
      <c r="I4540" s="470">
        <v>100</v>
      </c>
      <c r="J4540" s="495">
        <v>2.67</v>
      </c>
      <c r="K4540" s="495">
        <v>1.98</v>
      </c>
      <c r="L4540" s="495">
        <f t="shared" si="49"/>
        <v>0.69</v>
      </c>
      <c r="M4540" s="337"/>
    </row>
    <row r="4541" spans="1:13" s="71" customFormat="1" ht="26.4" customHeight="1">
      <c r="A4541" s="282">
        <v>299</v>
      </c>
      <c r="B4541" s="534"/>
      <c r="C4541" s="441" t="s">
        <v>5305</v>
      </c>
      <c r="D4541" s="441" t="s">
        <v>5904</v>
      </c>
      <c r="E4541" s="441" t="s">
        <v>5954</v>
      </c>
      <c r="F4541" s="442" t="s">
        <v>5955</v>
      </c>
      <c r="G4541" s="371" t="s">
        <v>1557</v>
      </c>
      <c r="H4541" s="374" t="s">
        <v>5462</v>
      </c>
      <c r="I4541" s="470">
        <v>490</v>
      </c>
      <c r="J4541" s="495">
        <v>12.96</v>
      </c>
      <c r="K4541" s="495">
        <v>9.15</v>
      </c>
      <c r="L4541" s="495">
        <f t="shared" si="49"/>
        <v>3.8100000000000005</v>
      </c>
      <c r="M4541" s="337"/>
    </row>
    <row r="4542" spans="1:13" s="71" customFormat="1" ht="26.4" customHeight="1">
      <c r="A4542" s="282">
        <v>300</v>
      </c>
      <c r="B4542" s="534"/>
      <c r="C4542" s="441" t="s">
        <v>5956</v>
      </c>
      <c r="D4542" s="441" t="s">
        <v>5929</v>
      </c>
      <c r="E4542" s="441" t="s">
        <v>5957</v>
      </c>
      <c r="F4542" s="442" t="s">
        <v>5958</v>
      </c>
      <c r="G4542" s="371" t="s">
        <v>1557</v>
      </c>
      <c r="H4542" s="374" t="s">
        <v>5462</v>
      </c>
      <c r="I4542" s="470">
        <v>110</v>
      </c>
      <c r="J4542" s="495">
        <v>2.86</v>
      </c>
      <c r="K4542" s="495">
        <v>2.04</v>
      </c>
      <c r="L4542" s="495">
        <f t="shared" si="49"/>
        <v>0.81999999999999984</v>
      </c>
      <c r="M4542" s="337"/>
    </row>
    <row r="4543" spans="1:13" s="71" customFormat="1" ht="26.4" customHeight="1">
      <c r="A4543" s="282">
        <v>301</v>
      </c>
      <c r="B4543" s="534"/>
      <c r="C4543" s="441" t="s">
        <v>5305</v>
      </c>
      <c r="D4543" s="441" t="s">
        <v>5929</v>
      </c>
      <c r="E4543" s="441" t="s">
        <v>5959</v>
      </c>
      <c r="F4543" s="442" t="s">
        <v>5960</v>
      </c>
      <c r="G4543" s="371" t="s">
        <v>1557</v>
      </c>
      <c r="H4543" s="374" t="s">
        <v>5462</v>
      </c>
      <c r="I4543" s="470">
        <v>105</v>
      </c>
      <c r="J4543" s="495">
        <v>3.17</v>
      </c>
      <c r="K4543" s="495">
        <v>2.2599999999999998</v>
      </c>
      <c r="L4543" s="495">
        <f t="shared" si="49"/>
        <v>0.91000000000000014</v>
      </c>
      <c r="M4543" s="337"/>
    </row>
    <row r="4544" spans="1:13" s="71" customFormat="1" ht="26.4" customHeight="1">
      <c r="A4544" s="282">
        <v>302</v>
      </c>
      <c r="B4544" s="534"/>
      <c r="C4544" s="441" t="s">
        <v>5305</v>
      </c>
      <c r="D4544" s="441" t="s">
        <v>5904</v>
      </c>
      <c r="E4544" s="441" t="s">
        <v>5961</v>
      </c>
      <c r="F4544" s="442" t="s">
        <v>5962</v>
      </c>
      <c r="G4544" s="371" t="s">
        <v>1529</v>
      </c>
      <c r="H4544" s="374" t="s">
        <v>5462</v>
      </c>
      <c r="I4544" s="470">
        <v>529</v>
      </c>
      <c r="J4544" s="495">
        <v>34.28</v>
      </c>
      <c r="K4544" s="495">
        <v>32.81</v>
      </c>
      <c r="L4544" s="495">
        <f t="shared" si="49"/>
        <v>1.4699999999999989</v>
      </c>
      <c r="M4544" s="337"/>
    </row>
    <row r="4545" spans="1:13" s="71" customFormat="1" ht="26.4" customHeight="1">
      <c r="A4545" s="282">
        <v>303</v>
      </c>
      <c r="B4545" s="534"/>
      <c r="C4545" s="441" t="s">
        <v>5305</v>
      </c>
      <c r="D4545" s="441" t="s">
        <v>5904</v>
      </c>
      <c r="E4545" s="441" t="s">
        <v>5963</v>
      </c>
      <c r="F4545" s="442" t="s">
        <v>5964</v>
      </c>
      <c r="G4545" s="371" t="s">
        <v>1529</v>
      </c>
      <c r="H4545" s="374" t="s">
        <v>5462</v>
      </c>
      <c r="I4545" s="470">
        <v>116</v>
      </c>
      <c r="J4545" s="495">
        <v>3.22</v>
      </c>
      <c r="K4545" s="495">
        <v>2.39</v>
      </c>
      <c r="L4545" s="495">
        <f t="shared" si="49"/>
        <v>0.83000000000000007</v>
      </c>
      <c r="M4545" s="337"/>
    </row>
    <row r="4546" spans="1:13" s="71" customFormat="1" ht="26.4" customHeight="1">
      <c r="A4546" s="282">
        <v>304</v>
      </c>
      <c r="B4546" s="534"/>
      <c r="C4546" s="441" t="s">
        <v>5305</v>
      </c>
      <c r="D4546" s="441" t="s">
        <v>5965</v>
      </c>
      <c r="E4546" s="441" t="s">
        <v>5966</v>
      </c>
      <c r="F4546" s="442" t="s">
        <v>5967</v>
      </c>
      <c r="G4546" s="371" t="s">
        <v>1541</v>
      </c>
      <c r="H4546" s="374" t="s">
        <v>5462</v>
      </c>
      <c r="I4546" s="470">
        <v>277</v>
      </c>
      <c r="J4546" s="495">
        <v>75.849999999999994</v>
      </c>
      <c r="K4546" s="495">
        <v>38.07</v>
      </c>
      <c r="L4546" s="495">
        <f t="shared" si="49"/>
        <v>37.779999999999994</v>
      </c>
      <c r="M4546" s="337"/>
    </row>
    <row r="4547" spans="1:13" s="71" customFormat="1" ht="26.4" customHeight="1">
      <c r="A4547" s="282">
        <v>305</v>
      </c>
      <c r="B4547" s="534"/>
      <c r="C4547" s="441" t="s">
        <v>5305</v>
      </c>
      <c r="D4547" s="441" t="s">
        <v>5968</v>
      </c>
      <c r="E4547" s="441" t="s">
        <v>5969</v>
      </c>
      <c r="F4547" s="442" t="s">
        <v>5970</v>
      </c>
      <c r="G4547" s="371" t="s">
        <v>1581</v>
      </c>
      <c r="H4547" s="374" t="s">
        <v>5462</v>
      </c>
      <c r="I4547" s="470">
        <v>406</v>
      </c>
      <c r="J4547" s="495">
        <v>107.31</v>
      </c>
      <c r="K4547" s="495">
        <v>57.37</v>
      </c>
      <c r="L4547" s="495">
        <f t="shared" si="49"/>
        <v>49.940000000000005</v>
      </c>
      <c r="M4547" s="337"/>
    </row>
    <row r="4548" spans="1:13" s="71" customFormat="1" ht="26.4" customHeight="1">
      <c r="A4548" s="282">
        <v>306</v>
      </c>
      <c r="B4548" s="534"/>
      <c r="C4548" s="441" t="s">
        <v>5305</v>
      </c>
      <c r="D4548" s="441" t="s">
        <v>5968</v>
      </c>
      <c r="E4548" s="441" t="s">
        <v>5971</v>
      </c>
      <c r="F4548" s="442" t="s">
        <v>5972</v>
      </c>
      <c r="G4548" s="371" t="s">
        <v>1581</v>
      </c>
      <c r="H4548" s="374" t="s">
        <v>5462</v>
      </c>
      <c r="I4548" s="470">
        <v>406</v>
      </c>
      <c r="J4548" s="495">
        <v>106.27</v>
      </c>
      <c r="K4548" s="495">
        <v>56.81</v>
      </c>
      <c r="L4548" s="495">
        <f t="shared" si="49"/>
        <v>49.459999999999994</v>
      </c>
      <c r="M4548" s="337"/>
    </row>
    <row r="4549" spans="1:13" s="71" customFormat="1" ht="26.4" customHeight="1">
      <c r="A4549" s="282">
        <v>307</v>
      </c>
      <c r="B4549" s="534"/>
      <c r="C4549" s="441" t="s">
        <v>5305</v>
      </c>
      <c r="D4549" s="441" t="s">
        <v>5901</v>
      </c>
      <c r="E4549" s="441" t="s">
        <v>5973</v>
      </c>
      <c r="F4549" s="442" t="s">
        <v>5974</v>
      </c>
      <c r="G4549" s="371" t="s">
        <v>1581</v>
      </c>
      <c r="H4549" s="374" t="s">
        <v>5462</v>
      </c>
      <c r="I4549" s="470">
        <v>427</v>
      </c>
      <c r="J4549" s="495">
        <v>36.700000000000003</v>
      </c>
      <c r="K4549" s="495">
        <v>10.56</v>
      </c>
      <c r="L4549" s="495">
        <f t="shared" si="49"/>
        <v>26.14</v>
      </c>
      <c r="M4549" s="337"/>
    </row>
    <row r="4550" spans="1:13" s="71" customFormat="1" ht="39.6">
      <c r="A4550" s="282">
        <v>308</v>
      </c>
      <c r="B4550" s="534"/>
      <c r="C4550" s="441" t="s">
        <v>5305</v>
      </c>
      <c r="D4550" s="441" t="s">
        <v>5975</v>
      </c>
      <c r="E4550" s="441" t="s">
        <v>5976</v>
      </c>
      <c r="F4550" s="442" t="s">
        <v>5977</v>
      </c>
      <c r="G4550" s="371" t="s">
        <v>1581</v>
      </c>
      <c r="H4550" s="374" t="s">
        <v>5462</v>
      </c>
      <c r="I4550" s="470">
        <v>456</v>
      </c>
      <c r="J4550" s="495">
        <v>307.77</v>
      </c>
      <c r="K4550" s="495">
        <v>80.56</v>
      </c>
      <c r="L4550" s="495">
        <f t="shared" si="49"/>
        <v>227.20999999999998</v>
      </c>
      <c r="M4550" s="337"/>
    </row>
    <row r="4551" spans="1:13" s="71" customFormat="1" ht="26.4" customHeight="1">
      <c r="A4551" s="282">
        <v>309</v>
      </c>
      <c r="B4551" s="534"/>
      <c r="C4551" s="441" t="s">
        <v>5305</v>
      </c>
      <c r="D4551" s="441" t="s">
        <v>5975</v>
      </c>
      <c r="E4551" s="441" t="s">
        <v>5978</v>
      </c>
      <c r="F4551" s="442">
        <v>2059</v>
      </c>
      <c r="G4551" s="371" t="s">
        <v>1555</v>
      </c>
      <c r="H4551" s="374" t="s">
        <v>5462</v>
      </c>
      <c r="I4551" s="470">
        <v>5723</v>
      </c>
      <c r="J4551" s="495">
        <v>49.75</v>
      </c>
      <c r="K4551" s="495">
        <v>46.47</v>
      </c>
      <c r="L4551" s="495">
        <f t="shared" si="49"/>
        <v>3.2800000000000011</v>
      </c>
      <c r="M4551" s="337"/>
    </row>
    <row r="4552" spans="1:13" s="71" customFormat="1" ht="26.4" customHeight="1">
      <c r="A4552" s="282">
        <v>310</v>
      </c>
      <c r="B4552" s="534"/>
      <c r="C4552" s="441" t="s">
        <v>5956</v>
      </c>
      <c r="D4552" s="441" t="s">
        <v>5979</v>
      </c>
      <c r="E4552" s="441" t="s">
        <v>5887</v>
      </c>
      <c r="F4552" s="442" t="s">
        <v>5980</v>
      </c>
      <c r="G4552" s="371" t="s">
        <v>1555</v>
      </c>
      <c r="H4552" s="374" t="s">
        <v>5462</v>
      </c>
      <c r="I4552" s="470">
        <v>601</v>
      </c>
      <c r="J4552" s="495">
        <v>5.93</v>
      </c>
      <c r="K4552" s="495">
        <v>5.23</v>
      </c>
      <c r="L4552" s="495">
        <f t="shared" si="49"/>
        <v>0.69999999999999929</v>
      </c>
      <c r="M4552" s="337"/>
    </row>
    <row r="4553" spans="1:13" s="71" customFormat="1" ht="26.4" customHeight="1">
      <c r="A4553" s="282">
        <v>311</v>
      </c>
      <c r="B4553" s="534"/>
      <c r="C4553" s="441" t="s">
        <v>5305</v>
      </c>
      <c r="D4553" s="441" t="s">
        <v>5981</v>
      </c>
      <c r="E4553" s="441" t="s">
        <v>5982</v>
      </c>
      <c r="F4553" s="442" t="s">
        <v>5983</v>
      </c>
      <c r="G4553" s="371" t="s">
        <v>1555</v>
      </c>
      <c r="H4553" s="374" t="s">
        <v>5462</v>
      </c>
      <c r="I4553" s="470">
        <v>1670</v>
      </c>
      <c r="J4553" s="495">
        <v>14.7</v>
      </c>
      <c r="K4553" s="495">
        <v>14</v>
      </c>
      <c r="L4553" s="495">
        <f t="shared" si="49"/>
        <v>0.69999999999999929</v>
      </c>
      <c r="M4553" s="337"/>
    </row>
    <row r="4554" spans="1:13" s="71" customFormat="1" ht="26.4" customHeight="1">
      <c r="A4554" s="282">
        <v>312</v>
      </c>
      <c r="B4554" s="534"/>
      <c r="C4554" s="441" t="s">
        <v>5305</v>
      </c>
      <c r="D4554" s="441" t="s">
        <v>5975</v>
      </c>
      <c r="E4554" s="441" t="s">
        <v>5984</v>
      </c>
      <c r="F4554" s="442" t="s">
        <v>5985</v>
      </c>
      <c r="G4554" s="371" t="s">
        <v>1555</v>
      </c>
      <c r="H4554" s="374" t="s">
        <v>5462</v>
      </c>
      <c r="I4554" s="470">
        <v>237</v>
      </c>
      <c r="J4554" s="495">
        <v>2.94</v>
      </c>
      <c r="K4554" s="495">
        <v>2.25</v>
      </c>
      <c r="L4554" s="495">
        <f t="shared" si="49"/>
        <v>0.69</v>
      </c>
      <c r="M4554" s="337"/>
    </row>
    <row r="4555" spans="1:13" s="71" customFormat="1" ht="26.4" customHeight="1">
      <c r="A4555" s="282">
        <v>313</v>
      </c>
      <c r="B4555" s="534"/>
      <c r="C4555" s="441" t="s">
        <v>5305</v>
      </c>
      <c r="D4555" s="441" t="s">
        <v>5986</v>
      </c>
      <c r="E4555" s="441" t="s">
        <v>5987</v>
      </c>
      <c r="F4555" s="442" t="s">
        <v>5988</v>
      </c>
      <c r="G4555" s="371" t="s">
        <v>1555</v>
      </c>
      <c r="H4555" s="374" t="s">
        <v>5462</v>
      </c>
      <c r="I4555" s="470">
        <v>3144</v>
      </c>
      <c r="J4555" s="495">
        <v>25.78</v>
      </c>
      <c r="K4555" s="495">
        <v>24.67</v>
      </c>
      <c r="L4555" s="495">
        <f t="shared" si="49"/>
        <v>1.1099999999999994</v>
      </c>
      <c r="M4555" s="337"/>
    </row>
    <row r="4556" spans="1:13" s="71" customFormat="1" ht="26.4" customHeight="1">
      <c r="A4556" s="282">
        <v>314</v>
      </c>
      <c r="B4556" s="534"/>
      <c r="C4556" s="441" t="s">
        <v>5305</v>
      </c>
      <c r="D4556" s="441" t="s">
        <v>5986</v>
      </c>
      <c r="E4556" s="441" t="s">
        <v>5818</v>
      </c>
      <c r="F4556" s="442" t="s">
        <v>5989</v>
      </c>
      <c r="G4556" s="371" t="s">
        <v>1555</v>
      </c>
      <c r="H4556" s="374" t="s">
        <v>5462</v>
      </c>
      <c r="I4556" s="470">
        <v>450</v>
      </c>
      <c r="J4556" s="495">
        <v>4.6900000000000004</v>
      </c>
      <c r="K4556" s="495">
        <v>4</v>
      </c>
      <c r="L4556" s="495">
        <f t="shared" si="49"/>
        <v>0.69000000000000039</v>
      </c>
      <c r="M4556" s="337"/>
    </row>
    <row r="4557" spans="1:13" s="71" customFormat="1" ht="26.4" customHeight="1">
      <c r="A4557" s="282">
        <v>315</v>
      </c>
      <c r="B4557" s="534"/>
      <c r="C4557" s="441" t="s">
        <v>5305</v>
      </c>
      <c r="D4557" s="441" t="s">
        <v>5901</v>
      </c>
      <c r="E4557" s="441" t="s">
        <v>5902</v>
      </c>
      <c r="F4557" s="442" t="s">
        <v>5990</v>
      </c>
      <c r="G4557" s="371" t="s">
        <v>1555</v>
      </c>
      <c r="H4557" s="374" t="s">
        <v>5462</v>
      </c>
      <c r="I4557" s="470">
        <v>1815</v>
      </c>
      <c r="J4557" s="495">
        <v>14.88</v>
      </c>
      <c r="K4557" s="495">
        <v>14.24</v>
      </c>
      <c r="L4557" s="495">
        <f t="shared" si="49"/>
        <v>0.64000000000000057</v>
      </c>
      <c r="M4557" s="337"/>
    </row>
    <row r="4558" spans="1:13" s="71" customFormat="1" ht="26.4" customHeight="1">
      <c r="A4558" s="282">
        <v>316</v>
      </c>
      <c r="B4558" s="534"/>
      <c r="C4558" s="441" t="s">
        <v>5305</v>
      </c>
      <c r="D4558" s="441" t="s">
        <v>5991</v>
      </c>
      <c r="E4558" s="441" t="s">
        <v>5992</v>
      </c>
      <c r="F4558" s="442" t="s">
        <v>5993</v>
      </c>
      <c r="G4558" s="371" t="s">
        <v>1555</v>
      </c>
      <c r="H4558" s="374" t="s">
        <v>5462</v>
      </c>
      <c r="I4558" s="470">
        <v>592</v>
      </c>
      <c r="J4558" s="495">
        <v>5.85</v>
      </c>
      <c r="K4558" s="495">
        <v>5.16</v>
      </c>
      <c r="L4558" s="495">
        <f t="shared" si="49"/>
        <v>0.6899999999999995</v>
      </c>
      <c r="M4558" s="337"/>
    </row>
    <row r="4559" spans="1:13" s="71" customFormat="1" ht="26.4" customHeight="1">
      <c r="A4559" s="282">
        <v>317</v>
      </c>
      <c r="B4559" s="534"/>
      <c r="C4559" s="441" t="s">
        <v>5305</v>
      </c>
      <c r="D4559" s="441" t="s">
        <v>5994</v>
      </c>
      <c r="E4559" s="441" t="s">
        <v>5995</v>
      </c>
      <c r="F4559" s="442" t="s">
        <v>5996</v>
      </c>
      <c r="G4559" s="371" t="s">
        <v>1555</v>
      </c>
      <c r="H4559" s="374" t="s">
        <v>5462</v>
      </c>
      <c r="I4559" s="470">
        <v>3151</v>
      </c>
      <c r="J4559" s="495">
        <v>26.9</v>
      </c>
      <c r="K4559" s="495">
        <v>24.99</v>
      </c>
      <c r="L4559" s="495">
        <f t="shared" si="49"/>
        <v>1.9100000000000001</v>
      </c>
      <c r="M4559" s="337"/>
    </row>
    <row r="4560" spans="1:13" s="71" customFormat="1" ht="26.4" customHeight="1">
      <c r="A4560" s="282">
        <v>318</v>
      </c>
      <c r="B4560" s="534"/>
      <c r="C4560" s="441" t="s">
        <v>5305</v>
      </c>
      <c r="D4560" s="441" t="s">
        <v>5901</v>
      </c>
      <c r="E4560" s="441" t="s">
        <v>5997</v>
      </c>
      <c r="F4560" s="442" t="s">
        <v>5998</v>
      </c>
      <c r="G4560" s="371" t="s">
        <v>1581</v>
      </c>
      <c r="H4560" s="374" t="s">
        <v>5462</v>
      </c>
      <c r="I4560" s="470">
        <v>420</v>
      </c>
      <c r="J4560" s="495">
        <v>47.52</v>
      </c>
      <c r="K4560" s="495">
        <v>23.78</v>
      </c>
      <c r="L4560" s="495">
        <f t="shared" si="49"/>
        <v>23.740000000000002</v>
      </c>
      <c r="M4560" s="337"/>
    </row>
    <row r="4561" spans="1:13" s="71" customFormat="1" ht="26.4" customHeight="1">
      <c r="A4561" s="282">
        <v>319</v>
      </c>
      <c r="B4561" s="534"/>
      <c r="C4561" s="441" t="s">
        <v>5305</v>
      </c>
      <c r="D4561" s="441" t="s">
        <v>5999</v>
      </c>
      <c r="E4561" s="441" t="s">
        <v>6000</v>
      </c>
      <c r="F4561" s="442" t="s">
        <v>6001</v>
      </c>
      <c r="G4561" s="371" t="s">
        <v>1541</v>
      </c>
      <c r="H4561" s="374" t="s">
        <v>3243</v>
      </c>
      <c r="I4561" s="470" t="s">
        <v>3243</v>
      </c>
      <c r="J4561" s="495">
        <v>578.85</v>
      </c>
      <c r="K4561" s="495">
        <v>251.77</v>
      </c>
      <c r="L4561" s="495">
        <f t="shared" si="49"/>
        <v>327.08000000000004</v>
      </c>
      <c r="M4561" s="337"/>
    </row>
    <row r="4562" spans="1:13" s="71" customFormat="1" ht="26.4" customHeight="1">
      <c r="A4562" s="282">
        <v>320</v>
      </c>
      <c r="B4562" s="534"/>
      <c r="C4562" s="441" t="s">
        <v>5305</v>
      </c>
      <c r="D4562" s="441" t="s">
        <v>5999</v>
      </c>
      <c r="E4562" s="441" t="s">
        <v>6002</v>
      </c>
      <c r="F4562" s="442" t="s">
        <v>6003</v>
      </c>
      <c r="G4562" s="371" t="s">
        <v>1570</v>
      </c>
      <c r="H4562" s="374" t="s">
        <v>5462</v>
      </c>
      <c r="I4562" s="470">
        <v>220</v>
      </c>
      <c r="J4562" s="495">
        <v>70.45</v>
      </c>
      <c r="K4562" s="495">
        <v>26.46</v>
      </c>
      <c r="L4562" s="495">
        <f t="shared" si="49"/>
        <v>43.99</v>
      </c>
      <c r="M4562" s="337"/>
    </row>
    <row r="4563" spans="1:13" s="71" customFormat="1" ht="26.4" customHeight="1">
      <c r="A4563" s="282">
        <v>321</v>
      </c>
      <c r="B4563" s="534"/>
      <c r="C4563" s="441" t="s">
        <v>5305</v>
      </c>
      <c r="D4563" s="441" t="s">
        <v>5999</v>
      </c>
      <c r="E4563" s="441" t="s">
        <v>6004</v>
      </c>
      <c r="F4563" s="442" t="s">
        <v>6005</v>
      </c>
      <c r="G4563" s="371" t="s">
        <v>1570</v>
      </c>
      <c r="H4563" s="374" t="s">
        <v>3243</v>
      </c>
      <c r="I4563" s="470" t="s">
        <v>3243</v>
      </c>
      <c r="J4563" s="495">
        <v>497.12</v>
      </c>
      <c r="K4563" s="495">
        <v>151.87</v>
      </c>
      <c r="L4563" s="495">
        <f t="shared" ref="L4563:L4626" si="50">J4563-K4563</f>
        <v>345.25</v>
      </c>
      <c r="M4563" s="337"/>
    </row>
    <row r="4564" spans="1:13" s="71" customFormat="1" ht="26.4" customHeight="1">
      <c r="A4564" s="282">
        <v>322</v>
      </c>
      <c r="B4564" s="534"/>
      <c r="C4564" s="441" t="s">
        <v>5305</v>
      </c>
      <c r="D4564" s="441" t="s">
        <v>6006</v>
      </c>
      <c r="E4564" s="441" t="s">
        <v>6007</v>
      </c>
      <c r="F4564" s="442" t="s">
        <v>6008</v>
      </c>
      <c r="G4564" s="371" t="s">
        <v>1533</v>
      </c>
      <c r="H4564" s="374" t="s">
        <v>5462</v>
      </c>
      <c r="I4564" s="470">
        <v>15</v>
      </c>
      <c r="J4564" s="495">
        <v>3.24</v>
      </c>
      <c r="K4564" s="495">
        <v>2.54</v>
      </c>
      <c r="L4564" s="495">
        <f t="shared" si="50"/>
        <v>0.70000000000000018</v>
      </c>
      <c r="M4564" s="337"/>
    </row>
    <row r="4565" spans="1:13" s="71" customFormat="1" ht="26.4" customHeight="1">
      <c r="A4565" s="282">
        <v>323</v>
      </c>
      <c r="B4565" s="534"/>
      <c r="C4565" s="441" t="s">
        <v>5305</v>
      </c>
      <c r="D4565" s="441" t="s">
        <v>5883</v>
      </c>
      <c r="E4565" s="441" t="s">
        <v>6009</v>
      </c>
      <c r="F4565" s="442" t="s">
        <v>6010</v>
      </c>
      <c r="G4565" s="371" t="s">
        <v>6011</v>
      </c>
      <c r="H4565" s="374" t="s">
        <v>5462</v>
      </c>
      <c r="I4565" s="470">
        <v>101</v>
      </c>
      <c r="J4565" s="495">
        <v>157.15</v>
      </c>
      <c r="K4565" s="495">
        <v>45.72</v>
      </c>
      <c r="L4565" s="495">
        <f t="shared" si="50"/>
        <v>111.43</v>
      </c>
      <c r="M4565" s="337"/>
    </row>
    <row r="4566" spans="1:13" s="71" customFormat="1" ht="26.4" customHeight="1">
      <c r="A4566" s="282">
        <v>324</v>
      </c>
      <c r="B4566" s="534"/>
      <c r="C4566" s="441" t="s">
        <v>5305</v>
      </c>
      <c r="D4566" s="260" t="s">
        <v>6012</v>
      </c>
      <c r="E4566" s="441" t="s">
        <v>6013</v>
      </c>
      <c r="F4566" s="442" t="s">
        <v>6014</v>
      </c>
      <c r="G4566" s="371" t="s">
        <v>1569</v>
      </c>
      <c r="H4566" s="374" t="s">
        <v>1149</v>
      </c>
      <c r="I4566" s="470">
        <v>85.4</v>
      </c>
      <c r="J4566" s="495">
        <v>1.1000000000000001</v>
      </c>
      <c r="K4566" s="495">
        <v>0.3</v>
      </c>
      <c r="L4566" s="495">
        <f t="shared" si="50"/>
        <v>0.8</v>
      </c>
      <c r="M4566" s="337"/>
    </row>
    <row r="4567" spans="1:13" s="71" customFormat="1" ht="26.4" customHeight="1">
      <c r="A4567" s="282">
        <v>325</v>
      </c>
      <c r="B4567" s="534"/>
      <c r="C4567" s="441" t="s">
        <v>5305</v>
      </c>
      <c r="D4567" s="260" t="s">
        <v>6012</v>
      </c>
      <c r="E4567" s="441" t="s">
        <v>6015</v>
      </c>
      <c r="F4567" s="442" t="s">
        <v>6016</v>
      </c>
      <c r="G4567" s="371" t="s">
        <v>1569</v>
      </c>
      <c r="H4567" s="374" t="s">
        <v>3243</v>
      </c>
      <c r="I4567" s="470" t="s">
        <v>3243</v>
      </c>
      <c r="J4567" s="495">
        <v>1.1000000000000001</v>
      </c>
      <c r="K4567" s="495">
        <v>0.8</v>
      </c>
      <c r="L4567" s="495">
        <f t="shared" si="50"/>
        <v>0.30000000000000004</v>
      </c>
      <c r="M4567" s="337"/>
    </row>
    <row r="4568" spans="1:13" s="71" customFormat="1" ht="26.4" customHeight="1">
      <c r="A4568" s="282">
        <v>326</v>
      </c>
      <c r="B4568" s="534"/>
      <c r="C4568" s="441" t="s">
        <v>5319</v>
      </c>
      <c r="D4568" s="260" t="s">
        <v>6017</v>
      </c>
      <c r="E4568" s="441" t="s">
        <v>6018</v>
      </c>
      <c r="F4568" s="442" t="s">
        <v>6019</v>
      </c>
      <c r="G4568" s="371" t="s">
        <v>1572</v>
      </c>
      <c r="H4568" s="374" t="s">
        <v>1136</v>
      </c>
      <c r="I4568" s="470">
        <v>2000</v>
      </c>
      <c r="J4568" s="495">
        <v>170.03</v>
      </c>
      <c r="K4568" s="495">
        <v>123.99</v>
      </c>
      <c r="L4568" s="495">
        <f t="shared" si="50"/>
        <v>46.040000000000006</v>
      </c>
      <c r="M4568" s="337"/>
    </row>
    <row r="4569" spans="1:13" s="71" customFormat="1" ht="26.4" customHeight="1">
      <c r="A4569" s="282">
        <v>327</v>
      </c>
      <c r="B4569" s="534"/>
      <c r="C4569" s="441" t="s">
        <v>5319</v>
      </c>
      <c r="D4569" s="260" t="s">
        <v>6017</v>
      </c>
      <c r="E4569" s="441" t="s">
        <v>6020</v>
      </c>
      <c r="F4569" s="442" t="s">
        <v>6021</v>
      </c>
      <c r="G4569" s="371" t="s">
        <v>1572</v>
      </c>
      <c r="H4569" s="374" t="s">
        <v>5462</v>
      </c>
      <c r="I4569" s="470">
        <v>89</v>
      </c>
      <c r="J4569" s="495">
        <v>32.799999999999997</v>
      </c>
      <c r="K4569" s="495">
        <v>3.85</v>
      </c>
      <c r="L4569" s="495">
        <f t="shared" si="50"/>
        <v>28.949999999999996</v>
      </c>
      <c r="M4569" s="337"/>
    </row>
    <row r="4570" spans="1:13" s="71" customFormat="1" ht="26.4" customHeight="1">
      <c r="A4570" s="282">
        <v>328</v>
      </c>
      <c r="B4570" s="534"/>
      <c r="C4570" s="441" t="s">
        <v>5319</v>
      </c>
      <c r="D4570" s="260" t="s">
        <v>6017</v>
      </c>
      <c r="E4570" s="441" t="s">
        <v>6022</v>
      </c>
      <c r="F4570" s="442" t="s">
        <v>6023</v>
      </c>
      <c r="G4570" s="371" t="s">
        <v>1572</v>
      </c>
      <c r="H4570" s="374" t="s">
        <v>4930</v>
      </c>
      <c r="I4570" s="470" t="s">
        <v>3243</v>
      </c>
      <c r="J4570" s="495">
        <v>9.34</v>
      </c>
      <c r="K4570" s="495">
        <v>2.81</v>
      </c>
      <c r="L4570" s="495">
        <f t="shared" si="50"/>
        <v>6.5299999999999994</v>
      </c>
      <c r="M4570" s="337"/>
    </row>
    <row r="4571" spans="1:13" s="71" customFormat="1" ht="26.4" customHeight="1">
      <c r="A4571" s="282">
        <v>329</v>
      </c>
      <c r="B4571" s="534"/>
      <c r="C4571" s="441" t="s">
        <v>5319</v>
      </c>
      <c r="D4571" s="260" t="s">
        <v>6017</v>
      </c>
      <c r="E4571" s="441" t="s">
        <v>6024</v>
      </c>
      <c r="F4571" s="442" t="s">
        <v>6025</v>
      </c>
      <c r="G4571" s="371" t="s">
        <v>6026</v>
      </c>
      <c r="H4571" s="374" t="s">
        <v>1136</v>
      </c>
      <c r="I4571" s="470">
        <v>1000</v>
      </c>
      <c r="J4571" s="495">
        <v>43.08</v>
      </c>
      <c r="K4571" s="495">
        <v>40.68</v>
      </c>
      <c r="L4571" s="495">
        <f t="shared" si="50"/>
        <v>2.3999999999999986</v>
      </c>
      <c r="M4571" s="337"/>
    </row>
    <row r="4572" spans="1:13" s="71" customFormat="1" ht="26.4" customHeight="1">
      <c r="A4572" s="282">
        <v>330</v>
      </c>
      <c r="B4572" s="534"/>
      <c r="C4572" s="441" t="s">
        <v>5319</v>
      </c>
      <c r="D4572" s="260" t="s">
        <v>6017</v>
      </c>
      <c r="E4572" s="441" t="s">
        <v>6027</v>
      </c>
      <c r="F4572" s="442" t="s">
        <v>6028</v>
      </c>
      <c r="G4572" s="371" t="s">
        <v>1569</v>
      </c>
      <c r="H4572" s="374" t="s">
        <v>3243</v>
      </c>
      <c r="I4572" s="470" t="s">
        <v>3243</v>
      </c>
      <c r="J4572" s="495">
        <v>1.03</v>
      </c>
      <c r="K4572" s="495">
        <v>0.35</v>
      </c>
      <c r="L4572" s="495">
        <f t="shared" si="50"/>
        <v>0.68</v>
      </c>
      <c r="M4572" s="337"/>
    </row>
    <row r="4573" spans="1:13" s="71" customFormat="1" ht="26.4" customHeight="1">
      <c r="A4573" s="282">
        <v>331</v>
      </c>
      <c r="B4573" s="534"/>
      <c r="C4573" s="441" t="s">
        <v>6029</v>
      </c>
      <c r="D4573" s="260" t="s">
        <v>5309</v>
      </c>
      <c r="E4573" s="441" t="s">
        <v>6030</v>
      </c>
      <c r="F4573" s="442" t="s">
        <v>6031</v>
      </c>
      <c r="G4573" s="371" t="s">
        <v>5281</v>
      </c>
      <c r="H4573" s="374" t="s">
        <v>1136</v>
      </c>
      <c r="I4573" s="470">
        <v>3000</v>
      </c>
      <c r="J4573" s="495">
        <v>196.78</v>
      </c>
      <c r="K4573" s="495">
        <v>165.08</v>
      </c>
      <c r="L4573" s="495">
        <f t="shared" si="50"/>
        <v>31.699999999999989</v>
      </c>
      <c r="M4573" s="337"/>
    </row>
    <row r="4574" spans="1:13" s="71" customFormat="1" ht="26.4" customHeight="1">
      <c r="A4574" s="282">
        <v>332</v>
      </c>
      <c r="B4574" s="534"/>
      <c r="C4574" s="441" t="s">
        <v>6029</v>
      </c>
      <c r="D4574" s="260" t="s">
        <v>6032</v>
      </c>
      <c r="E4574" s="441" t="s">
        <v>6033</v>
      </c>
      <c r="F4574" s="442" t="s">
        <v>6034</v>
      </c>
      <c r="G4574" s="371" t="s">
        <v>5281</v>
      </c>
      <c r="H4574" s="374" t="s">
        <v>5462</v>
      </c>
      <c r="I4574" s="470">
        <v>2500</v>
      </c>
      <c r="J4574" s="495">
        <v>113.09</v>
      </c>
      <c r="K4574" s="495">
        <v>85.54</v>
      </c>
      <c r="L4574" s="495">
        <f t="shared" si="50"/>
        <v>27.549999999999997</v>
      </c>
      <c r="M4574" s="337"/>
    </row>
    <row r="4575" spans="1:13" s="71" customFormat="1" ht="26.4" customHeight="1">
      <c r="A4575" s="282">
        <v>333</v>
      </c>
      <c r="B4575" s="534"/>
      <c r="C4575" s="441" t="s">
        <v>6029</v>
      </c>
      <c r="D4575" s="260" t="s">
        <v>5808</v>
      </c>
      <c r="E4575" s="441" t="s">
        <v>6035</v>
      </c>
      <c r="F4575" s="442" t="s">
        <v>6036</v>
      </c>
      <c r="G4575" s="371" t="s">
        <v>1566</v>
      </c>
      <c r="H4575" s="374" t="s">
        <v>5462</v>
      </c>
      <c r="I4575" s="470">
        <v>4350</v>
      </c>
      <c r="J4575" s="495">
        <v>129.54</v>
      </c>
      <c r="K4575" s="495">
        <v>115.88</v>
      </c>
      <c r="L4575" s="495">
        <f t="shared" si="50"/>
        <v>13.659999999999997</v>
      </c>
      <c r="M4575" s="337"/>
    </row>
    <row r="4576" spans="1:13" s="71" customFormat="1" ht="26.4" customHeight="1">
      <c r="A4576" s="282">
        <v>334</v>
      </c>
      <c r="B4576" s="534"/>
      <c r="C4576" s="441" t="s">
        <v>6029</v>
      </c>
      <c r="D4576" s="260" t="s">
        <v>6037</v>
      </c>
      <c r="E4576" s="441" t="s">
        <v>6038</v>
      </c>
      <c r="F4576" s="442" t="s">
        <v>6039</v>
      </c>
      <c r="G4576" s="371" t="s">
        <v>1566</v>
      </c>
      <c r="H4576" s="374" t="s">
        <v>5462</v>
      </c>
      <c r="I4576" s="470">
        <v>1500</v>
      </c>
      <c r="J4576" s="495">
        <v>17.149999999999999</v>
      </c>
      <c r="K4576" s="495">
        <v>13.65</v>
      </c>
      <c r="L4576" s="495">
        <f t="shared" si="50"/>
        <v>3.4999999999999982</v>
      </c>
      <c r="M4576" s="337"/>
    </row>
    <row r="4577" spans="1:13" s="71" customFormat="1" ht="26.4" customHeight="1">
      <c r="A4577" s="282">
        <v>335</v>
      </c>
      <c r="B4577" s="534"/>
      <c r="C4577" s="441" t="s">
        <v>6029</v>
      </c>
      <c r="D4577" s="260" t="s">
        <v>5309</v>
      </c>
      <c r="E4577" s="441" t="s">
        <v>6040</v>
      </c>
      <c r="F4577" s="442" t="s">
        <v>6041</v>
      </c>
      <c r="G4577" s="371" t="s">
        <v>1566</v>
      </c>
      <c r="H4577" s="374" t="s">
        <v>5462</v>
      </c>
      <c r="I4577" s="470">
        <v>440</v>
      </c>
      <c r="J4577" s="495">
        <v>3</v>
      </c>
      <c r="K4577" s="495">
        <v>2.41</v>
      </c>
      <c r="L4577" s="495">
        <f t="shared" si="50"/>
        <v>0.58999999999999986</v>
      </c>
      <c r="M4577" s="337"/>
    </row>
    <row r="4578" spans="1:13" s="71" customFormat="1" ht="26.4" customHeight="1">
      <c r="A4578" s="282">
        <v>336</v>
      </c>
      <c r="B4578" s="534"/>
      <c r="C4578" s="441" t="s">
        <v>6029</v>
      </c>
      <c r="D4578" s="260" t="s">
        <v>5309</v>
      </c>
      <c r="E4578" s="441" t="s">
        <v>6042</v>
      </c>
      <c r="F4578" s="442" t="s">
        <v>6043</v>
      </c>
      <c r="G4578" s="371" t="s">
        <v>1566</v>
      </c>
      <c r="H4578" s="374" t="s">
        <v>5462</v>
      </c>
      <c r="I4578" s="470">
        <v>120</v>
      </c>
      <c r="J4578" s="495">
        <v>2.88</v>
      </c>
      <c r="K4578" s="495">
        <v>2.19</v>
      </c>
      <c r="L4578" s="495">
        <f t="shared" si="50"/>
        <v>0.69</v>
      </c>
      <c r="M4578" s="337"/>
    </row>
    <row r="4579" spans="1:13" s="71" customFormat="1" ht="26.4" customHeight="1">
      <c r="A4579" s="282">
        <v>337</v>
      </c>
      <c r="B4579" s="534"/>
      <c r="C4579" s="441" t="s">
        <v>6029</v>
      </c>
      <c r="D4579" s="260" t="s">
        <v>5309</v>
      </c>
      <c r="E4579" s="441" t="s">
        <v>13245</v>
      </c>
      <c r="F4579" s="442" t="s">
        <v>6044</v>
      </c>
      <c r="G4579" s="371" t="s">
        <v>1566</v>
      </c>
      <c r="H4579" s="374" t="s">
        <v>5462</v>
      </c>
      <c r="I4579" s="470">
        <v>2000</v>
      </c>
      <c r="J4579" s="495">
        <v>11.85</v>
      </c>
      <c r="K4579" s="495">
        <v>9.94</v>
      </c>
      <c r="L4579" s="495">
        <f t="shared" si="50"/>
        <v>1.9100000000000001</v>
      </c>
      <c r="M4579" s="337"/>
    </row>
    <row r="4580" spans="1:13" s="71" customFormat="1" ht="26.4" customHeight="1">
      <c r="A4580" s="282">
        <v>338</v>
      </c>
      <c r="B4580" s="534"/>
      <c r="C4580" s="441" t="s">
        <v>6029</v>
      </c>
      <c r="D4580" s="260" t="s">
        <v>5309</v>
      </c>
      <c r="E4580" s="441" t="s">
        <v>6045</v>
      </c>
      <c r="F4580" s="442" t="s">
        <v>6046</v>
      </c>
      <c r="G4580" s="371" t="s">
        <v>1566</v>
      </c>
      <c r="H4580" s="374" t="s">
        <v>5462</v>
      </c>
      <c r="I4580" s="470">
        <v>500</v>
      </c>
      <c r="J4580" s="495">
        <v>81.63</v>
      </c>
      <c r="K4580" s="495">
        <v>68.540000000000006</v>
      </c>
      <c r="L4580" s="495">
        <f t="shared" si="50"/>
        <v>13.089999999999989</v>
      </c>
      <c r="M4580" s="337"/>
    </row>
    <row r="4581" spans="1:13" s="71" customFormat="1" ht="26.4" customHeight="1">
      <c r="A4581" s="282">
        <v>339</v>
      </c>
      <c r="B4581" s="534"/>
      <c r="C4581" s="441" t="s">
        <v>6029</v>
      </c>
      <c r="D4581" s="256" t="s">
        <v>3</v>
      </c>
      <c r="E4581" s="441" t="s">
        <v>6047</v>
      </c>
      <c r="F4581" s="442" t="s">
        <v>6048</v>
      </c>
      <c r="G4581" s="371" t="s">
        <v>1566</v>
      </c>
      <c r="H4581" s="374" t="s">
        <v>3243</v>
      </c>
      <c r="I4581" s="470" t="s">
        <v>3243</v>
      </c>
      <c r="J4581" s="495">
        <v>406.93</v>
      </c>
      <c r="K4581" s="495">
        <v>371.17</v>
      </c>
      <c r="L4581" s="495">
        <f t="shared" si="50"/>
        <v>35.759999999999991</v>
      </c>
      <c r="M4581" s="337"/>
    </row>
    <row r="4582" spans="1:13" s="71" customFormat="1" ht="26.4">
      <c r="A4582" s="282">
        <v>340</v>
      </c>
      <c r="B4582" s="534"/>
      <c r="C4582" s="441" t="s">
        <v>12970</v>
      </c>
      <c r="D4582" s="260" t="s">
        <v>3</v>
      </c>
      <c r="E4582" s="441" t="s">
        <v>6049</v>
      </c>
      <c r="F4582" s="442" t="s">
        <v>6050</v>
      </c>
      <c r="G4582" s="371" t="s">
        <v>1566</v>
      </c>
      <c r="H4582" s="374" t="s">
        <v>3243</v>
      </c>
      <c r="I4582" s="470" t="s">
        <v>3243</v>
      </c>
      <c r="J4582" s="495">
        <v>320.27</v>
      </c>
      <c r="K4582" s="495">
        <v>12.4</v>
      </c>
      <c r="L4582" s="495">
        <f t="shared" si="50"/>
        <v>307.87</v>
      </c>
      <c r="M4582" s="337"/>
    </row>
    <row r="4583" spans="1:13" s="71" customFormat="1" ht="26.4" customHeight="1">
      <c r="A4583" s="282">
        <v>341</v>
      </c>
      <c r="B4583" s="534"/>
      <c r="C4583" s="441" t="s">
        <v>6029</v>
      </c>
      <c r="D4583" s="260" t="s">
        <v>5309</v>
      </c>
      <c r="E4583" s="441" t="s">
        <v>6051</v>
      </c>
      <c r="F4583" s="442" t="s">
        <v>6052</v>
      </c>
      <c r="G4583" s="371" t="s">
        <v>1566</v>
      </c>
      <c r="H4583" s="374" t="s">
        <v>1136</v>
      </c>
      <c r="I4583" s="470">
        <v>6000</v>
      </c>
      <c r="J4583" s="495">
        <v>451.24</v>
      </c>
      <c r="K4583" s="495">
        <v>378.53</v>
      </c>
      <c r="L4583" s="495">
        <f t="shared" si="50"/>
        <v>72.710000000000036</v>
      </c>
      <c r="M4583" s="337"/>
    </row>
    <row r="4584" spans="1:13" s="71" customFormat="1" ht="26.4" customHeight="1">
      <c r="A4584" s="282">
        <v>342</v>
      </c>
      <c r="B4584" s="534"/>
      <c r="C4584" s="441" t="s">
        <v>6029</v>
      </c>
      <c r="D4584" s="260" t="s">
        <v>6053</v>
      </c>
      <c r="E4584" s="441" t="s">
        <v>6054</v>
      </c>
      <c r="F4584" s="442" t="s">
        <v>6055</v>
      </c>
      <c r="G4584" s="371" t="s">
        <v>1566</v>
      </c>
      <c r="H4584" s="374" t="s">
        <v>1136</v>
      </c>
      <c r="I4584" s="470">
        <v>9000</v>
      </c>
      <c r="J4584" s="495">
        <v>3.3</v>
      </c>
      <c r="K4584" s="495">
        <v>3.3</v>
      </c>
      <c r="L4584" s="495">
        <f t="shared" si="50"/>
        <v>0</v>
      </c>
      <c r="M4584" s="337"/>
    </row>
    <row r="4585" spans="1:13" s="71" customFormat="1" ht="26.4" customHeight="1">
      <c r="A4585" s="282">
        <v>343</v>
      </c>
      <c r="B4585" s="534"/>
      <c r="C4585" s="441" t="s">
        <v>6029</v>
      </c>
      <c r="D4585" s="260" t="s">
        <v>5309</v>
      </c>
      <c r="E4585" s="260" t="s">
        <v>6056</v>
      </c>
      <c r="F4585" s="442" t="s">
        <v>6057</v>
      </c>
      <c r="G4585" s="371" t="s">
        <v>1566</v>
      </c>
      <c r="H4585" s="374" t="s">
        <v>5462</v>
      </c>
      <c r="I4585" s="470">
        <v>6600</v>
      </c>
      <c r="J4585" s="495">
        <v>47.16</v>
      </c>
      <c r="K4585" s="495">
        <v>41.54</v>
      </c>
      <c r="L4585" s="495">
        <f t="shared" si="50"/>
        <v>5.6199999999999974</v>
      </c>
      <c r="M4585" s="337"/>
    </row>
    <row r="4586" spans="1:13" s="71" customFormat="1" ht="26.4" customHeight="1">
      <c r="A4586" s="282">
        <v>344</v>
      </c>
      <c r="B4586" s="534"/>
      <c r="C4586" s="441" t="s">
        <v>6029</v>
      </c>
      <c r="D4586" s="260" t="s">
        <v>6053</v>
      </c>
      <c r="E4586" s="441" t="s">
        <v>6058</v>
      </c>
      <c r="F4586" s="442" t="s">
        <v>6059</v>
      </c>
      <c r="G4586" s="371" t="s">
        <v>1566</v>
      </c>
      <c r="H4586" s="374" t="s">
        <v>3243</v>
      </c>
      <c r="I4586" s="470" t="s">
        <v>3243</v>
      </c>
      <c r="J4586" s="495">
        <v>6.28</v>
      </c>
      <c r="K4586" s="495">
        <v>5.56</v>
      </c>
      <c r="L4586" s="495">
        <f t="shared" si="50"/>
        <v>0.72000000000000064</v>
      </c>
      <c r="M4586" s="337"/>
    </row>
    <row r="4587" spans="1:13" s="71" customFormat="1" ht="26.4" customHeight="1">
      <c r="A4587" s="282">
        <v>345</v>
      </c>
      <c r="B4587" s="534"/>
      <c r="C4587" s="441" t="s">
        <v>6029</v>
      </c>
      <c r="D4587" s="260" t="s">
        <v>5309</v>
      </c>
      <c r="E4587" s="441" t="s">
        <v>6060</v>
      </c>
      <c r="F4587" s="442" t="s">
        <v>6061</v>
      </c>
      <c r="G4587" s="371" t="s">
        <v>1566</v>
      </c>
      <c r="H4587" s="374" t="s">
        <v>5462</v>
      </c>
      <c r="I4587" s="470">
        <v>89</v>
      </c>
      <c r="J4587" s="495">
        <v>16.600000000000001</v>
      </c>
      <c r="K4587" s="495">
        <v>15.9</v>
      </c>
      <c r="L4587" s="495">
        <f t="shared" si="50"/>
        <v>0.70000000000000107</v>
      </c>
      <c r="M4587" s="337"/>
    </row>
    <row r="4588" spans="1:13" s="71" customFormat="1" ht="26.4" customHeight="1">
      <c r="A4588" s="282">
        <v>346</v>
      </c>
      <c r="B4588" s="534"/>
      <c r="C4588" s="441" t="s">
        <v>6029</v>
      </c>
      <c r="D4588" s="287" t="s">
        <v>3</v>
      </c>
      <c r="E4588" s="260" t="s">
        <v>6062</v>
      </c>
      <c r="F4588" s="442" t="s">
        <v>6063</v>
      </c>
      <c r="G4588" s="371" t="s">
        <v>1566</v>
      </c>
      <c r="H4588" s="374" t="s">
        <v>5462</v>
      </c>
      <c r="I4588" s="470">
        <v>8901</v>
      </c>
      <c r="J4588" s="495">
        <v>46.06</v>
      </c>
      <c r="K4588" s="495">
        <v>41.01</v>
      </c>
      <c r="L4588" s="495">
        <f t="shared" si="50"/>
        <v>5.0500000000000043</v>
      </c>
      <c r="M4588" s="337"/>
    </row>
    <row r="4589" spans="1:13" s="71" customFormat="1" ht="26.4" customHeight="1">
      <c r="A4589" s="282">
        <v>347</v>
      </c>
      <c r="B4589" s="534"/>
      <c r="C4589" s="441" t="s">
        <v>6029</v>
      </c>
      <c r="D4589" s="260" t="s">
        <v>6053</v>
      </c>
      <c r="E4589" s="441" t="s">
        <v>6064</v>
      </c>
      <c r="F4589" s="442" t="s">
        <v>6065</v>
      </c>
      <c r="G4589" s="371" t="s">
        <v>1576</v>
      </c>
      <c r="H4589" s="374" t="s">
        <v>5462</v>
      </c>
      <c r="I4589" s="470">
        <v>40</v>
      </c>
      <c r="J4589" s="495">
        <v>2.6</v>
      </c>
      <c r="K4589" s="495">
        <v>1.91</v>
      </c>
      <c r="L4589" s="495">
        <f t="shared" si="50"/>
        <v>0.69000000000000017</v>
      </c>
      <c r="M4589" s="337"/>
    </row>
    <row r="4590" spans="1:13" s="71" customFormat="1" ht="26.4" customHeight="1">
      <c r="A4590" s="282">
        <v>348</v>
      </c>
      <c r="B4590" s="534"/>
      <c r="C4590" s="441" t="s">
        <v>6029</v>
      </c>
      <c r="D4590" s="376" t="s">
        <v>3</v>
      </c>
      <c r="E4590" s="441" t="s">
        <v>6066</v>
      </c>
      <c r="F4590" s="442" t="s">
        <v>6067</v>
      </c>
      <c r="G4590" s="371" t="s">
        <v>1529</v>
      </c>
      <c r="H4590" s="374" t="s">
        <v>5462</v>
      </c>
      <c r="I4590" s="470">
        <v>400</v>
      </c>
      <c r="J4590" s="495">
        <v>14.5</v>
      </c>
      <c r="K4590" s="495">
        <v>13.81</v>
      </c>
      <c r="L4590" s="495">
        <f t="shared" si="50"/>
        <v>0.6899999999999995</v>
      </c>
      <c r="M4590" s="337"/>
    </row>
    <row r="4591" spans="1:13" s="71" customFormat="1" ht="26.4" customHeight="1">
      <c r="A4591" s="282">
        <v>349</v>
      </c>
      <c r="B4591" s="534"/>
      <c r="C4591" s="441" t="s">
        <v>6029</v>
      </c>
      <c r="D4591" s="260" t="s">
        <v>5309</v>
      </c>
      <c r="E4591" s="441" t="s">
        <v>6068</v>
      </c>
      <c r="F4591" s="442" t="s">
        <v>6069</v>
      </c>
      <c r="G4591" s="371" t="s">
        <v>1566</v>
      </c>
      <c r="H4591" s="374" t="s">
        <v>3243</v>
      </c>
      <c r="I4591" s="470" t="s">
        <v>3243</v>
      </c>
      <c r="J4591" s="495">
        <v>2.08</v>
      </c>
      <c r="K4591" s="495">
        <v>1.39</v>
      </c>
      <c r="L4591" s="495">
        <f t="shared" si="50"/>
        <v>0.69000000000000017</v>
      </c>
      <c r="M4591" s="337"/>
    </row>
    <row r="4592" spans="1:13" s="71" customFormat="1" ht="26.4" customHeight="1">
      <c r="A4592" s="282">
        <v>350</v>
      </c>
      <c r="B4592" s="534"/>
      <c r="C4592" s="441" t="s">
        <v>6029</v>
      </c>
      <c r="D4592" s="260" t="s">
        <v>3</v>
      </c>
      <c r="E4592" s="441" t="s">
        <v>6070</v>
      </c>
      <c r="F4592" s="442" t="s">
        <v>6071</v>
      </c>
      <c r="G4592" s="371" t="s">
        <v>1579</v>
      </c>
      <c r="H4592" s="374" t="s">
        <v>5462</v>
      </c>
      <c r="I4592" s="470">
        <v>250</v>
      </c>
      <c r="J4592" s="495">
        <v>141.46</v>
      </c>
      <c r="K4592" s="495">
        <v>127.53</v>
      </c>
      <c r="L4592" s="495">
        <f t="shared" si="50"/>
        <v>13.930000000000007</v>
      </c>
      <c r="M4592" s="337"/>
    </row>
    <row r="4593" spans="1:13" s="71" customFormat="1" ht="26.4" customHeight="1">
      <c r="A4593" s="282">
        <v>351</v>
      </c>
      <c r="B4593" s="534"/>
      <c r="C4593" s="441" t="s">
        <v>6029</v>
      </c>
      <c r="D4593" s="260" t="s">
        <v>6053</v>
      </c>
      <c r="E4593" s="441" t="s">
        <v>6072</v>
      </c>
      <c r="F4593" s="442" t="s">
        <v>6073</v>
      </c>
      <c r="G4593" s="371" t="s">
        <v>1566</v>
      </c>
      <c r="H4593" s="374" t="s">
        <v>3243</v>
      </c>
      <c r="I4593" s="470" t="s">
        <v>3243</v>
      </c>
      <c r="J4593" s="495">
        <v>42.09</v>
      </c>
      <c r="K4593" s="495">
        <v>38.03</v>
      </c>
      <c r="L4593" s="495">
        <f t="shared" si="50"/>
        <v>4.0600000000000023</v>
      </c>
      <c r="M4593" s="337"/>
    </row>
    <row r="4594" spans="1:13" s="71" customFormat="1" ht="26.4" customHeight="1">
      <c r="A4594" s="282">
        <v>352</v>
      </c>
      <c r="B4594" s="534"/>
      <c r="C4594" s="441" t="s">
        <v>5319</v>
      </c>
      <c r="D4594" s="260" t="s">
        <v>5301</v>
      </c>
      <c r="E4594" s="441" t="s">
        <v>6074</v>
      </c>
      <c r="F4594" s="442" t="s">
        <v>6075</v>
      </c>
      <c r="G4594" s="371" t="s">
        <v>1572</v>
      </c>
      <c r="H4594" s="374" t="s">
        <v>3243</v>
      </c>
      <c r="I4594" s="470" t="s">
        <v>3243</v>
      </c>
      <c r="J4594" s="495">
        <v>5.44</v>
      </c>
      <c r="K4594" s="495">
        <v>3.8</v>
      </c>
      <c r="L4594" s="495">
        <f t="shared" si="50"/>
        <v>1.6400000000000006</v>
      </c>
      <c r="M4594" s="337"/>
    </row>
    <row r="4595" spans="1:13" s="71" customFormat="1" ht="26.4" customHeight="1">
      <c r="A4595" s="282">
        <v>353</v>
      </c>
      <c r="B4595" s="534"/>
      <c r="C4595" s="441" t="s">
        <v>5319</v>
      </c>
      <c r="D4595" s="260" t="s">
        <v>6076</v>
      </c>
      <c r="E4595" s="441" t="s">
        <v>13153</v>
      </c>
      <c r="F4595" s="442" t="s">
        <v>6077</v>
      </c>
      <c r="G4595" s="371" t="s">
        <v>1557</v>
      </c>
      <c r="H4595" s="374" t="s">
        <v>5462</v>
      </c>
      <c r="I4595" s="470">
        <v>247</v>
      </c>
      <c r="J4595" s="495">
        <v>5.83</v>
      </c>
      <c r="K4595" s="495">
        <v>3.14</v>
      </c>
      <c r="L4595" s="495">
        <f t="shared" si="50"/>
        <v>2.69</v>
      </c>
      <c r="M4595" s="337"/>
    </row>
    <row r="4596" spans="1:13" s="71" customFormat="1" ht="26.4" customHeight="1">
      <c r="A4596" s="282">
        <v>354</v>
      </c>
      <c r="B4596" s="534"/>
      <c r="C4596" s="441" t="s">
        <v>6029</v>
      </c>
      <c r="D4596" s="260" t="s">
        <v>6078</v>
      </c>
      <c r="E4596" s="441" t="s">
        <v>6079</v>
      </c>
      <c r="F4596" s="442" t="s">
        <v>6065</v>
      </c>
      <c r="G4596" s="371" t="s">
        <v>1532</v>
      </c>
      <c r="H4596" s="374" t="s">
        <v>5462</v>
      </c>
      <c r="I4596" s="470">
        <v>40</v>
      </c>
      <c r="J4596" s="495">
        <v>5</v>
      </c>
      <c r="K4596" s="495">
        <v>2.21</v>
      </c>
      <c r="L4596" s="495">
        <f t="shared" si="50"/>
        <v>2.79</v>
      </c>
      <c r="M4596" s="337"/>
    </row>
    <row r="4597" spans="1:13" s="71" customFormat="1" ht="26.4" customHeight="1">
      <c r="A4597" s="282">
        <v>355</v>
      </c>
      <c r="B4597" s="534"/>
      <c r="C4597" s="441" t="s">
        <v>5319</v>
      </c>
      <c r="D4597" s="441" t="s">
        <v>5301</v>
      </c>
      <c r="E4597" s="260" t="s">
        <v>6080</v>
      </c>
      <c r="F4597" s="442" t="s">
        <v>6081</v>
      </c>
      <c r="G4597" s="371" t="s">
        <v>1139</v>
      </c>
      <c r="H4597" s="374" t="s">
        <v>3243</v>
      </c>
      <c r="I4597" s="470" t="s">
        <v>3243</v>
      </c>
      <c r="J4597" s="495">
        <v>97.61</v>
      </c>
      <c r="K4597" s="495">
        <v>94.31</v>
      </c>
      <c r="L4597" s="495">
        <f t="shared" si="50"/>
        <v>3.2999999999999972</v>
      </c>
      <c r="M4597" s="337"/>
    </row>
    <row r="4598" spans="1:13" s="71" customFormat="1" ht="26.4" customHeight="1">
      <c r="A4598" s="282">
        <v>356</v>
      </c>
      <c r="B4598" s="534"/>
      <c r="C4598" s="441" t="s">
        <v>5319</v>
      </c>
      <c r="D4598" s="441" t="s">
        <v>5301</v>
      </c>
      <c r="E4598" s="441" t="s">
        <v>6082</v>
      </c>
      <c r="F4598" s="442" t="s">
        <v>6083</v>
      </c>
      <c r="G4598" s="371" t="s">
        <v>1139</v>
      </c>
      <c r="H4598" s="374" t="s">
        <v>1136</v>
      </c>
      <c r="I4598" s="470">
        <v>2000</v>
      </c>
      <c r="J4598" s="495">
        <v>190.66</v>
      </c>
      <c r="K4598" s="495">
        <v>126.67</v>
      </c>
      <c r="L4598" s="495">
        <f t="shared" si="50"/>
        <v>63.989999999999995</v>
      </c>
      <c r="M4598" s="337"/>
    </row>
    <row r="4599" spans="1:13" s="71" customFormat="1" ht="26.4" customHeight="1">
      <c r="A4599" s="282">
        <v>357</v>
      </c>
      <c r="B4599" s="534"/>
      <c r="C4599" s="441" t="s">
        <v>5319</v>
      </c>
      <c r="D4599" s="441" t="s">
        <v>6084</v>
      </c>
      <c r="E4599" s="441" t="s">
        <v>6085</v>
      </c>
      <c r="F4599" s="442" t="s">
        <v>6086</v>
      </c>
      <c r="G4599" s="371" t="s">
        <v>1535</v>
      </c>
      <c r="H4599" s="374" t="s">
        <v>5462</v>
      </c>
      <c r="I4599" s="470">
        <v>80</v>
      </c>
      <c r="J4599" s="495">
        <v>5.86</v>
      </c>
      <c r="K4599" s="495">
        <v>3.86</v>
      </c>
      <c r="L4599" s="495">
        <f t="shared" si="50"/>
        <v>2.0000000000000004</v>
      </c>
      <c r="M4599" s="337"/>
    </row>
    <row r="4600" spans="1:13" s="71" customFormat="1" ht="26.4" customHeight="1">
      <c r="A4600" s="282">
        <v>358</v>
      </c>
      <c r="B4600" s="534"/>
      <c r="C4600" s="441" t="s">
        <v>5319</v>
      </c>
      <c r="D4600" s="441" t="s">
        <v>5301</v>
      </c>
      <c r="E4600" s="441" t="s">
        <v>6087</v>
      </c>
      <c r="F4600" s="442" t="s">
        <v>6088</v>
      </c>
      <c r="G4600" s="371" t="s">
        <v>1139</v>
      </c>
      <c r="H4600" s="374" t="s">
        <v>3243</v>
      </c>
      <c r="I4600" s="470" t="s">
        <v>3243</v>
      </c>
      <c r="J4600" s="495">
        <v>95.4</v>
      </c>
      <c r="K4600" s="495">
        <v>92.19</v>
      </c>
      <c r="L4600" s="495">
        <f t="shared" si="50"/>
        <v>3.210000000000008</v>
      </c>
      <c r="M4600" s="337"/>
    </row>
    <row r="4601" spans="1:13" s="71" customFormat="1" ht="26.4" customHeight="1">
      <c r="A4601" s="282">
        <v>359</v>
      </c>
      <c r="B4601" s="534"/>
      <c r="C4601" s="260" t="s">
        <v>5319</v>
      </c>
      <c r="D4601" s="260" t="s">
        <v>5301</v>
      </c>
      <c r="E4601" s="260" t="s">
        <v>6089</v>
      </c>
      <c r="F4601" s="377" t="s">
        <v>6090</v>
      </c>
      <c r="G4601" s="298" t="s">
        <v>1558</v>
      </c>
      <c r="H4601" s="378" t="s">
        <v>1149</v>
      </c>
      <c r="I4601" s="260">
        <v>576</v>
      </c>
      <c r="J4601" s="379">
        <v>16.600000000000001</v>
      </c>
      <c r="K4601" s="379">
        <v>16.600000000000001</v>
      </c>
      <c r="L4601" s="379">
        <f t="shared" si="50"/>
        <v>0</v>
      </c>
      <c r="M4601" s="337"/>
    </row>
    <row r="4602" spans="1:13" s="71" customFormat="1" ht="26.4" customHeight="1">
      <c r="A4602" s="282">
        <v>360</v>
      </c>
      <c r="B4602" s="534"/>
      <c r="C4602" s="441" t="s">
        <v>5319</v>
      </c>
      <c r="D4602" s="260" t="s">
        <v>6084</v>
      </c>
      <c r="E4602" s="441" t="s">
        <v>6091</v>
      </c>
      <c r="F4602" s="442" t="s">
        <v>6092</v>
      </c>
      <c r="G4602" s="371" t="s">
        <v>1567</v>
      </c>
      <c r="H4602" s="374" t="s">
        <v>5462</v>
      </c>
      <c r="I4602" s="470">
        <v>890</v>
      </c>
      <c r="J4602" s="495">
        <v>114.46</v>
      </c>
      <c r="K4602" s="495">
        <v>41.92</v>
      </c>
      <c r="L4602" s="495">
        <f t="shared" si="50"/>
        <v>72.539999999999992</v>
      </c>
      <c r="M4602" s="337"/>
    </row>
    <row r="4603" spans="1:13" s="71" customFormat="1" ht="26.4" customHeight="1">
      <c r="A4603" s="282">
        <v>361</v>
      </c>
      <c r="B4603" s="534"/>
      <c r="C4603" s="441" t="s">
        <v>5305</v>
      </c>
      <c r="D4603" s="441" t="s">
        <v>6093</v>
      </c>
      <c r="E4603" s="441" t="s">
        <v>6094</v>
      </c>
      <c r="F4603" s="442" t="s">
        <v>6095</v>
      </c>
      <c r="G4603" s="371" t="s">
        <v>1576</v>
      </c>
      <c r="H4603" s="374" t="s">
        <v>3243</v>
      </c>
      <c r="I4603" s="470" t="s">
        <v>3</v>
      </c>
      <c r="J4603" s="495">
        <v>0.25</v>
      </c>
      <c r="K4603" s="495">
        <v>0.11</v>
      </c>
      <c r="L4603" s="495">
        <f t="shared" si="50"/>
        <v>0.14000000000000001</v>
      </c>
      <c r="M4603" s="337"/>
    </row>
    <row r="4604" spans="1:13" s="71" customFormat="1" ht="26.4" customHeight="1">
      <c r="A4604" s="282">
        <v>362</v>
      </c>
      <c r="B4604" s="534"/>
      <c r="C4604" s="441" t="s">
        <v>5305</v>
      </c>
      <c r="D4604" s="441" t="s">
        <v>6093</v>
      </c>
      <c r="E4604" s="441" t="s">
        <v>6096</v>
      </c>
      <c r="F4604" s="442" t="s">
        <v>6097</v>
      </c>
      <c r="G4604" s="371" t="s">
        <v>1576</v>
      </c>
      <c r="H4604" s="374" t="s">
        <v>3243</v>
      </c>
      <c r="I4604" s="470" t="s">
        <v>3</v>
      </c>
      <c r="J4604" s="495">
        <v>7.0000000000000007E-2</v>
      </c>
      <c r="K4604" s="495">
        <v>0.03</v>
      </c>
      <c r="L4604" s="495">
        <f t="shared" si="50"/>
        <v>4.0000000000000008E-2</v>
      </c>
      <c r="M4604" s="337"/>
    </row>
    <row r="4605" spans="1:13" s="71" customFormat="1" ht="26.4" customHeight="1">
      <c r="A4605" s="282">
        <v>363</v>
      </c>
      <c r="B4605" s="534"/>
      <c r="C4605" s="441" t="s">
        <v>5305</v>
      </c>
      <c r="D4605" s="441" t="s">
        <v>6093</v>
      </c>
      <c r="E4605" s="441" t="s">
        <v>6098</v>
      </c>
      <c r="F4605" s="442" t="s">
        <v>6099</v>
      </c>
      <c r="G4605" s="371" t="s">
        <v>1576</v>
      </c>
      <c r="H4605" s="374" t="s">
        <v>6100</v>
      </c>
      <c r="I4605" s="470" t="s">
        <v>3</v>
      </c>
      <c r="J4605" s="495">
        <v>1.01</v>
      </c>
      <c r="K4605" s="495">
        <v>0.14000000000000001</v>
      </c>
      <c r="L4605" s="495">
        <f t="shared" si="50"/>
        <v>0.87</v>
      </c>
      <c r="M4605" s="337"/>
    </row>
    <row r="4606" spans="1:13" s="71" customFormat="1" ht="26.4" customHeight="1">
      <c r="A4606" s="282">
        <v>364</v>
      </c>
      <c r="B4606" s="534"/>
      <c r="C4606" s="441" t="s">
        <v>5277</v>
      </c>
      <c r="D4606" s="260" t="s">
        <v>5309</v>
      </c>
      <c r="E4606" s="441" t="s">
        <v>6101</v>
      </c>
      <c r="F4606" s="442" t="s">
        <v>6102</v>
      </c>
      <c r="G4606" s="371" t="s">
        <v>1576</v>
      </c>
      <c r="H4606" s="374" t="s">
        <v>3243</v>
      </c>
      <c r="I4606" s="470" t="s">
        <v>3</v>
      </c>
      <c r="J4606" s="495">
        <v>0.1</v>
      </c>
      <c r="K4606" s="495">
        <v>7.0000000000000007E-2</v>
      </c>
      <c r="L4606" s="495">
        <f t="shared" si="50"/>
        <v>0.03</v>
      </c>
      <c r="M4606" s="337"/>
    </row>
    <row r="4607" spans="1:13" s="71" customFormat="1" ht="26.4" customHeight="1">
      <c r="A4607" s="282">
        <v>365</v>
      </c>
      <c r="B4607" s="534"/>
      <c r="C4607" s="441" t="s">
        <v>6029</v>
      </c>
      <c r="D4607" s="260" t="s">
        <v>6053</v>
      </c>
      <c r="E4607" s="441" t="s">
        <v>6103</v>
      </c>
      <c r="F4607" s="442" t="s">
        <v>6104</v>
      </c>
      <c r="G4607" s="371" t="s">
        <v>1576</v>
      </c>
      <c r="H4607" s="374" t="s">
        <v>3243</v>
      </c>
      <c r="I4607" s="470" t="s">
        <v>3</v>
      </c>
      <c r="J4607" s="495">
        <v>2.9</v>
      </c>
      <c r="K4607" s="495">
        <v>0.98</v>
      </c>
      <c r="L4607" s="495">
        <f t="shared" si="50"/>
        <v>1.92</v>
      </c>
      <c r="M4607" s="337"/>
    </row>
    <row r="4608" spans="1:13" s="71" customFormat="1" ht="26.4" customHeight="1">
      <c r="A4608" s="282">
        <v>366</v>
      </c>
      <c r="B4608" s="534"/>
      <c r="C4608" s="441" t="s">
        <v>6029</v>
      </c>
      <c r="D4608" s="260" t="s">
        <v>6053</v>
      </c>
      <c r="E4608" s="441" t="s">
        <v>6105</v>
      </c>
      <c r="F4608" s="442" t="s">
        <v>6106</v>
      </c>
      <c r="G4608" s="371" t="s">
        <v>1576</v>
      </c>
      <c r="H4608" s="374" t="s">
        <v>3243</v>
      </c>
      <c r="I4608" s="470" t="s">
        <v>3</v>
      </c>
      <c r="J4608" s="495">
        <v>4.83</v>
      </c>
      <c r="K4608" s="495">
        <v>1.63</v>
      </c>
      <c r="L4608" s="495">
        <f t="shared" si="50"/>
        <v>3.2</v>
      </c>
      <c r="M4608" s="337"/>
    </row>
    <row r="4609" spans="1:13" s="71" customFormat="1" ht="26.4" customHeight="1">
      <c r="A4609" s="282">
        <v>367</v>
      </c>
      <c r="B4609" s="534"/>
      <c r="C4609" s="441" t="s">
        <v>6029</v>
      </c>
      <c r="D4609" s="260" t="s">
        <v>6053</v>
      </c>
      <c r="E4609" s="441" t="s">
        <v>6098</v>
      </c>
      <c r="F4609" s="442" t="s">
        <v>6107</v>
      </c>
      <c r="G4609" s="371" t="s">
        <v>1576</v>
      </c>
      <c r="H4609" s="374" t="s">
        <v>3243</v>
      </c>
      <c r="I4609" s="470" t="s">
        <v>3</v>
      </c>
      <c r="J4609" s="495">
        <v>6.58</v>
      </c>
      <c r="K4609" s="495">
        <v>0.89</v>
      </c>
      <c r="L4609" s="495">
        <f t="shared" si="50"/>
        <v>5.69</v>
      </c>
      <c r="M4609" s="337"/>
    </row>
    <row r="4610" spans="1:13" s="71" customFormat="1" ht="26.4" customHeight="1">
      <c r="A4610" s="282">
        <v>368</v>
      </c>
      <c r="B4610" s="534"/>
      <c r="C4610" s="441" t="s">
        <v>5315</v>
      </c>
      <c r="D4610" s="441" t="s">
        <v>6108</v>
      </c>
      <c r="E4610" s="441" t="s">
        <v>6109</v>
      </c>
      <c r="F4610" s="442" t="s">
        <v>6110</v>
      </c>
      <c r="G4610" s="371" t="s">
        <v>1576</v>
      </c>
      <c r="H4610" s="374" t="s">
        <v>3243</v>
      </c>
      <c r="I4610" s="470" t="s">
        <v>3</v>
      </c>
      <c r="J4610" s="495">
        <v>0.2</v>
      </c>
      <c r="K4610" s="495">
        <v>0.13</v>
      </c>
      <c r="L4610" s="495">
        <f t="shared" si="50"/>
        <v>7.0000000000000007E-2</v>
      </c>
      <c r="M4610" s="337"/>
    </row>
    <row r="4611" spans="1:13" s="71" customFormat="1" ht="26.4" customHeight="1">
      <c r="A4611" s="282">
        <v>369</v>
      </c>
      <c r="B4611" s="534"/>
      <c r="C4611" s="441" t="s">
        <v>5315</v>
      </c>
      <c r="D4611" s="441" t="s">
        <v>6108</v>
      </c>
      <c r="E4611" s="441" t="s">
        <v>6109</v>
      </c>
      <c r="F4611" s="442" t="s">
        <v>6111</v>
      </c>
      <c r="G4611" s="371" t="s">
        <v>1576</v>
      </c>
      <c r="H4611" s="374" t="s">
        <v>3243</v>
      </c>
      <c r="I4611" s="470" t="s">
        <v>3</v>
      </c>
      <c r="J4611" s="495">
        <v>4.6399999999999997</v>
      </c>
      <c r="K4611" s="495">
        <v>0.53</v>
      </c>
      <c r="L4611" s="495">
        <f t="shared" si="50"/>
        <v>4.1099999999999994</v>
      </c>
      <c r="M4611" s="337"/>
    </row>
    <row r="4612" spans="1:13" s="71" customFormat="1" ht="26.4" customHeight="1">
      <c r="A4612" s="282">
        <v>370</v>
      </c>
      <c r="B4612" s="534"/>
      <c r="C4612" s="441" t="s">
        <v>5288</v>
      </c>
      <c r="D4612" s="441" t="s">
        <v>5289</v>
      </c>
      <c r="E4612" s="441" t="s">
        <v>6109</v>
      </c>
      <c r="F4612" s="442" t="s">
        <v>6112</v>
      </c>
      <c r="G4612" s="371" t="s">
        <v>1576</v>
      </c>
      <c r="H4612" s="374" t="s">
        <v>3243</v>
      </c>
      <c r="I4612" s="470" t="s">
        <v>3</v>
      </c>
      <c r="J4612" s="495">
        <v>0.08</v>
      </c>
      <c r="K4612" s="495">
        <v>0.05</v>
      </c>
      <c r="L4612" s="495">
        <f t="shared" si="50"/>
        <v>0.03</v>
      </c>
      <c r="M4612" s="337"/>
    </row>
    <row r="4613" spans="1:13" s="71" customFormat="1" ht="26.4" customHeight="1">
      <c r="A4613" s="282">
        <v>371</v>
      </c>
      <c r="B4613" s="534"/>
      <c r="C4613" s="441" t="s">
        <v>5319</v>
      </c>
      <c r="D4613" s="441" t="s">
        <v>5301</v>
      </c>
      <c r="E4613" s="441" t="s">
        <v>6113</v>
      </c>
      <c r="F4613" s="442" t="s">
        <v>6114</v>
      </c>
      <c r="G4613" s="371" t="s">
        <v>1576</v>
      </c>
      <c r="H4613" s="374" t="s">
        <v>3243</v>
      </c>
      <c r="I4613" s="470" t="s">
        <v>3</v>
      </c>
      <c r="J4613" s="495">
        <v>38.68</v>
      </c>
      <c r="K4613" s="495">
        <v>10.42</v>
      </c>
      <c r="L4613" s="495">
        <f t="shared" si="50"/>
        <v>28.259999999999998</v>
      </c>
      <c r="M4613" s="337"/>
    </row>
    <row r="4614" spans="1:13" s="71" customFormat="1" ht="26.4" customHeight="1">
      <c r="A4614" s="282">
        <v>372</v>
      </c>
      <c r="B4614" s="534"/>
      <c r="C4614" s="441" t="s">
        <v>5319</v>
      </c>
      <c r="D4614" s="441" t="s">
        <v>5301</v>
      </c>
      <c r="E4614" s="441" t="s">
        <v>6094</v>
      </c>
      <c r="F4614" s="442" t="s">
        <v>6115</v>
      </c>
      <c r="G4614" s="371" t="s">
        <v>1576</v>
      </c>
      <c r="H4614" s="374" t="s">
        <v>3243</v>
      </c>
      <c r="I4614" s="470" t="s">
        <v>3</v>
      </c>
      <c r="J4614" s="495">
        <v>0.12</v>
      </c>
      <c r="K4614" s="495">
        <v>0.08</v>
      </c>
      <c r="L4614" s="495">
        <f t="shared" si="50"/>
        <v>3.9999999999999994E-2</v>
      </c>
      <c r="M4614" s="337"/>
    </row>
    <row r="4615" spans="1:13" s="71" customFormat="1" ht="26.4" customHeight="1">
      <c r="A4615" s="282">
        <v>373</v>
      </c>
      <c r="B4615" s="534"/>
      <c r="C4615" s="441" t="s">
        <v>5315</v>
      </c>
      <c r="D4615" s="441" t="s">
        <v>6116</v>
      </c>
      <c r="E4615" s="441" t="s">
        <v>6094</v>
      </c>
      <c r="F4615" s="442" t="s">
        <v>6117</v>
      </c>
      <c r="G4615" s="371" t="s">
        <v>1547</v>
      </c>
      <c r="H4615" s="374" t="s">
        <v>3243</v>
      </c>
      <c r="I4615" s="470" t="s">
        <v>3</v>
      </c>
      <c r="J4615" s="495">
        <v>0.2</v>
      </c>
      <c r="K4615" s="495">
        <v>0.1</v>
      </c>
      <c r="L4615" s="495">
        <f t="shared" si="50"/>
        <v>0.1</v>
      </c>
      <c r="M4615" s="337"/>
    </row>
    <row r="4616" spans="1:13" s="71" customFormat="1" ht="26.4">
      <c r="A4616" s="282">
        <v>374</v>
      </c>
      <c r="B4616" s="534"/>
      <c r="C4616" s="441" t="s">
        <v>5265</v>
      </c>
      <c r="D4616" s="441" t="s">
        <v>12864</v>
      </c>
      <c r="E4616" s="441" t="s">
        <v>6118</v>
      </c>
      <c r="F4616" s="442" t="s">
        <v>6119</v>
      </c>
      <c r="G4616" s="371" t="s">
        <v>1577</v>
      </c>
      <c r="H4616" s="374" t="s">
        <v>5462</v>
      </c>
      <c r="I4616" s="470">
        <v>500</v>
      </c>
      <c r="J4616" s="495">
        <v>44.02</v>
      </c>
      <c r="K4616" s="495">
        <v>7.16</v>
      </c>
      <c r="L4616" s="495">
        <f t="shared" si="50"/>
        <v>36.86</v>
      </c>
      <c r="M4616" s="337"/>
    </row>
    <row r="4617" spans="1:13" s="71" customFormat="1" ht="26.4">
      <c r="A4617" s="282">
        <v>375</v>
      </c>
      <c r="B4617" s="534"/>
      <c r="C4617" s="441" t="s">
        <v>5265</v>
      </c>
      <c r="D4617" s="441" t="s">
        <v>12865</v>
      </c>
      <c r="E4617" s="441" t="s">
        <v>6120</v>
      </c>
      <c r="F4617" s="442" t="s">
        <v>6121</v>
      </c>
      <c r="G4617" s="371" t="s">
        <v>1577</v>
      </c>
      <c r="H4617" s="374" t="s">
        <v>5462</v>
      </c>
      <c r="I4617" s="470">
        <v>350</v>
      </c>
      <c r="J4617" s="495">
        <v>1.47</v>
      </c>
      <c r="K4617" s="495">
        <v>0.24</v>
      </c>
      <c r="L4617" s="495">
        <f t="shared" si="50"/>
        <v>1.23</v>
      </c>
      <c r="M4617" s="337"/>
    </row>
    <row r="4618" spans="1:13" s="71" customFormat="1" ht="26.4" customHeight="1">
      <c r="A4618" s="282">
        <v>376</v>
      </c>
      <c r="B4618" s="534"/>
      <c r="C4618" s="441" t="s">
        <v>5265</v>
      </c>
      <c r="D4618" s="441" t="s">
        <v>6122</v>
      </c>
      <c r="E4618" s="260" t="s">
        <v>6123</v>
      </c>
      <c r="F4618" s="442" t="s">
        <v>6124</v>
      </c>
      <c r="G4618" s="371" t="s">
        <v>1562</v>
      </c>
      <c r="H4618" s="374" t="s">
        <v>5462</v>
      </c>
      <c r="I4618" s="470">
        <v>349</v>
      </c>
      <c r="J4618" s="495">
        <v>547.75</v>
      </c>
      <c r="K4618" s="495">
        <v>70.11</v>
      </c>
      <c r="L4618" s="495">
        <f t="shared" si="50"/>
        <v>477.64</v>
      </c>
      <c r="M4618" s="337"/>
    </row>
    <row r="4619" spans="1:13" s="71" customFormat="1" ht="26.4" customHeight="1">
      <c r="A4619" s="282">
        <v>377</v>
      </c>
      <c r="B4619" s="534"/>
      <c r="C4619" s="441" t="s">
        <v>5265</v>
      </c>
      <c r="D4619" s="260" t="s">
        <v>6125</v>
      </c>
      <c r="E4619" s="260" t="s">
        <v>6126</v>
      </c>
      <c r="F4619" s="380" t="s">
        <v>6127</v>
      </c>
      <c r="G4619" s="371" t="s">
        <v>1530</v>
      </c>
      <c r="H4619" s="374" t="s">
        <v>5462</v>
      </c>
      <c r="I4619" s="470">
        <v>216</v>
      </c>
      <c r="J4619" s="496">
        <v>62.62</v>
      </c>
      <c r="K4619" s="496">
        <v>51.21</v>
      </c>
      <c r="L4619" s="495">
        <f t="shared" si="50"/>
        <v>11.409999999999997</v>
      </c>
      <c r="M4619" s="337"/>
    </row>
    <row r="4620" spans="1:13" s="71" customFormat="1" ht="26.4" customHeight="1">
      <c r="A4620" s="282">
        <v>378</v>
      </c>
      <c r="B4620" s="534"/>
      <c r="C4620" s="441" t="s">
        <v>5265</v>
      </c>
      <c r="D4620" s="441" t="s">
        <v>5628</v>
      </c>
      <c r="E4620" s="260" t="s">
        <v>6128</v>
      </c>
      <c r="F4620" s="380" t="s">
        <v>6129</v>
      </c>
      <c r="G4620" s="371" t="s">
        <v>1530</v>
      </c>
      <c r="H4620" s="374" t="s">
        <v>5462</v>
      </c>
      <c r="I4620" s="470">
        <v>218</v>
      </c>
      <c r="J4620" s="496">
        <v>3.42</v>
      </c>
      <c r="K4620" s="496">
        <v>0.47</v>
      </c>
      <c r="L4620" s="495">
        <f t="shared" si="50"/>
        <v>2.95</v>
      </c>
      <c r="M4620" s="337"/>
    </row>
    <row r="4621" spans="1:13" s="71" customFormat="1" ht="26.4" customHeight="1">
      <c r="A4621" s="282">
        <v>379</v>
      </c>
      <c r="B4621" s="534"/>
      <c r="C4621" s="441" t="s">
        <v>5265</v>
      </c>
      <c r="D4621" s="441" t="s">
        <v>6130</v>
      </c>
      <c r="E4621" s="260" t="s">
        <v>6131</v>
      </c>
      <c r="F4621" s="380" t="s">
        <v>6132</v>
      </c>
      <c r="G4621" s="371" t="s">
        <v>1530</v>
      </c>
      <c r="H4621" s="374" t="s">
        <v>5462</v>
      </c>
      <c r="I4621" s="470">
        <v>23</v>
      </c>
      <c r="J4621" s="496">
        <v>4.76</v>
      </c>
      <c r="K4621" s="496">
        <v>1.81</v>
      </c>
      <c r="L4621" s="495">
        <f t="shared" si="50"/>
        <v>2.9499999999999997</v>
      </c>
      <c r="M4621" s="337"/>
    </row>
    <row r="4622" spans="1:13" s="71" customFormat="1" ht="26.4" customHeight="1">
      <c r="A4622" s="282">
        <v>380</v>
      </c>
      <c r="B4622" s="534"/>
      <c r="C4622" s="441" t="s">
        <v>5265</v>
      </c>
      <c r="D4622" s="441" t="s">
        <v>6133</v>
      </c>
      <c r="E4622" s="260" t="s">
        <v>6126</v>
      </c>
      <c r="F4622" s="380" t="s">
        <v>6134</v>
      </c>
      <c r="G4622" s="371" t="s">
        <v>1560</v>
      </c>
      <c r="H4622" s="374" t="s">
        <v>5462</v>
      </c>
      <c r="I4622" s="470">
        <v>3000</v>
      </c>
      <c r="J4622" s="496">
        <v>3.7</v>
      </c>
      <c r="K4622" s="496">
        <v>1.0900000000000001</v>
      </c>
      <c r="L4622" s="495">
        <f t="shared" si="50"/>
        <v>2.6100000000000003</v>
      </c>
      <c r="M4622" s="337"/>
    </row>
    <row r="4623" spans="1:13" s="71" customFormat="1" ht="26.4" customHeight="1">
      <c r="A4623" s="282">
        <v>381</v>
      </c>
      <c r="B4623" s="534"/>
      <c r="C4623" s="441" t="s">
        <v>5265</v>
      </c>
      <c r="D4623" s="441" t="s">
        <v>5628</v>
      </c>
      <c r="E4623" s="260" t="s">
        <v>6135</v>
      </c>
      <c r="F4623" s="380" t="s">
        <v>6136</v>
      </c>
      <c r="G4623" s="371" t="s">
        <v>1535</v>
      </c>
      <c r="H4623" s="374" t="s">
        <v>5462</v>
      </c>
      <c r="I4623" s="470">
        <v>134</v>
      </c>
      <c r="J4623" s="496">
        <v>3.35</v>
      </c>
      <c r="K4623" s="496">
        <v>0.42</v>
      </c>
      <c r="L4623" s="495">
        <f t="shared" si="50"/>
        <v>2.93</v>
      </c>
      <c r="M4623" s="337"/>
    </row>
    <row r="4624" spans="1:13" s="71" customFormat="1" ht="26.4" customHeight="1">
      <c r="A4624" s="282">
        <v>382</v>
      </c>
      <c r="B4624" s="534"/>
      <c r="C4624" s="441" t="s">
        <v>5265</v>
      </c>
      <c r="D4624" s="441" t="s">
        <v>5628</v>
      </c>
      <c r="E4624" s="260" t="s">
        <v>6137</v>
      </c>
      <c r="F4624" s="380" t="s">
        <v>6138</v>
      </c>
      <c r="G4624" s="371" t="s">
        <v>1552</v>
      </c>
      <c r="H4624" s="374" t="s">
        <v>5462</v>
      </c>
      <c r="I4624" s="470">
        <v>3305</v>
      </c>
      <c r="J4624" s="496">
        <v>3.69</v>
      </c>
      <c r="K4624" s="496">
        <v>0.66</v>
      </c>
      <c r="L4624" s="495">
        <f t="shared" si="50"/>
        <v>3.03</v>
      </c>
      <c r="M4624" s="337"/>
    </row>
    <row r="4625" spans="1:13" s="71" customFormat="1" ht="26.4" customHeight="1">
      <c r="A4625" s="282">
        <v>383</v>
      </c>
      <c r="B4625" s="534"/>
      <c r="C4625" s="441" t="s">
        <v>5265</v>
      </c>
      <c r="D4625" s="441" t="s">
        <v>6139</v>
      </c>
      <c r="E4625" s="260" t="s">
        <v>6126</v>
      </c>
      <c r="F4625" s="380" t="s">
        <v>6140</v>
      </c>
      <c r="G4625" s="371" t="s">
        <v>1544</v>
      </c>
      <c r="H4625" s="374" t="s">
        <v>5462</v>
      </c>
      <c r="I4625" s="470">
        <v>78</v>
      </c>
      <c r="J4625" s="496">
        <v>7.92</v>
      </c>
      <c r="K4625" s="496">
        <v>5.21</v>
      </c>
      <c r="L4625" s="495">
        <f t="shared" si="50"/>
        <v>2.71</v>
      </c>
      <c r="M4625" s="337"/>
    </row>
    <row r="4626" spans="1:13" s="71" customFormat="1" ht="26.4" customHeight="1">
      <c r="A4626" s="282">
        <v>384</v>
      </c>
      <c r="B4626" s="534"/>
      <c r="C4626" s="441" t="s">
        <v>5265</v>
      </c>
      <c r="D4626" s="450" t="s">
        <v>6141</v>
      </c>
      <c r="E4626" s="260" t="s">
        <v>6142</v>
      </c>
      <c r="F4626" s="380" t="s">
        <v>6143</v>
      </c>
      <c r="G4626" s="371" t="s">
        <v>5291</v>
      </c>
      <c r="H4626" s="374" t="s">
        <v>5462</v>
      </c>
      <c r="I4626" s="470">
        <v>213</v>
      </c>
      <c r="J4626" s="496">
        <v>36.24</v>
      </c>
      <c r="K4626" s="496">
        <v>2.58</v>
      </c>
      <c r="L4626" s="495">
        <f t="shared" si="50"/>
        <v>33.660000000000004</v>
      </c>
      <c r="M4626" s="337"/>
    </row>
    <row r="4627" spans="1:13" s="71" customFormat="1" ht="26.4" customHeight="1">
      <c r="A4627" s="282">
        <v>385</v>
      </c>
      <c r="B4627" s="534"/>
      <c r="C4627" s="441" t="s">
        <v>5265</v>
      </c>
      <c r="D4627" s="441" t="s">
        <v>6144</v>
      </c>
      <c r="E4627" s="260" t="s">
        <v>6145</v>
      </c>
      <c r="F4627" s="380" t="s">
        <v>6146</v>
      </c>
      <c r="G4627" s="371" t="s">
        <v>1561</v>
      </c>
      <c r="H4627" s="374" t="s">
        <v>5462</v>
      </c>
      <c r="I4627" s="470">
        <v>795</v>
      </c>
      <c r="J4627" s="496">
        <v>77.650000000000006</v>
      </c>
      <c r="K4627" s="496">
        <v>5.96</v>
      </c>
      <c r="L4627" s="495">
        <f t="shared" ref="L4627:L4690" si="51">J4627-K4627</f>
        <v>71.690000000000012</v>
      </c>
      <c r="M4627" s="337"/>
    </row>
    <row r="4628" spans="1:13" s="71" customFormat="1" ht="26.4" customHeight="1">
      <c r="A4628" s="282">
        <v>386</v>
      </c>
      <c r="B4628" s="534"/>
      <c r="C4628" s="441" t="s">
        <v>5265</v>
      </c>
      <c r="D4628" s="441" t="s">
        <v>5628</v>
      </c>
      <c r="E4628" s="260" t="s">
        <v>6126</v>
      </c>
      <c r="F4628" s="380" t="s">
        <v>6147</v>
      </c>
      <c r="G4628" s="371" t="s">
        <v>1582</v>
      </c>
      <c r="H4628" s="374" t="s">
        <v>5462</v>
      </c>
      <c r="I4628" s="470">
        <v>1245</v>
      </c>
      <c r="J4628" s="496">
        <v>42.5</v>
      </c>
      <c r="K4628" s="496">
        <v>4.9800000000000004</v>
      </c>
      <c r="L4628" s="495">
        <f t="shared" si="51"/>
        <v>37.519999999999996</v>
      </c>
      <c r="M4628" s="337"/>
    </row>
    <row r="4629" spans="1:13" s="71" customFormat="1" ht="26.4" customHeight="1">
      <c r="A4629" s="282">
        <v>387</v>
      </c>
      <c r="B4629" s="534"/>
      <c r="C4629" s="441" t="s">
        <v>5265</v>
      </c>
      <c r="D4629" s="441" t="s">
        <v>5552</v>
      </c>
      <c r="E4629" s="260" t="s">
        <v>6148</v>
      </c>
      <c r="F4629" s="380" t="s">
        <v>6149</v>
      </c>
      <c r="G4629" s="371" t="s">
        <v>1582</v>
      </c>
      <c r="H4629" s="374" t="s">
        <v>5462</v>
      </c>
      <c r="I4629" s="470">
        <v>195</v>
      </c>
      <c r="J4629" s="496">
        <v>39.92</v>
      </c>
      <c r="K4629" s="496">
        <v>2.91</v>
      </c>
      <c r="L4629" s="495">
        <f t="shared" si="51"/>
        <v>37.010000000000005</v>
      </c>
      <c r="M4629" s="337"/>
    </row>
    <row r="4630" spans="1:13" s="71" customFormat="1" ht="26.4" customHeight="1">
      <c r="A4630" s="282">
        <v>388</v>
      </c>
      <c r="B4630" s="534"/>
      <c r="C4630" s="441" t="s">
        <v>5265</v>
      </c>
      <c r="D4630" s="441" t="s">
        <v>6150</v>
      </c>
      <c r="E4630" s="260" t="s">
        <v>6145</v>
      </c>
      <c r="F4630" s="380" t="s">
        <v>6151</v>
      </c>
      <c r="G4630" s="371" t="s">
        <v>1556</v>
      </c>
      <c r="H4630" s="374" t="s">
        <v>5462</v>
      </c>
      <c r="I4630" s="470">
        <v>580</v>
      </c>
      <c r="J4630" s="496">
        <v>4.47</v>
      </c>
      <c r="K4630" s="496">
        <v>4.07</v>
      </c>
      <c r="L4630" s="495">
        <f t="shared" si="51"/>
        <v>0.39999999999999947</v>
      </c>
      <c r="M4630" s="337"/>
    </row>
    <row r="4631" spans="1:13" s="71" customFormat="1" ht="26.4" customHeight="1">
      <c r="A4631" s="282">
        <v>389</v>
      </c>
      <c r="B4631" s="534"/>
      <c r="C4631" s="441" t="s">
        <v>5265</v>
      </c>
      <c r="D4631" s="441" t="s">
        <v>6152</v>
      </c>
      <c r="E4631" s="260" t="s">
        <v>6145</v>
      </c>
      <c r="F4631" s="380" t="s">
        <v>6153</v>
      </c>
      <c r="G4631" s="371" t="s">
        <v>5506</v>
      </c>
      <c r="H4631" s="374" t="s">
        <v>5462</v>
      </c>
      <c r="I4631" s="470">
        <v>1029</v>
      </c>
      <c r="J4631" s="496">
        <v>18.760000000000002</v>
      </c>
      <c r="K4631" s="496">
        <v>15.14</v>
      </c>
      <c r="L4631" s="495">
        <f t="shared" si="51"/>
        <v>3.620000000000001</v>
      </c>
      <c r="M4631" s="337"/>
    </row>
    <row r="4632" spans="1:13" s="71" customFormat="1" ht="26.4" customHeight="1">
      <c r="A4632" s="282">
        <v>390</v>
      </c>
      <c r="B4632" s="534"/>
      <c r="C4632" s="441" t="s">
        <v>5265</v>
      </c>
      <c r="D4632" s="441" t="s">
        <v>6154</v>
      </c>
      <c r="E4632" s="260" t="s">
        <v>6145</v>
      </c>
      <c r="F4632" s="380" t="s">
        <v>6155</v>
      </c>
      <c r="G4632" s="371" t="s">
        <v>1556</v>
      </c>
      <c r="H4632" s="374" t="s">
        <v>5462</v>
      </c>
      <c r="I4632" s="470">
        <v>425</v>
      </c>
      <c r="J4632" s="496">
        <v>5.46</v>
      </c>
      <c r="K4632" s="496">
        <v>2.5499999999999998</v>
      </c>
      <c r="L4632" s="495">
        <f t="shared" si="51"/>
        <v>2.91</v>
      </c>
      <c r="M4632" s="337"/>
    </row>
    <row r="4633" spans="1:13" s="71" customFormat="1" ht="26.4" customHeight="1">
      <c r="A4633" s="282">
        <v>391</v>
      </c>
      <c r="B4633" s="534"/>
      <c r="C4633" s="441" t="s">
        <v>5265</v>
      </c>
      <c r="D4633" s="441" t="s">
        <v>6152</v>
      </c>
      <c r="E4633" s="260" t="s">
        <v>6145</v>
      </c>
      <c r="F4633" s="380" t="s">
        <v>6156</v>
      </c>
      <c r="G4633" s="371" t="s">
        <v>1556</v>
      </c>
      <c r="H4633" s="374" t="s">
        <v>5462</v>
      </c>
      <c r="I4633" s="470">
        <v>462</v>
      </c>
      <c r="J4633" s="496">
        <v>7.29</v>
      </c>
      <c r="K4633" s="496">
        <v>4.37</v>
      </c>
      <c r="L4633" s="495">
        <f t="shared" si="51"/>
        <v>2.92</v>
      </c>
      <c r="M4633" s="337"/>
    </row>
    <row r="4634" spans="1:13" s="71" customFormat="1" ht="26.4" customHeight="1">
      <c r="A4634" s="282">
        <v>392</v>
      </c>
      <c r="B4634" s="534"/>
      <c r="C4634" s="441" t="s">
        <v>5265</v>
      </c>
      <c r="D4634" s="441" t="s">
        <v>6157</v>
      </c>
      <c r="E4634" s="260" t="s">
        <v>6145</v>
      </c>
      <c r="F4634" s="380" t="s">
        <v>6158</v>
      </c>
      <c r="G4634" s="371" t="s">
        <v>1556</v>
      </c>
      <c r="H4634" s="374" t="s">
        <v>5462</v>
      </c>
      <c r="I4634" s="470">
        <v>432</v>
      </c>
      <c r="J4634" s="496">
        <v>5.18</v>
      </c>
      <c r="K4634" s="496">
        <v>2.2599999999999998</v>
      </c>
      <c r="L4634" s="495">
        <f t="shared" si="51"/>
        <v>2.92</v>
      </c>
      <c r="M4634" s="337"/>
    </row>
    <row r="4635" spans="1:13" s="71" customFormat="1" ht="26.4" customHeight="1">
      <c r="A4635" s="282">
        <v>393</v>
      </c>
      <c r="B4635" s="534"/>
      <c r="C4635" s="441" t="s">
        <v>5265</v>
      </c>
      <c r="D4635" s="441" t="s">
        <v>6159</v>
      </c>
      <c r="E4635" s="260" t="s">
        <v>6145</v>
      </c>
      <c r="F4635" s="380" t="s">
        <v>6160</v>
      </c>
      <c r="G4635" s="371" t="s">
        <v>1545</v>
      </c>
      <c r="H4635" s="374" t="s">
        <v>5462</v>
      </c>
      <c r="I4635" s="470">
        <v>996</v>
      </c>
      <c r="J4635" s="496">
        <v>16.04</v>
      </c>
      <c r="K4635" s="496">
        <v>11.82</v>
      </c>
      <c r="L4635" s="495">
        <f t="shared" si="51"/>
        <v>4.2199999999999989</v>
      </c>
      <c r="M4635" s="337"/>
    </row>
    <row r="4636" spans="1:13" s="71" customFormat="1" ht="26.4" customHeight="1">
      <c r="A4636" s="282">
        <v>394</v>
      </c>
      <c r="B4636" s="534"/>
      <c r="C4636" s="441" t="s">
        <v>5265</v>
      </c>
      <c r="D4636" s="441" t="s">
        <v>6161</v>
      </c>
      <c r="E4636" s="260" t="s">
        <v>6145</v>
      </c>
      <c r="F4636" s="380" t="s">
        <v>6162</v>
      </c>
      <c r="G4636" s="371" t="s">
        <v>1556</v>
      </c>
      <c r="H4636" s="374" t="s">
        <v>5462</v>
      </c>
      <c r="I4636" s="470">
        <v>1035</v>
      </c>
      <c r="J4636" s="496">
        <v>9.3800000000000008</v>
      </c>
      <c r="K4636" s="496">
        <v>7.63</v>
      </c>
      <c r="L4636" s="495">
        <f t="shared" si="51"/>
        <v>1.7500000000000009</v>
      </c>
      <c r="M4636" s="337"/>
    </row>
    <row r="4637" spans="1:13" s="71" customFormat="1" ht="26.4" customHeight="1">
      <c r="A4637" s="282">
        <v>395</v>
      </c>
      <c r="B4637" s="534"/>
      <c r="C4637" s="441" t="s">
        <v>5265</v>
      </c>
      <c r="D4637" s="441" t="s">
        <v>12635</v>
      </c>
      <c r="E4637" s="260" t="s">
        <v>6145</v>
      </c>
      <c r="F4637" s="380" t="s">
        <v>6163</v>
      </c>
      <c r="G4637" s="371" t="s">
        <v>1561</v>
      </c>
      <c r="H4637" s="374" t="s">
        <v>5462</v>
      </c>
      <c r="I4637" s="470">
        <v>529</v>
      </c>
      <c r="J4637" s="496">
        <v>47.24</v>
      </c>
      <c r="K4637" s="496">
        <v>43.56</v>
      </c>
      <c r="L4637" s="495">
        <f t="shared" si="51"/>
        <v>3.6799999999999997</v>
      </c>
      <c r="M4637" s="337"/>
    </row>
    <row r="4638" spans="1:13" s="71" customFormat="1" ht="26.4" customHeight="1">
      <c r="A4638" s="282">
        <v>396</v>
      </c>
      <c r="B4638" s="534"/>
      <c r="C4638" s="441" t="s">
        <v>5265</v>
      </c>
      <c r="D4638" s="260" t="s">
        <v>5635</v>
      </c>
      <c r="E4638" s="260" t="s">
        <v>6145</v>
      </c>
      <c r="F4638" s="380" t="s">
        <v>6164</v>
      </c>
      <c r="G4638" s="371" t="s">
        <v>1561</v>
      </c>
      <c r="H4638" s="381" t="s">
        <v>5462</v>
      </c>
      <c r="I4638" s="470">
        <v>1039</v>
      </c>
      <c r="J4638" s="496">
        <v>61.98</v>
      </c>
      <c r="K4638" s="496">
        <v>56.84</v>
      </c>
      <c r="L4638" s="495">
        <f t="shared" si="51"/>
        <v>5.1399999999999935</v>
      </c>
      <c r="M4638" s="337"/>
    </row>
    <row r="4639" spans="1:13" s="71" customFormat="1" ht="26.4" customHeight="1">
      <c r="A4639" s="282">
        <v>397</v>
      </c>
      <c r="B4639" s="534"/>
      <c r="C4639" s="441" t="s">
        <v>5265</v>
      </c>
      <c r="D4639" s="441" t="s">
        <v>6165</v>
      </c>
      <c r="E4639" s="260" t="s">
        <v>6145</v>
      </c>
      <c r="F4639" s="380" t="s">
        <v>6166</v>
      </c>
      <c r="G4639" s="371" t="s">
        <v>1561</v>
      </c>
      <c r="H4639" s="381" t="s">
        <v>5462</v>
      </c>
      <c r="I4639" s="470">
        <v>450</v>
      </c>
      <c r="J4639" s="496">
        <v>7.26</v>
      </c>
      <c r="K4639" s="496">
        <v>6.89</v>
      </c>
      <c r="L4639" s="495">
        <f t="shared" si="51"/>
        <v>0.37000000000000011</v>
      </c>
      <c r="M4639" s="337"/>
    </row>
    <row r="4640" spans="1:13" s="71" customFormat="1" ht="26.4" customHeight="1">
      <c r="A4640" s="282">
        <v>398</v>
      </c>
      <c r="B4640" s="534"/>
      <c r="C4640" s="441" t="s">
        <v>5265</v>
      </c>
      <c r="D4640" s="441" t="s">
        <v>6167</v>
      </c>
      <c r="E4640" s="260" t="s">
        <v>6168</v>
      </c>
      <c r="F4640" s="380" t="s">
        <v>6169</v>
      </c>
      <c r="G4640" s="371" t="s">
        <v>1561</v>
      </c>
      <c r="H4640" s="381" t="s">
        <v>5462</v>
      </c>
      <c r="I4640" s="470">
        <v>1069</v>
      </c>
      <c r="J4640" s="496">
        <v>20.3</v>
      </c>
      <c r="K4640" s="496">
        <v>20.28</v>
      </c>
      <c r="L4640" s="495">
        <f t="shared" si="51"/>
        <v>1.9999999999999574E-2</v>
      </c>
      <c r="M4640" s="337"/>
    </row>
    <row r="4641" spans="1:13" s="71" customFormat="1" ht="26.4" customHeight="1">
      <c r="A4641" s="282">
        <v>399</v>
      </c>
      <c r="B4641" s="534"/>
      <c r="C4641" s="441" t="s">
        <v>5265</v>
      </c>
      <c r="D4641" s="441" t="s">
        <v>6170</v>
      </c>
      <c r="E4641" s="260" t="s">
        <v>6137</v>
      </c>
      <c r="F4641" s="380" t="s">
        <v>6171</v>
      </c>
      <c r="G4641" s="371" t="s">
        <v>1561</v>
      </c>
      <c r="H4641" s="381" t="s">
        <v>5462</v>
      </c>
      <c r="I4641" s="470">
        <v>3240</v>
      </c>
      <c r="J4641" s="496">
        <v>49.58</v>
      </c>
      <c r="K4641" s="496">
        <v>45.47</v>
      </c>
      <c r="L4641" s="495">
        <f t="shared" si="51"/>
        <v>4.1099999999999994</v>
      </c>
      <c r="M4641" s="337"/>
    </row>
    <row r="4642" spans="1:13" s="71" customFormat="1" ht="26.4" customHeight="1">
      <c r="A4642" s="282">
        <v>400</v>
      </c>
      <c r="B4642" s="534"/>
      <c r="C4642" s="441" t="s">
        <v>5265</v>
      </c>
      <c r="D4642" s="441" t="s">
        <v>6172</v>
      </c>
      <c r="E4642" s="260" t="s">
        <v>6145</v>
      </c>
      <c r="F4642" s="380" t="s">
        <v>6173</v>
      </c>
      <c r="G4642" s="371" t="s">
        <v>1561</v>
      </c>
      <c r="H4642" s="381" t="s">
        <v>5462</v>
      </c>
      <c r="I4642" s="470">
        <v>2500</v>
      </c>
      <c r="J4642" s="496">
        <v>46.9</v>
      </c>
      <c r="K4642" s="496">
        <v>43.02</v>
      </c>
      <c r="L4642" s="495">
        <f t="shared" si="51"/>
        <v>3.8799999999999955</v>
      </c>
      <c r="M4642" s="337"/>
    </row>
    <row r="4643" spans="1:13" s="71" customFormat="1" ht="26.4" customHeight="1">
      <c r="A4643" s="282">
        <v>401</v>
      </c>
      <c r="B4643" s="534"/>
      <c r="C4643" s="441" t="s">
        <v>5265</v>
      </c>
      <c r="D4643" s="441" t="s">
        <v>6174</v>
      </c>
      <c r="E4643" s="260" t="s">
        <v>6145</v>
      </c>
      <c r="F4643" s="380" t="s">
        <v>6175</v>
      </c>
      <c r="G4643" s="371" t="s">
        <v>1561</v>
      </c>
      <c r="H4643" s="381" t="s">
        <v>5462</v>
      </c>
      <c r="I4643" s="470">
        <v>336</v>
      </c>
      <c r="J4643" s="496">
        <v>6.28</v>
      </c>
      <c r="K4643" s="496">
        <v>5.76</v>
      </c>
      <c r="L4643" s="495">
        <f t="shared" si="51"/>
        <v>0.52000000000000046</v>
      </c>
      <c r="M4643" s="337"/>
    </row>
    <row r="4644" spans="1:13" s="71" customFormat="1" ht="26.4" customHeight="1">
      <c r="A4644" s="282">
        <v>402</v>
      </c>
      <c r="B4644" s="534"/>
      <c r="C4644" s="441" t="s">
        <v>5265</v>
      </c>
      <c r="D4644" s="441" t="s">
        <v>6176</v>
      </c>
      <c r="E4644" s="260" t="s">
        <v>6145</v>
      </c>
      <c r="F4644" s="380" t="s">
        <v>6177</v>
      </c>
      <c r="G4644" s="371" t="s">
        <v>1561</v>
      </c>
      <c r="H4644" s="381" t="s">
        <v>5462</v>
      </c>
      <c r="I4644" s="470">
        <v>696</v>
      </c>
      <c r="J4644" s="496">
        <v>30.82</v>
      </c>
      <c r="K4644" s="496">
        <v>13.07</v>
      </c>
      <c r="L4644" s="495">
        <f t="shared" si="51"/>
        <v>17.75</v>
      </c>
      <c r="M4644" s="337"/>
    </row>
    <row r="4645" spans="1:13" s="71" customFormat="1" ht="26.4" customHeight="1">
      <c r="A4645" s="282">
        <v>403</v>
      </c>
      <c r="B4645" s="534"/>
      <c r="C4645" s="441" t="s">
        <v>5265</v>
      </c>
      <c r="D4645" s="441" t="s">
        <v>6178</v>
      </c>
      <c r="E4645" s="260" t="s">
        <v>6145</v>
      </c>
      <c r="F4645" s="380" t="s">
        <v>6179</v>
      </c>
      <c r="G4645" s="371" t="s">
        <v>1561</v>
      </c>
      <c r="H4645" s="381" t="s">
        <v>5462</v>
      </c>
      <c r="I4645" s="470">
        <v>190</v>
      </c>
      <c r="J4645" s="496">
        <v>5.74</v>
      </c>
      <c r="K4645" s="496">
        <v>2.98</v>
      </c>
      <c r="L4645" s="495">
        <f t="shared" si="51"/>
        <v>2.7600000000000002</v>
      </c>
      <c r="M4645" s="337"/>
    </row>
    <row r="4646" spans="1:13" s="71" customFormat="1" ht="26.4" customHeight="1">
      <c r="A4646" s="282">
        <v>404</v>
      </c>
      <c r="B4646" s="534"/>
      <c r="C4646" s="441" t="s">
        <v>5265</v>
      </c>
      <c r="D4646" s="441" t="s">
        <v>6180</v>
      </c>
      <c r="E4646" s="260" t="s">
        <v>6145</v>
      </c>
      <c r="F4646" s="380" t="s">
        <v>6181</v>
      </c>
      <c r="G4646" s="371" t="s">
        <v>1561</v>
      </c>
      <c r="H4646" s="381" t="s">
        <v>5462</v>
      </c>
      <c r="I4646" s="470">
        <v>1120</v>
      </c>
      <c r="J4646" s="496">
        <v>9.1199999999999992</v>
      </c>
      <c r="K4646" s="496">
        <v>8.85</v>
      </c>
      <c r="L4646" s="495">
        <f t="shared" si="51"/>
        <v>0.26999999999999957</v>
      </c>
      <c r="M4646" s="337"/>
    </row>
    <row r="4647" spans="1:13" s="71" customFormat="1" ht="26.4" customHeight="1">
      <c r="A4647" s="282">
        <v>405</v>
      </c>
      <c r="B4647" s="534"/>
      <c r="C4647" s="441" t="s">
        <v>5265</v>
      </c>
      <c r="D4647" s="450" t="s">
        <v>6182</v>
      </c>
      <c r="E4647" s="260" t="s">
        <v>6183</v>
      </c>
      <c r="F4647" s="380" t="s">
        <v>6184</v>
      </c>
      <c r="G4647" s="371" t="s">
        <v>1561</v>
      </c>
      <c r="H4647" s="381" t="s">
        <v>5462</v>
      </c>
      <c r="I4647" s="470">
        <v>960</v>
      </c>
      <c r="J4647" s="496">
        <v>73.38</v>
      </c>
      <c r="K4647" s="496">
        <v>67.3</v>
      </c>
      <c r="L4647" s="495">
        <f t="shared" si="51"/>
        <v>6.0799999999999983</v>
      </c>
      <c r="M4647" s="337"/>
    </row>
    <row r="4648" spans="1:13" s="71" customFormat="1" ht="26.4" customHeight="1">
      <c r="A4648" s="282">
        <v>406</v>
      </c>
      <c r="B4648" s="534"/>
      <c r="C4648" s="441" t="s">
        <v>5265</v>
      </c>
      <c r="D4648" s="441" t="s">
        <v>6185</v>
      </c>
      <c r="E4648" s="260" t="s">
        <v>6186</v>
      </c>
      <c r="F4648" s="380" t="s">
        <v>6187</v>
      </c>
      <c r="G4648" s="371" t="s">
        <v>1561</v>
      </c>
      <c r="H4648" s="381" t="s">
        <v>5462</v>
      </c>
      <c r="I4648" s="470">
        <v>402</v>
      </c>
      <c r="J4648" s="496">
        <v>14.04</v>
      </c>
      <c r="K4648" s="496">
        <v>11.28</v>
      </c>
      <c r="L4648" s="495">
        <f t="shared" si="51"/>
        <v>2.76</v>
      </c>
      <c r="M4648" s="337"/>
    </row>
    <row r="4649" spans="1:13" s="71" customFormat="1" ht="26.4" customHeight="1">
      <c r="A4649" s="282">
        <v>407</v>
      </c>
      <c r="B4649" s="534"/>
      <c r="C4649" s="441" t="s">
        <v>5265</v>
      </c>
      <c r="D4649" s="441" t="s">
        <v>6188</v>
      </c>
      <c r="E4649" s="260" t="s">
        <v>6145</v>
      </c>
      <c r="F4649" s="380" t="s">
        <v>6189</v>
      </c>
      <c r="G4649" s="371" t="s">
        <v>1561</v>
      </c>
      <c r="H4649" s="381" t="s">
        <v>5462</v>
      </c>
      <c r="I4649" s="470">
        <v>450</v>
      </c>
      <c r="J4649" s="496">
        <v>9.41</v>
      </c>
      <c r="K4649" s="496">
        <v>6.64</v>
      </c>
      <c r="L4649" s="495">
        <f t="shared" si="51"/>
        <v>2.7700000000000005</v>
      </c>
      <c r="M4649" s="337"/>
    </row>
    <row r="4650" spans="1:13" s="71" customFormat="1" ht="26.4" customHeight="1">
      <c r="A4650" s="282">
        <v>408</v>
      </c>
      <c r="B4650" s="534"/>
      <c r="C4650" s="441" t="s">
        <v>5265</v>
      </c>
      <c r="D4650" s="441" t="s">
        <v>6190</v>
      </c>
      <c r="E4650" s="260" t="s">
        <v>6145</v>
      </c>
      <c r="F4650" s="380" t="s">
        <v>6191</v>
      </c>
      <c r="G4650" s="371" t="s">
        <v>1561</v>
      </c>
      <c r="H4650" s="381" t="s">
        <v>5462</v>
      </c>
      <c r="I4650" s="470">
        <v>1260</v>
      </c>
      <c r="J4650" s="496">
        <v>9.7799999999999994</v>
      </c>
      <c r="K4650" s="496">
        <v>8.86</v>
      </c>
      <c r="L4650" s="495">
        <f t="shared" si="51"/>
        <v>0.91999999999999993</v>
      </c>
      <c r="M4650" s="337"/>
    </row>
    <row r="4651" spans="1:13" s="71" customFormat="1" ht="26.4" customHeight="1">
      <c r="A4651" s="282">
        <v>409</v>
      </c>
      <c r="B4651" s="534"/>
      <c r="C4651" s="441" t="s">
        <v>5265</v>
      </c>
      <c r="D4651" s="441" t="s">
        <v>6192</v>
      </c>
      <c r="E4651" s="260" t="s">
        <v>6145</v>
      </c>
      <c r="F4651" s="380" t="s">
        <v>6193</v>
      </c>
      <c r="G4651" s="371" t="s">
        <v>1561</v>
      </c>
      <c r="H4651" s="381" t="s">
        <v>5462</v>
      </c>
      <c r="I4651" s="470">
        <v>641</v>
      </c>
      <c r="J4651" s="496">
        <v>14.88</v>
      </c>
      <c r="K4651" s="496">
        <v>12.11</v>
      </c>
      <c r="L4651" s="495">
        <f t="shared" si="51"/>
        <v>2.7700000000000014</v>
      </c>
      <c r="M4651" s="337"/>
    </row>
    <row r="4652" spans="1:13" s="71" customFormat="1" ht="26.4" customHeight="1">
      <c r="A4652" s="282">
        <v>410</v>
      </c>
      <c r="B4652" s="534"/>
      <c r="C4652" s="441" t="s">
        <v>5265</v>
      </c>
      <c r="D4652" s="441" t="s">
        <v>6194</v>
      </c>
      <c r="E4652" s="260" t="s">
        <v>6145</v>
      </c>
      <c r="F4652" s="380" t="s">
        <v>6195</v>
      </c>
      <c r="G4652" s="371" t="s">
        <v>1561</v>
      </c>
      <c r="H4652" s="381" t="s">
        <v>5462</v>
      </c>
      <c r="I4652" s="470">
        <v>350</v>
      </c>
      <c r="J4652" s="496">
        <v>7.13</v>
      </c>
      <c r="K4652" s="496">
        <v>4.37</v>
      </c>
      <c r="L4652" s="495">
        <f t="shared" si="51"/>
        <v>2.76</v>
      </c>
      <c r="M4652" s="337"/>
    </row>
    <row r="4653" spans="1:13" s="71" customFormat="1" ht="26.4" customHeight="1">
      <c r="A4653" s="282">
        <v>411</v>
      </c>
      <c r="B4653" s="534"/>
      <c r="C4653" s="441" t="s">
        <v>5265</v>
      </c>
      <c r="D4653" s="441" t="s">
        <v>6196</v>
      </c>
      <c r="E4653" s="260" t="s">
        <v>6145</v>
      </c>
      <c r="F4653" s="380" t="s">
        <v>6197</v>
      </c>
      <c r="G4653" s="371" t="s">
        <v>1561</v>
      </c>
      <c r="H4653" s="381" t="s">
        <v>5462</v>
      </c>
      <c r="I4653" s="470">
        <v>351</v>
      </c>
      <c r="J4653" s="496">
        <v>7.71</v>
      </c>
      <c r="K4653" s="496">
        <v>4.95</v>
      </c>
      <c r="L4653" s="495">
        <f t="shared" si="51"/>
        <v>2.76</v>
      </c>
      <c r="M4653" s="337"/>
    </row>
    <row r="4654" spans="1:13" s="71" customFormat="1" ht="26.4" customHeight="1">
      <c r="A4654" s="282">
        <v>412</v>
      </c>
      <c r="B4654" s="534"/>
      <c r="C4654" s="441" t="s">
        <v>5265</v>
      </c>
      <c r="D4654" s="441" t="s">
        <v>6198</v>
      </c>
      <c r="E4654" s="260" t="s">
        <v>6145</v>
      </c>
      <c r="F4654" s="380" t="s">
        <v>6199</v>
      </c>
      <c r="G4654" s="371" t="s">
        <v>1561</v>
      </c>
      <c r="H4654" s="381" t="s">
        <v>5462</v>
      </c>
      <c r="I4654" s="470">
        <v>850</v>
      </c>
      <c r="J4654" s="496">
        <v>10.98</v>
      </c>
      <c r="K4654" s="496">
        <v>8.2200000000000006</v>
      </c>
      <c r="L4654" s="495">
        <f t="shared" si="51"/>
        <v>2.76</v>
      </c>
      <c r="M4654" s="337"/>
    </row>
    <row r="4655" spans="1:13" s="71" customFormat="1" ht="26.4" customHeight="1">
      <c r="A4655" s="282">
        <v>413</v>
      </c>
      <c r="B4655" s="534"/>
      <c r="C4655" s="441" t="s">
        <v>5265</v>
      </c>
      <c r="D4655" s="441" t="s">
        <v>6200</v>
      </c>
      <c r="E4655" s="260" t="s">
        <v>6145</v>
      </c>
      <c r="F4655" s="380" t="s">
        <v>6201</v>
      </c>
      <c r="G4655" s="371" t="s">
        <v>1561</v>
      </c>
      <c r="H4655" s="381" t="s">
        <v>5462</v>
      </c>
      <c r="I4655" s="470">
        <v>430</v>
      </c>
      <c r="J4655" s="496">
        <v>5.63</v>
      </c>
      <c r="K4655" s="496">
        <v>5.16</v>
      </c>
      <c r="L4655" s="495">
        <f t="shared" si="51"/>
        <v>0.46999999999999975</v>
      </c>
      <c r="M4655" s="337"/>
    </row>
    <row r="4656" spans="1:13" s="71" customFormat="1" ht="26.4" customHeight="1">
      <c r="A4656" s="282">
        <v>414</v>
      </c>
      <c r="B4656" s="534"/>
      <c r="C4656" s="441" t="s">
        <v>5265</v>
      </c>
      <c r="D4656" s="441" t="s">
        <v>6202</v>
      </c>
      <c r="E4656" s="260" t="s">
        <v>6145</v>
      </c>
      <c r="F4656" s="380" t="s">
        <v>6203</v>
      </c>
      <c r="G4656" s="371" t="s">
        <v>1561</v>
      </c>
      <c r="H4656" s="381" t="s">
        <v>5462</v>
      </c>
      <c r="I4656" s="470">
        <v>450</v>
      </c>
      <c r="J4656" s="496">
        <v>5.95</v>
      </c>
      <c r="K4656" s="496">
        <v>5.73</v>
      </c>
      <c r="L4656" s="495">
        <f t="shared" si="51"/>
        <v>0.21999999999999975</v>
      </c>
      <c r="M4656" s="337"/>
    </row>
    <row r="4657" spans="1:13" s="71" customFormat="1" ht="26.4" customHeight="1">
      <c r="A4657" s="282">
        <v>415</v>
      </c>
      <c r="B4657" s="534"/>
      <c r="C4657" s="441" t="s">
        <v>5265</v>
      </c>
      <c r="D4657" s="441" t="s">
        <v>6204</v>
      </c>
      <c r="E4657" s="260" t="s">
        <v>6145</v>
      </c>
      <c r="F4657" s="380" t="s">
        <v>6205</v>
      </c>
      <c r="G4657" s="371" t="s">
        <v>1561</v>
      </c>
      <c r="H4657" s="381" t="s">
        <v>5462</v>
      </c>
      <c r="I4657" s="470">
        <v>440</v>
      </c>
      <c r="J4657" s="496">
        <v>9.5500000000000007</v>
      </c>
      <c r="K4657" s="496">
        <v>8.8000000000000007</v>
      </c>
      <c r="L4657" s="495">
        <f t="shared" si="51"/>
        <v>0.75</v>
      </c>
      <c r="M4657" s="337"/>
    </row>
    <row r="4658" spans="1:13" s="71" customFormat="1" ht="26.4" customHeight="1">
      <c r="A4658" s="282">
        <v>416</v>
      </c>
      <c r="B4658" s="534"/>
      <c r="C4658" s="441" t="s">
        <v>5265</v>
      </c>
      <c r="D4658" s="441" t="s">
        <v>6206</v>
      </c>
      <c r="E4658" s="260" t="s">
        <v>6145</v>
      </c>
      <c r="F4658" s="380" t="s">
        <v>6207</v>
      </c>
      <c r="G4658" s="371" t="s">
        <v>1561</v>
      </c>
      <c r="H4658" s="381" t="s">
        <v>5462</v>
      </c>
      <c r="I4658" s="470">
        <v>830</v>
      </c>
      <c r="J4658" s="496">
        <v>15.01</v>
      </c>
      <c r="K4658" s="496">
        <v>13.77</v>
      </c>
      <c r="L4658" s="495">
        <f t="shared" si="51"/>
        <v>1.2400000000000002</v>
      </c>
      <c r="M4658" s="337"/>
    </row>
    <row r="4659" spans="1:13" s="71" customFormat="1" ht="26.4" customHeight="1">
      <c r="A4659" s="282">
        <v>417</v>
      </c>
      <c r="B4659" s="534"/>
      <c r="C4659" s="441" t="s">
        <v>5265</v>
      </c>
      <c r="D4659" s="441" t="s">
        <v>6208</v>
      </c>
      <c r="E4659" s="260" t="s">
        <v>6145</v>
      </c>
      <c r="F4659" s="380" t="s">
        <v>6209</v>
      </c>
      <c r="G4659" s="371" t="s">
        <v>1561</v>
      </c>
      <c r="H4659" s="381" t="s">
        <v>5462</v>
      </c>
      <c r="I4659" s="470">
        <v>360</v>
      </c>
      <c r="J4659" s="496">
        <v>7.23</v>
      </c>
      <c r="K4659" s="496">
        <v>6.42</v>
      </c>
      <c r="L4659" s="495">
        <f t="shared" si="51"/>
        <v>0.8100000000000005</v>
      </c>
      <c r="M4659" s="337"/>
    </row>
    <row r="4660" spans="1:13" s="71" customFormat="1" ht="26.4" customHeight="1">
      <c r="A4660" s="282">
        <v>418</v>
      </c>
      <c r="B4660" s="534"/>
      <c r="C4660" s="441" t="s">
        <v>5265</v>
      </c>
      <c r="D4660" s="260" t="s">
        <v>6210</v>
      </c>
      <c r="E4660" s="260" t="s">
        <v>6145</v>
      </c>
      <c r="F4660" s="380" t="s">
        <v>6211</v>
      </c>
      <c r="G4660" s="371" t="s">
        <v>1561</v>
      </c>
      <c r="H4660" s="381" t="s">
        <v>5462</v>
      </c>
      <c r="I4660" s="470">
        <v>650</v>
      </c>
      <c r="J4660" s="496">
        <v>10.81</v>
      </c>
      <c r="K4660" s="496">
        <v>8.0500000000000007</v>
      </c>
      <c r="L4660" s="495">
        <f t="shared" si="51"/>
        <v>2.76</v>
      </c>
      <c r="M4660" s="337"/>
    </row>
    <row r="4661" spans="1:13" s="71" customFormat="1" ht="26.4" customHeight="1">
      <c r="A4661" s="282">
        <v>419</v>
      </c>
      <c r="B4661" s="534"/>
      <c r="C4661" s="441" t="s">
        <v>5265</v>
      </c>
      <c r="D4661" s="441" t="s">
        <v>6212</v>
      </c>
      <c r="E4661" s="260" t="s">
        <v>6145</v>
      </c>
      <c r="F4661" s="380" t="s">
        <v>6213</v>
      </c>
      <c r="G4661" s="371" t="s">
        <v>1561</v>
      </c>
      <c r="H4661" s="381" t="s">
        <v>5462</v>
      </c>
      <c r="I4661" s="470">
        <v>335</v>
      </c>
      <c r="J4661" s="496">
        <v>6.26</v>
      </c>
      <c r="K4661" s="496">
        <v>5.82</v>
      </c>
      <c r="L4661" s="495">
        <f t="shared" si="51"/>
        <v>0.4399999999999995</v>
      </c>
      <c r="M4661" s="337"/>
    </row>
    <row r="4662" spans="1:13" s="71" customFormat="1" ht="26.4" customHeight="1">
      <c r="A4662" s="282">
        <v>420</v>
      </c>
      <c r="B4662" s="534"/>
      <c r="C4662" s="441" t="s">
        <v>5265</v>
      </c>
      <c r="D4662" s="260" t="s">
        <v>6214</v>
      </c>
      <c r="E4662" s="260" t="s">
        <v>6145</v>
      </c>
      <c r="F4662" s="382" t="s">
        <v>6215</v>
      </c>
      <c r="G4662" s="383" t="s">
        <v>1561</v>
      </c>
      <c r="H4662" s="384" t="s">
        <v>5462</v>
      </c>
      <c r="I4662" s="260">
        <v>1350</v>
      </c>
      <c r="J4662" s="385">
        <v>27.5</v>
      </c>
      <c r="K4662" s="385">
        <v>21.83</v>
      </c>
      <c r="L4662" s="386">
        <f t="shared" si="51"/>
        <v>5.6700000000000017</v>
      </c>
      <c r="M4662" s="337"/>
    </row>
    <row r="4663" spans="1:13" s="71" customFormat="1" ht="26.4" customHeight="1">
      <c r="A4663" s="282">
        <v>421</v>
      </c>
      <c r="B4663" s="534"/>
      <c r="C4663" s="441" t="s">
        <v>5265</v>
      </c>
      <c r="D4663" s="441" t="s">
        <v>6216</v>
      </c>
      <c r="E4663" s="260" t="s">
        <v>6145</v>
      </c>
      <c r="F4663" s="380" t="s">
        <v>6217</v>
      </c>
      <c r="G4663" s="371" t="s">
        <v>6218</v>
      </c>
      <c r="H4663" s="381" t="s">
        <v>5462</v>
      </c>
      <c r="I4663" s="470">
        <v>89</v>
      </c>
      <c r="J4663" s="496">
        <v>15.24</v>
      </c>
      <c r="K4663" s="496">
        <v>12.48</v>
      </c>
      <c r="L4663" s="495">
        <f t="shared" si="51"/>
        <v>2.76</v>
      </c>
      <c r="M4663" s="337"/>
    </row>
    <row r="4664" spans="1:13" s="71" customFormat="1" ht="26.4" customHeight="1">
      <c r="A4664" s="282">
        <v>422</v>
      </c>
      <c r="B4664" s="534"/>
      <c r="C4664" s="441" t="s">
        <v>5265</v>
      </c>
      <c r="D4664" s="441" t="s">
        <v>6219</v>
      </c>
      <c r="E4664" s="260" t="s">
        <v>6145</v>
      </c>
      <c r="F4664" s="380" t="s">
        <v>6220</v>
      </c>
      <c r="G4664" s="371" t="s">
        <v>6218</v>
      </c>
      <c r="H4664" s="381" t="s">
        <v>5462</v>
      </c>
      <c r="I4664" s="470">
        <v>300</v>
      </c>
      <c r="J4664" s="496">
        <v>4.16</v>
      </c>
      <c r="K4664" s="496">
        <v>3.91</v>
      </c>
      <c r="L4664" s="495">
        <f t="shared" si="51"/>
        <v>0.25</v>
      </c>
      <c r="M4664" s="337"/>
    </row>
    <row r="4665" spans="1:13" s="71" customFormat="1" ht="26.4" customHeight="1">
      <c r="A4665" s="282">
        <v>423</v>
      </c>
      <c r="B4665" s="534"/>
      <c r="C4665" s="441" t="s">
        <v>5265</v>
      </c>
      <c r="D4665" s="441" t="s">
        <v>6221</v>
      </c>
      <c r="E4665" s="260" t="s">
        <v>6145</v>
      </c>
      <c r="F4665" s="380" t="s">
        <v>6222</v>
      </c>
      <c r="G4665" s="371" t="s">
        <v>6218</v>
      </c>
      <c r="H4665" s="381" t="s">
        <v>5462</v>
      </c>
      <c r="I4665" s="470">
        <v>200</v>
      </c>
      <c r="J4665" s="496">
        <v>5.42</v>
      </c>
      <c r="K4665" s="496">
        <v>2.65</v>
      </c>
      <c r="L4665" s="495">
        <f t="shared" si="51"/>
        <v>2.77</v>
      </c>
      <c r="M4665" s="337"/>
    </row>
    <row r="4666" spans="1:13" s="71" customFormat="1" ht="26.4" customHeight="1">
      <c r="A4666" s="282">
        <v>424</v>
      </c>
      <c r="B4666" s="534"/>
      <c r="C4666" s="441" t="s">
        <v>5265</v>
      </c>
      <c r="D4666" s="441" t="s">
        <v>6223</v>
      </c>
      <c r="E4666" s="260" t="s">
        <v>6145</v>
      </c>
      <c r="F4666" s="380" t="s">
        <v>6224</v>
      </c>
      <c r="G4666" s="371" t="s">
        <v>6218</v>
      </c>
      <c r="H4666" s="381" t="s">
        <v>5462</v>
      </c>
      <c r="I4666" s="470">
        <v>200</v>
      </c>
      <c r="J4666" s="496">
        <v>10.33</v>
      </c>
      <c r="K4666" s="496">
        <v>5.33</v>
      </c>
      <c r="L4666" s="495">
        <f t="shared" si="51"/>
        <v>5</v>
      </c>
      <c r="M4666" s="337"/>
    </row>
    <row r="4667" spans="1:13" s="71" customFormat="1" ht="26.4" customHeight="1">
      <c r="A4667" s="282">
        <v>425</v>
      </c>
      <c r="B4667" s="534"/>
      <c r="C4667" s="441" t="s">
        <v>5265</v>
      </c>
      <c r="D4667" s="441" t="s">
        <v>6225</v>
      </c>
      <c r="E4667" s="260" t="s">
        <v>6126</v>
      </c>
      <c r="F4667" s="380" t="s">
        <v>6226</v>
      </c>
      <c r="G4667" s="371" t="s">
        <v>6218</v>
      </c>
      <c r="H4667" s="381" t="s">
        <v>5462</v>
      </c>
      <c r="I4667" s="470">
        <v>3940</v>
      </c>
      <c r="J4667" s="496">
        <v>10.37</v>
      </c>
      <c r="K4667" s="496">
        <v>7.61</v>
      </c>
      <c r="L4667" s="495">
        <f t="shared" si="51"/>
        <v>2.7599999999999989</v>
      </c>
      <c r="M4667" s="337"/>
    </row>
    <row r="4668" spans="1:13" s="71" customFormat="1" ht="26.4" customHeight="1">
      <c r="A4668" s="282">
        <v>426</v>
      </c>
      <c r="B4668" s="534"/>
      <c r="C4668" s="441" t="s">
        <v>5265</v>
      </c>
      <c r="D4668" s="441" t="s">
        <v>6227</v>
      </c>
      <c r="E4668" s="260" t="s">
        <v>6126</v>
      </c>
      <c r="F4668" s="380" t="s">
        <v>6228</v>
      </c>
      <c r="G4668" s="371" t="s">
        <v>6218</v>
      </c>
      <c r="H4668" s="381" t="s">
        <v>5462</v>
      </c>
      <c r="I4668" s="470">
        <v>1400</v>
      </c>
      <c r="J4668" s="496">
        <v>12.45</v>
      </c>
      <c r="K4668" s="496">
        <v>11.5</v>
      </c>
      <c r="L4668" s="495">
        <f t="shared" si="51"/>
        <v>0.94999999999999929</v>
      </c>
      <c r="M4668" s="337"/>
    </row>
    <row r="4669" spans="1:13" s="71" customFormat="1" ht="26.4" customHeight="1">
      <c r="A4669" s="282">
        <v>427</v>
      </c>
      <c r="B4669" s="534"/>
      <c r="C4669" s="441" t="s">
        <v>5265</v>
      </c>
      <c r="D4669" s="441" t="s">
        <v>6229</v>
      </c>
      <c r="E4669" s="260" t="s">
        <v>6145</v>
      </c>
      <c r="F4669" s="380" t="s">
        <v>6230</v>
      </c>
      <c r="G4669" s="371" t="s">
        <v>6218</v>
      </c>
      <c r="H4669" s="381" t="s">
        <v>5462</v>
      </c>
      <c r="I4669" s="470">
        <v>1837</v>
      </c>
      <c r="J4669" s="496">
        <v>22.7</v>
      </c>
      <c r="K4669" s="496">
        <v>21.6</v>
      </c>
      <c r="L4669" s="495">
        <f t="shared" si="51"/>
        <v>1.0999999999999979</v>
      </c>
      <c r="M4669" s="337"/>
    </row>
    <row r="4670" spans="1:13" s="71" customFormat="1" ht="26.4" customHeight="1">
      <c r="A4670" s="282">
        <v>428</v>
      </c>
      <c r="B4670" s="534"/>
      <c r="C4670" s="441" t="s">
        <v>5265</v>
      </c>
      <c r="D4670" s="441" t="s">
        <v>6231</v>
      </c>
      <c r="E4670" s="260" t="s">
        <v>6145</v>
      </c>
      <c r="F4670" s="380" t="s">
        <v>6232</v>
      </c>
      <c r="G4670" s="371" t="s">
        <v>6218</v>
      </c>
      <c r="H4670" s="381" t="s">
        <v>5462</v>
      </c>
      <c r="I4670" s="470">
        <v>2200</v>
      </c>
      <c r="J4670" s="496">
        <v>40.14</v>
      </c>
      <c r="K4670" s="496">
        <v>34.270000000000003</v>
      </c>
      <c r="L4670" s="495">
        <f t="shared" si="51"/>
        <v>5.8699999999999974</v>
      </c>
      <c r="M4670" s="337"/>
    </row>
    <row r="4671" spans="1:13" s="71" customFormat="1" ht="26.4" customHeight="1">
      <c r="A4671" s="282">
        <v>429</v>
      </c>
      <c r="B4671" s="534"/>
      <c r="C4671" s="441" t="s">
        <v>5265</v>
      </c>
      <c r="D4671" s="260" t="s">
        <v>6233</v>
      </c>
      <c r="E4671" s="260" t="s">
        <v>6145</v>
      </c>
      <c r="F4671" s="380" t="s">
        <v>6234</v>
      </c>
      <c r="G4671" s="371" t="s">
        <v>6218</v>
      </c>
      <c r="H4671" s="381" t="s">
        <v>5462</v>
      </c>
      <c r="I4671" s="470">
        <v>200</v>
      </c>
      <c r="J4671" s="496">
        <v>5.51</v>
      </c>
      <c r="K4671" s="496">
        <v>2.74</v>
      </c>
      <c r="L4671" s="495">
        <f t="shared" si="51"/>
        <v>2.7699999999999996</v>
      </c>
      <c r="M4671" s="337"/>
    </row>
    <row r="4672" spans="1:13" s="71" customFormat="1" ht="26.4" customHeight="1">
      <c r="A4672" s="282">
        <v>430</v>
      </c>
      <c r="B4672" s="534"/>
      <c r="C4672" s="441" t="s">
        <v>5265</v>
      </c>
      <c r="D4672" s="441" t="s">
        <v>6235</v>
      </c>
      <c r="E4672" s="260" t="s">
        <v>6145</v>
      </c>
      <c r="F4672" s="380" t="s">
        <v>6236</v>
      </c>
      <c r="G4672" s="371" t="s">
        <v>6218</v>
      </c>
      <c r="H4672" s="381" t="s">
        <v>5462</v>
      </c>
      <c r="I4672" s="470">
        <v>500</v>
      </c>
      <c r="J4672" s="496">
        <v>9.76</v>
      </c>
      <c r="K4672" s="496">
        <v>7.64</v>
      </c>
      <c r="L4672" s="495">
        <f t="shared" si="51"/>
        <v>2.12</v>
      </c>
      <c r="M4672" s="337"/>
    </row>
    <row r="4673" spans="1:13" s="71" customFormat="1" ht="26.4" customHeight="1">
      <c r="A4673" s="282">
        <v>431</v>
      </c>
      <c r="B4673" s="534"/>
      <c r="C4673" s="441" t="s">
        <v>5265</v>
      </c>
      <c r="D4673" s="441" t="s">
        <v>6237</v>
      </c>
      <c r="E4673" s="260" t="s">
        <v>6145</v>
      </c>
      <c r="F4673" s="380" t="s">
        <v>6238</v>
      </c>
      <c r="G4673" s="371" t="s">
        <v>6218</v>
      </c>
      <c r="H4673" s="381" t="s">
        <v>5462</v>
      </c>
      <c r="I4673" s="470">
        <v>569</v>
      </c>
      <c r="J4673" s="496">
        <v>4.2699999999999996</v>
      </c>
      <c r="K4673" s="496">
        <v>4.25</v>
      </c>
      <c r="L4673" s="495">
        <f t="shared" si="51"/>
        <v>1.9999999999999574E-2</v>
      </c>
      <c r="M4673" s="337"/>
    </row>
    <row r="4674" spans="1:13" s="71" customFormat="1" ht="26.4" customHeight="1">
      <c r="A4674" s="282">
        <v>432</v>
      </c>
      <c r="B4674" s="534"/>
      <c r="C4674" s="441" t="s">
        <v>5265</v>
      </c>
      <c r="D4674" s="441" t="s">
        <v>6239</v>
      </c>
      <c r="E4674" s="260" t="s">
        <v>6137</v>
      </c>
      <c r="F4674" s="380" t="s">
        <v>6240</v>
      </c>
      <c r="G4674" s="371" t="s">
        <v>6218</v>
      </c>
      <c r="H4674" s="381" t="s">
        <v>5462</v>
      </c>
      <c r="I4674" s="470">
        <v>4300</v>
      </c>
      <c r="J4674" s="496">
        <v>240.3</v>
      </c>
      <c r="K4674" s="496">
        <v>45.16</v>
      </c>
      <c r="L4674" s="495">
        <f t="shared" si="51"/>
        <v>195.14000000000001</v>
      </c>
      <c r="M4674" s="337"/>
    </row>
    <row r="4675" spans="1:13" s="71" customFormat="1" ht="26.4" customHeight="1">
      <c r="A4675" s="282">
        <v>433</v>
      </c>
      <c r="B4675" s="534"/>
      <c r="C4675" s="441" t="s">
        <v>5265</v>
      </c>
      <c r="D4675" s="441" t="s">
        <v>6241</v>
      </c>
      <c r="E4675" s="260" t="s">
        <v>6145</v>
      </c>
      <c r="F4675" s="380" t="s">
        <v>6242</v>
      </c>
      <c r="G4675" s="371" t="s">
        <v>6218</v>
      </c>
      <c r="H4675" s="381" t="s">
        <v>5462</v>
      </c>
      <c r="I4675" s="470">
        <v>869</v>
      </c>
      <c r="J4675" s="496">
        <v>19.46</v>
      </c>
      <c r="K4675" s="496">
        <v>16.45</v>
      </c>
      <c r="L4675" s="495">
        <f t="shared" si="51"/>
        <v>3.0100000000000016</v>
      </c>
      <c r="M4675" s="337"/>
    </row>
    <row r="4676" spans="1:13" s="71" customFormat="1" ht="26.4" customHeight="1">
      <c r="A4676" s="282">
        <v>434</v>
      </c>
      <c r="B4676" s="534"/>
      <c r="C4676" s="441" t="s">
        <v>5265</v>
      </c>
      <c r="D4676" s="441" t="s">
        <v>6243</v>
      </c>
      <c r="E4676" s="260" t="s">
        <v>6128</v>
      </c>
      <c r="F4676" s="380" t="s">
        <v>6244</v>
      </c>
      <c r="G4676" s="371" t="s">
        <v>6218</v>
      </c>
      <c r="H4676" s="381" t="s">
        <v>5462</v>
      </c>
      <c r="I4676" s="470">
        <v>198</v>
      </c>
      <c r="J4676" s="496">
        <v>10.37</v>
      </c>
      <c r="K4676" s="496">
        <v>7.61</v>
      </c>
      <c r="L4676" s="495">
        <f t="shared" si="51"/>
        <v>2.7599999999999989</v>
      </c>
      <c r="M4676" s="337"/>
    </row>
    <row r="4677" spans="1:13" s="71" customFormat="1" ht="26.4" customHeight="1">
      <c r="A4677" s="282">
        <v>435</v>
      </c>
      <c r="B4677" s="534"/>
      <c r="C4677" s="441" t="s">
        <v>5265</v>
      </c>
      <c r="D4677" s="260" t="s">
        <v>13246</v>
      </c>
      <c r="E4677" s="260" t="s">
        <v>6145</v>
      </c>
      <c r="F4677" s="380" t="s">
        <v>6245</v>
      </c>
      <c r="G4677" s="371" t="s">
        <v>6218</v>
      </c>
      <c r="H4677" s="381" t="s">
        <v>5462</v>
      </c>
      <c r="I4677" s="470">
        <v>454</v>
      </c>
      <c r="J4677" s="496">
        <v>11.59</v>
      </c>
      <c r="K4677" s="496">
        <v>8.83</v>
      </c>
      <c r="L4677" s="495">
        <f t="shared" si="51"/>
        <v>2.76</v>
      </c>
      <c r="M4677" s="337"/>
    </row>
    <row r="4678" spans="1:13" s="71" customFormat="1" ht="26.4" customHeight="1">
      <c r="A4678" s="282">
        <v>436</v>
      </c>
      <c r="B4678" s="534"/>
      <c r="C4678" s="441" t="s">
        <v>5265</v>
      </c>
      <c r="D4678" s="441" t="s">
        <v>6246</v>
      </c>
      <c r="E4678" s="260" t="s">
        <v>6145</v>
      </c>
      <c r="F4678" s="380" t="s">
        <v>6247</v>
      </c>
      <c r="G4678" s="371" t="s">
        <v>6218</v>
      </c>
      <c r="H4678" s="381" t="s">
        <v>5462</v>
      </c>
      <c r="I4678" s="470">
        <v>500</v>
      </c>
      <c r="J4678" s="496">
        <v>6.09</v>
      </c>
      <c r="K4678" s="496">
        <v>6.07</v>
      </c>
      <c r="L4678" s="495">
        <f t="shared" si="51"/>
        <v>1.9999999999999574E-2</v>
      </c>
      <c r="M4678" s="337"/>
    </row>
    <row r="4679" spans="1:13" s="71" customFormat="1" ht="26.4" customHeight="1">
      <c r="A4679" s="282">
        <v>437</v>
      </c>
      <c r="B4679" s="534"/>
      <c r="C4679" s="441" t="s">
        <v>5265</v>
      </c>
      <c r="D4679" s="441" t="s">
        <v>5680</v>
      </c>
      <c r="E4679" s="260" t="s">
        <v>6126</v>
      </c>
      <c r="F4679" s="380" t="s">
        <v>6248</v>
      </c>
      <c r="G4679" s="371" t="s">
        <v>1542</v>
      </c>
      <c r="H4679" s="381" t="s">
        <v>5462</v>
      </c>
      <c r="I4679" s="470">
        <v>250</v>
      </c>
      <c r="J4679" s="496">
        <v>37.5</v>
      </c>
      <c r="K4679" s="496">
        <v>11.95</v>
      </c>
      <c r="L4679" s="495">
        <f t="shared" si="51"/>
        <v>25.55</v>
      </c>
      <c r="M4679" s="337"/>
    </row>
    <row r="4680" spans="1:13" s="71" customFormat="1" ht="26.4" customHeight="1">
      <c r="A4680" s="282">
        <v>438</v>
      </c>
      <c r="B4680" s="534"/>
      <c r="C4680" s="441" t="s">
        <v>5265</v>
      </c>
      <c r="D4680" s="260" t="s">
        <v>6249</v>
      </c>
      <c r="E4680" s="260" t="s">
        <v>6145</v>
      </c>
      <c r="F4680" s="380" t="s">
        <v>6250</v>
      </c>
      <c r="G4680" s="371" t="s">
        <v>6218</v>
      </c>
      <c r="H4680" s="381" t="s">
        <v>5462</v>
      </c>
      <c r="I4680" s="470">
        <v>677</v>
      </c>
      <c r="J4680" s="496">
        <v>20.059999999999999</v>
      </c>
      <c r="K4680" s="496">
        <v>17.29</v>
      </c>
      <c r="L4680" s="495">
        <f t="shared" si="51"/>
        <v>2.7699999999999996</v>
      </c>
      <c r="M4680" s="337"/>
    </row>
    <row r="4681" spans="1:13" s="71" customFormat="1" ht="26.4" customHeight="1">
      <c r="A4681" s="282">
        <v>439</v>
      </c>
      <c r="B4681" s="534"/>
      <c r="C4681" s="441" t="s">
        <v>5265</v>
      </c>
      <c r="D4681" s="441" t="s">
        <v>6233</v>
      </c>
      <c r="E4681" s="260" t="s">
        <v>6145</v>
      </c>
      <c r="F4681" s="380" t="s">
        <v>6251</v>
      </c>
      <c r="G4681" s="371" t="s">
        <v>6218</v>
      </c>
      <c r="H4681" s="381" t="s">
        <v>5462</v>
      </c>
      <c r="I4681" s="470">
        <v>838</v>
      </c>
      <c r="J4681" s="496">
        <v>45.92</v>
      </c>
      <c r="K4681" s="496">
        <v>28.9</v>
      </c>
      <c r="L4681" s="495">
        <f t="shared" si="51"/>
        <v>17.020000000000003</v>
      </c>
      <c r="M4681" s="337"/>
    </row>
    <row r="4682" spans="1:13" s="71" customFormat="1" ht="26.4" customHeight="1">
      <c r="A4682" s="282">
        <v>440</v>
      </c>
      <c r="B4682" s="534"/>
      <c r="C4682" s="441" t="s">
        <v>5265</v>
      </c>
      <c r="D4682" s="441" t="s">
        <v>6252</v>
      </c>
      <c r="E4682" s="260" t="s">
        <v>6145</v>
      </c>
      <c r="F4682" s="380" t="s">
        <v>5888</v>
      </c>
      <c r="G4682" s="371" t="s">
        <v>6218</v>
      </c>
      <c r="H4682" s="381" t="s">
        <v>5462</v>
      </c>
      <c r="I4682" s="470">
        <v>917</v>
      </c>
      <c r="J4682" s="496">
        <v>11.61</v>
      </c>
      <c r="K4682" s="496">
        <v>11.43</v>
      </c>
      <c r="L4682" s="495">
        <f t="shared" si="51"/>
        <v>0.17999999999999972</v>
      </c>
      <c r="M4682" s="337"/>
    </row>
    <row r="4683" spans="1:13" s="71" customFormat="1" ht="26.4" customHeight="1">
      <c r="A4683" s="282">
        <v>441</v>
      </c>
      <c r="B4683" s="534"/>
      <c r="C4683" s="441" t="s">
        <v>5265</v>
      </c>
      <c r="D4683" s="441" t="s">
        <v>6253</v>
      </c>
      <c r="E4683" s="260" t="s">
        <v>6145</v>
      </c>
      <c r="F4683" s="380" t="s">
        <v>6254</v>
      </c>
      <c r="G4683" s="371" t="s">
        <v>6218</v>
      </c>
      <c r="H4683" s="381" t="s">
        <v>5462</v>
      </c>
      <c r="I4683" s="470">
        <v>1148</v>
      </c>
      <c r="J4683" s="496">
        <v>17.39</v>
      </c>
      <c r="K4683" s="496">
        <v>17</v>
      </c>
      <c r="L4683" s="495">
        <f t="shared" si="51"/>
        <v>0.39000000000000057</v>
      </c>
      <c r="M4683" s="337"/>
    </row>
    <row r="4684" spans="1:13" s="71" customFormat="1" ht="26.4" customHeight="1">
      <c r="A4684" s="282">
        <v>442</v>
      </c>
      <c r="B4684" s="534"/>
      <c r="C4684" s="441" t="s">
        <v>5265</v>
      </c>
      <c r="D4684" s="441" t="s">
        <v>6255</v>
      </c>
      <c r="E4684" s="260" t="s">
        <v>6145</v>
      </c>
      <c r="F4684" s="380" t="s">
        <v>6256</v>
      </c>
      <c r="G4684" s="371" t="s">
        <v>6218</v>
      </c>
      <c r="H4684" s="381" t="s">
        <v>5462</v>
      </c>
      <c r="I4684" s="470">
        <v>520</v>
      </c>
      <c r="J4684" s="496">
        <v>239.32</v>
      </c>
      <c r="K4684" s="496">
        <v>154.6</v>
      </c>
      <c r="L4684" s="495">
        <f t="shared" si="51"/>
        <v>84.72</v>
      </c>
      <c r="M4684" s="337"/>
    </row>
    <row r="4685" spans="1:13" s="71" customFormat="1" ht="26.4" customHeight="1">
      <c r="A4685" s="282">
        <v>443</v>
      </c>
      <c r="B4685" s="534"/>
      <c r="C4685" s="441" t="s">
        <v>5265</v>
      </c>
      <c r="D4685" s="441" t="s">
        <v>6257</v>
      </c>
      <c r="E4685" s="260" t="s">
        <v>6137</v>
      </c>
      <c r="F4685" s="380" t="s">
        <v>6258</v>
      </c>
      <c r="G4685" s="371" t="s">
        <v>6218</v>
      </c>
      <c r="H4685" s="381" t="s">
        <v>5462</v>
      </c>
      <c r="I4685" s="470">
        <v>1560</v>
      </c>
      <c r="J4685" s="496">
        <v>14.26</v>
      </c>
      <c r="K4685" s="496">
        <v>13.59</v>
      </c>
      <c r="L4685" s="495">
        <f t="shared" si="51"/>
        <v>0.66999999999999993</v>
      </c>
      <c r="M4685" s="337"/>
    </row>
    <row r="4686" spans="1:13" s="71" customFormat="1" ht="26.4" customHeight="1">
      <c r="A4686" s="282">
        <v>444</v>
      </c>
      <c r="B4686" s="534"/>
      <c r="C4686" s="441" t="s">
        <v>5265</v>
      </c>
      <c r="D4686" s="441" t="s">
        <v>6259</v>
      </c>
      <c r="E4686" s="260" t="s">
        <v>6145</v>
      </c>
      <c r="F4686" s="380" t="s">
        <v>6260</v>
      </c>
      <c r="G4686" s="371" t="s">
        <v>6218</v>
      </c>
      <c r="H4686" s="381" t="s">
        <v>5462</v>
      </c>
      <c r="I4686" s="470">
        <v>258</v>
      </c>
      <c r="J4686" s="496">
        <v>6.98</v>
      </c>
      <c r="K4686" s="496">
        <v>6.5</v>
      </c>
      <c r="L4686" s="495">
        <f t="shared" si="51"/>
        <v>0.48000000000000043</v>
      </c>
      <c r="M4686" s="337"/>
    </row>
    <row r="4687" spans="1:13" s="71" customFormat="1" ht="26.4" customHeight="1">
      <c r="A4687" s="282">
        <v>445</v>
      </c>
      <c r="B4687" s="534"/>
      <c r="C4687" s="441" t="s">
        <v>5265</v>
      </c>
      <c r="D4687" s="260" t="s">
        <v>6261</v>
      </c>
      <c r="E4687" s="260" t="s">
        <v>6145</v>
      </c>
      <c r="F4687" s="380" t="s">
        <v>6262</v>
      </c>
      <c r="G4687" s="371" t="s">
        <v>6218</v>
      </c>
      <c r="H4687" s="381" t="s">
        <v>5462</v>
      </c>
      <c r="I4687" s="470">
        <v>879</v>
      </c>
      <c r="J4687" s="496">
        <v>9.01</v>
      </c>
      <c r="K4687" s="496">
        <v>8.58</v>
      </c>
      <c r="L4687" s="495">
        <f t="shared" si="51"/>
        <v>0.42999999999999972</v>
      </c>
      <c r="M4687" s="337"/>
    </row>
    <row r="4688" spans="1:13" s="71" customFormat="1" ht="26.4" customHeight="1">
      <c r="A4688" s="282">
        <v>446</v>
      </c>
      <c r="B4688" s="534"/>
      <c r="C4688" s="441" t="s">
        <v>5265</v>
      </c>
      <c r="D4688" s="441" t="s">
        <v>6263</v>
      </c>
      <c r="E4688" s="260" t="s">
        <v>6145</v>
      </c>
      <c r="F4688" s="380" t="s">
        <v>6264</v>
      </c>
      <c r="G4688" s="371" t="s">
        <v>6218</v>
      </c>
      <c r="H4688" s="381" t="s">
        <v>5462</v>
      </c>
      <c r="I4688" s="470">
        <v>488</v>
      </c>
      <c r="J4688" s="496">
        <v>7.31</v>
      </c>
      <c r="K4688" s="496">
        <v>7.23</v>
      </c>
      <c r="L4688" s="495">
        <f t="shared" si="51"/>
        <v>7.9999999999999183E-2</v>
      </c>
      <c r="M4688" s="337"/>
    </row>
    <row r="4689" spans="1:13" s="71" customFormat="1" ht="26.4" customHeight="1">
      <c r="A4689" s="282">
        <v>447</v>
      </c>
      <c r="B4689" s="534"/>
      <c r="C4689" s="441" t="s">
        <v>5265</v>
      </c>
      <c r="D4689" s="441" t="s">
        <v>6190</v>
      </c>
      <c r="E4689" s="260" t="s">
        <v>6145</v>
      </c>
      <c r="F4689" s="380" t="s">
        <v>6265</v>
      </c>
      <c r="G4689" s="371" t="s">
        <v>6218</v>
      </c>
      <c r="H4689" s="381" t="s">
        <v>5462</v>
      </c>
      <c r="I4689" s="470">
        <v>680</v>
      </c>
      <c r="J4689" s="496">
        <v>12.76</v>
      </c>
      <c r="K4689" s="496">
        <v>12.16</v>
      </c>
      <c r="L4689" s="495">
        <f t="shared" si="51"/>
        <v>0.59999999999999964</v>
      </c>
      <c r="M4689" s="337"/>
    </row>
    <row r="4690" spans="1:13" s="71" customFormat="1" ht="26.4" customHeight="1">
      <c r="A4690" s="282">
        <v>448</v>
      </c>
      <c r="B4690" s="534"/>
      <c r="C4690" s="441" t="s">
        <v>5265</v>
      </c>
      <c r="D4690" s="441" t="s">
        <v>6266</v>
      </c>
      <c r="E4690" s="260" t="s">
        <v>6145</v>
      </c>
      <c r="F4690" s="380" t="s">
        <v>6267</v>
      </c>
      <c r="G4690" s="371" t="s">
        <v>6218</v>
      </c>
      <c r="H4690" s="381" t="s">
        <v>5462</v>
      </c>
      <c r="I4690" s="470">
        <v>1569</v>
      </c>
      <c r="J4690" s="496">
        <v>15.96</v>
      </c>
      <c r="K4690" s="496">
        <v>14.26</v>
      </c>
      <c r="L4690" s="495">
        <f t="shared" si="51"/>
        <v>1.7000000000000011</v>
      </c>
      <c r="M4690" s="337"/>
    </row>
    <row r="4691" spans="1:13" s="71" customFormat="1" ht="26.4" customHeight="1">
      <c r="A4691" s="282">
        <v>449</v>
      </c>
      <c r="B4691" s="534"/>
      <c r="C4691" s="441" t="s">
        <v>5265</v>
      </c>
      <c r="D4691" s="441" t="s">
        <v>6268</v>
      </c>
      <c r="E4691" s="260" t="s">
        <v>6145</v>
      </c>
      <c r="F4691" s="380" t="s">
        <v>6269</v>
      </c>
      <c r="G4691" s="371" t="s">
        <v>6218</v>
      </c>
      <c r="H4691" s="381" t="s">
        <v>5462</v>
      </c>
      <c r="I4691" s="470">
        <v>440</v>
      </c>
      <c r="J4691" s="496">
        <v>9.81</v>
      </c>
      <c r="K4691" s="496">
        <v>9.1</v>
      </c>
      <c r="L4691" s="495">
        <f t="shared" ref="L4691:L4754" si="52">J4691-K4691</f>
        <v>0.71000000000000085</v>
      </c>
      <c r="M4691" s="337"/>
    </row>
    <row r="4692" spans="1:13" s="71" customFormat="1" ht="26.4" customHeight="1">
      <c r="A4692" s="282">
        <v>450</v>
      </c>
      <c r="B4692" s="534"/>
      <c r="C4692" s="441" t="s">
        <v>5265</v>
      </c>
      <c r="D4692" s="441" t="s">
        <v>6172</v>
      </c>
      <c r="E4692" s="260" t="s">
        <v>6145</v>
      </c>
      <c r="F4692" s="380" t="s">
        <v>6270</v>
      </c>
      <c r="G4692" s="371" t="s">
        <v>6218</v>
      </c>
      <c r="H4692" s="381" t="s">
        <v>5462</v>
      </c>
      <c r="I4692" s="470">
        <v>826</v>
      </c>
      <c r="J4692" s="496">
        <v>10.95</v>
      </c>
      <c r="K4692" s="496">
        <v>8.19</v>
      </c>
      <c r="L4692" s="495">
        <f t="shared" si="52"/>
        <v>2.76</v>
      </c>
      <c r="M4692" s="337"/>
    </row>
    <row r="4693" spans="1:13" s="71" customFormat="1" ht="26.4" customHeight="1">
      <c r="A4693" s="282">
        <v>451</v>
      </c>
      <c r="B4693" s="534"/>
      <c r="C4693" s="441" t="s">
        <v>5265</v>
      </c>
      <c r="D4693" s="441" t="s">
        <v>6257</v>
      </c>
      <c r="E4693" s="260" t="s">
        <v>6145</v>
      </c>
      <c r="F4693" s="380" t="s">
        <v>6271</v>
      </c>
      <c r="G4693" s="371" t="s">
        <v>6218</v>
      </c>
      <c r="H4693" s="381" t="s">
        <v>5462</v>
      </c>
      <c r="I4693" s="470">
        <v>260</v>
      </c>
      <c r="J4693" s="496">
        <v>7.95</v>
      </c>
      <c r="K4693" s="496">
        <v>5.18</v>
      </c>
      <c r="L4693" s="495">
        <f t="shared" si="52"/>
        <v>2.7700000000000005</v>
      </c>
      <c r="M4693" s="337"/>
    </row>
    <row r="4694" spans="1:13" s="71" customFormat="1" ht="26.4" customHeight="1">
      <c r="A4694" s="282">
        <v>452</v>
      </c>
      <c r="B4694" s="534"/>
      <c r="C4694" s="441" t="s">
        <v>5265</v>
      </c>
      <c r="D4694" s="441" t="s">
        <v>6188</v>
      </c>
      <c r="E4694" s="260" t="s">
        <v>6145</v>
      </c>
      <c r="F4694" s="380" t="s">
        <v>6272</v>
      </c>
      <c r="G4694" s="371" t="s">
        <v>1549</v>
      </c>
      <c r="H4694" s="381" t="s">
        <v>5462</v>
      </c>
      <c r="I4694" s="470">
        <v>1119</v>
      </c>
      <c r="J4694" s="496">
        <v>10.95</v>
      </c>
      <c r="K4694" s="496">
        <v>8.19</v>
      </c>
      <c r="L4694" s="495">
        <f t="shared" si="52"/>
        <v>2.76</v>
      </c>
      <c r="M4694" s="337"/>
    </row>
    <row r="4695" spans="1:13" s="71" customFormat="1" ht="26.4" customHeight="1">
      <c r="A4695" s="282">
        <v>453</v>
      </c>
      <c r="B4695" s="534"/>
      <c r="C4695" s="441" t="s">
        <v>5265</v>
      </c>
      <c r="D4695" s="441" t="s">
        <v>6273</v>
      </c>
      <c r="E4695" s="260" t="s">
        <v>6145</v>
      </c>
      <c r="F4695" s="380" t="s">
        <v>6274</v>
      </c>
      <c r="G4695" s="371" t="s">
        <v>1546</v>
      </c>
      <c r="H4695" s="381" t="s">
        <v>5462</v>
      </c>
      <c r="I4695" s="470">
        <v>421</v>
      </c>
      <c r="J4695" s="496">
        <v>24.59</v>
      </c>
      <c r="K4695" s="496">
        <v>16.579999999999998</v>
      </c>
      <c r="L4695" s="495">
        <f t="shared" si="52"/>
        <v>8.0100000000000016</v>
      </c>
      <c r="M4695" s="337"/>
    </row>
    <row r="4696" spans="1:13" s="71" customFormat="1" ht="26.4" customHeight="1">
      <c r="A4696" s="282">
        <v>454</v>
      </c>
      <c r="B4696" s="534"/>
      <c r="C4696" s="441" t="s">
        <v>6275</v>
      </c>
      <c r="D4696" s="441" t="s">
        <v>6276</v>
      </c>
      <c r="E4696" s="260" t="s">
        <v>6277</v>
      </c>
      <c r="F4696" s="380" t="s">
        <v>6278</v>
      </c>
      <c r="G4696" s="371" t="s">
        <v>1546</v>
      </c>
      <c r="H4696" s="381" t="s">
        <v>5462</v>
      </c>
      <c r="I4696" s="470">
        <v>159</v>
      </c>
      <c r="J4696" s="496">
        <v>32.82</v>
      </c>
      <c r="K4696" s="496">
        <v>29.89</v>
      </c>
      <c r="L4696" s="495">
        <f t="shared" si="52"/>
        <v>2.9299999999999997</v>
      </c>
      <c r="M4696" s="337"/>
    </row>
    <row r="4697" spans="1:13" s="71" customFormat="1" ht="26.4" customHeight="1">
      <c r="A4697" s="282">
        <v>455</v>
      </c>
      <c r="B4697" s="534"/>
      <c r="C4697" s="441" t="s">
        <v>6275</v>
      </c>
      <c r="D4697" s="441" t="s">
        <v>6279</v>
      </c>
      <c r="E4697" s="260" t="s">
        <v>6145</v>
      </c>
      <c r="F4697" s="380" t="s">
        <v>6280</v>
      </c>
      <c r="G4697" s="371" t="s">
        <v>1546</v>
      </c>
      <c r="H4697" s="381" t="s">
        <v>5462</v>
      </c>
      <c r="I4697" s="470">
        <v>132</v>
      </c>
      <c r="J4697" s="496">
        <v>19.809999999999999</v>
      </c>
      <c r="K4697" s="496">
        <v>16.329999999999998</v>
      </c>
      <c r="L4697" s="495">
        <f t="shared" si="52"/>
        <v>3.4800000000000004</v>
      </c>
      <c r="M4697" s="337"/>
    </row>
    <row r="4698" spans="1:13" s="71" customFormat="1" ht="26.4" customHeight="1">
      <c r="A4698" s="282">
        <v>456</v>
      </c>
      <c r="B4698" s="534"/>
      <c r="C4698" s="441" t="s">
        <v>6275</v>
      </c>
      <c r="D4698" s="441" t="s">
        <v>6281</v>
      </c>
      <c r="E4698" s="260" t="s">
        <v>6145</v>
      </c>
      <c r="F4698" s="380" t="s">
        <v>6282</v>
      </c>
      <c r="G4698" s="371" t="s">
        <v>1546</v>
      </c>
      <c r="H4698" s="381" t="s">
        <v>5462</v>
      </c>
      <c r="I4698" s="470">
        <v>167</v>
      </c>
      <c r="J4698" s="496">
        <v>8.3000000000000007</v>
      </c>
      <c r="K4698" s="496">
        <v>3.73</v>
      </c>
      <c r="L4698" s="495">
        <f t="shared" si="52"/>
        <v>4.57</v>
      </c>
      <c r="M4698" s="337"/>
    </row>
    <row r="4699" spans="1:13" s="71" customFormat="1" ht="26.4" customHeight="1">
      <c r="A4699" s="282">
        <v>457</v>
      </c>
      <c r="B4699" s="534"/>
      <c r="C4699" s="441" t="s">
        <v>6275</v>
      </c>
      <c r="D4699" s="441" t="s">
        <v>6283</v>
      </c>
      <c r="E4699" s="260" t="s">
        <v>6145</v>
      </c>
      <c r="F4699" s="380" t="s">
        <v>6284</v>
      </c>
      <c r="G4699" s="371" t="s">
        <v>1546</v>
      </c>
      <c r="H4699" s="381" t="s">
        <v>5462</v>
      </c>
      <c r="I4699" s="470">
        <v>203</v>
      </c>
      <c r="J4699" s="496">
        <v>6.02</v>
      </c>
      <c r="K4699" s="496">
        <v>3.08</v>
      </c>
      <c r="L4699" s="495">
        <f t="shared" si="52"/>
        <v>2.9399999999999995</v>
      </c>
      <c r="M4699" s="337"/>
    </row>
    <row r="4700" spans="1:13" s="71" customFormat="1" ht="26.4" customHeight="1">
      <c r="A4700" s="282">
        <v>458</v>
      </c>
      <c r="B4700" s="534"/>
      <c r="C4700" s="441" t="s">
        <v>5265</v>
      </c>
      <c r="D4700" s="441" t="s">
        <v>5628</v>
      </c>
      <c r="E4700" s="260" t="s">
        <v>6285</v>
      </c>
      <c r="F4700" s="380" t="s">
        <v>6286</v>
      </c>
      <c r="G4700" s="371" t="s">
        <v>1546</v>
      </c>
      <c r="H4700" s="381" t="s">
        <v>5462</v>
      </c>
      <c r="I4700" s="470">
        <v>619</v>
      </c>
      <c r="J4700" s="496">
        <v>3.56</v>
      </c>
      <c r="K4700" s="496">
        <v>0.63</v>
      </c>
      <c r="L4700" s="495">
        <f t="shared" si="52"/>
        <v>2.93</v>
      </c>
      <c r="M4700" s="337"/>
    </row>
    <row r="4701" spans="1:13" s="71" customFormat="1" ht="26.4" customHeight="1">
      <c r="A4701" s="282">
        <v>459</v>
      </c>
      <c r="B4701" s="534"/>
      <c r="C4701" s="441" t="s">
        <v>5265</v>
      </c>
      <c r="D4701" s="441" t="s">
        <v>6287</v>
      </c>
      <c r="E4701" s="260" t="s">
        <v>6145</v>
      </c>
      <c r="F4701" s="380" t="s">
        <v>6288</v>
      </c>
      <c r="G4701" s="371" t="s">
        <v>1543</v>
      </c>
      <c r="H4701" s="381" t="s">
        <v>5462</v>
      </c>
      <c r="I4701" s="470">
        <v>619</v>
      </c>
      <c r="J4701" s="496">
        <v>29.81</v>
      </c>
      <c r="K4701" s="496">
        <v>21.98</v>
      </c>
      <c r="L4701" s="495">
        <f t="shared" si="52"/>
        <v>7.8299999999999983</v>
      </c>
      <c r="M4701" s="337"/>
    </row>
    <row r="4702" spans="1:13" s="71" customFormat="1" ht="26.4" customHeight="1">
      <c r="A4702" s="282">
        <v>460</v>
      </c>
      <c r="B4702" s="534"/>
      <c r="C4702" s="441" t="s">
        <v>5265</v>
      </c>
      <c r="D4702" s="441" t="s">
        <v>6289</v>
      </c>
      <c r="E4702" s="260" t="s">
        <v>6290</v>
      </c>
      <c r="F4702" s="380" t="s">
        <v>6291</v>
      </c>
      <c r="G4702" s="371" t="s">
        <v>1543</v>
      </c>
      <c r="H4702" s="381" t="s">
        <v>5462</v>
      </c>
      <c r="I4702" s="470">
        <v>198</v>
      </c>
      <c r="J4702" s="496">
        <v>5.79</v>
      </c>
      <c r="K4702" s="496">
        <v>2.85</v>
      </c>
      <c r="L4702" s="495">
        <f t="shared" si="52"/>
        <v>2.94</v>
      </c>
      <c r="M4702" s="337"/>
    </row>
    <row r="4703" spans="1:13" s="71" customFormat="1" ht="26.4" customHeight="1">
      <c r="A4703" s="282">
        <v>461</v>
      </c>
      <c r="B4703" s="534"/>
      <c r="C4703" s="441" t="s">
        <v>5265</v>
      </c>
      <c r="D4703" s="441" t="s">
        <v>6292</v>
      </c>
      <c r="E4703" s="260" t="s">
        <v>6293</v>
      </c>
      <c r="F4703" s="380" t="s">
        <v>6294</v>
      </c>
      <c r="G4703" s="371" t="s">
        <v>1531</v>
      </c>
      <c r="H4703" s="381" t="s">
        <v>5462</v>
      </c>
      <c r="I4703" s="470">
        <v>193</v>
      </c>
      <c r="J4703" s="496">
        <v>5.14</v>
      </c>
      <c r="K4703" s="496">
        <v>2.14</v>
      </c>
      <c r="L4703" s="495">
        <f t="shared" si="52"/>
        <v>2.9999999999999996</v>
      </c>
      <c r="M4703" s="337"/>
    </row>
    <row r="4704" spans="1:13" s="71" customFormat="1" ht="26.4" customHeight="1">
      <c r="A4704" s="282">
        <v>462</v>
      </c>
      <c r="B4704" s="534"/>
      <c r="C4704" s="441" t="s">
        <v>5265</v>
      </c>
      <c r="D4704" s="441" t="s">
        <v>6295</v>
      </c>
      <c r="E4704" s="260" t="s">
        <v>6296</v>
      </c>
      <c r="F4704" s="380" t="s">
        <v>6297</v>
      </c>
      <c r="G4704" s="371" t="s">
        <v>1543</v>
      </c>
      <c r="H4704" s="381" t="s">
        <v>5462</v>
      </c>
      <c r="I4704" s="470">
        <v>868</v>
      </c>
      <c r="J4704" s="496">
        <v>13.48</v>
      </c>
      <c r="K4704" s="496">
        <v>3.9</v>
      </c>
      <c r="L4704" s="495">
        <f t="shared" si="52"/>
        <v>9.58</v>
      </c>
      <c r="M4704" s="337"/>
    </row>
    <row r="4705" spans="1:13" s="71" customFormat="1" ht="26.4" customHeight="1">
      <c r="A4705" s="282">
        <v>463</v>
      </c>
      <c r="B4705" s="534"/>
      <c r="C4705" s="441" t="s">
        <v>5265</v>
      </c>
      <c r="D4705" s="441" t="s">
        <v>6298</v>
      </c>
      <c r="E4705" s="260" t="s">
        <v>6299</v>
      </c>
      <c r="F4705" s="380" t="s">
        <v>6300</v>
      </c>
      <c r="G4705" s="371" t="s">
        <v>1539</v>
      </c>
      <c r="H4705" s="381" t="s">
        <v>5462</v>
      </c>
      <c r="I4705" s="470">
        <v>785</v>
      </c>
      <c r="J4705" s="496">
        <v>10.56</v>
      </c>
      <c r="K4705" s="496">
        <v>7.89</v>
      </c>
      <c r="L4705" s="495">
        <f t="shared" si="52"/>
        <v>2.6700000000000008</v>
      </c>
      <c r="M4705" s="337"/>
    </row>
    <row r="4706" spans="1:13" s="71" customFormat="1" ht="26.4" customHeight="1">
      <c r="A4706" s="282">
        <v>464</v>
      </c>
      <c r="B4706" s="534"/>
      <c r="C4706" s="441" t="s">
        <v>5265</v>
      </c>
      <c r="D4706" s="441" t="s">
        <v>6301</v>
      </c>
      <c r="E4706" s="260" t="s">
        <v>6302</v>
      </c>
      <c r="F4706" s="380" t="s">
        <v>6303</v>
      </c>
      <c r="G4706" s="371" t="s">
        <v>1549</v>
      </c>
      <c r="H4706" s="381" t="s">
        <v>5462</v>
      </c>
      <c r="I4706" s="470">
        <v>592</v>
      </c>
      <c r="J4706" s="496">
        <v>14.26</v>
      </c>
      <c r="K4706" s="496">
        <v>11.29</v>
      </c>
      <c r="L4706" s="495">
        <f t="shared" si="52"/>
        <v>2.9700000000000006</v>
      </c>
      <c r="M4706" s="337"/>
    </row>
    <row r="4707" spans="1:13" s="71" customFormat="1" ht="26.4" customHeight="1">
      <c r="A4707" s="282">
        <v>465</v>
      </c>
      <c r="B4707" s="534"/>
      <c r="C4707" s="441" t="s">
        <v>5265</v>
      </c>
      <c r="D4707" s="441" t="s">
        <v>6266</v>
      </c>
      <c r="E4707" s="260" t="s">
        <v>6126</v>
      </c>
      <c r="F4707" s="380" t="s">
        <v>6304</v>
      </c>
      <c r="G4707" s="371" t="s">
        <v>1539</v>
      </c>
      <c r="H4707" s="381" t="s">
        <v>5462</v>
      </c>
      <c r="I4707" s="470">
        <v>1704</v>
      </c>
      <c r="J4707" s="496">
        <v>1.1399999999999999</v>
      </c>
      <c r="K4707" s="496">
        <v>1.1200000000000001</v>
      </c>
      <c r="L4707" s="495">
        <f t="shared" si="52"/>
        <v>1.9999999999999796E-2</v>
      </c>
      <c r="M4707" s="337"/>
    </row>
    <row r="4708" spans="1:13" s="71" customFormat="1" ht="26.4" customHeight="1">
      <c r="A4708" s="282">
        <v>466</v>
      </c>
      <c r="B4708" s="534"/>
      <c r="C4708" s="441" t="s">
        <v>5265</v>
      </c>
      <c r="D4708" s="441" t="s">
        <v>6227</v>
      </c>
      <c r="E4708" s="260" t="s">
        <v>6305</v>
      </c>
      <c r="F4708" s="380" t="s">
        <v>6306</v>
      </c>
      <c r="G4708" s="371" t="s">
        <v>1550</v>
      </c>
      <c r="H4708" s="381" t="s">
        <v>5462</v>
      </c>
      <c r="I4708" s="470">
        <v>363</v>
      </c>
      <c r="J4708" s="496">
        <v>32.229999999999997</v>
      </c>
      <c r="K4708" s="496">
        <v>29.28</v>
      </c>
      <c r="L4708" s="495">
        <f t="shared" si="52"/>
        <v>2.9499999999999957</v>
      </c>
      <c r="M4708" s="337"/>
    </row>
    <row r="4709" spans="1:13" s="71" customFormat="1" ht="26.4" customHeight="1">
      <c r="A4709" s="282">
        <v>467</v>
      </c>
      <c r="B4709" s="534"/>
      <c r="C4709" s="441" t="s">
        <v>5265</v>
      </c>
      <c r="D4709" s="441" t="s">
        <v>6307</v>
      </c>
      <c r="E4709" s="260" t="s">
        <v>6126</v>
      </c>
      <c r="F4709" s="380" t="s">
        <v>6308</v>
      </c>
      <c r="G4709" s="371" t="s">
        <v>1533</v>
      </c>
      <c r="H4709" s="381" t="s">
        <v>5462</v>
      </c>
      <c r="I4709" s="470">
        <v>1481</v>
      </c>
      <c r="J4709" s="496">
        <v>9.5</v>
      </c>
      <c r="K4709" s="496">
        <v>5.45</v>
      </c>
      <c r="L4709" s="495">
        <f t="shared" si="52"/>
        <v>4.05</v>
      </c>
      <c r="M4709" s="337"/>
    </row>
    <row r="4710" spans="1:13" s="71" customFormat="1" ht="26.4" customHeight="1">
      <c r="A4710" s="282">
        <v>468</v>
      </c>
      <c r="B4710" s="534"/>
      <c r="C4710" s="441" t="s">
        <v>5265</v>
      </c>
      <c r="D4710" s="441" t="s">
        <v>6309</v>
      </c>
      <c r="E4710" s="260" t="s">
        <v>6310</v>
      </c>
      <c r="F4710" s="380" t="s">
        <v>6311</v>
      </c>
      <c r="G4710" s="371" t="s">
        <v>1528</v>
      </c>
      <c r="H4710" s="381" t="s">
        <v>5462</v>
      </c>
      <c r="I4710" s="470">
        <v>424</v>
      </c>
      <c r="J4710" s="496">
        <v>5.05</v>
      </c>
      <c r="K4710" s="496">
        <v>2.06</v>
      </c>
      <c r="L4710" s="495">
        <f t="shared" si="52"/>
        <v>2.9899999999999998</v>
      </c>
      <c r="M4710" s="337"/>
    </row>
    <row r="4711" spans="1:13" s="71" customFormat="1" ht="26.4" customHeight="1">
      <c r="A4711" s="282">
        <v>469</v>
      </c>
      <c r="B4711" s="534"/>
      <c r="C4711" s="441" t="s">
        <v>5265</v>
      </c>
      <c r="D4711" s="441" t="s">
        <v>6312</v>
      </c>
      <c r="E4711" s="260" t="s">
        <v>6145</v>
      </c>
      <c r="F4711" s="380" t="s">
        <v>6313</v>
      </c>
      <c r="G4711" s="371" t="s">
        <v>1528</v>
      </c>
      <c r="H4711" s="381" t="s">
        <v>5462</v>
      </c>
      <c r="I4711" s="470">
        <v>275</v>
      </c>
      <c r="J4711" s="496">
        <v>4.01</v>
      </c>
      <c r="K4711" s="496">
        <v>0.5</v>
      </c>
      <c r="L4711" s="495">
        <f t="shared" si="52"/>
        <v>3.51</v>
      </c>
      <c r="M4711" s="337"/>
    </row>
    <row r="4712" spans="1:13" s="71" customFormat="1" ht="26.4" customHeight="1">
      <c r="A4712" s="282">
        <v>470</v>
      </c>
      <c r="B4712" s="534"/>
      <c r="C4712" s="441" t="s">
        <v>5265</v>
      </c>
      <c r="D4712" s="441" t="s">
        <v>6314</v>
      </c>
      <c r="E4712" s="260" t="s">
        <v>6145</v>
      </c>
      <c r="F4712" s="380" t="s">
        <v>6315</v>
      </c>
      <c r="G4712" s="371" t="s">
        <v>1528</v>
      </c>
      <c r="H4712" s="381" t="s">
        <v>5462</v>
      </c>
      <c r="I4712" s="470">
        <v>582</v>
      </c>
      <c r="J4712" s="496">
        <v>4.16</v>
      </c>
      <c r="K4712" s="496">
        <v>0.09</v>
      </c>
      <c r="L4712" s="495">
        <f t="shared" si="52"/>
        <v>4.07</v>
      </c>
      <c r="M4712" s="337"/>
    </row>
    <row r="4713" spans="1:13" s="71" customFormat="1" ht="26.4" customHeight="1">
      <c r="A4713" s="282">
        <v>471</v>
      </c>
      <c r="B4713" s="534"/>
      <c r="C4713" s="441" t="s">
        <v>5265</v>
      </c>
      <c r="D4713" s="441" t="s">
        <v>5635</v>
      </c>
      <c r="E4713" s="260" t="s">
        <v>6145</v>
      </c>
      <c r="F4713" s="380" t="s">
        <v>6008</v>
      </c>
      <c r="G4713" s="371" t="s">
        <v>1528</v>
      </c>
      <c r="H4713" s="381" t="s">
        <v>5462</v>
      </c>
      <c r="I4713" s="470">
        <v>346</v>
      </c>
      <c r="J4713" s="496">
        <v>1.1100000000000001</v>
      </c>
      <c r="K4713" s="496">
        <v>0.33</v>
      </c>
      <c r="L4713" s="495">
        <f t="shared" si="52"/>
        <v>0.78</v>
      </c>
      <c r="M4713" s="337"/>
    </row>
    <row r="4714" spans="1:13" s="71" customFormat="1" ht="26.4" customHeight="1">
      <c r="A4714" s="282">
        <v>472</v>
      </c>
      <c r="B4714" s="534"/>
      <c r="C4714" s="441" t="s">
        <v>5265</v>
      </c>
      <c r="D4714" s="441" t="s">
        <v>5628</v>
      </c>
      <c r="E4714" s="260" t="s">
        <v>6316</v>
      </c>
      <c r="F4714" s="380" t="s">
        <v>6317</v>
      </c>
      <c r="G4714" s="371" t="s">
        <v>1139</v>
      </c>
      <c r="H4714" s="381" t="s">
        <v>5462</v>
      </c>
      <c r="I4714" s="470">
        <v>187</v>
      </c>
      <c r="J4714" s="496">
        <v>4.8499999999999996</v>
      </c>
      <c r="K4714" s="496">
        <v>1.9</v>
      </c>
      <c r="L4714" s="495">
        <f t="shared" si="52"/>
        <v>2.9499999999999997</v>
      </c>
      <c r="M4714" s="337"/>
    </row>
    <row r="4715" spans="1:13" s="71" customFormat="1" ht="26.4" customHeight="1">
      <c r="A4715" s="282">
        <v>473</v>
      </c>
      <c r="B4715" s="534"/>
      <c r="C4715" s="441" t="s">
        <v>5265</v>
      </c>
      <c r="D4715" s="441" t="s">
        <v>6318</v>
      </c>
      <c r="E4715" s="260" t="s">
        <v>6145</v>
      </c>
      <c r="F4715" s="380" t="s">
        <v>6319</v>
      </c>
      <c r="G4715" s="371" t="s">
        <v>1139</v>
      </c>
      <c r="H4715" s="381" t="s">
        <v>5462</v>
      </c>
      <c r="I4715" s="470">
        <v>139</v>
      </c>
      <c r="J4715" s="496">
        <v>3.71</v>
      </c>
      <c r="K4715" s="496">
        <v>2.31</v>
      </c>
      <c r="L4715" s="495">
        <f t="shared" si="52"/>
        <v>1.4</v>
      </c>
      <c r="M4715" s="337"/>
    </row>
    <row r="4716" spans="1:13" s="71" customFormat="1" ht="26.4" customHeight="1">
      <c r="A4716" s="282">
        <v>474</v>
      </c>
      <c r="B4716" s="534"/>
      <c r="C4716" s="441" t="s">
        <v>5265</v>
      </c>
      <c r="D4716" s="441" t="s">
        <v>6320</v>
      </c>
      <c r="E4716" s="260" t="s">
        <v>6145</v>
      </c>
      <c r="F4716" s="380" t="s">
        <v>6321</v>
      </c>
      <c r="G4716" s="371" t="s">
        <v>1139</v>
      </c>
      <c r="H4716" s="381" t="s">
        <v>5462</v>
      </c>
      <c r="I4716" s="470">
        <v>1077</v>
      </c>
      <c r="J4716" s="496">
        <v>24.75</v>
      </c>
      <c r="K4716" s="496">
        <v>18.46</v>
      </c>
      <c r="L4716" s="495">
        <f t="shared" si="52"/>
        <v>6.2899999999999991</v>
      </c>
      <c r="M4716" s="337"/>
    </row>
    <row r="4717" spans="1:13" s="71" customFormat="1" ht="26.4" customHeight="1">
      <c r="A4717" s="282">
        <v>475</v>
      </c>
      <c r="B4717" s="534"/>
      <c r="C4717" s="441" t="s">
        <v>5265</v>
      </c>
      <c r="D4717" s="441" t="s">
        <v>6185</v>
      </c>
      <c r="E4717" s="260" t="s">
        <v>6145</v>
      </c>
      <c r="F4717" s="380" t="s">
        <v>6322</v>
      </c>
      <c r="G4717" s="371" t="s">
        <v>1139</v>
      </c>
      <c r="H4717" s="381" t="s">
        <v>5462</v>
      </c>
      <c r="I4717" s="470">
        <v>114</v>
      </c>
      <c r="J4717" s="496">
        <v>2.2599999999999998</v>
      </c>
      <c r="K4717" s="496">
        <v>1.61</v>
      </c>
      <c r="L4717" s="495">
        <f t="shared" si="52"/>
        <v>0.64999999999999969</v>
      </c>
      <c r="M4717" s="337"/>
    </row>
    <row r="4718" spans="1:13" s="71" customFormat="1" ht="26.4" customHeight="1">
      <c r="A4718" s="282">
        <v>476</v>
      </c>
      <c r="B4718" s="534"/>
      <c r="C4718" s="441" t="s">
        <v>5265</v>
      </c>
      <c r="D4718" s="441" t="s">
        <v>6323</v>
      </c>
      <c r="E4718" s="260" t="s">
        <v>6324</v>
      </c>
      <c r="F4718" s="380" t="s">
        <v>6325</v>
      </c>
      <c r="G4718" s="371" t="s">
        <v>1139</v>
      </c>
      <c r="H4718" s="381" t="s">
        <v>5462</v>
      </c>
      <c r="I4718" s="470">
        <v>275</v>
      </c>
      <c r="J4718" s="496">
        <v>4.2699999999999996</v>
      </c>
      <c r="K4718" s="496">
        <v>3.18</v>
      </c>
      <c r="L4718" s="495">
        <f t="shared" si="52"/>
        <v>1.0899999999999994</v>
      </c>
      <c r="M4718" s="337"/>
    </row>
    <row r="4719" spans="1:13" s="71" customFormat="1" ht="26.4" customHeight="1">
      <c r="A4719" s="282">
        <v>477</v>
      </c>
      <c r="B4719" s="534"/>
      <c r="C4719" s="441" t="s">
        <v>5265</v>
      </c>
      <c r="D4719" s="441" t="s">
        <v>6292</v>
      </c>
      <c r="E4719" s="260" t="s">
        <v>6324</v>
      </c>
      <c r="F4719" s="380" t="s">
        <v>6326</v>
      </c>
      <c r="G4719" s="371" t="s">
        <v>1139</v>
      </c>
      <c r="H4719" s="381" t="s">
        <v>5462</v>
      </c>
      <c r="I4719" s="470">
        <v>457</v>
      </c>
      <c r="J4719" s="496">
        <v>4.2300000000000004</v>
      </c>
      <c r="K4719" s="496">
        <v>1.26</v>
      </c>
      <c r="L4719" s="495">
        <f t="shared" si="52"/>
        <v>2.9700000000000006</v>
      </c>
      <c r="M4719" s="337"/>
    </row>
    <row r="4720" spans="1:13" s="71" customFormat="1" ht="26.4" customHeight="1">
      <c r="A4720" s="282">
        <v>478</v>
      </c>
      <c r="B4720" s="534"/>
      <c r="C4720" s="441" t="s">
        <v>5265</v>
      </c>
      <c r="D4720" s="441" t="s">
        <v>6327</v>
      </c>
      <c r="E4720" s="260" t="s">
        <v>6145</v>
      </c>
      <c r="F4720" s="380" t="s">
        <v>6328</v>
      </c>
      <c r="G4720" s="371" t="s">
        <v>1139</v>
      </c>
      <c r="H4720" s="381" t="s">
        <v>5462</v>
      </c>
      <c r="I4720" s="470">
        <v>1182</v>
      </c>
      <c r="J4720" s="496">
        <v>1.92</v>
      </c>
      <c r="K4720" s="496">
        <v>1.31</v>
      </c>
      <c r="L4720" s="495">
        <f t="shared" si="52"/>
        <v>0.60999999999999988</v>
      </c>
      <c r="M4720" s="337"/>
    </row>
    <row r="4721" spans="1:13" s="71" customFormat="1" ht="26.4" customHeight="1">
      <c r="A4721" s="282">
        <v>479</v>
      </c>
      <c r="B4721" s="534"/>
      <c r="C4721" s="441" t="s">
        <v>5265</v>
      </c>
      <c r="D4721" s="441" t="s">
        <v>6292</v>
      </c>
      <c r="E4721" s="260" t="s">
        <v>6324</v>
      </c>
      <c r="F4721" s="380" t="s">
        <v>6329</v>
      </c>
      <c r="G4721" s="371" t="s">
        <v>1139</v>
      </c>
      <c r="H4721" s="381" t="s">
        <v>5462</v>
      </c>
      <c r="I4721" s="470">
        <v>478</v>
      </c>
      <c r="J4721" s="496">
        <v>4.32</v>
      </c>
      <c r="K4721" s="496">
        <v>1.35</v>
      </c>
      <c r="L4721" s="495">
        <f t="shared" si="52"/>
        <v>2.97</v>
      </c>
      <c r="M4721" s="337"/>
    </row>
    <row r="4722" spans="1:13" s="71" customFormat="1" ht="26.4" customHeight="1">
      <c r="A4722" s="282">
        <v>480</v>
      </c>
      <c r="B4722" s="534"/>
      <c r="C4722" s="441" t="s">
        <v>5265</v>
      </c>
      <c r="D4722" s="441" t="s">
        <v>6227</v>
      </c>
      <c r="E4722" s="260" t="s">
        <v>6330</v>
      </c>
      <c r="F4722" s="380" t="s">
        <v>6331</v>
      </c>
      <c r="G4722" s="371" t="s">
        <v>1139</v>
      </c>
      <c r="H4722" s="381" t="s">
        <v>5462</v>
      </c>
      <c r="I4722" s="470">
        <v>311</v>
      </c>
      <c r="J4722" s="496">
        <v>4.43</v>
      </c>
      <c r="K4722" s="496">
        <v>1.48</v>
      </c>
      <c r="L4722" s="495">
        <f t="shared" si="52"/>
        <v>2.9499999999999997</v>
      </c>
      <c r="M4722" s="337"/>
    </row>
    <row r="4723" spans="1:13" s="71" customFormat="1" ht="26.4" customHeight="1">
      <c r="A4723" s="282">
        <v>481</v>
      </c>
      <c r="B4723" s="534"/>
      <c r="C4723" s="441" t="s">
        <v>5265</v>
      </c>
      <c r="D4723" s="441" t="s">
        <v>6227</v>
      </c>
      <c r="E4723" s="260" t="s">
        <v>6145</v>
      </c>
      <c r="F4723" s="380" t="s">
        <v>6332</v>
      </c>
      <c r="G4723" s="371" t="s">
        <v>1139</v>
      </c>
      <c r="H4723" s="381" t="s">
        <v>5462</v>
      </c>
      <c r="I4723" s="470">
        <v>600</v>
      </c>
      <c r="J4723" s="496">
        <v>4.07</v>
      </c>
      <c r="K4723" s="496">
        <v>1.1000000000000001</v>
      </c>
      <c r="L4723" s="495">
        <f t="shared" si="52"/>
        <v>2.97</v>
      </c>
      <c r="M4723" s="337"/>
    </row>
    <row r="4724" spans="1:13" s="71" customFormat="1" ht="26.4" customHeight="1">
      <c r="A4724" s="282">
        <v>482</v>
      </c>
      <c r="B4724" s="534"/>
      <c r="C4724" s="441" t="s">
        <v>5265</v>
      </c>
      <c r="D4724" s="441" t="s">
        <v>6227</v>
      </c>
      <c r="E4724" s="260" t="s">
        <v>6145</v>
      </c>
      <c r="F4724" s="380" t="s">
        <v>6333</v>
      </c>
      <c r="G4724" s="371" t="s">
        <v>1139</v>
      </c>
      <c r="H4724" s="381" t="s">
        <v>5462</v>
      </c>
      <c r="I4724" s="470">
        <v>305</v>
      </c>
      <c r="J4724" s="496">
        <v>4.3</v>
      </c>
      <c r="K4724" s="496">
        <v>1.33</v>
      </c>
      <c r="L4724" s="495">
        <f t="shared" si="52"/>
        <v>2.9699999999999998</v>
      </c>
      <c r="M4724" s="337"/>
    </row>
    <row r="4725" spans="1:13" s="71" customFormat="1" ht="26.4" customHeight="1">
      <c r="A4725" s="282">
        <v>483</v>
      </c>
      <c r="B4725" s="534"/>
      <c r="C4725" s="441" t="s">
        <v>5265</v>
      </c>
      <c r="D4725" s="441" t="s">
        <v>6334</v>
      </c>
      <c r="E4725" s="260" t="s">
        <v>6335</v>
      </c>
      <c r="F4725" s="380" t="s">
        <v>6336</v>
      </c>
      <c r="G4725" s="371" t="s">
        <v>1532</v>
      </c>
      <c r="H4725" s="381" t="s">
        <v>5462</v>
      </c>
      <c r="I4725" s="470">
        <v>175</v>
      </c>
      <c r="J4725" s="496">
        <v>4.21</v>
      </c>
      <c r="K4725" s="496">
        <v>1.24</v>
      </c>
      <c r="L4725" s="495">
        <f t="shared" si="52"/>
        <v>2.9699999999999998</v>
      </c>
      <c r="M4725" s="337"/>
    </row>
    <row r="4726" spans="1:13" s="71" customFormat="1" ht="26.4" customHeight="1">
      <c r="A4726" s="282">
        <v>484</v>
      </c>
      <c r="B4726" s="534"/>
      <c r="C4726" s="441" t="s">
        <v>5265</v>
      </c>
      <c r="D4726" s="441" t="s">
        <v>6337</v>
      </c>
      <c r="E4726" s="260" t="s">
        <v>6145</v>
      </c>
      <c r="F4726" s="380" t="s">
        <v>6338</v>
      </c>
      <c r="G4726" s="371" t="s">
        <v>1139</v>
      </c>
      <c r="H4726" s="381" t="s">
        <v>5462</v>
      </c>
      <c r="I4726" s="470">
        <v>2940</v>
      </c>
      <c r="J4726" s="496">
        <v>41.02</v>
      </c>
      <c r="K4726" s="496">
        <v>26.52</v>
      </c>
      <c r="L4726" s="495">
        <f t="shared" si="52"/>
        <v>14.500000000000004</v>
      </c>
      <c r="M4726" s="337"/>
    </row>
    <row r="4727" spans="1:13" s="71" customFormat="1" ht="26.4" customHeight="1">
      <c r="A4727" s="282">
        <v>485</v>
      </c>
      <c r="B4727" s="534"/>
      <c r="C4727" s="441" t="s">
        <v>5265</v>
      </c>
      <c r="D4727" s="441" t="s">
        <v>6339</v>
      </c>
      <c r="E4727" s="260" t="s">
        <v>6145</v>
      </c>
      <c r="F4727" s="380" t="s">
        <v>6340</v>
      </c>
      <c r="G4727" s="371" t="s">
        <v>1534</v>
      </c>
      <c r="H4727" s="381" t="s">
        <v>5462</v>
      </c>
      <c r="I4727" s="470">
        <v>1672</v>
      </c>
      <c r="J4727" s="496">
        <v>5.94</v>
      </c>
      <c r="K4727" s="496">
        <v>4.28</v>
      </c>
      <c r="L4727" s="495">
        <f t="shared" si="52"/>
        <v>1.6600000000000001</v>
      </c>
      <c r="M4727" s="337"/>
    </row>
    <row r="4728" spans="1:13" s="71" customFormat="1" ht="26.4" customHeight="1">
      <c r="A4728" s="282">
        <v>486</v>
      </c>
      <c r="B4728" s="534"/>
      <c r="C4728" s="441" t="s">
        <v>5265</v>
      </c>
      <c r="D4728" s="441" t="s">
        <v>6292</v>
      </c>
      <c r="E4728" s="260" t="s">
        <v>6145</v>
      </c>
      <c r="F4728" s="380" t="s">
        <v>6341</v>
      </c>
      <c r="G4728" s="371" t="s">
        <v>1534</v>
      </c>
      <c r="H4728" s="381" t="s">
        <v>5462</v>
      </c>
      <c r="I4728" s="470">
        <v>567</v>
      </c>
      <c r="J4728" s="496">
        <v>3.94</v>
      </c>
      <c r="K4728" s="496">
        <v>0.97</v>
      </c>
      <c r="L4728" s="495">
        <f t="shared" si="52"/>
        <v>2.9699999999999998</v>
      </c>
      <c r="M4728" s="337"/>
    </row>
    <row r="4729" spans="1:13" s="71" customFormat="1" ht="26.4" customHeight="1">
      <c r="A4729" s="282">
        <v>487</v>
      </c>
      <c r="B4729" s="534"/>
      <c r="C4729" s="441" t="s">
        <v>5265</v>
      </c>
      <c r="D4729" s="441" t="s">
        <v>6292</v>
      </c>
      <c r="E4729" s="260" t="s">
        <v>6145</v>
      </c>
      <c r="F4729" s="380" t="s">
        <v>6342</v>
      </c>
      <c r="G4729" s="371" t="s">
        <v>1534</v>
      </c>
      <c r="H4729" s="381" t="s">
        <v>5462</v>
      </c>
      <c r="I4729" s="470">
        <v>416</v>
      </c>
      <c r="J4729" s="496">
        <v>4.3899999999999997</v>
      </c>
      <c r="K4729" s="496">
        <v>1.42</v>
      </c>
      <c r="L4729" s="495">
        <f t="shared" si="52"/>
        <v>2.9699999999999998</v>
      </c>
      <c r="M4729" s="337"/>
    </row>
    <row r="4730" spans="1:13" s="71" customFormat="1" ht="26.4" customHeight="1">
      <c r="A4730" s="282">
        <v>488</v>
      </c>
      <c r="B4730" s="534"/>
      <c r="C4730" s="441" t="s">
        <v>5265</v>
      </c>
      <c r="D4730" s="441" t="s">
        <v>6292</v>
      </c>
      <c r="E4730" s="260" t="s">
        <v>6145</v>
      </c>
      <c r="F4730" s="380" t="s">
        <v>6343</v>
      </c>
      <c r="G4730" s="371" t="s">
        <v>1534</v>
      </c>
      <c r="H4730" s="381" t="s">
        <v>5462</v>
      </c>
      <c r="I4730" s="470">
        <v>448</v>
      </c>
      <c r="J4730" s="496">
        <v>1.83</v>
      </c>
      <c r="K4730" s="496">
        <v>1.34</v>
      </c>
      <c r="L4730" s="495">
        <f t="shared" si="52"/>
        <v>0.49</v>
      </c>
      <c r="M4730" s="337"/>
    </row>
    <row r="4731" spans="1:13" s="71" customFormat="1" ht="26.4" customHeight="1">
      <c r="A4731" s="282">
        <v>489</v>
      </c>
      <c r="B4731" s="534"/>
      <c r="C4731" s="441" t="s">
        <v>5265</v>
      </c>
      <c r="D4731" s="441" t="s">
        <v>6188</v>
      </c>
      <c r="E4731" s="260" t="s">
        <v>6145</v>
      </c>
      <c r="F4731" s="380" t="s">
        <v>6344</v>
      </c>
      <c r="G4731" s="371" t="s">
        <v>1534</v>
      </c>
      <c r="H4731" s="381" t="s">
        <v>5462</v>
      </c>
      <c r="I4731" s="470">
        <v>154</v>
      </c>
      <c r="J4731" s="496">
        <v>5.04</v>
      </c>
      <c r="K4731" s="496">
        <v>2.08</v>
      </c>
      <c r="L4731" s="495">
        <f t="shared" si="52"/>
        <v>2.96</v>
      </c>
      <c r="M4731" s="337"/>
    </row>
    <row r="4732" spans="1:13" s="71" customFormat="1" ht="26.4" customHeight="1">
      <c r="A4732" s="282">
        <v>490</v>
      </c>
      <c r="B4732" s="534"/>
      <c r="C4732" s="441" t="s">
        <v>5265</v>
      </c>
      <c r="D4732" s="441" t="s">
        <v>5680</v>
      </c>
      <c r="E4732" s="260" t="s">
        <v>6345</v>
      </c>
      <c r="F4732" s="380" t="s">
        <v>6346</v>
      </c>
      <c r="G4732" s="371" t="s">
        <v>1534</v>
      </c>
      <c r="H4732" s="381" t="s">
        <v>5462</v>
      </c>
      <c r="I4732" s="470">
        <v>545</v>
      </c>
      <c r="J4732" s="496">
        <v>5.44</v>
      </c>
      <c r="K4732" s="496">
        <v>2.4700000000000002</v>
      </c>
      <c r="L4732" s="495">
        <f t="shared" si="52"/>
        <v>2.97</v>
      </c>
      <c r="M4732" s="337"/>
    </row>
    <row r="4733" spans="1:13" s="71" customFormat="1" ht="26.4" customHeight="1">
      <c r="A4733" s="282">
        <v>491</v>
      </c>
      <c r="B4733" s="534"/>
      <c r="C4733" s="441" t="s">
        <v>5265</v>
      </c>
      <c r="D4733" s="441" t="s">
        <v>6347</v>
      </c>
      <c r="E4733" s="260" t="s">
        <v>6145</v>
      </c>
      <c r="F4733" s="380" t="s">
        <v>6348</v>
      </c>
      <c r="G4733" s="371" t="s">
        <v>1560</v>
      </c>
      <c r="H4733" s="381" t="s">
        <v>5462</v>
      </c>
      <c r="I4733" s="470">
        <v>40</v>
      </c>
      <c r="J4733" s="496">
        <v>3.81</v>
      </c>
      <c r="K4733" s="496">
        <v>2.64</v>
      </c>
      <c r="L4733" s="495">
        <f t="shared" si="52"/>
        <v>1.17</v>
      </c>
      <c r="M4733" s="337"/>
    </row>
    <row r="4734" spans="1:13" s="71" customFormat="1" ht="26.4" customHeight="1">
      <c r="A4734" s="282">
        <v>492</v>
      </c>
      <c r="B4734" s="534"/>
      <c r="C4734" s="441" t="s">
        <v>5265</v>
      </c>
      <c r="D4734" s="441" t="s">
        <v>6349</v>
      </c>
      <c r="E4734" s="260" t="s">
        <v>6145</v>
      </c>
      <c r="F4734" s="380" t="s">
        <v>6350</v>
      </c>
      <c r="G4734" s="371" t="s">
        <v>1560</v>
      </c>
      <c r="H4734" s="381" t="s">
        <v>5462</v>
      </c>
      <c r="I4734" s="470">
        <v>890</v>
      </c>
      <c r="J4734" s="496">
        <v>5.74</v>
      </c>
      <c r="K4734" s="496">
        <v>2.76</v>
      </c>
      <c r="L4734" s="495">
        <f t="shared" si="52"/>
        <v>2.9800000000000004</v>
      </c>
      <c r="M4734" s="337"/>
    </row>
    <row r="4735" spans="1:13" s="71" customFormat="1" ht="26.4" customHeight="1">
      <c r="A4735" s="282">
        <v>493</v>
      </c>
      <c r="B4735" s="534"/>
      <c r="C4735" s="441" t="s">
        <v>5265</v>
      </c>
      <c r="D4735" s="441" t="s">
        <v>6351</v>
      </c>
      <c r="E4735" s="260" t="s">
        <v>6145</v>
      </c>
      <c r="F4735" s="380" t="s">
        <v>6352</v>
      </c>
      <c r="G4735" s="371" t="s">
        <v>1560</v>
      </c>
      <c r="H4735" s="381" t="s">
        <v>5462</v>
      </c>
      <c r="I4735" s="470">
        <v>173</v>
      </c>
      <c r="J4735" s="496">
        <v>3.71</v>
      </c>
      <c r="K4735" s="496">
        <v>2.62</v>
      </c>
      <c r="L4735" s="495">
        <f t="shared" si="52"/>
        <v>1.0899999999999999</v>
      </c>
      <c r="M4735" s="337"/>
    </row>
    <row r="4736" spans="1:13" s="71" customFormat="1" ht="26.4" customHeight="1">
      <c r="A4736" s="282">
        <v>494</v>
      </c>
      <c r="B4736" s="534"/>
      <c r="C4736" s="441" t="s">
        <v>5265</v>
      </c>
      <c r="D4736" s="441" t="s">
        <v>6292</v>
      </c>
      <c r="E4736" s="260" t="s">
        <v>6293</v>
      </c>
      <c r="F4736" s="380" t="s">
        <v>6353</v>
      </c>
      <c r="G4736" s="371" t="s">
        <v>1553</v>
      </c>
      <c r="H4736" s="381" t="s">
        <v>5462</v>
      </c>
      <c r="I4736" s="470">
        <v>328</v>
      </c>
      <c r="J4736" s="496">
        <v>4.51</v>
      </c>
      <c r="K4736" s="496">
        <v>1.53</v>
      </c>
      <c r="L4736" s="495">
        <f t="shared" si="52"/>
        <v>2.9799999999999995</v>
      </c>
      <c r="M4736" s="337"/>
    </row>
    <row r="4737" spans="1:13" s="71" customFormat="1" ht="26.4" customHeight="1">
      <c r="A4737" s="282">
        <v>495</v>
      </c>
      <c r="B4737" s="534"/>
      <c r="C4737" s="441" t="s">
        <v>5265</v>
      </c>
      <c r="D4737" s="441" t="s">
        <v>6292</v>
      </c>
      <c r="E4737" s="260" t="s">
        <v>6293</v>
      </c>
      <c r="F4737" s="380" t="s">
        <v>6354</v>
      </c>
      <c r="G4737" s="371" t="s">
        <v>1554</v>
      </c>
      <c r="H4737" s="381" t="s">
        <v>5462</v>
      </c>
      <c r="I4737" s="470">
        <v>254</v>
      </c>
      <c r="J4737" s="496">
        <v>3.56</v>
      </c>
      <c r="K4737" s="496">
        <v>0.57999999999999996</v>
      </c>
      <c r="L4737" s="495">
        <f t="shared" si="52"/>
        <v>2.98</v>
      </c>
      <c r="M4737" s="337"/>
    </row>
    <row r="4738" spans="1:13" s="71" customFormat="1" ht="26.4" customHeight="1">
      <c r="A4738" s="282">
        <v>496</v>
      </c>
      <c r="B4738" s="534"/>
      <c r="C4738" s="441" t="s">
        <v>5265</v>
      </c>
      <c r="D4738" s="260" t="s">
        <v>6355</v>
      </c>
      <c r="E4738" s="260" t="s">
        <v>6356</v>
      </c>
      <c r="F4738" s="380" t="s">
        <v>6357</v>
      </c>
      <c r="G4738" s="371" t="s">
        <v>1554</v>
      </c>
      <c r="H4738" s="381" t="s">
        <v>5462</v>
      </c>
      <c r="I4738" s="470">
        <v>2640</v>
      </c>
      <c r="J4738" s="496">
        <v>840.38</v>
      </c>
      <c r="K4738" s="496">
        <v>565.12</v>
      </c>
      <c r="L4738" s="495">
        <f t="shared" si="52"/>
        <v>275.26</v>
      </c>
      <c r="M4738" s="337"/>
    </row>
    <row r="4739" spans="1:13" s="71" customFormat="1" ht="26.4" customHeight="1">
      <c r="A4739" s="282">
        <v>497</v>
      </c>
      <c r="B4739" s="534"/>
      <c r="C4739" s="441" t="s">
        <v>5265</v>
      </c>
      <c r="D4739" s="441" t="s">
        <v>6358</v>
      </c>
      <c r="E4739" s="260" t="s">
        <v>6126</v>
      </c>
      <c r="F4739" s="380" t="s">
        <v>6359</v>
      </c>
      <c r="G4739" s="371" t="s">
        <v>1554</v>
      </c>
      <c r="H4739" s="381" t="s">
        <v>5462</v>
      </c>
      <c r="I4739" s="470">
        <v>117</v>
      </c>
      <c r="J4739" s="496">
        <v>4.82</v>
      </c>
      <c r="K4739" s="496">
        <v>1.84</v>
      </c>
      <c r="L4739" s="495">
        <f t="shared" si="52"/>
        <v>2.9800000000000004</v>
      </c>
      <c r="M4739" s="337"/>
    </row>
    <row r="4740" spans="1:13" s="71" customFormat="1" ht="26.4" customHeight="1">
      <c r="A4740" s="282">
        <v>498</v>
      </c>
      <c r="B4740" s="534"/>
      <c r="C4740" s="441" t="s">
        <v>5265</v>
      </c>
      <c r="D4740" s="441" t="s">
        <v>6360</v>
      </c>
      <c r="E4740" s="260" t="s">
        <v>6126</v>
      </c>
      <c r="F4740" s="380" t="s">
        <v>6361</v>
      </c>
      <c r="G4740" s="371" t="s">
        <v>1534</v>
      </c>
      <c r="H4740" s="381" t="s">
        <v>5462</v>
      </c>
      <c r="I4740" s="470">
        <v>160</v>
      </c>
      <c r="J4740" s="496">
        <v>6.17</v>
      </c>
      <c r="K4740" s="496">
        <v>4.47</v>
      </c>
      <c r="L4740" s="495">
        <f t="shared" si="52"/>
        <v>1.7000000000000002</v>
      </c>
      <c r="M4740" s="337"/>
    </row>
    <row r="4741" spans="1:13" s="71" customFormat="1" ht="26.4" customHeight="1">
      <c r="A4741" s="282">
        <v>499</v>
      </c>
      <c r="B4741" s="534"/>
      <c r="C4741" s="441" t="s">
        <v>5265</v>
      </c>
      <c r="D4741" s="441" t="s">
        <v>6362</v>
      </c>
      <c r="E4741" s="260" t="s">
        <v>6126</v>
      </c>
      <c r="F4741" s="380" t="s">
        <v>6363</v>
      </c>
      <c r="G4741" s="371" t="s">
        <v>1554</v>
      </c>
      <c r="H4741" s="381" t="s">
        <v>5462</v>
      </c>
      <c r="I4741" s="470">
        <v>135</v>
      </c>
      <c r="J4741" s="496">
        <v>3.07</v>
      </c>
      <c r="K4741" s="496">
        <v>0.08</v>
      </c>
      <c r="L4741" s="495">
        <f t="shared" si="52"/>
        <v>2.9899999999999998</v>
      </c>
      <c r="M4741" s="337"/>
    </row>
    <row r="4742" spans="1:13" s="71" customFormat="1" ht="26.4" customHeight="1">
      <c r="A4742" s="282">
        <v>500</v>
      </c>
      <c r="B4742" s="534"/>
      <c r="C4742" s="441" t="s">
        <v>5265</v>
      </c>
      <c r="D4742" s="260" t="s">
        <v>6364</v>
      </c>
      <c r="E4742" s="260" t="s">
        <v>5036</v>
      </c>
      <c r="F4742" s="380" t="s">
        <v>6365</v>
      </c>
      <c r="G4742" s="371" t="s">
        <v>1554</v>
      </c>
      <c r="H4742" s="381" t="s">
        <v>3243</v>
      </c>
      <c r="I4742" s="470" t="s">
        <v>3243</v>
      </c>
      <c r="J4742" s="496">
        <v>4.84</v>
      </c>
      <c r="K4742" s="496">
        <v>1.86</v>
      </c>
      <c r="L4742" s="495">
        <f t="shared" si="52"/>
        <v>2.9799999999999995</v>
      </c>
      <c r="M4742" s="337"/>
    </row>
    <row r="4743" spans="1:13" s="71" customFormat="1" ht="26.4" customHeight="1">
      <c r="A4743" s="282">
        <v>501</v>
      </c>
      <c r="B4743" s="534"/>
      <c r="C4743" s="441" t="s">
        <v>5265</v>
      </c>
      <c r="D4743" s="441" t="s">
        <v>6366</v>
      </c>
      <c r="E4743" s="260" t="s">
        <v>6126</v>
      </c>
      <c r="F4743" s="380" t="s">
        <v>6367</v>
      </c>
      <c r="G4743" s="371" t="s">
        <v>1554</v>
      </c>
      <c r="H4743" s="381" t="s">
        <v>3243</v>
      </c>
      <c r="I4743" s="470" t="s">
        <v>3243</v>
      </c>
      <c r="J4743" s="496">
        <v>3.08</v>
      </c>
      <c r="K4743" s="496">
        <v>0.09</v>
      </c>
      <c r="L4743" s="495">
        <f t="shared" si="52"/>
        <v>2.99</v>
      </c>
      <c r="M4743" s="337"/>
    </row>
    <row r="4744" spans="1:13" s="71" customFormat="1" ht="26.4" customHeight="1">
      <c r="A4744" s="282">
        <v>502</v>
      </c>
      <c r="B4744" s="534"/>
      <c r="C4744" s="441" t="s">
        <v>6368</v>
      </c>
      <c r="D4744" s="441" t="s">
        <v>6369</v>
      </c>
      <c r="E4744" s="260" t="s">
        <v>6126</v>
      </c>
      <c r="F4744" s="380" t="s">
        <v>5974</v>
      </c>
      <c r="G4744" s="371" t="s">
        <v>1554</v>
      </c>
      <c r="H4744" s="381" t="s">
        <v>3243</v>
      </c>
      <c r="I4744" s="470" t="s">
        <v>3243</v>
      </c>
      <c r="J4744" s="496">
        <v>0.11</v>
      </c>
      <c r="K4744" s="496">
        <v>7.0000000000000007E-2</v>
      </c>
      <c r="L4744" s="495">
        <f t="shared" si="52"/>
        <v>3.9999999999999994E-2</v>
      </c>
      <c r="M4744" s="337"/>
    </row>
    <row r="4745" spans="1:13" s="71" customFormat="1" ht="26.4" customHeight="1">
      <c r="A4745" s="282">
        <v>503</v>
      </c>
      <c r="B4745" s="534"/>
      <c r="C4745" s="441" t="s">
        <v>5265</v>
      </c>
      <c r="D4745" s="441" t="s">
        <v>6360</v>
      </c>
      <c r="E4745" s="260" t="s">
        <v>6126</v>
      </c>
      <c r="F4745" s="380" t="s">
        <v>6370</v>
      </c>
      <c r="G4745" s="371" t="s">
        <v>1563</v>
      </c>
      <c r="H4745" s="381" t="s">
        <v>3243</v>
      </c>
      <c r="I4745" s="470" t="s">
        <v>3243</v>
      </c>
      <c r="J4745" s="496">
        <v>34.9</v>
      </c>
      <c r="K4745" s="496">
        <v>15.16</v>
      </c>
      <c r="L4745" s="495">
        <f t="shared" si="52"/>
        <v>19.739999999999998</v>
      </c>
      <c r="M4745" s="337"/>
    </row>
    <row r="4746" spans="1:13" s="71" customFormat="1" ht="26.4" customHeight="1">
      <c r="A4746" s="282">
        <v>504</v>
      </c>
      <c r="B4746" s="534"/>
      <c r="C4746" s="441" t="s">
        <v>5265</v>
      </c>
      <c r="D4746" s="441" t="s">
        <v>6323</v>
      </c>
      <c r="E4746" s="260" t="s">
        <v>6126</v>
      </c>
      <c r="F4746" s="380" t="s">
        <v>6371</v>
      </c>
      <c r="G4746" s="371" t="s">
        <v>1581</v>
      </c>
      <c r="H4746" s="381" t="s">
        <v>5462</v>
      </c>
      <c r="I4746" s="470">
        <v>189</v>
      </c>
      <c r="J4746" s="496">
        <v>3.12</v>
      </c>
      <c r="K4746" s="496">
        <v>0.13</v>
      </c>
      <c r="L4746" s="495">
        <f t="shared" si="52"/>
        <v>2.99</v>
      </c>
      <c r="M4746" s="337"/>
    </row>
    <row r="4747" spans="1:13" s="71" customFormat="1" ht="26.4" customHeight="1">
      <c r="A4747" s="282">
        <v>505</v>
      </c>
      <c r="B4747" s="534"/>
      <c r="C4747" s="441" t="s">
        <v>5265</v>
      </c>
      <c r="D4747" s="441" t="s">
        <v>6372</v>
      </c>
      <c r="E4747" s="260" t="s">
        <v>6373</v>
      </c>
      <c r="F4747" s="380" t="s">
        <v>6374</v>
      </c>
      <c r="G4747" s="371" t="s">
        <v>1555</v>
      </c>
      <c r="H4747" s="381" t="s">
        <v>5462</v>
      </c>
      <c r="I4747" s="470">
        <v>250</v>
      </c>
      <c r="J4747" s="496">
        <v>6.59</v>
      </c>
      <c r="K4747" s="496">
        <v>3.6</v>
      </c>
      <c r="L4747" s="495">
        <f t="shared" si="52"/>
        <v>2.9899999999999998</v>
      </c>
      <c r="M4747" s="337"/>
    </row>
    <row r="4748" spans="1:13" s="71" customFormat="1" ht="26.4" customHeight="1">
      <c r="A4748" s="282">
        <v>506</v>
      </c>
      <c r="B4748" s="534"/>
      <c r="C4748" s="441" t="s">
        <v>5265</v>
      </c>
      <c r="D4748" s="441" t="s">
        <v>6375</v>
      </c>
      <c r="E4748" s="260" t="s">
        <v>6373</v>
      </c>
      <c r="F4748" s="380" t="s">
        <v>6376</v>
      </c>
      <c r="G4748" s="371" t="s">
        <v>1555</v>
      </c>
      <c r="H4748" s="381" t="s">
        <v>5462</v>
      </c>
      <c r="I4748" s="470">
        <v>238</v>
      </c>
      <c r="J4748" s="496">
        <v>7.29</v>
      </c>
      <c r="K4748" s="496">
        <v>4.3</v>
      </c>
      <c r="L4748" s="495">
        <f t="shared" si="52"/>
        <v>2.99</v>
      </c>
      <c r="M4748" s="337"/>
    </row>
    <row r="4749" spans="1:13" s="71" customFormat="1" ht="26.4" customHeight="1">
      <c r="A4749" s="282">
        <v>507</v>
      </c>
      <c r="B4749" s="534"/>
      <c r="C4749" s="441" t="s">
        <v>5265</v>
      </c>
      <c r="D4749" s="441" t="s">
        <v>6377</v>
      </c>
      <c r="E4749" s="260" t="s">
        <v>6373</v>
      </c>
      <c r="F4749" s="380" t="s">
        <v>6378</v>
      </c>
      <c r="G4749" s="371" t="s">
        <v>1555</v>
      </c>
      <c r="H4749" s="381" t="s">
        <v>5462</v>
      </c>
      <c r="I4749" s="470">
        <v>275</v>
      </c>
      <c r="J4749" s="496">
        <v>6.94</v>
      </c>
      <c r="K4749" s="496">
        <v>3.95</v>
      </c>
      <c r="L4749" s="495">
        <f t="shared" si="52"/>
        <v>2.99</v>
      </c>
      <c r="M4749" s="337"/>
    </row>
    <row r="4750" spans="1:13" s="71" customFormat="1" ht="26.4" customHeight="1">
      <c r="A4750" s="282">
        <v>508</v>
      </c>
      <c r="B4750" s="534"/>
      <c r="C4750" s="441" t="s">
        <v>5265</v>
      </c>
      <c r="D4750" s="441" t="s">
        <v>6379</v>
      </c>
      <c r="E4750" s="260" t="s">
        <v>6373</v>
      </c>
      <c r="F4750" s="380" t="s">
        <v>6380</v>
      </c>
      <c r="G4750" s="371" t="s">
        <v>1555</v>
      </c>
      <c r="H4750" s="381" t="s">
        <v>5462</v>
      </c>
      <c r="I4750" s="470">
        <v>271</v>
      </c>
      <c r="J4750" s="496">
        <v>8.69</v>
      </c>
      <c r="K4750" s="496">
        <v>5.7</v>
      </c>
      <c r="L4750" s="495">
        <f t="shared" si="52"/>
        <v>2.9899999999999993</v>
      </c>
      <c r="M4750" s="337"/>
    </row>
    <row r="4751" spans="1:13" s="71" customFormat="1" ht="26.4" customHeight="1">
      <c r="A4751" s="282">
        <v>509</v>
      </c>
      <c r="B4751" s="534"/>
      <c r="C4751" s="441" t="s">
        <v>5265</v>
      </c>
      <c r="D4751" s="441" t="s">
        <v>6381</v>
      </c>
      <c r="E4751" s="260" t="s">
        <v>6373</v>
      </c>
      <c r="F4751" s="380" t="s">
        <v>6382</v>
      </c>
      <c r="G4751" s="371" t="s">
        <v>1555</v>
      </c>
      <c r="H4751" s="381" t="s">
        <v>5462</v>
      </c>
      <c r="I4751" s="470">
        <v>399</v>
      </c>
      <c r="J4751" s="496">
        <v>6.67</v>
      </c>
      <c r="K4751" s="496">
        <v>5.6</v>
      </c>
      <c r="L4751" s="495">
        <f t="shared" si="52"/>
        <v>1.0700000000000003</v>
      </c>
      <c r="M4751" s="337"/>
    </row>
    <row r="4752" spans="1:13" s="71" customFormat="1" ht="26.4" customHeight="1">
      <c r="A4752" s="282">
        <v>510</v>
      </c>
      <c r="B4752" s="534"/>
      <c r="C4752" s="441" t="s">
        <v>5265</v>
      </c>
      <c r="D4752" s="441" t="s">
        <v>6383</v>
      </c>
      <c r="E4752" s="260" t="s">
        <v>6373</v>
      </c>
      <c r="F4752" s="380" t="s">
        <v>6384</v>
      </c>
      <c r="G4752" s="371" t="s">
        <v>1555</v>
      </c>
      <c r="H4752" s="381" t="s">
        <v>5462</v>
      </c>
      <c r="I4752" s="470">
        <v>475</v>
      </c>
      <c r="J4752" s="496">
        <v>7.51</v>
      </c>
      <c r="K4752" s="496">
        <v>6.38</v>
      </c>
      <c r="L4752" s="495">
        <f t="shared" si="52"/>
        <v>1.1299999999999999</v>
      </c>
      <c r="M4752" s="337"/>
    </row>
    <row r="4753" spans="1:13" s="71" customFormat="1" ht="26.4" customHeight="1">
      <c r="A4753" s="282">
        <v>511</v>
      </c>
      <c r="B4753" s="534"/>
      <c r="C4753" s="441" t="s">
        <v>5265</v>
      </c>
      <c r="D4753" s="441" t="s">
        <v>6385</v>
      </c>
      <c r="E4753" s="260" t="s">
        <v>6373</v>
      </c>
      <c r="F4753" s="380" t="s">
        <v>6386</v>
      </c>
      <c r="G4753" s="371" t="s">
        <v>1555</v>
      </c>
      <c r="H4753" s="381" t="s">
        <v>5462</v>
      </c>
      <c r="I4753" s="470">
        <v>483</v>
      </c>
      <c r="J4753" s="496">
        <v>8.65</v>
      </c>
      <c r="K4753" s="496">
        <v>7.21</v>
      </c>
      <c r="L4753" s="495">
        <f t="shared" si="52"/>
        <v>1.4400000000000004</v>
      </c>
      <c r="M4753" s="337"/>
    </row>
    <row r="4754" spans="1:13" s="71" customFormat="1" ht="26.4" customHeight="1">
      <c r="A4754" s="282">
        <v>512</v>
      </c>
      <c r="B4754" s="534"/>
      <c r="C4754" s="441" t="s">
        <v>5265</v>
      </c>
      <c r="D4754" s="441" t="s">
        <v>6387</v>
      </c>
      <c r="E4754" s="260" t="s">
        <v>6373</v>
      </c>
      <c r="F4754" s="380" t="s">
        <v>6388</v>
      </c>
      <c r="G4754" s="371" t="s">
        <v>1555</v>
      </c>
      <c r="H4754" s="381" t="s">
        <v>5462</v>
      </c>
      <c r="I4754" s="470">
        <v>471</v>
      </c>
      <c r="J4754" s="496">
        <v>9.19</v>
      </c>
      <c r="K4754" s="496">
        <v>2.79</v>
      </c>
      <c r="L4754" s="495">
        <f t="shared" si="52"/>
        <v>6.3999999999999995</v>
      </c>
      <c r="M4754" s="337"/>
    </row>
    <row r="4755" spans="1:13" s="71" customFormat="1" ht="26.4" customHeight="1">
      <c r="A4755" s="282">
        <v>513</v>
      </c>
      <c r="B4755" s="534"/>
      <c r="C4755" s="441" t="s">
        <v>5265</v>
      </c>
      <c r="D4755" s="441" t="s">
        <v>6389</v>
      </c>
      <c r="E4755" s="260" t="s">
        <v>6373</v>
      </c>
      <c r="F4755" s="380" t="s">
        <v>6390</v>
      </c>
      <c r="G4755" s="371" t="s">
        <v>1555</v>
      </c>
      <c r="H4755" s="381" t="s">
        <v>5462</v>
      </c>
      <c r="I4755" s="470">
        <v>250</v>
      </c>
      <c r="J4755" s="496">
        <v>12.22</v>
      </c>
      <c r="K4755" s="496">
        <v>4.92</v>
      </c>
      <c r="L4755" s="495">
        <f t="shared" ref="L4755:L4818" si="53">J4755-K4755</f>
        <v>7.3000000000000007</v>
      </c>
      <c r="M4755" s="337"/>
    </row>
    <row r="4756" spans="1:13" s="71" customFormat="1" ht="26.4" customHeight="1">
      <c r="A4756" s="282">
        <v>514</v>
      </c>
      <c r="B4756" s="534"/>
      <c r="C4756" s="441" t="s">
        <v>5265</v>
      </c>
      <c r="D4756" s="260" t="s">
        <v>6391</v>
      </c>
      <c r="E4756" s="260" t="s">
        <v>6373</v>
      </c>
      <c r="F4756" s="380" t="s">
        <v>6392</v>
      </c>
      <c r="G4756" s="371" t="s">
        <v>1555</v>
      </c>
      <c r="H4756" s="381" t="s">
        <v>5462</v>
      </c>
      <c r="I4756" s="470">
        <v>956</v>
      </c>
      <c r="J4756" s="496">
        <v>19.14</v>
      </c>
      <c r="K4756" s="496">
        <v>15.04</v>
      </c>
      <c r="L4756" s="495">
        <f t="shared" si="53"/>
        <v>4.1000000000000014</v>
      </c>
      <c r="M4756" s="337"/>
    </row>
    <row r="4757" spans="1:13" s="71" customFormat="1" ht="26.4" customHeight="1">
      <c r="A4757" s="282">
        <v>515</v>
      </c>
      <c r="B4757" s="534"/>
      <c r="C4757" s="441" t="s">
        <v>5265</v>
      </c>
      <c r="D4757" s="441" t="s">
        <v>6393</v>
      </c>
      <c r="E4757" s="260" t="s">
        <v>6373</v>
      </c>
      <c r="F4757" s="380" t="s">
        <v>6394</v>
      </c>
      <c r="G4757" s="371" t="s">
        <v>1555</v>
      </c>
      <c r="H4757" s="381" t="s">
        <v>5462</v>
      </c>
      <c r="I4757" s="470">
        <v>350</v>
      </c>
      <c r="J4757" s="496">
        <v>9.64</v>
      </c>
      <c r="K4757" s="496">
        <v>7.06</v>
      </c>
      <c r="L4757" s="495">
        <f t="shared" si="53"/>
        <v>2.580000000000001</v>
      </c>
      <c r="M4757" s="337"/>
    </row>
    <row r="4758" spans="1:13" s="71" customFormat="1" ht="26.4" customHeight="1">
      <c r="A4758" s="282">
        <v>516</v>
      </c>
      <c r="B4758" s="534"/>
      <c r="C4758" s="441" t="s">
        <v>5265</v>
      </c>
      <c r="D4758" s="441" t="s">
        <v>6395</v>
      </c>
      <c r="E4758" s="260" t="s">
        <v>3011</v>
      </c>
      <c r="F4758" s="380" t="s">
        <v>6396</v>
      </c>
      <c r="G4758" s="371" t="s">
        <v>1555</v>
      </c>
      <c r="H4758" s="381" t="s">
        <v>5462</v>
      </c>
      <c r="I4758" s="470">
        <v>2556</v>
      </c>
      <c r="J4758" s="496">
        <v>9.66</v>
      </c>
      <c r="K4758" s="496">
        <v>8.4499999999999993</v>
      </c>
      <c r="L4758" s="495">
        <f t="shared" si="53"/>
        <v>1.2100000000000009</v>
      </c>
      <c r="M4758" s="337"/>
    </row>
    <row r="4759" spans="1:13" s="71" customFormat="1" ht="26.4" customHeight="1">
      <c r="A4759" s="282">
        <v>517</v>
      </c>
      <c r="B4759" s="534"/>
      <c r="C4759" s="441" t="s">
        <v>5265</v>
      </c>
      <c r="D4759" s="441" t="s">
        <v>6397</v>
      </c>
      <c r="E4759" s="260" t="s">
        <v>6373</v>
      </c>
      <c r="F4759" s="380" t="s">
        <v>6398</v>
      </c>
      <c r="G4759" s="371" t="s">
        <v>1555</v>
      </c>
      <c r="H4759" s="381" t="s">
        <v>5462</v>
      </c>
      <c r="I4759" s="470">
        <v>1439</v>
      </c>
      <c r="J4759" s="496">
        <v>35.200000000000003</v>
      </c>
      <c r="K4759" s="496">
        <v>15.4</v>
      </c>
      <c r="L4759" s="495">
        <f t="shared" si="53"/>
        <v>19.800000000000004</v>
      </c>
      <c r="M4759" s="337"/>
    </row>
    <row r="4760" spans="1:13" s="71" customFormat="1" ht="26.4" customHeight="1">
      <c r="A4760" s="282">
        <v>518</v>
      </c>
      <c r="B4760" s="534"/>
      <c r="C4760" s="441" t="s">
        <v>5265</v>
      </c>
      <c r="D4760" s="441" t="s">
        <v>6399</v>
      </c>
      <c r="E4760" s="260" t="s">
        <v>6137</v>
      </c>
      <c r="F4760" s="380" t="s">
        <v>6400</v>
      </c>
      <c r="G4760" s="371" t="s">
        <v>1555</v>
      </c>
      <c r="H4760" s="381" t="s">
        <v>5462</v>
      </c>
      <c r="I4760" s="470">
        <v>1100</v>
      </c>
      <c r="J4760" s="496">
        <v>21.25</v>
      </c>
      <c r="K4760" s="496">
        <v>18.59</v>
      </c>
      <c r="L4760" s="495">
        <f t="shared" si="53"/>
        <v>2.66</v>
      </c>
      <c r="M4760" s="337"/>
    </row>
    <row r="4761" spans="1:13" s="71" customFormat="1" ht="26.4" customHeight="1">
      <c r="A4761" s="282">
        <v>519</v>
      </c>
      <c r="B4761" s="534"/>
      <c r="C4761" s="441" t="s">
        <v>5265</v>
      </c>
      <c r="D4761" s="441" t="s">
        <v>6401</v>
      </c>
      <c r="E4761" s="260" t="s">
        <v>6373</v>
      </c>
      <c r="F4761" s="380" t="s">
        <v>6402</v>
      </c>
      <c r="G4761" s="371" t="s">
        <v>1555</v>
      </c>
      <c r="H4761" s="381" t="s">
        <v>5462</v>
      </c>
      <c r="I4761" s="470">
        <v>580</v>
      </c>
      <c r="J4761" s="496">
        <v>10.62</v>
      </c>
      <c r="K4761" s="496">
        <v>7.62</v>
      </c>
      <c r="L4761" s="495">
        <f t="shared" si="53"/>
        <v>2.9999999999999991</v>
      </c>
      <c r="M4761" s="337"/>
    </row>
    <row r="4762" spans="1:13" s="71" customFormat="1" ht="26.4" customHeight="1">
      <c r="A4762" s="282">
        <v>520</v>
      </c>
      <c r="B4762" s="534"/>
      <c r="C4762" s="441" t="s">
        <v>5265</v>
      </c>
      <c r="D4762" s="441" t="s">
        <v>6403</v>
      </c>
      <c r="E4762" s="260" t="s">
        <v>6373</v>
      </c>
      <c r="F4762" s="380" t="s">
        <v>6404</v>
      </c>
      <c r="G4762" s="371" t="s">
        <v>1555</v>
      </c>
      <c r="H4762" s="381" t="s">
        <v>5462</v>
      </c>
      <c r="I4762" s="470">
        <v>250</v>
      </c>
      <c r="J4762" s="496">
        <v>11.59</v>
      </c>
      <c r="K4762" s="496">
        <v>8.57</v>
      </c>
      <c r="L4762" s="495">
        <f t="shared" si="53"/>
        <v>3.0199999999999996</v>
      </c>
      <c r="M4762" s="337"/>
    </row>
    <row r="4763" spans="1:13" s="71" customFormat="1" ht="26.4" customHeight="1">
      <c r="A4763" s="282">
        <v>521</v>
      </c>
      <c r="B4763" s="534"/>
      <c r="C4763" s="441" t="s">
        <v>5265</v>
      </c>
      <c r="D4763" s="441" t="s">
        <v>6405</v>
      </c>
      <c r="E4763" s="260" t="s">
        <v>6373</v>
      </c>
      <c r="F4763" s="380" t="s">
        <v>6406</v>
      </c>
      <c r="G4763" s="371" t="s">
        <v>1555</v>
      </c>
      <c r="H4763" s="381" t="s">
        <v>5462</v>
      </c>
      <c r="I4763" s="470">
        <v>619</v>
      </c>
      <c r="J4763" s="496">
        <v>14.39</v>
      </c>
      <c r="K4763" s="496">
        <v>11.4</v>
      </c>
      <c r="L4763" s="495">
        <f t="shared" si="53"/>
        <v>2.99</v>
      </c>
      <c r="M4763" s="337"/>
    </row>
    <row r="4764" spans="1:13" s="71" customFormat="1" ht="26.4" customHeight="1">
      <c r="A4764" s="282">
        <v>522</v>
      </c>
      <c r="B4764" s="534"/>
      <c r="C4764" s="441" t="s">
        <v>5265</v>
      </c>
      <c r="D4764" s="441" t="s">
        <v>6407</v>
      </c>
      <c r="E4764" s="260" t="s">
        <v>6373</v>
      </c>
      <c r="F4764" s="380" t="s">
        <v>6408</v>
      </c>
      <c r="G4764" s="371" t="s">
        <v>1555</v>
      </c>
      <c r="H4764" s="381" t="s">
        <v>5462</v>
      </c>
      <c r="I4764" s="470">
        <v>400</v>
      </c>
      <c r="J4764" s="496">
        <v>5.63</v>
      </c>
      <c r="K4764" s="496">
        <v>5.54</v>
      </c>
      <c r="L4764" s="495">
        <f t="shared" si="53"/>
        <v>8.9999999999999858E-2</v>
      </c>
      <c r="M4764" s="337"/>
    </row>
    <row r="4765" spans="1:13" s="71" customFormat="1" ht="26.4" customHeight="1">
      <c r="A4765" s="282">
        <v>523</v>
      </c>
      <c r="B4765" s="534"/>
      <c r="C4765" s="441" t="s">
        <v>5265</v>
      </c>
      <c r="D4765" s="260" t="s">
        <v>6409</v>
      </c>
      <c r="E4765" s="260" t="s">
        <v>6373</v>
      </c>
      <c r="F4765" s="380" t="s">
        <v>6410</v>
      </c>
      <c r="G4765" s="371" t="s">
        <v>1555</v>
      </c>
      <c r="H4765" s="381" t="s">
        <v>5462</v>
      </c>
      <c r="I4765" s="470">
        <v>379</v>
      </c>
      <c r="J4765" s="496">
        <v>296.73</v>
      </c>
      <c r="K4765" s="496">
        <v>296.58</v>
      </c>
      <c r="L4765" s="495">
        <f t="shared" si="53"/>
        <v>0.15000000000003411</v>
      </c>
      <c r="M4765" s="337"/>
    </row>
    <row r="4766" spans="1:13" s="71" customFormat="1" ht="26.4" customHeight="1">
      <c r="A4766" s="282">
        <v>524</v>
      </c>
      <c r="B4766" s="534"/>
      <c r="C4766" s="441" t="s">
        <v>5265</v>
      </c>
      <c r="D4766" s="441" t="s">
        <v>6411</v>
      </c>
      <c r="E4766" s="260" t="s">
        <v>6373</v>
      </c>
      <c r="F4766" s="380" t="s">
        <v>6412</v>
      </c>
      <c r="G4766" s="371" t="s">
        <v>1530</v>
      </c>
      <c r="H4766" s="381" t="s">
        <v>3243</v>
      </c>
      <c r="I4766" s="470" t="s">
        <v>3243</v>
      </c>
      <c r="J4766" s="496">
        <v>48.03</v>
      </c>
      <c r="K4766" s="496">
        <v>32.81</v>
      </c>
      <c r="L4766" s="495">
        <f t="shared" si="53"/>
        <v>15.219999999999999</v>
      </c>
      <c r="M4766" s="337"/>
    </row>
    <row r="4767" spans="1:13" s="71" customFormat="1" ht="26.4" customHeight="1">
      <c r="A4767" s="282">
        <v>525</v>
      </c>
      <c r="B4767" s="534"/>
      <c r="C4767" s="441" t="s">
        <v>5265</v>
      </c>
      <c r="D4767" s="441" t="s">
        <v>6413</v>
      </c>
      <c r="E4767" s="260" t="s">
        <v>6373</v>
      </c>
      <c r="F4767" s="380" t="s">
        <v>6414</v>
      </c>
      <c r="G4767" s="371" t="s">
        <v>1554</v>
      </c>
      <c r="H4767" s="381" t="s">
        <v>5462</v>
      </c>
      <c r="I4767" s="470">
        <v>393</v>
      </c>
      <c r="J4767" s="496">
        <v>3.33</v>
      </c>
      <c r="K4767" s="496">
        <v>0.33</v>
      </c>
      <c r="L4767" s="495">
        <f t="shared" si="53"/>
        <v>3</v>
      </c>
      <c r="M4767" s="337"/>
    </row>
    <row r="4768" spans="1:13" s="71" customFormat="1" ht="26.4" customHeight="1">
      <c r="A4768" s="282">
        <v>526</v>
      </c>
      <c r="B4768" s="534"/>
      <c r="C4768" s="441" t="s">
        <v>5265</v>
      </c>
      <c r="D4768" s="441" t="s">
        <v>6415</v>
      </c>
      <c r="E4768" s="260" t="s">
        <v>6373</v>
      </c>
      <c r="F4768" s="380" t="s">
        <v>6416</v>
      </c>
      <c r="G4768" s="371" t="s">
        <v>1553</v>
      </c>
      <c r="H4768" s="381" t="s">
        <v>5462</v>
      </c>
      <c r="I4768" s="470">
        <v>864</v>
      </c>
      <c r="J4768" s="496">
        <v>63</v>
      </c>
      <c r="K4768" s="496">
        <v>31.48</v>
      </c>
      <c r="L4768" s="495">
        <f t="shared" si="53"/>
        <v>31.52</v>
      </c>
      <c r="M4768" s="337"/>
    </row>
    <row r="4769" spans="1:13" s="71" customFormat="1" ht="26.4" customHeight="1">
      <c r="A4769" s="282">
        <v>527</v>
      </c>
      <c r="B4769" s="534"/>
      <c r="C4769" s="441" t="s">
        <v>5265</v>
      </c>
      <c r="D4769" s="441" t="s">
        <v>6417</v>
      </c>
      <c r="E4769" s="260" t="s">
        <v>6137</v>
      </c>
      <c r="F4769" s="387" t="s">
        <v>6418</v>
      </c>
      <c r="G4769" s="371" t="s">
        <v>1552</v>
      </c>
      <c r="H4769" s="381" t="s">
        <v>5462</v>
      </c>
      <c r="I4769" s="470">
        <v>2640</v>
      </c>
      <c r="J4769" s="496">
        <v>16.239999999999998</v>
      </c>
      <c r="K4769" s="496">
        <v>13.24</v>
      </c>
      <c r="L4769" s="495">
        <f t="shared" si="53"/>
        <v>2.9999999999999982</v>
      </c>
      <c r="M4769" s="337"/>
    </row>
    <row r="4770" spans="1:13" s="71" customFormat="1" ht="26.4" customHeight="1">
      <c r="A4770" s="282">
        <v>528</v>
      </c>
      <c r="B4770" s="534"/>
      <c r="C4770" s="441" t="s">
        <v>5265</v>
      </c>
      <c r="D4770" s="441" t="s">
        <v>6419</v>
      </c>
      <c r="E4770" s="260" t="s">
        <v>6137</v>
      </c>
      <c r="F4770" s="380" t="s">
        <v>6420</v>
      </c>
      <c r="G4770" s="371" t="s">
        <v>1567</v>
      </c>
      <c r="H4770" s="381" t="s">
        <v>5462</v>
      </c>
      <c r="I4770" s="470">
        <v>4240</v>
      </c>
      <c r="J4770" s="496">
        <v>301.06</v>
      </c>
      <c r="K4770" s="496">
        <v>67.67</v>
      </c>
      <c r="L4770" s="495">
        <f t="shared" si="53"/>
        <v>233.39</v>
      </c>
      <c r="M4770" s="337"/>
    </row>
    <row r="4771" spans="1:13" s="71" customFormat="1" ht="26.4" customHeight="1">
      <c r="A4771" s="282">
        <v>529</v>
      </c>
      <c r="B4771" s="534"/>
      <c r="C4771" s="441" t="s">
        <v>5265</v>
      </c>
      <c r="D4771" s="441" t="s">
        <v>6421</v>
      </c>
      <c r="E4771" s="260" t="s">
        <v>6137</v>
      </c>
      <c r="F4771" s="380" t="s">
        <v>6422</v>
      </c>
      <c r="G4771" s="371" t="s">
        <v>1567</v>
      </c>
      <c r="H4771" s="381" t="s">
        <v>5462</v>
      </c>
      <c r="I4771" s="470">
        <v>1255</v>
      </c>
      <c r="J4771" s="496">
        <v>38.97</v>
      </c>
      <c r="K4771" s="496">
        <v>8.51</v>
      </c>
      <c r="L4771" s="495">
        <f t="shared" si="53"/>
        <v>30.46</v>
      </c>
      <c r="M4771" s="337"/>
    </row>
    <row r="4772" spans="1:13" s="71" customFormat="1" ht="26.4" customHeight="1">
      <c r="A4772" s="282">
        <v>530</v>
      </c>
      <c r="B4772" s="534"/>
      <c r="C4772" s="260" t="s">
        <v>3</v>
      </c>
      <c r="D4772" s="260" t="s">
        <v>5808</v>
      </c>
      <c r="E4772" s="260" t="s">
        <v>6423</v>
      </c>
      <c r="F4772" s="380" t="s">
        <v>6424</v>
      </c>
      <c r="G4772" s="371" t="s">
        <v>5281</v>
      </c>
      <c r="H4772" s="381" t="s">
        <v>3243</v>
      </c>
      <c r="I4772" s="470" t="s">
        <v>3243</v>
      </c>
      <c r="J4772" s="496">
        <v>19.5</v>
      </c>
      <c r="K4772" s="496">
        <v>18.8</v>
      </c>
      <c r="L4772" s="495">
        <f t="shared" si="53"/>
        <v>0.69999999999999929</v>
      </c>
      <c r="M4772" s="337"/>
    </row>
    <row r="4773" spans="1:13" s="71" customFormat="1" ht="26.4" customHeight="1">
      <c r="A4773" s="282">
        <v>531</v>
      </c>
      <c r="B4773" s="534"/>
      <c r="C4773" s="441" t="s">
        <v>5315</v>
      </c>
      <c r="D4773" s="441" t="s">
        <v>6425</v>
      </c>
      <c r="E4773" s="260" t="s">
        <v>6126</v>
      </c>
      <c r="F4773" s="380" t="s">
        <v>6426</v>
      </c>
      <c r="G4773" s="371" t="s">
        <v>5299</v>
      </c>
      <c r="H4773" s="381" t="s">
        <v>5462</v>
      </c>
      <c r="I4773" s="470">
        <v>1809</v>
      </c>
      <c r="J4773" s="496">
        <v>243.9</v>
      </c>
      <c r="K4773" s="496">
        <v>173</v>
      </c>
      <c r="L4773" s="495">
        <f t="shared" si="53"/>
        <v>70.900000000000006</v>
      </c>
      <c r="M4773" s="337"/>
    </row>
    <row r="4774" spans="1:13" s="71" customFormat="1" ht="26.4" customHeight="1">
      <c r="A4774" s="282">
        <v>532</v>
      </c>
      <c r="B4774" s="534"/>
      <c r="C4774" s="441" t="s">
        <v>5315</v>
      </c>
      <c r="D4774" s="260" t="s">
        <v>6427</v>
      </c>
      <c r="E4774" s="260" t="s">
        <v>6126</v>
      </c>
      <c r="F4774" s="380" t="s">
        <v>6428</v>
      </c>
      <c r="G4774" s="371" t="s">
        <v>5299</v>
      </c>
      <c r="H4774" s="381" t="s">
        <v>5462</v>
      </c>
      <c r="I4774" s="470">
        <v>994</v>
      </c>
      <c r="J4774" s="496">
        <v>17.68</v>
      </c>
      <c r="K4774" s="496">
        <v>2.14</v>
      </c>
      <c r="L4774" s="495">
        <f t="shared" si="53"/>
        <v>15.54</v>
      </c>
      <c r="M4774" s="337"/>
    </row>
    <row r="4775" spans="1:13" s="71" customFormat="1" ht="26.4" customHeight="1">
      <c r="A4775" s="282">
        <v>533</v>
      </c>
      <c r="B4775" s="534"/>
      <c r="C4775" s="441" t="s">
        <v>5367</v>
      </c>
      <c r="D4775" s="441" t="s">
        <v>6429</v>
      </c>
      <c r="E4775" s="260" t="s">
        <v>6126</v>
      </c>
      <c r="F4775" s="380" t="s">
        <v>6430</v>
      </c>
      <c r="G4775" s="371" t="s">
        <v>5299</v>
      </c>
      <c r="H4775" s="381" t="s">
        <v>5462</v>
      </c>
      <c r="I4775" s="470">
        <v>998</v>
      </c>
      <c r="J4775" s="496">
        <v>16.170000000000002</v>
      </c>
      <c r="K4775" s="496">
        <v>0.82</v>
      </c>
      <c r="L4775" s="495">
        <f t="shared" si="53"/>
        <v>15.350000000000001</v>
      </c>
      <c r="M4775" s="337"/>
    </row>
    <row r="4776" spans="1:13" s="71" customFormat="1" ht="26.4" customHeight="1">
      <c r="A4776" s="282">
        <v>534</v>
      </c>
      <c r="B4776" s="534"/>
      <c r="C4776" s="441" t="s">
        <v>5367</v>
      </c>
      <c r="D4776" s="441" t="s">
        <v>5848</v>
      </c>
      <c r="E4776" s="260" t="s">
        <v>6373</v>
      </c>
      <c r="F4776" s="380" t="s">
        <v>6431</v>
      </c>
      <c r="G4776" s="371" t="s">
        <v>1555</v>
      </c>
      <c r="H4776" s="381" t="s">
        <v>5462</v>
      </c>
      <c r="I4776" s="470">
        <v>900</v>
      </c>
      <c r="J4776" s="496">
        <v>17.829999999999998</v>
      </c>
      <c r="K4776" s="496">
        <v>0.7</v>
      </c>
      <c r="L4776" s="495">
        <f t="shared" si="53"/>
        <v>17.13</v>
      </c>
      <c r="M4776" s="337"/>
    </row>
    <row r="4777" spans="1:13" s="71" customFormat="1" ht="26.4" customHeight="1">
      <c r="A4777" s="282">
        <v>535</v>
      </c>
      <c r="B4777" s="534"/>
      <c r="C4777" s="441" t="s">
        <v>5367</v>
      </c>
      <c r="D4777" s="441" t="s">
        <v>5823</v>
      </c>
      <c r="E4777" s="260" t="s">
        <v>6126</v>
      </c>
      <c r="F4777" s="380" t="s">
        <v>6432</v>
      </c>
      <c r="G4777" s="371" t="s">
        <v>5299</v>
      </c>
      <c r="H4777" s="381" t="s">
        <v>5462</v>
      </c>
      <c r="I4777" s="470">
        <v>700</v>
      </c>
      <c r="J4777" s="496">
        <v>17.829999999999998</v>
      </c>
      <c r="K4777" s="496">
        <v>13.22</v>
      </c>
      <c r="L4777" s="495">
        <f t="shared" si="53"/>
        <v>4.6099999999999977</v>
      </c>
      <c r="M4777" s="337"/>
    </row>
    <row r="4778" spans="1:13" s="71" customFormat="1" ht="26.4" customHeight="1">
      <c r="A4778" s="282">
        <v>536</v>
      </c>
      <c r="B4778" s="534"/>
      <c r="C4778" s="441" t="s">
        <v>5367</v>
      </c>
      <c r="D4778" s="441" t="s">
        <v>6433</v>
      </c>
      <c r="E4778" s="260" t="s">
        <v>6126</v>
      </c>
      <c r="F4778" s="380" t="s">
        <v>6434</v>
      </c>
      <c r="G4778" s="371" t="s">
        <v>5299</v>
      </c>
      <c r="H4778" s="381" t="s">
        <v>5462</v>
      </c>
      <c r="I4778" s="470">
        <v>1132</v>
      </c>
      <c r="J4778" s="496">
        <v>37.28</v>
      </c>
      <c r="K4778" s="496">
        <v>35.19</v>
      </c>
      <c r="L4778" s="495">
        <f t="shared" si="53"/>
        <v>2.0900000000000034</v>
      </c>
      <c r="M4778" s="337"/>
    </row>
    <row r="4779" spans="1:13" s="71" customFormat="1" ht="26.4" customHeight="1">
      <c r="A4779" s="282">
        <v>537</v>
      </c>
      <c r="B4779" s="534"/>
      <c r="C4779" s="441" t="s">
        <v>5367</v>
      </c>
      <c r="D4779" s="441" t="s">
        <v>6435</v>
      </c>
      <c r="E4779" s="260" t="s">
        <v>6126</v>
      </c>
      <c r="F4779" s="380" t="s">
        <v>6436</v>
      </c>
      <c r="G4779" s="371" t="s">
        <v>5299</v>
      </c>
      <c r="H4779" s="381" t="s">
        <v>5462</v>
      </c>
      <c r="I4779" s="470">
        <v>1630</v>
      </c>
      <c r="J4779" s="496">
        <v>71.930000000000007</v>
      </c>
      <c r="K4779" s="496">
        <v>65.540000000000006</v>
      </c>
      <c r="L4779" s="495">
        <f t="shared" si="53"/>
        <v>6.3900000000000006</v>
      </c>
      <c r="M4779" s="337"/>
    </row>
    <row r="4780" spans="1:13" s="71" customFormat="1" ht="26.4" customHeight="1">
      <c r="A4780" s="282">
        <v>538</v>
      </c>
      <c r="B4780" s="534"/>
      <c r="C4780" s="441" t="s">
        <v>5367</v>
      </c>
      <c r="D4780" s="441" t="s">
        <v>5832</v>
      </c>
      <c r="E4780" s="260" t="s">
        <v>6126</v>
      </c>
      <c r="F4780" s="380" t="s">
        <v>6437</v>
      </c>
      <c r="G4780" s="371" t="s">
        <v>5299</v>
      </c>
      <c r="H4780" s="381" t="s">
        <v>5462</v>
      </c>
      <c r="I4780" s="470">
        <v>1232</v>
      </c>
      <c r="J4780" s="496">
        <v>67.84</v>
      </c>
      <c r="K4780" s="496">
        <v>65.3</v>
      </c>
      <c r="L4780" s="495">
        <f t="shared" si="53"/>
        <v>2.5400000000000063</v>
      </c>
      <c r="M4780" s="337"/>
    </row>
    <row r="4781" spans="1:13" s="71" customFormat="1" ht="26.4" customHeight="1">
      <c r="A4781" s="282">
        <v>539</v>
      </c>
      <c r="B4781" s="534"/>
      <c r="C4781" s="441" t="s">
        <v>5367</v>
      </c>
      <c r="D4781" s="441" t="s">
        <v>6438</v>
      </c>
      <c r="E4781" s="260" t="s">
        <v>6126</v>
      </c>
      <c r="F4781" s="380" t="s">
        <v>6439</v>
      </c>
      <c r="G4781" s="371" t="s">
        <v>5299</v>
      </c>
      <c r="H4781" s="381" t="s">
        <v>5462</v>
      </c>
      <c r="I4781" s="470">
        <v>702</v>
      </c>
      <c r="J4781" s="496">
        <v>30.19</v>
      </c>
      <c r="K4781" s="496">
        <v>28.65</v>
      </c>
      <c r="L4781" s="495">
        <f t="shared" si="53"/>
        <v>1.5400000000000027</v>
      </c>
      <c r="M4781" s="337"/>
    </row>
    <row r="4782" spans="1:13" s="71" customFormat="1" ht="26.4" customHeight="1">
      <c r="A4782" s="282">
        <v>540</v>
      </c>
      <c r="B4782" s="534"/>
      <c r="C4782" s="441" t="s">
        <v>5367</v>
      </c>
      <c r="D4782" s="441" t="s">
        <v>6440</v>
      </c>
      <c r="E4782" s="260" t="s">
        <v>6126</v>
      </c>
      <c r="F4782" s="380" t="s">
        <v>6441</v>
      </c>
      <c r="G4782" s="371" t="s">
        <v>5299</v>
      </c>
      <c r="H4782" s="381" t="s">
        <v>5462</v>
      </c>
      <c r="I4782" s="470">
        <v>150</v>
      </c>
      <c r="J4782" s="496">
        <v>29.57</v>
      </c>
      <c r="K4782" s="496">
        <v>16.23</v>
      </c>
      <c r="L4782" s="495">
        <f t="shared" si="53"/>
        <v>13.34</v>
      </c>
      <c r="M4782" s="337"/>
    </row>
    <row r="4783" spans="1:13" s="71" customFormat="1" ht="26.4" customHeight="1">
      <c r="A4783" s="282">
        <v>541</v>
      </c>
      <c r="B4783" s="534"/>
      <c r="C4783" s="441" t="s">
        <v>5367</v>
      </c>
      <c r="D4783" s="441" t="s">
        <v>6442</v>
      </c>
      <c r="E4783" s="260" t="s">
        <v>6126</v>
      </c>
      <c r="F4783" s="380" t="s">
        <v>6443</v>
      </c>
      <c r="G4783" s="371" t="s">
        <v>5299</v>
      </c>
      <c r="H4783" s="381" t="s">
        <v>5462</v>
      </c>
      <c r="I4783" s="470">
        <v>494</v>
      </c>
      <c r="J4783" s="496">
        <v>4.6500000000000004</v>
      </c>
      <c r="K4783" s="496">
        <v>3.96</v>
      </c>
      <c r="L4783" s="495">
        <f t="shared" si="53"/>
        <v>0.69000000000000039</v>
      </c>
      <c r="M4783" s="337"/>
    </row>
    <row r="4784" spans="1:13" s="71" customFormat="1" ht="26.4" customHeight="1">
      <c r="A4784" s="282">
        <v>542</v>
      </c>
      <c r="B4784" s="534"/>
      <c r="C4784" s="441" t="s">
        <v>5367</v>
      </c>
      <c r="D4784" s="441" t="s">
        <v>6444</v>
      </c>
      <c r="E4784" s="260" t="s">
        <v>6126</v>
      </c>
      <c r="F4784" s="380" t="s">
        <v>6445</v>
      </c>
      <c r="G4784" s="371" t="s">
        <v>5299</v>
      </c>
      <c r="H4784" s="381" t="s">
        <v>5462</v>
      </c>
      <c r="I4784" s="470">
        <v>650</v>
      </c>
      <c r="J4784" s="496">
        <v>5.87</v>
      </c>
      <c r="K4784" s="496">
        <v>5.17</v>
      </c>
      <c r="L4784" s="495">
        <f t="shared" si="53"/>
        <v>0.70000000000000018</v>
      </c>
      <c r="M4784" s="337"/>
    </row>
    <row r="4785" spans="1:13" s="71" customFormat="1" ht="26.4" customHeight="1">
      <c r="A4785" s="282">
        <v>543</v>
      </c>
      <c r="B4785" s="534"/>
      <c r="C4785" s="441" t="s">
        <v>5367</v>
      </c>
      <c r="D4785" s="441" t="s">
        <v>6446</v>
      </c>
      <c r="E4785" s="260" t="s">
        <v>6126</v>
      </c>
      <c r="F4785" s="380" t="s">
        <v>6447</v>
      </c>
      <c r="G4785" s="371" t="s">
        <v>5299</v>
      </c>
      <c r="H4785" s="381" t="s">
        <v>5462</v>
      </c>
      <c r="I4785" s="470">
        <v>307</v>
      </c>
      <c r="J4785" s="496">
        <v>4.6500000000000004</v>
      </c>
      <c r="K4785" s="496">
        <v>3.96</v>
      </c>
      <c r="L4785" s="495">
        <f t="shared" si="53"/>
        <v>0.69000000000000039</v>
      </c>
      <c r="M4785" s="337"/>
    </row>
    <row r="4786" spans="1:13" s="71" customFormat="1" ht="26.4" customHeight="1">
      <c r="A4786" s="282">
        <v>544</v>
      </c>
      <c r="B4786" s="534"/>
      <c r="C4786" s="441" t="s">
        <v>5367</v>
      </c>
      <c r="D4786" s="441" t="s">
        <v>5820</v>
      </c>
      <c r="E4786" s="260" t="s">
        <v>6126</v>
      </c>
      <c r="F4786" s="380" t="s">
        <v>6448</v>
      </c>
      <c r="G4786" s="371" t="s">
        <v>5299</v>
      </c>
      <c r="H4786" s="381" t="s">
        <v>5462</v>
      </c>
      <c r="I4786" s="470">
        <v>986</v>
      </c>
      <c r="J4786" s="496">
        <v>4.6500000000000004</v>
      </c>
      <c r="K4786" s="496">
        <v>3.96</v>
      </c>
      <c r="L4786" s="495">
        <f t="shared" si="53"/>
        <v>0.69000000000000039</v>
      </c>
      <c r="M4786" s="337"/>
    </row>
    <row r="4787" spans="1:13" s="71" customFormat="1" ht="26.4" customHeight="1">
      <c r="A4787" s="282">
        <v>545</v>
      </c>
      <c r="B4787" s="534"/>
      <c r="C4787" s="441" t="s">
        <v>5367</v>
      </c>
      <c r="D4787" s="441" t="s">
        <v>6449</v>
      </c>
      <c r="E4787" s="260" t="s">
        <v>6126</v>
      </c>
      <c r="F4787" s="380" t="s">
        <v>6450</v>
      </c>
      <c r="G4787" s="371" t="s">
        <v>5299</v>
      </c>
      <c r="H4787" s="381" t="s">
        <v>5462</v>
      </c>
      <c r="I4787" s="470">
        <v>623</v>
      </c>
      <c r="J4787" s="496">
        <v>10.92</v>
      </c>
      <c r="K4787" s="496">
        <v>10.220000000000001</v>
      </c>
      <c r="L4787" s="495">
        <f t="shared" si="53"/>
        <v>0.69999999999999929</v>
      </c>
      <c r="M4787" s="337"/>
    </row>
    <row r="4788" spans="1:13" s="71" customFormat="1" ht="26.4" customHeight="1">
      <c r="A4788" s="282">
        <v>546</v>
      </c>
      <c r="B4788" s="534"/>
      <c r="C4788" s="441" t="s">
        <v>5367</v>
      </c>
      <c r="D4788" s="441" t="s">
        <v>5851</v>
      </c>
      <c r="E4788" s="260" t="s">
        <v>6126</v>
      </c>
      <c r="F4788" s="380" t="s">
        <v>6451</v>
      </c>
      <c r="G4788" s="371" t="s">
        <v>5299</v>
      </c>
      <c r="H4788" s="381" t="s">
        <v>5462</v>
      </c>
      <c r="I4788" s="470">
        <v>412</v>
      </c>
      <c r="J4788" s="496">
        <v>8.5399999999999991</v>
      </c>
      <c r="K4788" s="496">
        <v>7.82</v>
      </c>
      <c r="L4788" s="495">
        <f t="shared" si="53"/>
        <v>0.71999999999999886</v>
      </c>
      <c r="M4788" s="337"/>
    </row>
    <row r="4789" spans="1:13" s="71" customFormat="1" ht="26.4" customHeight="1">
      <c r="A4789" s="282">
        <v>547</v>
      </c>
      <c r="B4789" s="534"/>
      <c r="C4789" s="441" t="s">
        <v>5367</v>
      </c>
      <c r="D4789" s="441" t="s">
        <v>6452</v>
      </c>
      <c r="E4789" s="260" t="s">
        <v>6453</v>
      </c>
      <c r="F4789" s="380" t="s">
        <v>6454</v>
      </c>
      <c r="G4789" s="371" t="s">
        <v>5299</v>
      </c>
      <c r="H4789" s="381" t="s">
        <v>5462</v>
      </c>
      <c r="I4789" s="470">
        <v>613</v>
      </c>
      <c r="J4789" s="496">
        <v>38.19</v>
      </c>
      <c r="K4789" s="496">
        <v>37.49</v>
      </c>
      <c r="L4789" s="495">
        <f t="shared" si="53"/>
        <v>0.69999999999999574</v>
      </c>
      <c r="M4789" s="337"/>
    </row>
    <row r="4790" spans="1:13" s="71" customFormat="1" ht="26.4" customHeight="1">
      <c r="A4790" s="282">
        <v>548</v>
      </c>
      <c r="B4790" s="534"/>
      <c r="C4790" s="441" t="s">
        <v>5367</v>
      </c>
      <c r="D4790" s="441" t="s">
        <v>6455</v>
      </c>
      <c r="E4790" s="260" t="s">
        <v>6126</v>
      </c>
      <c r="F4790" s="380" t="s">
        <v>6456</v>
      </c>
      <c r="G4790" s="371" t="s">
        <v>5299</v>
      </c>
      <c r="H4790" s="381" t="s">
        <v>5462</v>
      </c>
      <c r="I4790" s="470">
        <v>613</v>
      </c>
      <c r="J4790" s="496">
        <v>5.7</v>
      </c>
      <c r="K4790" s="496">
        <v>3.77</v>
      </c>
      <c r="L4790" s="495">
        <f t="shared" si="53"/>
        <v>1.9300000000000002</v>
      </c>
      <c r="M4790" s="337"/>
    </row>
    <row r="4791" spans="1:13" s="71" customFormat="1" ht="26.4" customHeight="1">
      <c r="A4791" s="282">
        <v>549</v>
      </c>
      <c r="B4791" s="534"/>
      <c r="C4791" s="441" t="s">
        <v>5367</v>
      </c>
      <c r="D4791" s="260" t="s">
        <v>6457</v>
      </c>
      <c r="E4791" s="260" t="s">
        <v>6458</v>
      </c>
      <c r="F4791" s="380" t="s">
        <v>6459</v>
      </c>
      <c r="G4791" s="371" t="s">
        <v>5299</v>
      </c>
      <c r="H4791" s="381" t="s">
        <v>5462</v>
      </c>
      <c r="I4791" s="470">
        <v>1330</v>
      </c>
      <c r="J4791" s="496">
        <v>4.5599999999999996</v>
      </c>
      <c r="K4791" s="496">
        <v>3.87</v>
      </c>
      <c r="L4791" s="495">
        <f t="shared" si="53"/>
        <v>0.6899999999999995</v>
      </c>
      <c r="M4791" s="337"/>
    </row>
    <row r="4792" spans="1:13" s="71" customFormat="1" ht="26.4" customHeight="1">
      <c r="A4792" s="282">
        <v>550</v>
      </c>
      <c r="B4792" s="534"/>
      <c r="C4792" s="441" t="s">
        <v>5367</v>
      </c>
      <c r="D4792" s="260" t="s">
        <v>6460</v>
      </c>
      <c r="E4792" s="260" t="s">
        <v>6461</v>
      </c>
      <c r="F4792" s="380" t="s">
        <v>6462</v>
      </c>
      <c r="G4792" s="371" t="s">
        <v>5299</v>
      </c>
      <c r="H4792" s="381" t="s">
        <v>5462</v>
      </c>
      <c r="I4792" s="470">
        <v>1404</v>
      </c>
      <c r="J4792" s="496">
        <v>360.58</v>
      </c>
      <c r="K4792" s="496">
        <v>130.32</v>
      </c>
      <c r="L4792" s="495">
        <f t="shared" si="53"/>
        <v>230.26</v>
      </c>
      <c r="M4792" s="337"/>
    </row>
    <row r="4793" spans="1:13" s="71" customFormat="1" ht="26.4" customHeight="1">
      <c r="A4793" s="282">
        <v>551</v>
      </c>
      <c r="B4793" s="534"/>
      <c r="C4793" s="441" t="s">
        <v>5367</v>
      </c>
      <c r="D4793" s="260" t="s">
        <v>5808</v>
      </c>
      <c r="E4793" s="260" t="s">
        <v>6463</v>
      </c>
      <c r="F4793" s="380" t="s">
        <v>6464</v>
      </c>
      <c r="G4793" s="371" t="s">
        <v>1557</v>
      </c>
      <c r="H4793" s="381" t="s">
        <v>5462</v>
      </c>
      <c r="I4793" s="470">
        <v>18206</v>
      </c>
      <c r="J4793" s="496">
        <v>135.38999999999999</v>
      </c>
      <c r="K4793" s="496">
        <v>107.75</v>
      </c>
      <c r="L4793" s="495">
        <f t="shared" si="53"/>
        <v>27.639999999999986</v>
      </c>
      <c r="M4793" s="337"/>
    </row>
    <row r="4794" spans="1:13" s="71" customFormat="1" ht="26.4" customHeight="1">
      <c r="A4794" s="282">
        <v>552</v>
      </c>
      <c r="B4794" s="534"/>
      <c r="C4794" s="441" t="s">
        <v>5367</v>
      </c>
      <c r="D4794" s="441" t="s">
        <v>6435</v>
      </c>
      <c r="E4794" s="260" t="s">
        <v>6126</v>
      </c>
      <c r="F4794" s="380" t="s">
        <v>6465</v>
      </c>
      <c r="G4794" s="371" t="s">
        <v>1534</v>
      </c>
      <c r="H4794" s="381" t="s">
        <v>5462</v>
      </c>
      <c r="I4794" s="470">
        <v>336</v>
      </c>
      <c r="J4794" s="496">
        <v>2.61</v>
      </c>
      <c r="K4794" s="496">
        <v>1.55</v>
      </c>
      <c r="L4794" s="495">
        <f t="shared" si="53"/>
        <v>1.0599999999999998</v>
      </c>
      <c r="M4794" s="337"/>
    </row>
    <row r="4795" spans="1:13" s="71" customFormat="1" ht="26.4" customHeight="1">
      <c r="A4795" s="282">
        <v>553</v>
      </c>
      <c r="B4795" s="534"/>
      <c r="C4795" s="441" t="s">
        <v>5367</v>
      </c>
      <c r="D4795" s="260" t="s">
        <v>5832</v>
      </c>
      <c r="E4795" s="260" t="s">
        <v>6466</v>
      </c>
      <c r="F4795" s="380" t="s">
        <v>6353</v>
      </c>
      <c r="G4795" s="371" t="s">
        <v>1560</v>
      </c>
      <c r="H4795" s="381" t="s">
        <v>5462</v>
      </c>
      <c r="I4795" s="470">
        <v>2104</v>
      </c>
      <c r="J4795" s="496">
        <v>22.48</v>
      </c>
      <c r="K4795" s="496">
        <v>14.64</v>
      </c>
      <c r="L4795" s="495">
        <f t="shared" si="53"/>
        <v>7.84</v>
      </c>
      <c r="M4795" s="337"/>
    </row>
    <row r="4796" spans="1:13" s="71" customFormat="1" ht="26.4" customHeight="1">
      <c r="A4796" s="282">
        <v>554</v>
      </c>
      <c r="B4796" s="534"/>
      <c r="C4796" s="441" t="s">
        <v>5367</v>
      </c>
      <c r="D4796" s="260" t="s">
        <v>5832</v>
      </c>
      <c r="E4796" s="260" t="s">
        <v>6467</v>
      </c>
      <c r="F4796" s="380" t="s">
        <v>6354</v>
      </c>
      <c r="G4796" s="371" t="s">
        <v>1560</v>
      </c>
      <c r="H4796" s="381" t="s">
        <v>3243</v>
      </c>
      <c r="I4796" s="470" t="s">
        <v>3243</v>
      </c>
      <c r="J4796" s="496">
        <v>27.37</v>
      </c>
      <c r="K4796" s="496">
        <v>17.89</v>
      </c>
      <c r="L4796" s="495">
        <f t="shared" si="53"/>
        <v>9.48</v>
      </c>
      <c r="M4796" s="337"/>
    </row>
    <row r="4797" spans="1:13" s="71" customFormat="1" ht="26.4" customHeight="1">
      <c r="A4797" s="282">
        <v>555</v>
      </c>
      <c r="B4797" s="534"/>
      <c r="C4797" s="441" t="s">
        <v>5315</v>
      </c>
      <c r="D4797" s="441" t="s">
        <v>6468</v>
      </c>
      <c r="E4797" s="260" t="s">
        <v>6126</v>
      </c>
      <c r="F4797" s="380" t="s">
        <v>6469</v>
      </c>
      <c r="G4797" s="371" t="s">
        <v>1555</v>
      </c>
      <c r="H4797" s="381" t="s">
        <v>5462</v>
      </c>
      <c r="I4797" s="470">
        <v>1298</v>
      </c>
      <c r="J4797" s="496">
        <v>2.72</v>
      </c>
      <c r="K4797" s="496">
        <v>1.3</v>
      </c>
      <c r="L4797" s="495">
        <f t="shared" si="53"/>
        <v>1.4200000000000002</v>
      </c>
      <c r="M4797" s="337"/>
    </row>
    <row r="4798" spans="1:13" s="71" customFormat="1" ht="26.4" customHeight="1">
      <c r="A4798" s="282">
        <v>556</v>
      </c>
      <c r="B4798" s="534"/>
      <c r="C4798" s="441" t="s">
        <v>5315</v>
      </c>
      <c r="D4798" s="441" t="s">
        <v>6470</v>
      </c>
      <c r="E4798" s="260" t="s">
        <v>6471</v>
      </c>
      <c r="F4798" s="380" t="s">
        <v>6472</v>
      </c>
      <c r="G4798" s="371" t="s">
        <v>1572</v>
      </c>
      <c r="H4798" s="381" t="s">
        <v>5462</v>
      </c>
      <c r="I4798" s="470" t="s">
        <v>6473</v>
      </c>
      <c r="J4798" s="496">
        <v>2.62</v>
      </c>
      <c r="K4798" s="496">
        <v>1.59</v>
      </c>
      <c r="L4798" s="495">
        <f t="shared" si="53"/>
        <v>1.03</v>
      </c>
      <c r="M4798" s="337"/>
    </row>
    <row r="4799" spans="1:13" s="71" customFormat="1" ht="26.4" customHeight="1">
      <c r="A4799" s="282">
        <v>557</v>
      </c>
      <c r="B4799" s="534"/>
      <c r="C4799" s="441" t="s">
        <v>5315</v>
      </c>
      <c r="D4799" s="441" t="s">
        <v>6474</v>
      </c>
      <c r="E4799" s="260" t="s">
        <v>6126</v>
      </c>
      <c r="F4799" s="380" t="s">
        <v>6475</v>
      </c>
      <c r="G4799" s="371" t="s">
        <v>1572</v>
      </c>
      <c r="H4799" s="381" t="s">
        <v>5462</v>
      </c>
      <c r="I4799" s="470">
        <v>9</v>
      </c>
      <c r="J4799" s="496">
        <v>4.8499999999999996</v>
      </c>
      <c r="K4799" s="496">
        <v>2.4</v>
      </c>
      <c r="L4799" s="495">
        <f t="shared" si="53"/>
        <v>2.4499999999999997</v>
      </c>
      <c r="M4799" s="337"/>
    </row>
    <row r="4800" spans="1:13" s="71" customFormat="1" ht="26.4" customHeight="1">
      <c r="A4800" s="282">
        <v>558</v>
      </c>
      <c r="B4800" s="534"/>
      <c r="C4800" s="441" t="s">
        <v>5315</v>
      </c>
      <c r="D4800" s="441" t="s">
        <v>6474</v>
      </c>
      <c r="E4800" s="260" t="s">
        <v>6126</v>
      </c>
      <c r="F4800" s="380" t="s">
        <v>6476</v>
      </c>
      <c r="G4800" s="371" t="s">
        <v>1572</v>
      </c>
      <c r="H4800" s="381" t="s">
        <v>5462</v>
      </c>
      <c r="I4800" s="470">
        <v>108</v>
      </c>
      <c r="J4800" s="496">
        <v>2.71</v>
      </c>
      <c r="K4800" s="496">
        <v>1.6</v>
      </c>
      <c r="L4800" s="495">
        <f t="shared" si="53"/>
        <v>1.1099999999999999</v>
      </c>
      <c r="M4800" s="337"/>
    </row>
    <row r="4801" spans="1:13" s="71" customFormat="1" ht="26.4" customHeight="1">
      <c r="A4801" s="282">
        <v>559</v>
      </c>
      <c r="B4801" s="534"/>
      <c r="C4801" s="441" t="s">
        <v>5315</v>
      </c>
      <c r="D4801" s="441" t="s">
        <v>6477</v>
      </c>
      <c r="E4801" s="260" t="s">
        <v>6126</v>
      </c>
      <c r="F4801" s="380" t="s">
        <v>6478</v>
      </c>
      <c r="G4801" s="371" t="s">
        <v>1572</v>
      </c>
      <c r="H4801" s="381" t="s">
        <v>5462</v>
      </c>
      <c r="I4801" s="470">
        <v>65</v>
      </c>
      <c r="J4801" s="496">
        <v>2.34</v>
      </c>
      <c r="K4801" s="496">
        <v>1.65</v>
      </c>
      <c r="L4801" s="495">
        <f t="shared" si="53"/>
        <v>0.69</v>
      </c>
      <c r="M4801" s="337"/>
    </row>
    <row r="4802" spans="1:13" s="71" customFormat="1" ht="26.4" customHeight="1">
      <c r="A4802" s="282">
        <v>560</v>
      </c>
      <c r="B4802" s="534"/>
      <c r="C4802" s="441" t="s">
        <v>5315</v>
      </c>
      <c r="D4802" s="441" t="s">
        <v>6479</v>
      </c>
      <c r="E4802" s="260" t="s">
        <v>6126</v>
      </c>
      <c r="F4802" s="380" t="s">
        <v>6480</v>
      </c>
      <c r="G4802" s="371" t="s">
        <v>1534</v>
      </c>
      <c r="H4802" s="381" t="s">
        <v>5462</v>
      </c>
      <c r="I4802" s="470">
        <v>102</v>
      </c>
      <c r="J4802" s="496">
        <v>2.57</v>
      </c>
      <c r="K4802" s="496">
        <v>1.43</v>
      </c>
      <c r="L4802" s="495">
        <f t="shared" si="53"/>
        <v>1.1399999999999999</v>
      </c>
      <c r="M4802" s="337"/>
    </row>
    <row r="4803" spans="1:13" s="71" customFormat="1" ht="26.4" customHeight="1">
      <c r="A4803" s="282">
        <v>561</v>
      </c>
      <c r="B4803" s="534"/>
      <c r="C4803" s="441" t="s">
        <v>5315</v>
      </c>
      <c r="D4803" s="260" t="s">
        <v>6481</v>
      </c>
      <c r="E4803" s="260" t="s">
        <v>6482</v>
      </c>
      <c r="F4803" s="380" t="s">
        <v>6483</v>
      </c>
      <c r="G4803" s="371" t="s">
        <v>1555</v>
      </c>
      <c r="H4803" s="381" t="s">
        <v>3243</v>
      </c>
      <c r="I4803" s="470" t="s">
        <v>3243</v>
      </c>
      <c r="J4803" s="496">
        <v>31.01</v>
      </c>
      <c r="K4803" s="496">
        <v>29.7</v>
      </c>
      <c r="L4803" s="495">
        <f t="shared" si="53"/>
        <v>1.3100000000000023</v>
      </c>
      <c r="M4803" s="337"/>
    </row>
    <row r="4804" spans="1:13" s="71" customFormat="1" ht="26.4" customHeight="1">
      <c r="A4804" s="282">
        <v>562</v>
      </c>
      <c r="B4804" s="534"/>
      <c r="C4804" s="441" t="s">
        <v>5315</v>
      </c>
      <c r="D4804" s="441" t="s">
        <v>6484</v>
      </c>
      <c r="E4804" s="260" t="s">
        <v>6126</v>
      </c>
      <c r="F4804" s="380" t="s">
        <v>6485</v>
      </c>
      <c r="G4804" s="371" t="s">
        <v>1555</v>
      </c>
      <c r="H4804" s="381" t="s">
        <v>5462</v>
      </c>
      <c r="I4804" s="470">
        <v>862</v>
      </c>
      <c r="J4804" s="496">
        <v>11.69</v>
      </c>
      <c r="K4804" s="496">
        <v>10.82</v>
      </c>
      <c r="L4804" s="495">
        <f t="shared" si="53"/>
        <v>0.86999999999999922</v>
      </c>
      <c r="M4804" s="337"/>
    </row>
    <row r="4805" spans="1:13" s="71" customFormat="1" ht="26.4" customHeight="1">
      <c r="A4805" s="282">
        <v>563</v>
      </c>
      <c r="B4805" s="534"/>
      <c r="C4805" s="441" t="s">
        <v>5315</v>
      </c>
      <c r="D4805" s="441" t="s">
        <v>6486</v>
      </c>
      <c r="E4805" s="260" t="s">
        <v>6126</v>
      </c>
      <c r="F4805" s="380" t="s">
        <v>6487</v>
      </c>
      <c r="G4805" s="371" t="s">
        <v>1555</v>
      </c>
      <c r="H4805" s="381" t="s">
        <v>5462</v>
      </c>
      <c r="I4805" s="470">
        <v>280</v>
      </c>
      <c r="J4805" s="496">
        <v>5</v>
      </c>
      <c r="K4805" s="496">
        <v>3.88</v>
      </c>
      <c r="L4805" s="495">
        <f t="shared" si="53"/>
        <v>1.1200000000000001</v>
      </c>
      <c r="M4805" s="337"/>
    </row>
    <row r="4806" spans="1:13" s="71" customFormat="1" ht="26.4" customHeight="1">
      <c r="A4806" s="282">
        <v>564</v>
      </c>
      <c r="B4806" s="534"/>
      <c r="C4806" s="441" t="s">
        <v>5315</v>
      </c>
      <c r="D4806" s="441" t="s">
        <v>6470</v>
      </c>
      <c r="E4806" s="260" t="s">
        <v>6126</v>
      </c>
      <c r="F4806" s="380" t="s">
        <v>6488</v>
      </c>
      <c r="G4806" s="371" t="s">
        <v>1555</v>
      </c>
      <c r="H4806" s="381" t="s">
        <v>5462</v>
      </c>
      <c r="I4806" s="470">
        <v>393</v>
      </c>
      <c r="J4806" s="496">
        <v>4.41</v>
      </c>
      <c r="K4806" s="496">
        <v>3.71</v>
      </c>
      <c r="L4806" s="495">
        <f t="shared" si="53"/>
        <v>0.70000000000000018</v>
      </c>
      <c r="M4806" s="337"/>
    </row>
    <row r="4807" spans="1:13" s="71" customFormat="1" ht="26.4" customHeight="1">
      <c r="A4807" s="282">
        <v>565</v>
      </c>
      <c r="B4807" s="534"/>
      <c r="C4807" s="441" t="s">
        <v>5315</v>
      </c>
      <c r="D4807" s="441" t="s">
        <v>6481</v>
      </c>
      <c r="E4807" s="260" t="s">
        <v>6126</v>
      </c>
      <c r="F4807" s="380" t="s">
        <v>6489</v>
      </c>
      <c r="G4807" s="371" t="s">
        <v>1555</v>
      </c>
      <c r="H4807" s="381" t="s">
        <v>5462</v>
      </c>
      <c r="I4807" s="470">
        <v>334</v>
      </c>
      <c r="J4807" s="496">
        <v>26.61</v>
      </c>
      <c r="K4807" s="496">
        <v>5.13</v>
      </c>
      <c r="L4807" s="495">
        <f t="shared" si="53"/>
        <v>21.48</v>
      </c>
      <c r="M4807" s="337"/>
    </row>
    <row r="4808" spans="1:13" s="71" customFormat="1" ht="26.4" customHeight="1">
      <c r="A4808" s="282">
        <v>566</v>
      </c>
      <c r="B4808" s="534"/>
      <c r="C4808" s="441" t="s">
        <v>5315</v>
      </c>
      <c r="D4808" s="441" t="s">
        <v>6490</v>
      </c>
      <c r="E4808" s="260" t="s">
        <v>6126</v>
      </c>
      <c r="F4808" s="380" t="s">
        <v>6491</v>
      </c>
      <c r="G4808" s="371" t="s">
        <v>1555</v>
      </c>
      <c r="H4808" s="381" t="s">
        <v>5462</v>
      </c>
      <c r="I4808" s="470">
        <v>282</v>
      </c>
      <c r="J4808" s="496">
        <v>4.41</v>
      </c>
      <c r="K4808" s="496">
        <v>3.71</v>
      </c>
      <c r="L4808" s="495">
        <f t="shared" si="53"/>
        <v>0.70000000000000018</v>
      </c>
      <c r="M4808" s="337"/>
    </row>
    <row r="4809" spans="1:13" s="71" customFormat="1" ht="26.4" customHeight="1">
      <c r="A4809" s="282">
        <v>567</v>
      </c>
      <c r="B4809" s="534"/>
      <c r="C4809" s="441" t="s">
        <v>5315</v>
      </c>
      <c r="D4809" s="441" t="s">
        <v>6492</v>
      </c>
      <c r="E4809" s="260" t="s">
        <v>6126</v>
      </c>
      <c r="F4809" s="380" t="s">
        <v>6493</v>
      </c>
      <c r="G4809" s="371" t="s">
        <v>6494</v>
      </c>
      <c r="H4809" s="381" t="s">
        <v>5462</v>
      </c>
      <c r="I4809" s="470">
        <v>373</v>
      </c>
      <c r="J4809" s="496">
        <v>3.19</v>
      </c>
      <c r="K4809" s="496">
        <v>2.5</v>
      </c>
      <c r="L4809" s="495">
        <f t="shared" si="53"/>
        <v>0.69</v>
      </c>
      <c r="M4809" s="337"/>
    </row>
    <row r="4810" spans="1:13" s="71" customFormat="1" ht="26.4" customHeight="1">
      <c r="A4810" s="282">
        <v>568</v>
      </c>
      <c r="B4810" s="534"/>
      <c r="C4810" s="441" t="s">
        <v>5315</v>
      </c>
      <c r="D4810" s="441" t="s">
        <v>6495</v>
      </c>
      <c r="E4810" s="260" t="s">
        <v>6126</v>
      </c>
      <c r="F4810" s="380" t="s">
        <v>6496</v>
      </c>
      <c r="G4810" s="371" t="s">
        <v>1555</v>
      </c>
      <c r="H4810" s="381" t="s">
        <v>5462</v>
      </c>
      <c r="I4810" s="470">
        <v>370</v>
      </c>
      <c r="J4810" s="496">
        <v>5.5</v>
      </c>
      <c r="K4810" s="496">
        <v>4.8099999999999996</v>
      </c>
      <c r="L4810" s="495">
        <f t="shared" si="53"/>
        <v>0.69000000000000039</v>
      </c>
      <c r="M4810" s="337"/>
    </row>
    <row r="4811" spans="1:13" s="71" customFormat="1" ht="26.4" customHeight="1">
      <c r="A4811" s="282">
        <v>569</v>
      </c>
      <c r="B4811" s="534"/>
      <c r="C4811" s="441" t="s">
        <v>5315</v>
      </c>
      <c r="D4811" s="441" t="s">
        <v>6497</v>
      </c>
      <c r="E4811" s="260" t="s">
        <v>6126</v>
      </c>
      <c r="F4811" s="380" t="s">
        <v>6498</v>
      </c>
      <c r="G4811" s="371" t="s">
        <v>1555</v>
      </c>
      <c r="H4811" s="381" t="s">
        <v>5462</v>
      </c>
      <c r="I4811" s="470">
        <v>65</v>
      </c>
      <c r="J4811" s="496">
        <v>1.79</v>
      </c>
      <c r="K4811" s="496">
        <v>1.1000000000000001</v>
      </c>
      <c r="L4811" s="495">
        <f t="shared" si="53"/>
        <v>0.69</v>
      </c>
      <c r="M4811" s="337"/>
    </row>
    <row r="4812" spans="1:13" s="71" customFormat="1" ht="26.4" customHeight="1">
      <c r="A4812" s="282">
        <v>570</v>
      </c>
      <c r="B4812" s="534"/>
      <c r="C4812" s="441" t="s">
        <v>5315</v>
      </c>
      <c r="D4812" s="441" t="s">
        <v>6499</v>
      </c>
      <c r="E4812" s="260" t="s">
        <v>6126</v>
      </c>
      <c r="F4812" s="380" t="s">
        <v>6500</v>
      </c>
      <c r="G4812" s="371" t="s">
        <v>1555</v>
      </c>
      <c r="H4812" s="381" t="s">
        <v>5462</v>
      </c>
      <c r="I4812" s="470">
        <v>113</v>
      </c>
      <c r="J4812" s="496">
        <v>1.58</v>
      </c>
      <c r="K4812" s="496">
        <v>0.89</v>
      </c>
      <c r="L4812" s="495">
        <f t="shared" si="53"/>
        <v>0.69000000000000006</v>
      </c>
      <c r="M4812" s="337"/>
    </row>
    <row r="4813" spans="1:13" s="71" customFormat="1" ht="26.4" customHeight="1">
      <c r="A4813" s="282">
        <v>571</v>
      </c>
      <c r="B4813" s="534"/>
      <c r="C4813" s="441" t="s">
        <v>5315</v>
      </c>
      <c r="D4813" s="441" t="s">
        <v>6501</v>
      </c>
      <c r="E4813" s="260" t="s">
        <v>6126</v>
      </c>
      <c r="F4813" s="380" t="s">
        <v>6502</v>
      </c>
      <c r="G4813" s="371" t="s">
        <v>1555</v>
      </c>
      <c r="H4813" s="381" t="s">
        <v>5462</v>
      </c>
      <c r="I4813" s="470">
        <v>107</v>
      </c>
      <c r="J4813" s="496">
        <v>45.81</v>
      </c>
      <c r="K4813" s="496">
        <v>4.3099999999999996</v>
      </c>
      <c r="L4813" s="495">
        <f t="shared" si="53"/>
        <v>41.5</v>
      </c>
      <c r="M4813" s="337"/>
    </row>
    <row r="4814" spans="1:13" s="71" customFormat="1" ht="26.4" customHeight="1">
      <c r="A4814" s="282">
        <v>572</v>
      </c>
      <c r="B4814" s="534"/>
      <c r="C4814" s="441" t="s">
        <v>5315</v>
      </c>
      <c r="D4814" s="441" t="s">
        <v>6503</v>
      </c>
      <c r="E4814" s="260" t="s">
        <v>6126</v>
      </c>
      <c r="F4814" s="380" t="s">
        <v>6504</v>
      </c>
      <c r="G4814" s="371" t="s">
        <v>1555</v>
      </c>
      <c r="H4814" s="381" t="s">
        <v>5462</v>
      </c>
      <c r="I4814" s="470">
        <v>720</v>
      </c>
      <c r="J4814" s="496">
        <v>225.05</v>
      </c>
      <c r="K4814" s="496">
        <v>76.92</v>
      </c>
      <c r="L4814" s="495">
        <f t="shared" si="53"/>
        <v>148.13</v>
      </c>
      <c r="M4814" s="337"/>
    </row>
    <row r="4815" spans="1:13" s="71" customFormat="1" ht="26.4" customHeight="1">
      <c r="A4815" s="282">
        <v>573</v>
      </c>
      <c r="B4815" s="534"/>
      <c r="C4815" s="441" t="s">
        <v>5315</v>
      </c>
      <c r="D4815" s="441" t="s">
        <v>6505</v>
      </c>
      <c r="E4815" s="260" t="s">
        <v>6126</v>
      </c>
      <c r="F4815" s="380" t="s">
        <v>6506</v>
      </c>
      <c r="G4815" s="371" t="s">
        <v>1555</v>
      </c>
      <c r="H4815" s="381" t="s">
        <v>5462</v>
      </c>
      <c r="I4815" s="470">
        <v>303</v>
      </c>
      <c r="J4815" s="496">
        <v>4.6500000000000004</v>
      </c>
      <c r="K4815" s="496">
        <v>3.96</v>
      </c>
      <c r="L4815" s="495">
        <f t="shared" si="53"/>
        <v>0.69000000000000039</v>
      </c>
      <c r="M4815" s="337"/>
    </row>
    <row r="4816" spans="1:13" s="71" customFormat="1" ht="26.4" customHeight="1">
      <c r="A4816" s="282">
        <v>574</v>
      </c>
      <c r="B4816" s="534"/>
      <c r="C4816" s="441" t="s">
        <v>5315</v>
      </c>
      <c r="D4816" s="441" t="s">
        <v>6507</v>
      </c>
      <c r="E4816" s="260" t="s">
        <v>6126</v>
      </c>
      <c r="F4816" s="380" t="s">
        <v>6508</v>
      </c>
      <c r="G4816" s="371" t="s">
        <v>1555</v>
      </c>
      <c r="H4816" s="381" t="s">
        <v>5462</v>
      </c>
      <c r="I4816" s="470">
        <v>323</v>
      </c>
      <c r="J4816" s="496">
        <v>5.63</v>
      </c>
      <c r="K4816" s="496">
        <v>4.79</v>
      </c>
      <c r="L4816" s="495">
        <f t="shared" si="53"/>
        <v>0.83999999999999986</v>
      </c>
      <c r="M4816" s="337"/>
    </row>
    <row r="4817" spans="1:13" s="71" customFormat="1" ht="26.4" customHeight="1">
      <c r="A4817" s="282">
        <v>575</v>
      </c>
      <c r="B4817" s="534"/>
      <c r="C4817" s="441" t="s">
        <v>5315</v>
      </c>
      <c r="D4817" s="441" t="s">
        <v>6509</v>
      </c>
      <c r="E4817" s="260" t="s">
        <v>6126</v>
      </c>
      <c r="F4817" s="380" t="s">
        <v>6510</v>
      </c>
      <c r="G4817" s="371" t="s">
        <v>1555</v>
      </c>
      <c r="H4817" s="381" t="s">
        <v>5462</v>
      </c>
      <c r="I4817" s="470">
        <v>210</v>
      </c>
      <c r="J4817" s="496">
        <v>2.2200000000000002</v>
      </c>
      <c r="K4817" s="496">
        <v>1.52</v>
      </c>
      <c r="L4817" s="495">
        <f t="shared" si="53"/>
        <v>0.70000000000000018</v>
      </c>
      <c r="M4817" s="337"/>
    </row>
    <row r="4818" spans="1:13" s="71" customFormat="1" ht="26.4" customHeight="1">
      <c r="A4818" s="282">
        <v>576</v>
      </c>
      <c r="B4818" s="534"/>
      <c r="C4818" s="441" t="s">
        <v>5315</v>
      </c>
      <c r="D4818" s="260" t="s">
        <v>6425</v>
      </c>
      <c r="E4818" s="260" t="s">
        <v>6511</v>
      </c>
      <c r="F4818" s="380" t="s">
        <v>6512</v>
      </c>
      <c r="G4818" s="371" t="s">
        <v>1555</v>
      </c>
      <c r="H4818" s="381" t="s">
        <v>3243</v>
      </c>
      <c r="I4818" s="470" t="s">
        <v>3243</v>
      </c>
      <c r="J4818" s="496">
        <v>3.19</v>
      </c>
      <c r="K4818" s="496">
        <v>2.5</v>
      </c>
      <c r="L4818" s="495">
        <f t="shared" si="53"/>
        <v>0.69</v>
      </c>
      <c r="M4818" s="337"/>
    </row>
    <row r="4819" spans="1:13" s="71" customFormat="1" ht="26.4" customHeight="1">
      <c r="A4819" s="282">
        <v>577</v>
      </c>
      <c r="B4819" s="534"/>
      <c r="C4819" s="441" t="s">
        <v>5315</v>
      </c>
      <c r="D4819" s="441" t="s">
        <v>6513</v>
      </c>
      <c r="E4819" s="260" t="s">
        <v>6126</v>
      </c>
      <c r="F4819" s="380" t="s">
        <v>6514</v>
      </c>
      <c r="G4819" s="371" t="s">
        <v>1555</v>
      </c>
      <c r="H4819" s="381" t="s">
        <v>5462</v>
      </c>
      <c r="I4819" s="470">
        <v>834</v>
      </c>
      <c r="J4819" s="496">
        <v>21.65</v>
      </c>
      <c r="K4819" s="496">
        <v>11.78</v>
      </c>
      <c r="L4819" s="495">
        <f t="shared" ref="L4819:L4882" si="54">J4819-K4819</f>
        <v>9.8699999999999992</v>
      </c>
      <c r="M4819" s="337"/>
    </row>
    <row r="4820" spans="1:13" s="71" customFormat="1" ht="26.4" customHeight="1">
      <c r="A4820" s="282">
        <v>578</v>
      </c>
      <c r="B4820" s="534"/>
      <c r="C4820" s="441" t="s">
        <v>5315</v>
      </c>
      <c r="D4820" s="441" t="s">
        <v>6515</v>
      </c>
      <c r="E4820" s="260" t="s">
        <v>6126</v>
      </c>
      <c r="F4820" s="380" t="s">
        <v>6516</v>
      </c>
      <c r="G4820" s="371" t="s">
        <v>1555</v>
      </c>
      <c r="H4820" s="381" t="s">
        <v>5462</v>
      </c>
      <c r="I4820" s="470">
        <v>347</v>
      </c>
      <c r="J4820" s="496">
        <v>7.41</v>
      </c>
      <c r="K4820" s="496">
        <v>5.16</v>
      </c>
      <c r="L4820" s="495">
        <f t="shared" si="54"/>
        <v>2.25</v>
      </c>
      <c r="M4820" s="337"/>
    </row>
    <row r="4821" spans="1:13" s="71" customFormat="1" ht="26.4" customHeight="1">
      <c r="A4821" s="282">
        <v>579</v>
      </c>
      <c r="B4821" s="534"/>
      <c r="C4821" s="441" t="s">
        <v>5315</v>
      </c>
      <c r="D4821" s="441" t="s">
        <v>6517</v>
      </c>
      <c r="E4821" s="260" t="s">
        <v>6126</v>
      </c>
      <c r="F4821" s="380" t="s">
        <v>6518</v>
      </c>
      <c r="G4821" s="371" t="s">
        <v>1555</v>
      </c>
      <c r="H4821" s="381" t="s">
        <v>5462</v>
      </c>
      <c r="I4821" s="470">
        <v>347</v>
      </c>
      <c r="J4821" s="496">
        <v>5.26</v>
      </c>
      <c r="K4821" s="496">
        <v>4.57</v>
      </c>
      <c r="L4821" s="495">
        <f t="shared" si="54"/>
        <v>0.6899999999999995</v>
      </c>
      <c r="M4821" s="337"/>
    </row>
    <row r="4822" spans="1:13" s="71" customFormat="1" ht="26.4" customHeight="1">
      <c r="A4822" s="282">
        <v>580</v>
      </c>
      <c r="B4822" s="534"/>
      <c r="C4822" s="441" t="s">
        <v>5315</v>
      </c>
      <c r="D4822" s="441" t="s">
        <v>6519</v>
      </c>
      <c r="E4822" s="260" t="s">
        <v>6126</v>
      </c>
      <c r="F4822" s="380" t="s">
        <v>6520</v>
      </c>
      <c r="G4822" s="371" t="s">
        <v>1555</v>
      </c>
      <c r="H4822" s="381" t="s">
        <v>5462</v>
      </c>
      <c r="I4822" s="470">
        <v>305</v>
      </c>
      <c r="J4822" s="496">
        <v>4.41</v>
      </c>
      <c r="K4822" s="496">
        <v>3.71</v>
      </c>
      <c r="L4822" s="495">
        <f t="shared" si="54"/>
        <v>0.70000000000000018</v>
      </c>
      <c r="M4822" s="337"/>
    </row>
    <row r="4823" spans="1:13" s="71" customFormat="1" ht="26.4" customHeight="1">
      <c r="A4823" s="282">
        <v>581</v>
      </c>
      <c r="B4823" s="534"/>
      <c r="C4823" s="441" t="s">
        <v>5288</v>
      </c>
      <c r="D4823" s="441" t="s">
        <v>5937</v>
      </c>
      <c r="E4823" s="260" t="s">
        <v>6126</v>
      </c>
      <c r="F4823" s="380" t="s">
        <v>6521</v>
      </c>
      <c r="G4823" s="371" t="s">
        <v>1530</v>
      </c>
      <c r="H4823" s="381" t="s">
        <v>5462</v>
      </c>
      <c r="I4823" s="470">
        <v>50</v>
      </c>
      <c r="J4823" s="496">
        <v>2.2400000000000002</v>
      </c>
      <c r="K4823" s="496">
        <v>1.21</v>
      </c>
      <c r="L4823" s="495">
        <f t="shared" si="54"/>
        <v>1.0300000000000002</v>
      </c>
      <c r="M4823" s="337"/>
    </row>
    <row r="4824" spans="1:13" s="71" customFormat="1" ht="26.4" customHeight="1">
      <c r="A4824" s="282">
        <v>582</v>
      </c>
      <c r="B4824" s="534"/>
      <c r="C4824" s="441" t="s">
        <v>5288</v>
      </c>
      <c r="D4824" s="441" t="s">
        <v>5937</v>
      </c>
      <c r="E4824" s="260" t="s">
        <v>6126</v>
      </c>
      <c r="F4824" s="380" t="s">
        <v>6522</v>
      </c>
      <c r="G4824" s="371" t="s">
        <v>1530</v>
      </c>
      <c r="H4824" s="381" t="s">
        <v>5462</v>
      </c>
      <c r="I4824" s="470">
        <v>100</v>
      </c>
      <c r="J4824" s="496">
        <v>1.93</v>
      </c>
      <c r="K4824" s="496">
        <v>1.24</v>
      </c>
      <c r="L4824" s="495">
        <f t="shared" si="54"/>
        <v>0.69</v>
      </c>
      <c r="M4824" s="337"/>
    </row>
    <row r="4825" spans="1:13" s="71" customFormat="1" ht="26.4" customHeight="1">
      <c r="A4825" s="282">
        <v>583</v>
      </c>
      <c r="B4825" s="534"/>
      <c r="C4825" s="441" t="s">
        <v>5288</v>
      </c>
      <c r="D4825" s="441" t="s">
        <v>5937</v>
      </c>
      <c r="E4825" s="260" t="s">
        <v>6523</v>
      </c>
      <c r="F4825" s="380" t="s">
        <v>6524</v>
      </c>
      <c r="G4825" s="371" t="s">
        <v>1532</v>
      </c>
      <c r="H4825" s="381" t="s">
        <v>4930</v>
      </c>
      <c r="I4825" s="470" t="s">
        <v>3243</v>
      </c>
      <c r="J4825" s="496">
        <v>4.66</v>
      </c>
      <c r="K4825" s="496">
        <v>3.41</v>
      </c>
      <c r="L4825" s="495">
        <f t="shared" si="54"/>
        <v>1.25</v>
      </c>
      <c r="M4825" s="337"/>
    </row>
    <row r="4826" spans="1:13" s="71" customFormat="1" ht="26.4" customHeight="1">
      <c r="A4826" s="282">
        <v>584</v>
      </c>
      <c r="B4826" s="534"/>
      <c r="C4826" s="441" t="s">
        <v>5288</v>
      </c>
      <c r="D4826" s="260" t="s">
        <v>6525</v>
      </c>
      <c r="E4826" s="260" t="s">
        <v>6526</v>
      </c>
      <c r="F4826" s="380" t="s">
        <v>6527</v>
      </c>
      <c r="G4826" s="371" t="s">
        <v>5299</v>
      </c>
      <c r="H4826" s="381" t="s">
        <v>5462</v>
      </c>
      <c r="I4826" s="470">
        <v>2300</v>
      </c>
      <c r="J4826" s="496">
        <v>158.44</v>
      </c>
      <c r="K4826" s="496">
        <v>157.74</v>
      </c>
      <c r="L4826" s="495">
        <f t="shared" si="54"/>
        <v>0.69999999999998863</v>
      </c>
      <c r="M4826" s="337"/>
    </row>
    <row r="4827" spans="1:13" s="71" customFormat="1" ht="26.4" customHeight="1">
      <c r="A4827" s="282">
        <v>585</v>
      </c>
      <c r="B4827" s="534"/>
      <c r="C4827" s="441" t="s">
        <v>5288</v>
      </c>
      <c r="D4827" s="441" t="s">
        <v>5361</v>
      </c>
      <c r="E4827" s="260" t="s">
        <v>6126</v>
      </c>
      <c r="F4827" s="380" t="s">
        <v>6528</v>
      </c>
      <c r="G4827" s="371" t="s">
        <v>5291</v>
      </c>
      <c r="H4827" s="381" t="s">
        <v>5462</v>
      </c>
      <c r="I4827" s="470">
        <v>465</v>
      </c>
      <c r="J4827" s="496">
        <v>25.84</v>
      </c>
      <c r="K4827" s="496">
        <v>24.6</v>
      </c>
      <c r="L4827" s="495">
        <f t="shared" si="54"/>
        <v>1.2399999999999984</v>
      </c>
      <c r="M4827" s="337"/>
    </row>
    <row r="4828" spans="1:13" s="71" customFormat="1" ht="26.4" customHeight="1">
      <c r="A4828" s="282">
        <v>586</v>
      </c>
      <c r="B4828" s="534"/>
      <c r="C4828" s="441" t="s">
        <v>5288</v>
      </c>
      <c r="D4828" s="441" t="s">
        <v>6529</v>
      </c>
      <c r="E4828" s="260" t="s">
        <v>6126</v>
      </c>
      <c r="F4828" s="380" t="s">
        <v>6530</v>
      </c>
      <c r="G4828" s="371" t="s">
        <v>5291</v>
      </c>
      <c r="H4828" s="381" t="s">
        <v>5462</v>
      </c>
      <c r="I4828" s="470">
        <v>1595</v>
      </c>
      <c r="J4828" s="496">
        <v>4.8099999999999996</v>
      </c>
      <c r="K4828" s="496">
        <v>4.1100000000000003</v>
      </c>
      <c r="L4828" s="495">
        <f t="shared" si="54"/>
        <v>0.69999999999999929</v>
      </c>
      <c r="M4828" s="337"/>
    </row>
    <row r="4829" spans="1:13" s="71" customFormat="1" ht="26.4" customHeight="1">
      <c r="A4829" s="282">
        <v>587</v>
      </c>
      <c r="B4829" s="534"/>
      <c r="C4829" s="441" t="s">
        <v>5288</v>
      </c>
      <c r="D4829" s="441" t="s">
        <v>6531</v>
      </c>
      <c r="E4829" s="260" t="s">
        <v>6126</v>
      </c>
      <c r="F4829" s="380" t="s">
        <v>6532</v>
      </c>
      <c r="G4829" s="371" t="s">
        <v>5291</v>
      </c>
      <c r="H4829" s="381" t="s">
        <v>5462</v>
      </c>
      <c r="I4829" s="470">
        <v>1595</v>
      </c>
      <c r="J4829" s="496">
        <v>27.59</v>
      </c>
      <c r="K4829" s="496">
        <v>11.74</v>
      </c>
      <c r="L4829" s="495">
        <f t="shared" si="54"/>
        <v>15.85</v>
      </c>
      <c r="M4829" s="337"/>
    </row>
    <row r="4830" spans="1:13" s="71" customFormat="1" ht="26.4" customHeight="1">
      <c r="A4830" s="282">
        <v>588</v>
      </c>
      <c r="B4830" s="534"/>
      <c r="C4830" s="441" t="s">
        <v>5288</v>
      </c>
      <c r="D4830" s="441" t="s">
        <v>6533</v>
      </c>
      <c r="E4830" s="260" t="s">
        <v>6126</v>
      </c>
      <c r="F4830" s="380" t="s">
        <v>6534</v>
      </c>
      <c r="G4830" s="371" t="s">
        <v>5291</v>
      </c>
      <c r="H4830" s="381" t="s">
        <v>5462</v>
      </c>
      <c r="I4830" s="470">
        <v>310</v>
      </c>
      <c r="J4830" s="496">
        <v>3.18</v>
      </c>
      <c r="K4830" s="496">
        <v>2.48</v>
      </c>
      <c r="L4830" s="495">
        <f t="shared" si="54"/>
        <v>0.70000000000000018</v>
      </c>
      <c r="M4830" s="337"/>
    </row>
    <row r="4831" spans="1:13" s="71" customFormat="1" ht="26.4" customHeight="1">
      <c r="A4831" s="282">
        <v>589</v>
      </c>
      <c r="B4831" s="534"/>
      <c r="C4831" s="441" t="s">
        <v>5288</v>
      </c>
      <c r="D4831" s="441" t="s">
        <v>6535</v>
      </c>
      <c r="E4831" s="260" t="s">
        <v>6126</v>
      </c>
      <c r="F4831" s="380" t="s">
        <v>6536</v>
      </c>
      <c r="G4831" s="371" t="s">
        <v>5291</v>
      </c>
      <c r="H4831" s="381" t="s">
        <v>5462</v>
      </c>
      <c r="I4831" s="470">
        <v>840</v>
      </c>
      <c r="J4831" s="496">
        <v>49.16</v>
      </c>
      <c r="K4831" s="496">
        <v>48.09</v>
      </c>
      <c r="L4831" s="495">
        <f t="shared" si="54"/>
        <v>1.0699999999999932</v>
      </c>
      <c r="M4831" s="337"/>
    </row>
    <row r="4832" spans="1:13" s="71" customFormat="1" ht="26.4" customHeight="1">
      <c r="A4832" s="282">
        <v>590</v>
      </c>
      <c r="B4832" s="534"/>
      <c r="C4832" s="441" t="s">
        <v>5288</v>
      </c>
      <c r="D4832" s="441" t="s">
        <v>6537</v>
      </c>
      <c r="E4832" s="260" t="s">
        <v>6126</v>
      </c>
      <c r="F4832" s="380" t="s">
        <v>6538</v>
      </c>
      <c r="G4832" s="371" t="s">
        <v>5291</v>
      </c>
      <c r="H4832" s="381" t="s">
        <v>5462</v>
      </c>
      <c r="I4832" s="470">
        <v>1595</v>
      </c>
      <c r="J4832" s="496">
        <v>36.71</v>
      </c>
      <c r="K4832" s="496">
        <v>35.46</v>
      </c>
      <c r="L4832" s="495">
        <f t="shared" si="54"/>
        <v>1.25</v>
      </c>
      <c r="M4832" s="337"/>
    </row>
    <row r="4833" spans="1:13" s="71" customFormat="1" ht="26.4" customHeight="1">
      <c r="A4833" s="282">
        <v>591</v>
      </c>
      <c r="B4833" s="534"/>
      <c r="C4833" s="441" t="s">
        <v>5288</v>
      </c>
      <c r="D4833" s="441" t="s">
        <v>6539</v>
      </c>
      <c r="E4833" s="260" t="s">
        <v>6126</v>
      </c>
      <c r="F4833" s="380" t="s">
        <v>6540</v>
      </c>
      <c r="G4833" s="371" t="s">
        <v>5291</v>
      </c>
      <c r="H4833" s="381" t="s">
        <v>5462</v>
      </c>
      <c r="I4833" s="470">
        <v>1010</v>
      </c>
      <c r="J4833" s="496">
        <v>24.83</v>
      </c>
      <c r="K4833" s="496">
        <v>21.63</v>
      </c>
      <c r="L4833" s="495">
        <f t="shared" si="54"/>
        <v>3.1999999999999993</v>
      </c>
      <c r="M4833" s="337"/>
    </row>
    <row r="4834" spans="1:13" s="71" customFormat="1" ht="26.4" customHeight="1">
      <c r="A4834" s="282">
        <v>592</v>
      </c>
      <c r="B4834" s="534"/>
      <c r="C4834" s="441" t="s">
        <v>5288</v>
      </c>
      <c r="D4834" s="441" t="s">
        <v>6541</v>
      </c>
      <c r="E4834" s="260" t="s">
        <v>6542</v>
      </c>
      <c r="F4834" s="380" t="s">
        <v>6543</v>
      </c>
      <c r="G4834" s="371" t="s">
        <v>5291</v>
      </c>
      <c r="H4834" s="381" t="s">
        <v>5462</v>
      </c>
      <c r="I4834" s="470">
        <v>165</v>
      </c>
      <c r="J4834" s="496">
        <v>23.57</v>
      </c>
      <c r="K4834" s="496">
        <v>19.260000000000002</v>
      </c>
      <c r="L4834" s="495">
        <f t="shared" si="54"/>
        <v>4.3099999999999987</v>
      </c>
      <c r="M4834" s="337"/>
    </row>
    <row r="4835" spans="1:13" s="71" customFormat="1" ht="26.4" customHeight="1">
      <c r="A4835" s="282">
        <v>593</v>
      </c>
      <c r="B4835" s="534"/>
      <c r="C4835" s="441" t="s">
        <v>5288</v>
      </c>
      <c r="D4835" s="441" t="s">
        <v>6544</v>
      </c>
      <c r="E4835" s="260" t="s">
        <v>6126</v>
      </c>
      <c r="F4835" s="380" t="s">
        <v>6545</v>
      </c>
      <c r="G4835" s="371" t="s">
        <v>5291</v>
      </c>
      <c r="H4835" s="381" t="s">
        <v>5462</v>
      </c>
      <c r="I4835" s="470">
        <v>520</v>
      </c>
      <c r="J4835" s="496">
        <v>46.97</v>
      </c>
      <c r="K4835" s="496">
        <v>25.05</v>
      </c>
      <c r="L4835" s="495">
        <f t="shared" si="54"/>
        <v>21.919999999999998</v>
      </c>
      <c r="M4835" s="337"/>
    </row>
    <row r="4836" spans="1:13" s="71" customFormat="1" ht="26.4" customHeight="1">
      <c r="A4836" s="282">
        <v>594</v>
      </c>
      <c r="B4836" s="534"/>
      <c r="C4836" s="441" t="s">
        <v>5288</v>
      </c>
      <c r="D4836" s="441" t="s">
        <v>5986</v>
      </c>
      <c r="E4836" s="260" t="s">
        <v>6126</v>
      </c>
      <c r="F4836" s="380" t="s">
        <v>6546</v>
      </c>
      <c r="G4836" s="371" t="s">
        <v>5291</v>
      </c>
      <c r="H4836" s="381" t="s">
        <v>5462</v>
      </c>
      <c r="I4836" s="470">
        <v>1530</v>
      </c>
      <c r="J4836" s="496">
        <v>35.01</v>
      </c>
      <c r="K4836" s="496">
        <v>32.86</v>
      </c>
      <c r="L4836" s="495">
        <f t="shared" si="54"/>
        <v>2.1499999999999986</v>
      </c>
      <c r="M4836" s="337"/>
    </row>
    <row r="4837" spans="1:13" s="71" customFormat="1" ht="26.4" customHeight="1">
      <c r="A4837" s="282">
        <v>595</v>
      </c>
      <c r="B4837" s="534"/>
      <c r="C4837" s="441" t="s">
        <v>5288</v>
      </c>
      <c r="D4837" s="441" t="s">
        <v>6547</v>
      </c>
      <c r="E4837" s="260" t="s">
        <v>6126</v>
      </c>
      <c r="F4837" s="380" t="s">
        <v>6548</v>
      </c>
      <c r="G4837" s="371" t="s">
        <v>5291</v>
      </c>
      <c r="H4837" s="381" t="s">
        <v>5462</v>
      </c>
      <c r="I4837" s="470">
        <v>1680</v>
      </c>
      <c r="J4837" s="496">
        <v>39.01</v>
      </c>
      <c r="K4837" s="496">
        <v>33.42</v>
      </c>
      <c r="L4837" s="495">
        <f t="shared" si="54"/>
        <v>5.5899999999999963</v>
      </c>
      <c r="M4837" s="337"/>
    </row>
    <row r="4838" spans="1:13" s="71" customFormat="1" ht="26.4" customHeight="1">
      <c r="A4838" s="282">
        <v>596</v>
      </c>
      <c r="B4838" s="534"/>
      <c r="C4838" s="441" t="s">
        <v>5288</v>
      </c>
      <c r="D4838" s="441" t="s">
        <v>6535</v>
      </c>
      <c r="E4838" s="260" t="s">
        <v>6126</v>
      </c>
      <c r="F4838" s="380" t="s">
        <v>6549</v>
      </c>
      <c r="G4838" s="371" t="s">
        <v>5291</v>
      </c>
      <c r="H4838" s="381" t="s">
        <v>5462</v>
      </c>
      <c r="I4838" s="470">
        <v>295</v>
      </c>
      <c r="J4838" s="496">
        <v>30.23</v>
      </c>
      <c r="K4838" s="496">
        <v>25.5</v>
      </c>
      <c r="L4838" s="495">
        <f t="shared" si="54"/>
        <v>4.7300000000000004</v>
      </c>
      <c r="M4838" s="337"/>
    </row>
    <row r="4839" spans="1:13" s="71" customFormat="1" ht="26.4" customHeight="1">
      <c r="A4839" s="282">
        <v>597</v>
      </c>
      <c r="B4839" s="534"/>
      <c r="C4839" s="441" t="s">
        <v>5288</v>
      </c>
      <c r="D4839" s="441" t="s">
        <v>6550</v>
      </c>
      <c r="E4839" s="260" t="s">
        <v>6126</v>
      </c>
      <c r="F4839" s="380" t="s">
        <v>6551</v>
      </c>
      <c r="G4839" s="371" t="s">
        <v>5291</v>
      </c>
      <c r="H4839" s="381" t="s">
        <v>5462</v>
      </c>
      <c r="I4839" s="470">
        <v>550</v>
      </c>
      <c r="J4839" s="496">
        <v>12.89</v>
      </c>
      <c r="K4839" s="496">
        <v>11.91</v>
      </c>
      <c r="L4839" s="495">
        <f t="shared" si="54"/>
        <v>0.98000000000000043</v>
      </c>
      <c r="M4839" s="337"/>
    </row>
    <row r="4840" spans="1:13" s="71" customFormat="1" ht="26.4" customHeight="1">
      <c r="A4840" s="282">
        <v>598</v>
      </c>
      <c r="B4840" s="534"/>
      <c r="C4840" s="441" t="s">
        <v>5288</v>
      </c>
      <c r="D4840" s="441" t="s">
        <v>5937</v>
      </c>
      <c r="E4840" s="260" t="s">
        <v>6126</v>
      </c>
      <c r="F4840" s="380" t="s">
        <v>6552</v>
      </c>
      <c r="G4840" s="371" t="s">
        <v>5291</v>
      </c>
      <c r="H4840" s="381" t="s">
        <v>5462</v>
      </c>
      <c r="I4840" s="470">
        <v>1360</v>
      </c>
      <c r="J4840" s="496">
        <v>14.63</v>
      </c>
      <c r="K4840" s="496">
        <v>12.74</v>
      </c>
      <c r="L4840" s="495">
        <f t="shared" si="54"/>
        <v>1.8900000000000006</v>
      </c>
      <c r="M4840" s="337"/>
    </row>
    <row r="4841" spans="1:13" s="71" customFormat="1" ht="26.4" customHeight="1">
      <c r="A4841" s="282">
        <v>599</v>
      </c>
      <c r="B4841" s="534"/>
      <c r="C4841" s="441" t="s">
        <v>5288</v>
      </c>
      <c r="D4841" s="441" t="s">
        <v>6553</v>
      </c>
      <c r="E4841" s="260" t="s">
        <v>6554</v>
      </c>
      <c r="F4841" s="380" t="s">
        <v>6555</v>
      </c>
      <c r="G4841" s="371" t="s">
        <v>5291</v>
      </c>
      <c r="H4841" s="381" t="s">
        <v>5462</v>
      </c>
      <c r="I4841" s="470">
        <v>320</v>
      </c>
      <c r="J4841" s="496">
        <v>5.77</v>
      </c>
      <c r="K4841" s="496">
        <v>5.07</v>
      </c>
      <c r="L4841" s="495">
        <f t="shared" si="54"/>
        <v>0.69999999999999929</v>
      </c>
      <c r="M4841" s="337"/>
    </row>
    <row r="4842" spans="1:13" s="71" customFormat="1" ht="26.4" customHeight="1">
      <c r="A4842" s="282">
        <v>600</v>
      </c>
      <c r="B4842" s="534"/>
      <c r="C4842" s="441" t="s">
        <v>5288</v>
      </c>
      <c r="D4842" s="441" t="s">
        <v>6556</v>
      </c>
      <c r="E4842" s="260" t="s">
        <v>6126</v>
      </c>
      <c r="F4842" s="380" t="s">
        <v>6557</v>
      </c>
      <c r="G4842" s="371" t="s">
        <v>5291</v>
      </c>
      <c r="H4842" s="381" t="s">
        <v>5462</v>
      </c>
      <c r="I4842" s="470">
        <v>151</v>
      </c>
      <c r="J4842" s="496">
        <v>3.54</v>
      </c>
      <c r="K4842" s="496">
        <v>2.57</v>
      </c>
      <c r="L4842" s="495">
        <f t="shared" si="54"/>
        <v>0.9700000000000002</v>
      </c>
      <c r="M4842" s="337"/>
    </row>
    <row r="4843" spans="1:13" s="71" customFormat="1" ht="26.4" customHeight="1">
      <c r="A4843" s="282">
        <v>601</v>
      </c>
      <c r="B4843" s="534"/>
      <c r="C4843" s="441" t="s">
        <v>5288</v>
      </c>
      <c r="D4843" s="260" t="s">
        <v>6558</v>
      </c>
      <c r="E4843" s="260" t="s">
        <v>6559</v>
      </c>
      <c r="F4843" s="380" t="s">
        <v>6560</v>
      </c>
      <c r="G4843" s="371" t="s">
        <v>1534</v>
      </c>
      <c r="H4843" s="381" t="s">
        <v>5462</v>
      </c>
      <c r="I4843" s="470">
        <v>2700</v>
      </c>
      <c r="J4843" s="496">
        <v>104.93</v>
      </c>
      <c r="K4843" s="496">
        <v>91.5</v>
      </c>
      <c r="L4843" s="495">
        <f t="shared" si="54"/>
        <v>13.430000000000007</v>
      </c>
      <c r="M4843" s="337"/>
    </row>
    <row r="4844" spans="1:13" s="71" customFormat="1" ht="26.4" customHeight="1">
      <c r="A4844" s="282">
        <v>602</v>
      </c>
      <c r="B4844" s="534"/>
      <c r="C4844" s="441" t="s">
        <v>5288</v>
      </c>
      <c r="D4844" s="441" t="s">
        <v>6561</v>
      </c>
      <c r="E4844" s="260" t="s">
        <v>6126</v>
      </c>
      <c r="F4844" s="380" t="s">
        <v>6562</v>
      </c>
      <c r="G4844" s="371" t="s">
        <v>5291</v>
      </c>
      <c r="H4844" s="381" t="s">
        <v>5462</v>
      </c>
      <c r="I4844" s="470">
        <v>420</v>
      </c>
      <c r="J4844" s="496">
        <v>6.91</v>
      </c>
      <c r="K4844" s="496">
        <v>6.22</v>
      </c>
      <c r="L4844" s="495">
        <f t="shared" si="54"/>
        <v>0.69000000000000039</v>
      </c>
      <c r="M4844" s="337"/>
    </row>
    <row r="4845" spans="1:13" s="71" customFormat="1" ht="26.4" customHeight="1">
      <c r="A4845" s="282">
        <v>603</v>
      </c>
      <c r="B4845" s="534"/>
      <c r="C4845" s="441" t="s">
        <v>5288</v>
      </c>
      <c r="D4845" s="441" t="s">
        <v>6563</v>
      </c>
      <c r="E4845" s="260" t="s">
        <v>6126</v>
      </c>
      <c r="F4845" s="380" t="s">
        <v>6564</v>
      </c>
      <c r="G4845" s="371" t="s">
        <v>1546</v>
      </c>
      <c r="H4845" s="381" t="s">
        <v>5462</v>
      </c>
      <c r="I4845" s="470">
        <v>1000</v>
      </c>
      <c r="J4845" s="496">
        <v>11.66</v>
      </c>
      <c r="K4845" s="496">
        <v>5.7</v>
      </c>
      <c r="L4845" s="495">
        <f t="shared" si="54"/>
        <v>5.96</v>
      </c>
      <c r="M4845" s="337"/>
    </row>
    <row r="4846" spans="1:13" s="71" customFormat="1" ht="26.4" customHeight="1">
      <c r="A4846" s="282">
        <v>604</v>
      </c>
      <c r="B4846" s="534"/>
      <c r="C4846" s="441" t="s">
        <v>5288</v>
      </c>
      <c r="D4846" s="441" t="s">
        <v>6565</v>
      </c>
      <c r="E4846" s="260" t="s">
        <v>6126</v>
      </c>
      <c r="F4846" s="380" t="s">
        <v>6566</v>
      </c>
      <c r="G4846" s="371" t="s">
        <v>1566</v>
      </c>
      <c r="H4846" s="381" t="s">
        <v>5462</v>
      </c>
      <c r="I4846" s="470">
        <v>100</v>
      </c>
      <c r="J4846" s="496">
        <v>7.01</v>
      </c>
      <c r="K4846" s="496">
        <v>6.21</v>
      </c>
      <c r="L4846" s="495">
        <f t="shared" si="54"/>
        <v>0.79999999999999982</v>
      </c>
      <c r="M4846" s="337"/>
    </row>
    <row r="4847" spans="1:13" s="71" customFormat="1" ht="26.4" customHeight="1">
      <c r="A4847" s="282">
        <v>605</v>
      </c>
      <c r="B4847" s="534"/>
      <c r="C4847" s="441" t="s">
        <v>5288</v>
      </c>
      <c r="D4847" s="260" t="s">
        <v>6567</v>
      </c>
      <c r="E4847" s="260" t="s">
        <v>6568</v>
      </c>
      <c r="F4847" s="380" t="s">
        <v>6569</v>
      </c>
      <c r="G4847" s="371" t="s">
        <v>1566</v>
      </c>
      <c r="H4847" s="381" t="s">
        <v>5462</v>
      </c>
      <c r="I4847" s="470">
        <v>2000</v>
      </c>
      <c r="J4847" s="496">
        <v>16.18</v>
      </c>
      <c r="K4847" s="496">
        <v>15.49</v>
      </c>
      <c r="L4847" s="495">
        <f t="shared" si="54"/>
        <v>0.6899999999999995</v>
      </c>
      <c r="M4847" s="337"/>
    </row>
    <row r="4848" spans="1:13" s="71" customFormat="1" ht="26.4" customHeight="1">
      <c r="A4848" s="282">
        <v>606</v>
      </c>
      <c r="B4848" s="534"/>
      <c r="C4848" s="441" t="s">
        <v>5288</v>
      </c>
      <c r="D4848" s="441" t="s">
        <v>5942</v>
      </c>
      <c r="E4848" s="260" t="s">
        <v>6126</v>
      </c>
      <c r="F4848" s="380" t="s">
        <v>6570</v>
      </c>
      <c r="G4848" s="371" t="s">
        <v>1532</v>
      </c>
      <c r="H4848" s="381" t="s">
        <v>5462</v>
      </c>
      <c r="I4848" s="470">
        <v>78</v>
      </c>
      <c r="J4848" s="496">
        <v>2.91</v>
      </c>
      <c r="K4848" s="496">
        <v>2.2200000000000002</v>
      </c>
      <c r="L4848" s="495">
        <f t="shared" si="54"/>
        <v>0.69</v>
      </c>
      <c r="M4848" s="337"/>
    </row>
    <row r="4849" spans="1:13" s="71" customFormat="1" ht="26.4" customHeight="1">
      <c r="A4849" s="282">
        <v>607</v>
      </c>
      <c r="B4849" s="534"/>
      <c r="C4849" s="441" t="s">
        <v>5288</v>
      </c>
      <c r="D4849" s="441" t="s">
        <v>5942</v>
      </c>
      <c r="E4849" s="260" t="s">
        <v>6126</v>
      </c>
      <c r="F4849" s="380" t="s">
        <v>6571</v>
      </c>
      <c r="G4849" s="371" t="s">
        <v>1532</v>
      </c>
      <c r="H4849" s="381" t="s">
        <v>5462</v>
      </c>
      <c r="I4849" s="470">
        <v>16</v>
      </c>
      <c r="J4849" s="496">
        <v>1.58</v>
      </c>
      <c r="K4849" s="496">
        <v>0.89</v>
      </c>
      <c r="L4849" s="495">
        <f t="shared" si="54"/>
        <v>0.69000000000000006</v>
      </c>
      <c r="M4849" s="337"/>
    </row>
    <row r="4850" spans="1:13" s="71" customFormat="1" ht="26.4" customHeight="1">
      <c r="A4850" s="282">
        <v>608</v>
      </c>
      <c r="B4850" s="534"/>
      <c r="C4850" s="441" t="s">
        <v>5288</v>
      </c>
      <c r="D4850" s="441" t="s">
        <v>5937</v>
      </c>
      <c r="E4850" s="260" t="s">
        <v>6126</v>
      </c>
      <c r="F4850" s="380" t="s">
        <v>6572</v>
      </c>
      <c r="G4850" s="371" t="s">
        <v>1532</v>
      </c>
      <c r="H4850" s="381" t="s">
        <v>5462</v>
      </c>
      <c r="I4850" s="470">
        <v>180</v>
      </c>
      <c r="J4850" s="496">
        <v>1.82</v>
      </c>
      <c r="K4850" s="496">
        <v>1.1200000000000001</v>
      </c>
      <c r="L4850" s="495">
        <f t="shared" si="54"/>
        <v>0.7</v>
      </c>
      <c r="M4850" s="337"/>
    </row>
    <row r="4851" spans="1:13" s="71" customFormat="1" ht="26.4" customHeight="1">
      <c r="A4851" s="282">
        <v>609</v>
      </c>
      <c r="B4851" s="534"/>
      <c r="C4851" s="441" t="s">
        <v>5288</v>
      </c>
      <c r="D4851" s="441" t="s">
        <v>6573</v>
      </c>
      <c r="E4851" s="260" t="s">
        <v>6126</v>
      </c>
      <c r="F4851" s="380" t="s">
        <v>6574</v>
      </c>
      <c r="G4851" s="371" t="s">
        <v>1579</v>
      </c>
      <c r="H4851" s="381" t="s">
        <v>5462</v>
      </c>
      <c r="I4851" s="470">
        <v>535</v>
      </c>
      <c r="J4851" s="496">
        <v>10.81</v>
      </c>
      <c r="K4851" s="496">
        <v>8.83</v>
      </c>
      <c r="L4851" s="495">
        <f t="shared" si="54"/>
        <v>1.9800000000000004</v>
      </c>
      <c r="M4851" s="337"/>
    </row>
    <row r="4852" spans="1:13" s="71" customFormat="1" ht="26.4" customHeight="1">
      <c r="A4852" s="282">
        <v>610</v>
      </c>
      <c r="B4852" s="534"/>
      <c r="C4852" s="441" t="s">
        <v>5288</v>
      </c>
      <c r="D4852" s="441" t="s">
        <v>6573</v>
      </c>
      <c r="E4852" s="260" t="s">
        <v>6126</v>
      </c>
      <c r="F4852" s="380" t="s">
        <v>6575</v>
      </c>
      <c r="G4852" s="371" t="s">
        <v>1557</v>
      </c>
      <c r="H4852" s="381" t="s">
        <v>5462</v>
      </c>
      <c r="I4852" s="470">
        <v>38</v>
      </c>
      <c r="J4852" s="496">
        <v>1.98</v>
      </c>
      <c r="K4852" s="496">
        <v>1.29</v>
      </c>
      <c r="L4852" s="495">
        <f t="shared" si="54"/>
        <v>0.69</v>
      </c>
      <c r="M4852" s="337"/>
    </row>
    <row r="4853" spans="1:13" s="71" customFormat="1" ht="26.4" customHeight="1">
      <c r="A4853" s="282">
        <v>611</v>
      </c>
      <c r="B4853" s="534"/>
      <c r="C4853" s="441" t="s">
        <v>5288</v>
      </c>
      <c r="D4853" s="441" t="s">
        <v>6573</v>
      </c>
      <c r="E4853" s="260" t="s">
        <v>6126</v>
      </c>
      <c r="F4853" s="380" t="s">
        <v>5936</v>
      </c>
      <c r="G4853" s="371" t="s">
        <v>1557</v>
      </c>
      <c r="H4853" s="381" t="s">
        <v>5462</v>
      </c>
      <c r="I4853" s="470">
        <v>12</v>
      </c>
      <c r="J4853" s="496">
        <v>1.56</v>
      </c>
      <c r="K4853" s="496">
        <v>0.99</v>
      </c>
      <c r="L4853" s="495">
        <f t="shared" si="54"/>
        <v>0.57000000000000006</v>
      </c>
      <c r="M4853" s="337"/>
    </row>
    <row r="4854" spans="1:13" s="71" customFormat="1" ht="26.4" customHeight="1">
      <c r="A4854" s="282">
        <v>612</v>
      </c>
      <c r="B4854" s="534"/>
      <c r="C4854" s="441" t="s">
        <v>5288</v>
      </c>
      <c r="D4854" s="441" t="s">
        <v>5942</v>
      </c>
      <c r="E4854" s="260" t="s">
        <v>6126</v>
      </c>
      <c r="F4854" s="380" t="s">
        <v>6576</v>
      </c>
      <c r="G4854" s="371" t="s">
        <v>1572</v>
      </c>
      <c r="H4854" s="381" t="s">
        <v>5462</v>
      </c>
      <c r="I4854" s="470">
        <v>20</v>
      </c>
      <c r="J4854" s="496">
        <v>1.56</v>
      </c>
      <c r="K4854" s="496">
        <v>0.86</v>
      </c>
      <c r="L4854" s="495">
        <f t="shared" si="54"/>
        <v>0.70000000000000007</v>
      </c>
      <c r="M4854" s="337"/>
    </row>
    <row r="4855" spans="1:13" s="71" customFormat="1" ht="26.4" customHeight="1">
      <c r="A4855" s="282">
        <v>613</v>
      </c>
      <c r="B4855" s="534"/>
      <c r="C4855" s="441" t="s">
        <v>5288</v>
      </c>
      <c r="D4855" s="441" t="s">
        <v>6531</v>
      </c>
      <c r="E4855" s="260" t="s">
        <v>6126</v>
      </c>
      <c r="F4855" s="380" t="s">
        <v>6577</v>
      </c>
      <c r="G4855" s="371" t="s">
        <v>1533</v>
      </c>
      <c r="H4855" s="381" t="s">
        <v>5462</v>
      </c>
      <c r="I4855" s="470">
        <v>600</v>
      </c>
      <c r="J4855" s="496">
        <v>1.88</v>
      </c>
      <c r="K4855" s="496">
        <v>1.19</v>
      </c>
      <c r="L4855" s="495">
        <f t="shared" si="54"/>
        <v>0.69</v>
      </c>
      <c r="M4855" s="337"/>
    </row>
    <row r="4856" spans="1:13" s="71" customFormat="1" ht="26.4" customHeight="1">
      <c r="A4856" s="282">
        <v>614</v>
      </c>
      <c r="B4856" s="534"/>
      <c r="C4856" s="441" t="s">
        <v>5288</v>
      </c>
      <c r="D4856" s="441" t="s">
        <v>6573</v>
      </c>
      <c r="E4856" s="260" t="s">
        <v>6126</v>
      </c>
      <c r="F4856" s="380" t="s">
        <v>6578</v>
      </c>
      <c r="G4856" s="371" t="s">
        <v>1557</v>
      </c>
      <c r="H4856" s="381" t="s">
        <v>5462</v>
      </c>
      <c r="I4856" s="470">
        <v>15</v>
      </c>
      <c r="J4856" s="496">
        <v>1.84</v>
      </c>
      <c r="K4856" s="496">
        <v>1.1399999999999999</v>
      </c>
      <c r="L4856" s="495">
        <f t="shared" si="54"/>
        <v>0.70000000000000018</v>
      </c>
      <c r="M4856" s="337"/>
    </row>
    <row r="4857" spans="1:13" s="71" customFormat="1" ht="26.4" customHeight="1">
      <c r="A4857" s="282">
        <v>615</v>
      </c>
      <c r="B4857" s="534"/>
      <c r="C4857" s="441" t="s">
        <v>5288</v>
      </c>
      <c r="D4857" s="441" t="s">
        <v>5937</v>
      </c>
      <c r="E4857" s="260" t="s">
        <v>6579</v>
      </c>
      <c r="F4857" s="380" t="s">
        <v>6580</v>
      </c>
      <c r="G4857" s="371" t="s">
        <v>1557</v>
      </c>
      <c r="H4857" s="381" t="s">
        <v>5462</v>
      </c>
      <c r="I4857" s="470">
        <v>1397</v>
      </c>
      <c r="J4857" s="496">
        <v>21.22</v>
      </c>
      <c r="K4857" s="496">
        <v>16.62</v>
      </c>
      <c r="L4857" s="495">
        <f t="shared" si="54"/>
        <v>4.5999999999999979</v>
      </c>
      <c r="M4857" s="337"/>
    </row>
    <row r="4858" spans="1:13" s="71" customFormat="1" ht="26.4" customHeight="1">
      <c r="A4858" s="282">
        <v>616</v>
      </c>
      <c r="B4858" s="534"/>
      <c r="C4858" s="441" t="s">
        <v>5288</v>
      </c>
      <c r="D4858" s="441" t="s">
        <v>6573</v>
      </c>
      <c r="E4858" s="260" t="s">
        <v>6126</v>
      </c>
      <c r="F4858" s="380" t="s">
        <v>6581</v>
      </c>
      <c r="G4858" s="371" t="s">
        <v>1557</v>
      </c>
      <c r="H4858" s="381" t="s">
        <v>5462</v>
      </c>
      <c r="I4858" s="470">
        <v>17</v>
      </c>
      <c r="J4858" s="496">
        <v>2.11</v>
      </c>
      <c r="K4858" s="496">
        <v>1.25</v>
      </c>
      <c r="L4858" s="495">
        <f t="shared" si="54"/>
        <v>0.85999999999999988</v>
      </c>
      <c r="M4858" s="337"/>
    </row>
    <row r="4859" spans="1:13" s="71" customFormat="1" ht="26.4" customHeight="1">
      <c r="A4859" s="282">
        <v>617</v>
      </c>
      <c r="B4859" s="534"/>
      <c r="C4859" s="441" t="s">
        <v>5288</v>
      </c>
      <c r="D4859" s="441" t="s">
        <v>6573</v>
      </c>
      <c r="E4859" s="260" t="s">
        <v>6126</v>
      </c>
      <c r="F4859" s="380" t="s">
        <v>6582</v>
      </c>
      <c r="G4859" s="371" t="s">
        <v>1557</v>
      </c>
      <c r="H4859" s="381" t="s">
        <v>5462</v>
      </c>
      <c r="I4859" s="470">
        <v>41</v>
      </c>
      <c r="J4859" s="496">
        <v>2.41</v>
      </c>
      <c r="K4859" s="496">
        <v>1.71</v>
      </c>
      <c r="L4859" s="495">
        <f t="shared" si="54"/>
        <v>0.70000000000000018</v>
      </c>
      <c r="M4859" s="337"/>
    </row>
    <row r="4860" spans="1:13" s="71" customFormat="1" ht="26.4" customHeight="1">
      <c r="A4860" s="282">
        <v>618</v>
      </c>
      <c r="B4860" s="534"/>
      <c r="C4860" s="441" t="s">
        <v>5288</v>
      </c>
      <c r="D4860" s="441" t="s">
        <v>6539</v>
      </c>
      <c r="E4860" s="260" t="s">
        <v>6126</v>
      </c>
      <c r="F4860" s="380" t="s">
        <v>6583</v>
      </c>
      <c r="G4860" s="371" t="s">
        <v>1552</v>
      </c>
      <c r="H4860" s="381" t="s">
        <v>5462</v>
      </c>
      <c r="I4860" s="470">
        <v>81</v>
      </c>
      <c r="J4860" s="496">
        <v>2.21</v>
      </c>
      <c r="K4860" s="496">
        <v>1.52</v>
      </c>
      <c r="L4860" s="495">
        <f t="shared" si="54"/>
        <v>0.69</v>
      </c>
      <c r="M4860" s="337"/>
    </row>
    <row r="4861" spans="1:13" s="71" customFormat="1" ht="26.4" customHeight="1">
      <c r="A4861" s="282">
        <v>619</v>
      </c>
      <c r="B4861" s="534"/>
      <c r="C4861" s="441" t="s">
        <v>5288</v>
      </c>
      <c r="D4861" s="441" t="s">
        <v>5942</v>
      </c>
      <c r="E4861" s="260" t="s">
        <v>6126</v>
      </c>
      <c r="F4861" s="380" t="s">
        <v>6584</v>
      </c>
      <c r="G4861" s="371" t="s">
        <v>1572</v>
      </c>
      <c r="H4861" s="381" t="s">
        <v>5462</v>
      </c>
      <c r="I4861" s="470">
        <v>87</v>
      </c>
      <c r="J4861" s="496">
        <v>1.99</v>
      </c>
      <c r="K4861" s="496">
        <v>1.3</v>
      </c>
      <c r="L4861" s="495">
        <f t="shared" si="54"/>
        <v>0.69</v>
      </c>
      <c r="M4861" s="337"/>
    </row>
    <row r="4862" spans="1:13" s="71" customFormat="1" ht="26.4" customHeight="1">
      <c r="A4862" s="282">
        <v>620</v>
      </c>
      <c r="B4862" s="534"/>
      <c r="C4862" s="441" t="s">
        <v>5288</v>
      </c>
      <c r="D4862" s="441" t="s">
        <v>5937</v>
      </c>
      <c r="E4862" s="260" t="s">
        <v>6585</v>
      </c>
      <c r="F4862" s="380" t="s">
        <v>6586</v>
      </c>
      <c r="G4862" s="371" t="s">
        <v>1532</v>
      </c>
      <c r="H4862" s="381" t="s">
        <v>5462</v>
      </c>
      <c r="I4862" s="470">
        <v>130</v>
      </c>
      <c r="J4862" s="496">
        <v>2.21</v>
      </c>
      <c r="K4862" s="496">
        <v>1.51</v>
      </c>
      <c r="L4862" s="495">
        <f t="shared" si="54"/>
        <v>0.7</v>
      </c>
      <c r="M4862" s="337"/>
    </row>
    <row r="4863" spans="1:13" s="71" customFormat="1" ht="26.4" customHeight="1">
      <c r="A4863" s="282">
        <v>621</v>
      </c>
      <c r="B4863" s="534"/>
      <c r="C4863" s="441" t="s">
        <v>5288</v>
      </c>
      <c r="D4863" s="441" t="s">
        <v>6587</v>
      </c>
      <c r="E4863" s="260" t="s">
        <v>6588</v>
      </c>
      <c r="F4863" s="380" t="s">
        <v>6589</v>
      </c>
      <c r="G4863" s="371" t="s">
        <v>1535</v>
      </c>
      <c r="H4863" s="381" t="s">
        <v>5462</v>
      </c>
      <c r="I4863" s="470">
        <v>6500</v>
      </c>
      <c r="J4863" s="496">
        <v>177.07</v>
      </c>
      <c r="K4863" s="496">
        <v>123.75</v>
      </c>
      <c r="L4863" s="495">
        <f t="shared" si="54"/>
        <v>53.319999999999993</v>
      </c>
      <c r="M4863" s="337"/>
    </row>
    <row r="4864" spans="1:13" s="71" customFormat="1" ht="26.4" customHeight="1">
      <c r="A4864" s="282">
        <v>622</v>
      </c>
      <c r="B4864" s="534"/>
      <c r="C4864" s="441" t="s">
        <v>5288</v>
      </c>
      <c r="D4864" s="260" t="s">
        <v>6590</v>
      </c>
      <c r="E4864" s="260" t="s">
        <v>6591</v>
      </c>
      <c r="F4864" s="380" t="s">
        <v>6592</v>
      </c>
      <c r="G4864" s="371" t="s">
        <v>1581</v>
      </c>
      <c r="H4864" s="381" t="s">
        <v>5462</v>
      </c>
      <c r="I4864" s="470">
        <v>1040</v>
      </c>
      <c r="J4864" s="496">
        <v>234.82</v>
      </c>
      <c r="K4864" s="496">
        <v>125.67</v>
      </c>
      <c r="L4864" s="495">
        <f t="shared" si="54"/>
        <v>109.14999999999999</v>
      </c>
      <c r="M4864" s="337"/>
    </row>
    <row r="4865" spans="1:13" s="71" customFormat="1" ht="26.4" customHeight="1">
      <c r="A4865" s="282">
        <v>623</v>
      </c>
      <c r="B4865" s="534"/>
      <c r="C4865" s="441" t="s">
        <v>5288</v>
      </c>
      <c r="D4865" s="441" t="s">
        <v>6539</v>
      </c>
      <c r="E4865" s="260" t="s">
        <v>6126</v>
      </c>
      <c r="F4865" s="380" t="s">
        <v>6593</v>
      </c>
      <c r="G4865" s="371" t="s">
        <v>1552</v>
      </c>
      <c r="H4865" s="381" t="s">
        <v>5462</v>
      </c>
      <c r="I4865" s="470">
        <v>114</v>
      </c>
      <c r="J4865" s="388">
        <v>3.36</v>
      </c>
      <c r="K4865" s="496">
        <v>2.67</v>
      </c>
      <c r="L4865" s="495">
        <f t="shared" si="54"/>
        <v>0.69</v>
      </c>
      <c r="M4865" s="337"/>
    </row>
    <row r="4866" spans="1:13" s="71" customFormat="1" ht="26.4" customHeight="1">
      <c r="A4866" s="282">
        <v>624</v>
      </c>
      <c r="B4866" s="534"/>
      <c r="C4866" s="441" t="s">
        <v>5288</v>
      </c>
      <c r="D4866" s="441" t="s">
        <v>5942</v>
      </c>
      <c r="E4866" s="260" t="s">
        <v>6126</v>
      </c>
      <c r="F4866" s="380" t="s">
        <v>6594</v>
      </c>
      <c r="G4866" s="371" t="s">
        <v>1555</v>
      </c>
      <c r="H4866" s="381" t="s">
        <v>5462</v>
      </c>
      <c r="I4866" s="470">
        <v>3236</v>
      </c>
      <c r="J4866" s="496">
        <v>46.59</v>
      </c>
      <c r="K4866" s="496">
        <v>44.24</v>
      </c>
      <c r="L4866" s="495">
        <f t="shared" si="54"/>
        <v>2.3500000000000014</v>
      </c>
      <c r="M4866" s="337"/>
    </row>
    <row r="4867" spans="1:13" s="71" customFormat="1" ht="26.4" customHeight="1">
      <c r="A4867" s="282">
        <v>625</v>
      </c>
      <c r="B4867" s="534"/>
      <c r="C4867" s="441" t="s">
        <v>5288</v>
      </c>
      <c r="D4867" s="441" t="s">
        <v>5937</v>
      </c>
      <c r="E4867" s="260" t="s">
        <v>6126</v>
      </c>
      <c r="F4867" s="380" t="s">
        <v>6595</v>
      </c>
      <c r="G4867" s="371" t="s">
        <v>1555</v>
      </c>
      <c r="H4867" s="381" t="s">
        <v>5462</v>
      </c>
      <c r="I4867" s="470">
        <v>760</v>
      </c>
      <c r="J4867" s="496">
        <v>25.22</v>
      </c>
      <c r="K4867" s="496">
        <v>23.89</v>
      </c>
      <c r="L4867" s="495">
        <f t="shared" si="54"/>
        <v>1.3299999999999983</v>
      </c>
      <c r="M4867" s="337"/>
    </row>
    <row r="4868" spans="1:13" s="71" customFormat="1" ht="26.4" customHeight="1">
      <c r="A4868" s="282">
        <v>626</v>
      </c>
      <c r="B4868" s="534"/>
      <c r="C4868" s="441" t="s">
        <v>5288</v>
      </c>
      <c r="D4868" s="441" t="s">
        <v>5361</v>
      </c>
      <c r="E4868" s="260" t="s">
        <v>6126</v>
      </c>
      <c r="F4868" s="380" t="s">
        <v>6596</v>
      </c>
      <c r="G4868" s="371" t="s">
        <v>1555</v>
      </c>
      <c r="H4868" s="381" t="s">
        <v>5462</v>
      </c>
      <c r="I4868" s="470">
        <v>1771</v>
      </c>
      <c r="J4868" s="496">
        <v>34.31</v>
      </c>
      <c r="K4868" s="496">
        <v>33.53</v>
      </c>
      <c r="L4868" s="495">
        <f t="shared" si="54"/>
        <v>0.78000000000000114</v>
      </c>
      <c r="M4868" s="337"/>
    </row>
    <row r="4869" spans="1:13" s="71" customFormat="1" ht="26.4" customHeight="1">
      <c r="A4869" s="282">
        <v>627</v>
      </c>
      <c r="B4869" s="534"/>
      <c r="C4869" s="441" t="s">
        <v>5288</v>
      </c>
      <c r="D4869" s="441" t="s">
        <v>6529</v>
      </c>
      <c r="E4869" s="260" t="s">
        <v>6126</v>
      </c>
      <c r="F4869" s="380" t="s">
        <v>6597</v>
      </c>
      <c r="G4869" s="371" t="s">
        <v>1555</v>
      </c>
      <c r="H4869" s="381" t="s">
        <v>5462</v>
      </c>
      <c r="I4869" s="470">
        <v>480</v>
      </c>
      <c r="J4869" s="496">
        <v>6.84</v>
      </c>
      <c r="K4869" s="496">
        <v>6.15</v>
      </c>
      <c r="L4869" s="495">
        <f t="shared" si="54"/>
        <v>0.6899999999999995</v>
      </c>
      <c r="M4869" s="337"/>
    </row>
    <row r="4870" spans="1:13" s="71" customFormat="1" ht="26.4" customHeight="1">
      <c r="A4870" s="282">
        <v>628</v>
      </c>
      <c r="B4870" s="534"/>
      <c r="C4870" s="441" t="s">
        <v>5288</v>
      </c>
      <c r="D4870" s="441" t="s">
        <v>6533</v>
      </c>
      <c r="E4870" s="260" t="s">
        <v>6126</v>
      </c>
      <c r="F4870" s="380" t="s">
        <v>6598</v>
      </c>
      <c r="G4870" s="371" t="s">
        <v>1546</v>
      </c>
      <c r="H4870" s="381" t="s">
        <v>5462</v>
      </c>
      <c r="I4870" s="470">
        <v>125</v>
      </c>
      <c r="J4870" s="496">
        <v>2.52</v>
      </c>
      <c r="K4870" s="496">
        <v>1.83</v>
      </c>
      <c r="L4870" s="495">
        <f t="shared" si="54"/>
        <v>0.69</v>
      </c>
      <c r="M4870" s="337"/>
    </row>
    <row r="4871" spans="1:13" s="71" customFormat="1" ht="26.4" customHeight="1">
      <c r="A4871" s="282">
        <v>629</v>
      </c>
      <c r="B4871" s="534"/>
      <c r="C4871" s="441" t="s">
        <v>5288</v>
      </c>
      <c r="D4871" s="441" t="s">
        <v>6535</v>
      </c>
      <c r="E4871" s="260" t="s">
        <v>6126</v>
      </c>
      <c r="F4871" s="380" t="s">
        <v>6599</v>
      </c>
      <c r="G4871" s="371" t="s">
        <v>1555</v>
      </c>
      <c r="H4871" s="381" t="s">
        <v>5462</v>
      </c>
      <c r="I4871" s="470">
        <v>2555</v>
      </c>
      <c r="J4871" s="496">
        <v>32.36</v>
      </c>
      <c r="K4871" s="496">
        <v>31.67</v>
      </c>
      <c r="L4871" s="495">
        <f t="shared" si="54"/>
        <v>0.68999999999999773</v>
      </c>
      <c r="M4871" s="337"/>
    </row>
    <row r="4872" spans="1:13" s="71" customFormat="1" ht="26.4" customHeight="1">
      <c r="A4872" s="282">
        <v>630</v>
      </c>
      <c r="B4872" s="534"/>
      <c r="C4872" s="441" t="s">
        <v>5288</v>
      </c>
      <c r="D4872" s="441" t="s">
        <v>6537</v>
      </c>
      <c r="E4872" s="260" t="s">
        <v>6126</v>
      </c>
      <c r="F4872" s="380" t="s">
        <v>6600</v>
      </c>
      <c r="G4872" s="371" t="s">
        <v>1555</v>
      </c>
      <c r="H4872" s="381" t="s">
        <v>5462</v>
      </c>
      <c r="I4872" s="470">
        <v>550</v>
      </c>
      <c r="J4872" s="496">
        <v>7.75</v>
      </c>
      <c r="K4872" s="496">
        <v>7.06</v>
      </c>
      <c r="L4872" s="495">
        <f t="shared" si="54"/>
        <v>0.69000000000000039</v>
      </c>
      <c r="M4872" s="337"/>
    </row>
    <row r="4873" spans="1:13" s="71" customFormat="1" ht="26.4" customHeight="1">
      <c r="A4873" s="282">
        <v>631</v>
      </c>
      <c r="B4873" s="534"/>
      <c r="C4873" s="441" t="s">
        <v>5288</v>
      </c>
      <c r="D4873" s="441" t="s">
        <v>6541</v>
      </c>
      <c r="E4873" s="260" t="s">
        <v>6126</v>
      </c>
      <c r="F4873" s="380" t="s">
        <v>6601</v>
      </c>
      <c r="G4873" s="371" t="s">
        <v>1555</v>
      </c>
      <c r="H4873" s="381" t="s">
        <v>5462</v>
      </c>
      <c r="I4873" s="470">
        <v>1200</v>
      </c>
      <c r="J4873" s="496">
        <v>16.45</v>
      </c>
      <c r="K4873" s="496">
        <v>15.67</v>
      </c>
      <c r="L4873" s="495">
        <f t="shared" si="54"/>
        <v>0.77999999999999936</v>
      </c>
      <c r="M4873" s="337"/>
    </row>
    <row r="4874" spans="1:13" s="71" customFormat="1" ht="26.4" customHeight="1">
      <c r="A4874" s="282">
        <v>632</v>
      </c>
      <c r="B4874" s="534"/>
      <c r="C4874" s="441" t="s">
        <v>5288</v>
      </c>
      <c r="D4874" s="441" t="s">
        <v>6602</v>
      </c>
      <c r="E4874" s="260" t="s">
        <v>6126</v>
      </c>
      <c r="F4874" s="380" t="s">
        <v>6603</v>
      </c>
      <c r="G4874" s="371" t="s">
        <v>1555</v>
      </c>
      <c r="H4874" s="381" t="s">
        <v>5462</v>
      </c>
      <c r="I4874" s="470">
        <v>1975</v>
      </c>
      <c r="J4874" s="496">
        <v>28.88</v>
      </c>
      <c r="K4874" s="496">
        <v>28.12</v>
      </c>
      <c r="L4874" s="495">
        <f t="shared" si="54"/>
        <v>0.75999999999999801</v>
      </c>
      <c r="M4874" s="337"/>
    </row>
    <row r="4875" spans="1:13" s="71" customFormat="1" ht="26.4" customHeight="1">
      <c r="A4875" s="282">
        <v>633</v>
      </c>
      <c r="B4875" s="534"/>
      <c r="C4875" s="441" t="s">
        <v>5288</v>
      </c>
      <c r="D4875" s="441" t="s">
        <v>5986</v>
      </c>
      <c r="E4875" s="260" t="s">
        <v>5036</v>
      </c>
      <c r="F4875" s="380" t="s">
        <v>6604</v>
      </c>
      <c r="G4875" s="371" t="s">
        <v>1555</v>
      </c>
      <c r="H4875" s="381" t="s">
        <v>5462</v>
      </c>
      <c r="I4875" s="470">
        <v>1155</v>
      </c>
      <c r="J4875" s="496">
        <v>22.79</v>
      </c>
      <c r="K4875" s="496">
        <v>22.1</v>
      </c>
      <c r="L4875" s="495">
        <f t="shared" si="54"/>
        <v>0.68999999999999773</v>
      </c>
      <c r="M4875" s="337"/>
    </row>
    <row r="4876" spans="1:13" s="71" customFormat="1" ht="26.4" customHeight="1">
      <c r="A4876" s="282">
        <v>634</v>
      </c>
      <c r="B4876" s="534"/>
      <c r="C4876" s="441" t="s">
        <v>5288</v>
      </c>
      <c r="D4876" s="441" t="s">
        <v>6547</v>
      </c>
      <c r="E4876" s="260" t="s">
        <v>6126</v>
      </c>
      <c r="F4876" s="380" t="s">
        <v>6605</v>
      </c>
      <c r="G4876" s="371" t="s">
        <v>1555</v>
      </c>
      <c r="H4876" s="381" t="s">
        <v>5462</v>
      </c>
      <c r="I4876" s="470">
        <v>1230</v>
      </c>
      <c r="J4876" s="496">
        <v>18.670000000000002</v>
      </c>
      <c r="K4876" s="496">
        <v>17.71</v>
      </c>
      <c r="L4876" s="495">
        <f t="shared" si="54"/>
        <v>0.96000000000000085</v>
      </c>
      <c r="M4876" s="337"/>
    </row>
    <row r="4877" spans="1:13" s="71" customFormat="1" ht="26.4" customHeight="1">
      <c r="A4877" s="282">
        <v>635</v>
      </c>
      <c r="B4877" s="534"/>
      <c r="C4877" s="441" t="s">
        <v>5288</v>
      </c>
      <c r="D4877" s="441" t="s">
        <v>6550</v>
      </c>
      <c r="E4877" s="260" t="s">
        <v>6126</v>
      </c>
      <c r="F4877" s="380" t="s">
        <v>6606</v>
      </c>
      <c r="G4877" s="371" t="s">
        <v>1555</v>
      </c>
      <c r="H4877" s="381" t="s">
        <v>5462</v>
      </c>
      <c r="I4877" s="470">
        <v>795</v>
      </c>
      <c r="J4877" s="496">
        <v>12.19</v>
      </c>
      <c r="K4877" s="496">
        <v>11.49</v>
      </c>
      <c r="L4877" s="495">
        <f t="shared" si="54"/>
        <v>0.69999999999999929</v>
      </c>
      <c r="M4877" s="337"/>
    </row>
    <row r="4878" spans="1:13" s="71" customFormat="1" ht="26.4" customHeight="1">
      <c r="A4878" s="282">
        <v>636</v>
      </c>
      <c r="B4878" s="534"/>
      <c r="C4878" s="441" t="s">
        <v>5288</v>
      </c>
      <c r="D4878" s="441" t="s">
        <v>6553</v>
      </c>
      <c r="E4878" s="260" t="s">
        <v>6126</v>
      </c>
      <c r="F4878" s="380" t="s">
        <v>6607</v>
      </c>
      <c r="G4878" s="371" t="s">
        <v>1555</v>
      </c>
      <c r="H4878" s="381" t="s">
        <v>5462</v>
      </c>
      <c r="I4878" s="470">
        <v>290</v>
      </c>
      <c r="J4878" s="496">
        <v>4.53</v>
      </c>
      <c r="K4878" s="496">
        <v>3.84</v>
      </c>
      <c r="L4878" s="495">
        <f t="shared" si="54"/>
        <v>0.69000000000000039</v>
      </c>
      <c r="M4878" s="337"/>
    </row>
    <row r="4879" spans="1:13" s="71" customFormat="1" ht="26.4" customHeight="1">
      <c r="A4879" s="282">
        <v>637</v>
      </c>
      <c r="B4879" s="534"/>
      <c r="C4879" s="441" t="s">
        <v>5288</v>
      </c>
      <c r="D4879" s="441" t="s">
        <v>6573</v>
      </c>
      <c r="E4879" s="260" t="s">
        <v>6126</v>
      </c>
      <c r="F4879" s="380" t="s">
        <v>6608</v>
      </c>
      <c r="G4879" s="371" t="s">
        <v>1555</v>
      </c>
      <c r="H4879" s="381" t="s">
        <v>5462</v>
      </c>
      <c r="I4879" s="470">
        <v>618</v>
      </c>
      <c r="J4879" s="496">
        <v>9.69</v>
      </c>
      <c r="K4879" s="496">
        <v>9</v>
      </c>
      <c r="L4879" s="495">
        <f t="shared" si="54"/>
        <v>0.6899999999999995</v>
      </c>
      <c r="M4879" s="337"/>
    </row>
    <row r="4880" spans="1:13" s="71" customFormat="1" ht="26.4" customHeight="1">
      <c r="A4880" s="282">
        <v>638</v>
      </c>
      <c r="B4880" s="534"/>
      <c r="C4880" s="441" t="s">
        <v>5288</v>
      </c>
      <c r="D4880" s="441" t="s">
        <v>6609</v>
      </c>
      <c r="E4880" s="260" t="s">
        <v>6126</v>
      </c>
      <c r="F4880" s="380" t="s">
        <v>6610</v>
      </c>
      <c r="G4880" s="371" t="s">
        <v>1555</v>
      </c>
      <c r="H4880" s="381" t="s">
        <v>5462</v>
      </c>
      <c r="I4880" s="470">
        <v>550</v>
      </c>
      <c r="J4880" s="496">
        <v>9.73</v>
      </c>
      <c r="K4880" s="496">
        <v>9.0399999999999991</v>
      </c>
      <c r="L4880" s="495">
        <f t="shared" si="54"/>
        <v>0.69000000000000128</v>
      </c>
      <c r="M4880" s="337"/>
    </row>
    <row r="4881" spans="1:13" s="71" customFormat="1" ht="26.4" customHeight="1">
      <c r="A4881" s="282">
        <v>639</v>
      </c>
      <c r="B4881" s="534"/>
      <c r="C4881" s="441" t="s">
        <v>5288</v>
      </c>
      <c r="D4881" s="441" t="s">
        <v>6611</v>
      </c>
      <c r="E4881" s="260" t="s">
        <v>6126</v>
      </c>
      <c r="F4881" s="387" t="s">
        <v>6612</v>
      </c>
      <c r="G4881" s="371" t="s">
        <v>1528</v>
      </c>
      <c r="H4881" s="381" t="s">
        <v>5462</v>
      </c>
      <c r="I4881" s="470">
        <v>230</v>
      </c>
      <c r="J4881" s="496">
        <v>2.1230000000000002</v>
      </c>
      <c r="K4881" s="496">
        <v>1.42</v>
      </c>
      <c r="L4881" s="495">
        <f t="shared" si="54"/>
        <v>0.70300000000000029</v>
      </c>
      <c r="M4881" s="337"/>
    </row>
    <row r="4882" spans="1:13" s="71" customFormat="1" ht="26.4">
      <c r="A4882" s="282">
        <v>640</v>
      </c>
      <c r="B4882" s="534"/>
      <c r="C4882" s="441" t="s">
        <v>12784</v>
      </c>
      <c r="D4882" s="260" t="s">
        <v>3</v>
      </c>
      <c r="E4882" s="260" t="s">
        <v>6137</v>
      </c>
      <c r="F4882" s="380" t="s">
        <v>6613</v>
      </c>
      <c r="G4882" s="371" t="s">
        <v>1567</v>
      </c>
      <c r="H4882" s="381" t="s">
        <v>5462</v>
      </c>
      <c r="I4882" s="470">
        <v>4000</v>
      </c>
      <c r="J4882" s="496">
        <v>44.19</v>
      </c>
      <c r="K4882" s="496">
        <v>12.2</v>
      </c>
      <c r="L4882" s="495">
        <f t="shared" si="54"/>
        <v>31.99</v>
      </c>
      <c r="M4882" s="337"/>
    </row>
    <row r="4883" spans="1:13" s="71" customFormat="1" ht="26.4" customHeight="1">
      <c r="A4883" s="282">
        <v>641</v>
      </c>
      <c r="B4883" s="534"/>
      <c r="C4883" s="441" t="s">
        <v>6029</v>
      </c>
      <c r="D4883" s="260" t="s">
        <v>5309</v>
      </c>
      <c r="E4883" s="260" t="s">
        <v>6614</v>
      </c>
      <c r="F4883" s="380" t="s">
        <v>6615</v>
      </c>
      <c r="G4883" s="371" t="s">
        <v>1566</v>
      </c>
      <c r="H4883" s="381" t="s">
        <v>5462</v>
      </c>
      <c r="I4883" s="470">
        <v>150</v>
      </c>
      <c r="J4883" s="496">
        <v>6.69</v>
      </c>
      <c r="K4883" s="496">
        <v>5.0599999999999996</v>
      </c>
      <c r="L4883" s="495">
        <f t="shared" ref="L4883:L4917" si="55">J4883-K4883</f>
        <v>1.6300000000000008</v>
      </c>
      <c r="M4883" s="337"/>
    </row>
    <row r="4884" spans="1:13" s="71" customFormat="1" ht="26.4" customHeight="1">
      <c r="A4884" s="282">
        <v>642</v>
      </c>
      <c r="B4884" s="534"/>
      <c r="C4884" s="441" t="s">
        <v>6029</v>
      </c>
      <c r="D4884" s="260" t="s">
        <v>3</v>
      </c>
      <c r="E4884" s="260" t="s">
        <v>6616</v>
      </c>
      <c r="F4884" s="380" t="s">
        <v>6617</v>
      </c>
      <c r="G4884" s="371" t="s">
        <v>1566</v>
      </c>
      <c r="H4884" s="381" t="s">
        <v>5462</v>
      </c>
      <c r="I4884" s="470">
        <v>6494</v>
      </c>
      <c r="J4884" s="496">
        <v>618.87</v>
      </c>
      <c r="K4884" s="496">
        <v>615.84</v>
      </c>
      <c r="L4884" s="495">
        <f t="shared" si="55"/>
        <v>3.0299999999999727</v>
      </c>
      <c r="M4884" s="337"/>
    </row>
    <row r="4885" spans="1:13" s="71" customFormat="1" ht="26.4" customHeight="1">
      <c r="A4885" s="282">
        <v>643</v>
      </c>
      <c r="B4885" s="534"/>
      <c r="C4885" s="441" t="s">
        <v>6029</v>
      </c>
      <c r="D4885" s="260" t="s">
        <v>3</v>
      </c>
      <c r="E4885" s="260" t="s">
        <v>6618</v>
      </c>
      <c r="F4885" s="380" t="s">
        <v>6619</v>
      </c>
      <c r="G4885" s="371" t="s">
        <v>1566</v>
      </c>
      <c r="H4885" s="381" t="s">
        <v>5462</v>
      </c>
      <c r="I4885" s="470">
        <v>5000</v>
      </c>
      <c r="J4885" s="496">
        <v>393.05</v>
      </c>
      <c r="K4885" s="496">
        <v>349.78</v>
      </c>
      <c r="L4885" s="495">
        <f t="shared" si="55"/>
        <v>43.270000000000039</v>
      </c>
      <c r="M4885" s="337"/>
    </row>
    <row r="4886" spans="1:13" s="71" customFormat="1" ht="26.4" customHeight="1">
      <c r="A4886" s="282">
        <v>644</v>
      </c>
      <c r="B4886" s="534"/>
      <c r="C4886" s="441" t="s">
        <v>6029</v>
      </c>
      <c r="D4886" s="260" t="s">
        <v>3</v>
      </c>
      <c r="E4886" s="260" t="s">
        <v>6620</v>
      </c>
      <c r="F4886" s="380" t="s">
        <v>6621</v>
      </c>
      <c r="G4886" s="371" t="s">
        <v>1566</v>
      </c>
      <c r="H4886" s="381" t="s">
        <v>5462</v>
      </c>
      <c r="I4886" s="470">
        <v>4300</v>
      </c>
      <c r="J4886" s="496">
        <v>500.77</v>
      </c>
      <c r="K4886" s="496">
        <v>500.07</v>
      </c>
      <c r="L4886" s="495">
        <f t="shared" si="55"/>
        <v>0.69999999999998863</v>
      </c>
      <c r="M4886" s="337"/>
    </row>
    <row r="4887" spans="1:13" s="71" customFormat="1" ht="26.4" customHeight="1">
      <c r="A4887" s="282">
        <v>645</v>
      </c>
      <c r="B4887" s="534"/>
      <c r="C4887" s="441" t="s">
        <v>6029</v>
      </c>
      <c r="D4887" s="260" t="s">
        <v>3</v>
      </c>
      <c r="E4887" s="260" t="s">
        <v>6622</v>
      </c>
      <c r="F4887" s="380" t="s">
        <v>6623</v>
      </c>
      <c r="G4887" s="371" t="s">
        <v>1566</v>
      </c>
      <c r="H4887" s="381" t="s">
        <v>5462</v>
      </c>
      <c r="I4887" s="470">
        <v>5100</v>
      </c>
      <c r="J4887" s="496">
        <v>127.21</v>
      </c>
      <c r="K4887" s="496">
        <v>120</v>
      </c>
      <c r="L4887" s="495">
        <f t="shared" si="55"/>
        <v>7.2099999999999937</v>
      </c>
      <c r="M4887" s="337"/>
    </row>
    <row r="4888" spans="1:13" s="71" customFormat="1" ht="26.4" customHeight="1">
      <c r="A4888" s="282">
        <v>646</v>
      </c>
      <c r="B4888" s="534"/>
      <c r="C4888" s="441" t="s">
        <v>5319</v>
      </c>
      <c r="D4888" s="451" t="s">
        <v>6624</v>
      </c>
      <c r="E4888" s="260" t="s">
        <v>6625</v>
      </c>
      <c r="F4888" s="380" t="s">
        <v>6626</v>
      </c>
      <c r="G4888" s="371" t="s">
        <v>1535</v>
      </c>
      <c r="H4888" s="381" t="s">
        <v>5462</v>
      </c>
      <c r="I4888" s="470">
        <v>20</v>
      </c>
      <c r="J4888" s="496">
        <v>2.79</v>
      </c>
      <c r="K4888" s="496">
        <v>1.93</v>
      </c>
      <c r="L4888" s="495">
        <f t="shared" si="55"/>
        <v>0.8600000000000001</v>
      </c>
      <c r="M4888" s="337"/>
    </row>
    <row r="4889" spans="1:13" s="71" customFormat="1" ht="26.4" customHeight="1">
      <c r="A4889" s="282">
        <v>647</v>
      </c>
      <c r="B4889" s="534"/>
      <c r="C4889" s="441" t="s">
        <v>5319</v>
      </c>
      <c r="D4889" s="441" t="s">
        <v>6627</v>
      </c>
      <c r="E4889" s="260" t="s">
        <v>6625</v>
      </c>
      <c r="F4889" s="380" t="s">
        <v>6628</v>
      </c>
      <c r="G4889" s="371" t="s">
        <v>1532</v>
      </c>
      <c r="H4889" s="381" t="s">
        <v>5462</v>
      </c>
      <c r="I4889" s="470">
        <v>38</v>
      </c>
      <c r="J4889" s="496">
        <v>9.82</v>
      </c>
      <c r="K4889" s="496">
        <v>2.58</v>
      </c>
      <c r="L4889" s="495">
        <f t="shared" si="55"/>
        <v>7.24</v>
      </c>
      <c r="M4889" s="337"/>
    </row>
    <row r="4890" spans="1:13" s="71" customFormat="1" ht="26.4" customHeight="1">
      <c r="A4890" s="282">
        <v>648</v>
      </c>
      <c r="B4890" s="534"/>
      <c r="C4890" s="441" t="s">
        <v>5319</v>
      </c>
      <c r="D4890" s="260" t="s">
        <v>3</v>
      </c>
      <c r="E4890" s="260" t="s">
        <v>6629</v>
      </c>
      <c r="F4890" s="380" t="s">
        <v>6630</v>
      </c>
      <c r="G4890" s="371" t="s">
        <v>1572</v>
      </c>
      <c r="H4890" s="381" t="s">
        <v>5462</v>
      </c>
      <c r="I4890" s="470">
        <v>11373</v>
      </c>
      <c r="J4890" s="496">
        <v>506.14</v>
      </c>
      <c r="K4890" s="496">
        <v>297.45</v>
      </c>
      <c r="L4890" s="495">
        <f t="shared" si="55"/>
        <v>208.69</v>
      </c>
      <c r="M4890" s="337"/>
    </row>
    <row r="4891" spans="1:13" s="71" customFormat="1" ht="26.4" customHeight="1">
      <c r="A4891" s="282">
        <v>649</v>
      </c>
      <c r="B4891" s="534"/>
      <c r="C4891" s="441" t="s">
        <v>5319</v>
      </c>
      <c r="D4891" s="260" t="s">
        <v>3</v>
      </c>
      <c r="E4891" s="260" t="s">
        <v>6631</v>
      </c>
      <c r="F4891" s="380" t="s">
        <v>6632</v>
      </c>
      <c r="G4891" s="371" t="s">
        <v>1572</v>
      </c>
      <c r="H4891" s="381" t="s">
        <v>5462</v>
      </c>
      <c r="I4891" s="470">
        <v>4121</v>
      </c>
      <c r="J4891" s="496">
        <v>101.58</v>
      </c>
      <c r="K4891" s="496">
        <v>42.59</v>
      </c>
      <c r="L4891" s="495">
        <f t="shared" si="55"/>
        <v>58.989999999999995</v>
      </c>
      <c r="M4891" s="337"/>
    </row>
    <row r="4892" spans="1:13" s="71" customFormat="1" ht="26.4" customHeight="1">
      <c r="A4892" s="282">
        <v>650</v>
      </c>
      <c r="B4892" s="534"/>
      <c r="C4892" s="441" t="s">
        <v>5319</v>
      </c>
      <c r="D4892" s="441" t="s">
        <v>6624</v>
      </c>
      <c r="E4892" s="260" t="s">
        <v>6625</v>
      </c>
      <c r="F4892" s="380" t="s">
        <v>6633</v>
      </c>
      <c r="G4892" s="371" t="s">
        <v>1579</v>
      </c>
      <c r="H4892" s="381" t="s">
        <v>5462</v>
      </c>
      <c r="I4892" s="470">
        <v>50</v>
      </c>
      <c r="J4892" s="496">
        <v>3.64</v>
      </c>
      <c r="K4892" s="496">
        <v>1.06</v>
      </c>
      <c r="L4892" s="495">
        <f t="shared" si="55"/>
        <v>2.58</v>
      </c>
      <c r="M4892" s="337"/>
    </row>
    <row r="4893" spans="1:13" s="71" customFormat="1" ht="26.4" customHeight="1">
      <c r="A4893" s="282">
        <v>651</v>
      </c>
      <c r="B4893" s="534"/>
      <c r="C4893" s="441" t="s">
        <v>5319</v>
      </c>
      <c r="D4893" s="441" t="s">
        <v>6634</v>
      </c>
      <c r="E4893" s="260" t="s">
        <v>6137</v>
      </c>
      <c r="F4893" s="380" t="s">
        <v>6635</v>
      </c>
      <c r="G4893" s="371" t="s">
        <v>1583</v>
      </c>
      <c r="H4893" s="381" t="s">
        <v>5462</v>
      </c>
      <c r="I4893" s="470">
        <v>1180</v>
      </c>
      <c r="J4893" s="496">
        <v>20.11</v>
      </c>
      <c r="K4893" s="496">
        <v>17.53</v>
      </c>
      <c r="L4893" s="495">
        <f t="shared" si="55"/>
        <v>2.5799999999999983</v>
      </c>
      <c r="M4893" s="337"/>
    </row>
    <row r="4894" spans="1:13" s="71" customFormat="1" ht="26.4" customHeight="1">
      <c r="A4894" s="282">
        <v>652</v>
      </c>
      <c r="B4894" s="534"/>
      <c r="C4894" s="441" t="s">
        <v>5319</v>
      </c>
      <c r="D4894" s="441" t="s">
        <v>6636</v>
      </c>
      <c r="E4894" s="260" t="s">
        <v>6137</v>
      </c>
      <c r="F4894" s="380" t="s">
        <v>6637</v>
      </c>
      <c r="G4894" s="371" t="s">
        <v>1546</v>
      </c>
      <c r="H4894" s="381" t="s">
        <v>5462</v>
      </c>
      <c r="I4894" s="470">
        <v>1087</v>
      </c>
      <c r="J4894" s="496">
        <v>19.41</v>
      </c>
      <c r="K4894" s="496">
        <v>16.829999999999998</v>
      </c>
      <c r="L4894" s="495">
        <f t="shared" si="55"/>
        <v>2.5800000000000018</v>
      </c>
      <c r="M4894" s="337"/>
    </row>
    <row r="4895" spans="1:13" s="71" customFormat="1" ht="26.4" customHeight="1">
      <c r="A4895" s="282">
        <v>653</v>
      </c>
      <c r="B4895" s="534"/>
      <c r="C4895" s="441" t="s">
        <v>5319</v>
      </c>
      <c r="D4895" s="441" t="s">
        <v>6638</v>
      </c>
      <c r="E4895" s="260" t="s">
        <v>6137</v>
      </c>
      <c r="F4895" s="380" t="s">
        <v>6639</v>
      </c>
      <c r="G4895" s="371" t="s">
        <v>1546</v>
      </c>
      <c r="H4895" s="381" t="s">
        <v>5462</v>
      </c>
      <c r="I4895" s="470">
        <v>2080</v>
      </c>
      <c r="J4895" s="496">
        <v>92.35</v>
      </c>
      <c r="K4895" s="496">
        <v>43.51</v>
      </c>
      <c r="L4895" s="495">
        <f t="shared" si="55"/>
        <v>48.839999999999996</v>
      </c>
      <c r="M4895" s="337"/>
    </row>
    <row r="4896" spans="1:13" s="71" customFormat="1" ht="26.4" customHeight="1">
      <c r="A4896" s="282">
        <v>654</v>
      </c>
      <c r="B4896" s="534"/>
      <c r="C4896" s="441" t="s">
        <v>5319</v>
      </c>
      <c r="D4896" s="441" t="s">
        <v>6640</v>
      </c>
      <c r="E4896" s="260" t="s">
        <v>6641</v>
      </c>
      <c r="F4896" s="380" t="s">
        <v>6642</v>
      </c>
      <c r="G4896" s="371" t="s">
        <v>1546</v>
      </c>
      <c r="H4896" s="381" t="s">
        <v>5462</v>
      </c>
      <c r="I4896" s="470">
        <v>2537</v>
      </c>
      <c r="J4896" s="496">
        <v>74.540000000000006</v>
      </c>
      <c r="K4896" s="496">
        <v>71.959999999999994</v>
      </c>
      <c r="L4896" s="495">
        <f t="shared" si="55"/>
        <v>2.5800000000000125</v>
      </c>
      <c r="M4896" s="337"/>
    </row>
    <row r="4897" spans="1:13" s="71" customFormat="1" ht="26.4" customHeight="1">
      <c r="A4897" s="282">
        <v>655</v>
      </c>
      <c r="B4897" s="534"/>
      <c r="C4897" s="441" t="s">
        <v>5319</v>
      </c>
      <c r="D4897" s="260" t="s">
        <v>6643</v>
      </c>
      <c r="E4897" s="260" t="s">
        <v>6644</v>
      </c>
      <c r="F4897" s="380" t="s">
        <v>6645</v>
      </c>
      <c r="G4897" s="371" t="s">
        <v>1566</v>
      </c>
      <c r="H4897" s="381" t="s">
        <v>3243</v>
      </c>
      <c r="I4897" s="470" t="s">
        <v>3243</v>
      </c>
      <c r="J4897" s="496">
        <v>280.87</v>
      </c>
      <c r="K4897" s="496">
        <v>278.29000000000002</v>
      </c>
      <c r="L4897" s="495">
        <f t="shared" si="55"/>
        <v>2.5799999999999841</v>
      </c>
      <c r="M4897" s="337"/>
    </row>
    <row r="4898" spans="1:13" s="71" customFormat="1" ht="26.4" customHeight="1">
      <c r="A4898" s="282">
        <v>656</v>
      </c>
      <c r="B4898" s="534"/>
      <c r="C4898" s="441" t="s">
        <v>5319</v>
      </c>
      <c r="D4898" s="441" t="s">
        <v>6646</v>
      </c>
      <c r="E4898" s="260" t="s">
        <v>6137</v>
      </c>
      <c r="F4898" s="380" t="s">
        <v>6647</v>
      </c>
      <c r="G4898" s="371" t="s">
        <v>1566</v>
      </c>
      <c r="H4898" s="381" t="s">
        <v>5462</v>
      </c>
      <c r="I4898" s="470">
        <v>1356</v>
      </c>
      <c r="J4898" s="496">
        <v>14.32</v>
      </c>
      <c r="K4898" s="496">
        <v>11.75</v>
      </c>
      <c r="L4898" s="495">
        <f t="shared" si="55"/>
        <v>2.5700000000000003</v>
      </c>
      <c r="M4898" s="337"/>
    </row>
    <row r="4899" spans="1:13" s="71" customFormat="1" ht="26.4" customHeight="1">
      <c r="A4899" s="282">
        <v>657</v>
      </c>
      <c r="B4899" s="534"/>
      <c r="C4899" s="441" t="s">
        <v>5319</v>
      </c>
      <c r="D4899" s="441" t="s">
        <v>6648</v>
      </c>
      <c r="E4899" s="260" t="s">
        <v>6137</v>
      </c>
      <c r="F4899" s="380" t="s">
        <v>6649</v>
      </c>
      <c r="G4899" s="371" t="s">
        <v>1539</v>
      </c>
      <c r="H4899" s="381" t="s">
        <v>5462</v>
      </c>
      <c r="I4899" s="470">
        <v>646</v>
      </c>
      <c r="J4899" s="496">
        <v>14.24</v>
      </c>
      <c r="K4899" s="496">
        <v>11.66</v>
      </c>
      <c r="L4899" s="495">
        <f t="shared" si="55"/>
        <v>2.58</v>
      </c>
      <c r="M4899" s="337"/>
    </row>
    <row r="4900" spans="1:13" s="71" customFormat="1" ht="26.4" customHeight="1">
      <c r="A4900" s="282">
        <v>658</v>
      </c>
      <c r="B4900" s="534"/>
      <c r="C4900" s="441" t="s">
        <v>5319</v>
      </c>
      <c r="D4900" s="441" t="s">
        <v>6650</v>
      </c>
      <c r="E4900" s="260" t="s">
        <v>6137</v>
      </c>
      <c r="F4900" s="380" t="s">
        <v>6651</v>
      </c>
      <c r="G4900" s="371" t="s">
        <v>1543</v>
      </c>
      <c r="H4900" s="381" t="s">
        <v>5462</v>
      </c>
      <c r="I4900" s="470">
        <v>654</v>
      </c>
      <c r="J4900" s="496">
        <v>46.36</v>
      </c>
      <c r="K4900" s="496">
        <v>30.95</v>
      </c>
      <c r="L4900" s="495">
        <f t="shared" si="55"/>
        <v>15.41</v>
      </c>
      <c r="M4900" s="337"/>
    </row>
    <row r="4901" spans="1:13" s="71" customFormat="1" ht="26.4" customHeight="1">
      <c r="A4901" s="282">
        <v>659</v>
      </c>
      <c r="B4901" s="534"/>
      <c r="C4901" s="441" t="s">
        <v>5319</v>
      </c>
      <c r="D4901" s="441" t="s">
        <v>6640</v>
      </c>
      <c r="E4901" s="260" t="s">
        <v>6126</v>
      </c>
      <c r="F4901" s="380" t="s">
        <v>6652</v>
      </c>
      <c r="G4901" s="371" t="s">
        <v>1557</v>
      </c>
      <c r="H4901" s="381" t="s">
        <v>5462</v>
      </c>
      <c r="I4901" s="470">
        <v>592</v>
      </c>
      <c r="J4901" s="496">
        <v>5.0599999999999996</v>
      </c>
      <c r="K4901" s="496">
        <v>2.48</v>
      </c>
      <c r="L4901" s="495">
        <f t="shared" si="55"/>
        <v>2.5799999999999996</v>
      </c>
      <c r="M4901" s="337"/>
    </row>
    <row r="4902" spans="1:13" s="71" customFormat="1" ht="26.4" customHeight="1">
      <c r="A4902" s="282">
        <v>660</v>
      </c>
      <c r="B4902" s="534"/>
      <c r="C4902" s="441" t="s">
        <v>5319</v>
      </c>
      <c r="D4902" s="260" t="s">
        <v>6653</v>
      </c>
      <c r="E4902" s="260" t="s">
        <v>6654</v>
      </c>
      <c r="F4902" s="380" t="s">
        <v>6067</v>
      </c>
      <c r="G4902" s="371" t="s">
        <v>1529</v>
      </c>
      <c r="H4902" s="381" t="s">
        <v>5462</v>
      </c>
      <c r="I4902" s="470">
        <v>900</v>
      </c>
      <c r="J4902" s="496">
        <v>89.67</v>
      </c>
      <c r="K4902" s="496">
        <v>63.17</v>
      </c>
      <c r="L4902" s="495">
        <f t="shared" si="55"/>
        <v>26.5</v>
      </c>
      <c r="M4902" s="337"/>
    </row>
    <row r="4903" spans="1:13" s="71" customFormat="1" ht="26.4" customHeight="1">
      <c r="A4903" s="282">
        <v>661</v>
      </c>
      <c r="B4903" s="534"/>
      <c r="C4903" s="441" t="s">
        <v>5319</v>
      </c>
      <c r="D4903" s="441" t="s">
        <v>6640</v>
      </c>
      <c r="E4903" s="260" t="s">
        <v>6137</v>
      </c>
      <c r="F4903" s="380" t="s">
        <v>6655</v>
      </c>
      <c r="G4903" s="371" t="s">
        <v>1139</v>
      </c>
      <c r="H4903" s="381" t="s">
        <v>5462</v>
      </c>
      <c r="I4903" s="470">
        <v>1176</v>
      </c>
      <c r="J4903" s="496">
        <v>74.84</v>
      </c>
      <c r="K4903" s="496">
        <v>47.33</v>
      </c>
      <c r="L4903" s="495">
        <f t="shared" si="55"/>
        <v>27.510000000000005</v>
      </c>
      <c r="M4903" s="337"/>
    </row>
    <row r="4904" spans="1:13" s="71" customFormat="1" ht="26.4" customHeight="1">
      <c r="A4904" s="282">
        <v>662</v>
      </c>
      <c r="B4904" s="534"/>
      <c r="C4904" s="441" t="s">
        <v>5319</v>
      </c>
      <c r="D4904" s="441" t="s">
        <v>6656</v>
      </c>
      <c r="E4904" s="260" t="s">
        <v>6126</v>
      </c>
      <c r="F4904" s="380" t="s">
        <v>6657</v>
      </c>
      <c r="G4904" s="371" t="s">
        <v>1571</v>
      </c>
      <c r="H4904" s="381" t="s">
        <v>5462</v>
      </c>
      <c r="I4904" s="470">
        <v>76</v>
      </c>
      <c r="J4904" s="496">
        <v>59.89</v>
      </c>
      <c r="K4904" s="496">
        <v>57.71</v>
      </c>
      <c r="L4904" s="495">
        <f t="shared" si="55"/>
        <v>2.1799999999999997</v>
      </c>
      <c r="M4904" s="337"/>
    </row>
    <row r="4905" spans="1:13" s="71" customFormat="1" ht="26.4" customHeight="1">
      <c r="A4905" s="282">
        <v>663</v>
      </c>
      <c r="B4905" s="534"/>
      <c r="C4905" s="441" t="s">
        <v>5265</v>
      </c>
      <c r="D4905" s="441" t="s">
        <v>6658</v>
      </c>
      <c r="E4905" s="260" t="s">
        <v>6659</v>
      </c>
      <c r="F4905" s="380" t="s">
        <v>6660</v>
      </c>
      <c r="G4905" s="371" t="s">
        <v>1547</v>
      </c>
      <c r="H4905" s="381" t="s">
        <v>5462</v>
      </c>
      <c r="I4905" s="470">
        <v>589</v>
      </c>
      <c r="J4905" s="496">
        <v>13.47</v>
      </c>
      <c r="K4905" s="496">
        <v>3.49</v>
      </c>
      <c r="L4905" s="495">
        <f t="shared" si="55"/>
        <v>9.98</v>
      </c>
      <c r="M4905" s="337"/>
    </row>
    <row r="4906" spans="1:13" s="71" customFormat="1" ht="26.4" customHeight="1">
      <c r="A4906" s="282">
        <v>664</v>
      </c>
      <c r="B4906" s="534"/>
      <c r="C4906" s="441" t="s">
        <v>5265</v>
      </c>
      <c r="D4906" s="441" t="s">
        <v>6661</v>
      </c>
      <c r="E4906" s="260" t="s">
        <v>6137</v>
      </c>
      <c r="F4906" s="380" t="s">
        <v>6662</v>
      </c>
      <c r="G4906" s="371" t="s">
        <v>1547</v>
      </c>
      <c r="H4906" s="381" t="s">
        <v>5462</v>
      </c>
      <c r="I4906" s="470">
        <v>3754</v>
      </c>
      <c r="J4906" s="496">
        <v>2522.37</v>
      </c>
      <c r="K4906" s="496">
        <v>817.36</v>
      </c>
      <c r="L4906" s="495">
        <f t="shared" si="55"/>
        <v>1705.0099999999998</v>
      </c>
      <c r="M4906" s="337"/>
    </row>
    <row r="4907" spans="1:13" s="71" customFormat="1" ht="26.4" customHeight="1">
      <c r="A4907" s="282">
        <v>665</v>
      </c>
      <c r="B4907" s="534"/>
      <c r="C4907" s="441" t="s">
        <v>5265</v>
      </c>
      <c r="D4907" s="444" t="s">
        <v>6663</v>
      </c>
      <c r="E4907" s="260" t="s">
        <v>6373</v>
      </c>
      <c r="F4907" s="380" t="s">
        <v>6664</v>
      </c>
      <c r="G4907" s="371" t="s">
        <v>1547</v>
      </c>
      <c r="H4907" s="381" t="s">
        <v>5462</v>
      </c>
      <c r="I4907" s="470">
        <v>1144</v>
      </c>
      <c r="J4907" s="496">
        <v>5.46</v>
      </c>
      <c r="K4907" s="496">
        <v>1.07</v>
      </c>
      <c r="L4907" s="495">
        <f t="shared" si="55"/>
        <v>4.3899999999999997</v>
      </c>
      <c r="M4907" s="337"/>
    </row>
    <row r="4908" spans="1:13" s="71" customFormat="1" ht="26.4" customHeight="1">
      <c r="A4908" s="282">
        <v>666</v>
      </c>
      <c r="B4908" s="534"/>
      <c r="C4908" s="441" t="s">
        <v>5265</v>
      </c>
      <c r="D4908" s="441" t="s">
        <v>6665</v>
      </c>
      <c r="E4908" s="260" t="s">
        <v>6137</v>
      </c>
      <c r="F4908" s="380" t="s">
        <v>6666</v>
      </c>
      <c r="G4908" s="371" t="s">
        <v>1577</v>
      </c>
      <c r="H4908" s="381" t="s">
        <v>5462</v>
      </c>
      <c r="I4908" s="470">
        <v>4400</v>
      </c>
      <c r="J4908" s="496">
        <v>1.24</v>
      </c>
      <c r="K4908" s="496">
        <v>0.28000000000000003</v>
      </c>
      <c r="L4908" s="495">
        <f t="shared" si="55"/>
        <v>0.96</v>
      </c>
      <c r="M4908" s="337"/>
    </row>
    <row r="4909" spans="1:13" s="71" customFormat="1" ht="26.4" customHeight="1">
      <c r="A4909" s="282">
        <v>667</v>
      </c>
      <c r="B4909" s="534"/>
      <c r="C4909" s="441" t="s">
        <v>5265</v>
      </c>
      <c r="D4909" s="441" t="s">
        <v>6667</v>
      </c>
      <c r="E4909" s="260" t="s">
        <v>6668</v>
      </c>
      <c r="F4909" s="380" t="s">
        <v>6669</v>
      </c>
      <c r="G4909" s="371" t="s">
        <v>1577</v>
      </c>
      <c r="H4909" s="381" t="s">
        <v>5462</v>
      </c>
      <c r="I4909" s="470">
        <v>190</v>
      </c>
      <c r="J4909" s="496">
        <v>4.59</v>
      </c>
      <c r="K4909" s="496">
        <v>1.03</v>
      </c>
      <c r="L4909" s="495">
        <f t="shared" si="55"/>
        <v>3.5599999999999996</v>
      </c>
      <c r="M4909" s="337"/>
    </row>
    <row r="4910" spans="1:13" s="71" customFormat="1" ht="26.4" customHeight="1">
      <c r="A4910" s="282">
        <v>668</v>
      </c>
      <c r="B4910" s="534"/>
      <c r="C4910" s="441" t="s">
        <v>5265</v>
      </c>
      <c r="D4910" s="441" t="s">
        <v>6670</v>
      </c>
      <c r="E4910" s="260" t="s">
        <v>6373</v>
      </c>
      <c r="F4910" s="380" t="s">
        <v>6671</v>
      </c>
      <c r="G4910" s="371" t="s">
        <v>1577</v>
      </c>
      <c r="H4910" s="381" t="s">
        <v>5462</v>
      </c>
      <c r="I4910" s="470">
        <v>236</v>
      </c>
      <c r="J4910" s="496">
        <v>4.8099999999999996</v>
      </c>
      <c r="K4910" s="496">
        <v>0.81</v>
      </c>
      <c r="L4910" s="495">
        <f t="shared" si="55"/>
        <v>3.9999999999999996</v>
      </c>
      <c r="M4910" s="337"/>
    </row>
    <row r="4911" spans="1:13" s="71" customFormat="1" ht="26.4" customHeight="1">
      <c r="A4911" s="282">
        <v>669</v>
      </c>
      <c r="B4911" s="534"/>
      <c r="C4911" s="441" t="s">
        <v>5265</v>
      </c>
      <c r="D4911" s="441" t="s">
        <v>6672</v>
      </c>
      <c r="E4911" s="260" t="s">
        <v>6373</v>
      </c>
      <c r="F4911" s="380" t="s">
        <v>6673</v>
      </c>
      <c r="G4911" s="371" t="s">
        <v>1577</v>
      </c>
      <c r="H4911" s="381" t="s">
        <v>5462</v>
      </c>
      <c r="I4911" s="470">
        <v>146</v>
      </c>
      <c r="J4911" s="496">
        <v>1.99</v>
      </c>
      <c r="K4911" s="496">
        <v>0.43</v>
      </c>
      <c r="L4911" s="495">
        <f t="shared" si="55"/>
        <v>1.56</v>
      </c>
      <c r="M4911" s="337"/>
    </row>
    <row r="4912" spans="1:13" s="71" customFormat="1" ht="26.4" customHeight="1">
      <c r="A4912" s="282">
        <v>670</v>
      </c>
      <c r="B4912" s="534"/>
      <c r="C4912" s="441" t="s">
        <v>5265</v>
      </c>
      <c r="D4912" s="441" t="s">
        <v>6674</v>
      </c>
      <c r="E4912" s="260" t="s">
        <v>13154</v>
      </c>
      <c r="F4912" s="380" t="s">
        <v>6675</v>
      </c>
      <c r="G4912" s="371" t="s">
        <v>1577</v>
      </c>
      <c r="H4912" s="381" t="s">
        <v>5462</v>
      </c>
      <c r="I4912" s="470">
        <v>105</v>
      </c>
      <c r="J4912" s="496">
        <v>2.96</v>
      </c>
      <c r="K4912" s="496">
        <v>0.64</v>
      </c>
      <c r="L4912" s="495">
        <f t="shared" si="55"/>
        <v>2.3199999999999998</v>
      </c>
      <c r="M4912" s="337"/>
    </row>
    <row r="4913" spans="1:13" s="71" customFormat="1" ht="26.4" customHeight="1">
      <c r="A4913" s="282">
        <v>671</v>
      </c>
      <c r="B4913" s="534"/>
      <c r="C4913" s="441" t="s">
        <v>5288</v>
      </c>
      <c r="D4913" s="441" t="s">
        <v>6676</v>
      </c>
      <c r="E4913" s="260" t="s">
        <v>6126</v>
      </c>
      <c r="F4913" s="380" t="s">
        <v>6677</v>
      </c>
      <c r="G4913" s="371" t="s">
        <v>1577</v>
      </c>
      <c r="H4913" s="381" t="s">
        <v>5462</v>
      </c>
      <c r="I4913" s="470">
        <v>300</v>
      </c>
      <c r="J4913" s="496">
        <v>0.19</v>
      </c>
      <c r="K4913" s="496">
        <v>0.04</v>
      </c>
      <c r="L4913" s="495">
        <f t="shared" si="55"/>
        <v>0.15</v>
      </c>
      <c r="M4913" s="337"/>
    </row>
    <row r="4914" spans="1:13" s="71" customFormat="1" ht="26.4" customHeight="1">
      <c r="A4914" s="282">
        <v>672</v>
      </c>
      <c r="B4914" s="534"/>
      <c r="C4914" s="441" t="s">
        <v>5265</v>
      </c>
      <c r="D4914" s="441" t="s">
        <v>6678</v>
      </c>
      <c r="E4914" s="260" t="s">
        <v>6145</v>
      </c>
      <c r="F4914" s="380" t="s">
        <v>6679</v>
      </c>
      <c r="G4914" s="371" t="s">
        <v>1577</v>
      </c>
      <c r="H4914" s="381" t="s">
        <v>5462</v>
      </c>
      <c r="I4914" s="470">
        <v>951</v>
      </c>
      <c r="J4914" s="496">
        <v>3.41</v>
      </c>
      <c r="K4914" s="496">
        <v>0.73</v>
      </c>
      <c r="L4914" s="495">
        <f t="shared" si="55"/>
        <v>2.68</v>
      </c>
      <c r="M4914" s="337"/>
    </row>
    <row r="4915" spans="1:13" s="71" customFormat="1" ht="26.4" customHeight="1">
      <c r="A4915" s="282">
        <v>673</v>
      </c>
      <c r="B4915" s="534"/>
      <c r="C4915" s="441" t="s">
        <v>5265</v>
      </c>
      <c r="D4915" s="441" t="s">
        <v>6680</v>
      </c>
      <c r="E4915" s="260" t="s">
        <v>6373</v>
      </c>
      <c r="F4915" s="380" t="s">
        <v>6681</v>
      </c>
      <c r="G4915" s="371" t="s">
        <v>1577</v>
      </c>
      <c r="H4915" s="381" t="s">
        <v>5462</v>
      </c>
      <c r="I4915" s="470">
        <v>257</v>
      </c>
      <c r="J4915" s="496">
        <v>2.15</v>
      </c>
      <c r="K4915" s="496">
        <v>0.46</v>
      </c>
      <c r="L4915" s="495">
        <f t="shared" si="55"/>
        <v>1.69</v>
      </c>
      <c r="M4915" s="337"/>
    </row>
    <row r="4916" spans="1:13" s="71" customFormat="1" ht="26.4" customHeight="1">
      <c r="A4916" s="282">
        <v>674</v>
      </c>
      <c r="B4916" s="534"/>
      <c r="C4916" s="441" t="s">
        <v>5265</v>
      </c>
      <c r="D4916" s="441" t="s">
        <v>6682</v>
      </c>
      <c r="E4916" s="260" t="s">
        <v>6683</v>
      </c>
      <c r="F4916" s="380" t="s">
        <v>6684</v>
      </c>
      <c r="G4916" s="371" t="s">
        <v>1577</v>
      </c>
      <c r="H4916" s="381" t="s">
        <v>5462</v>
      </c>
      <c r="I4916" s="470">
        <v>1072</v>
      </c>
      <c r="J4916" s="496">
        <v>25.74</v>
      </c>
      <c r="K4916" s="496">
        <v>4.1900000000000004</v>
      </c>
      <c r="L4916" s="495">
        <f t="shared" si="55"/>
        <v>21.549999999999997</v>
      </c>
      <c r="M4916" s="337"/>
    </row>
    <row r="4917" spans="1:13" s="71" customFormat="1" ht="26.4" customHeight="1">
      <c r="A4917" s="282">
        <v>675</v>
      </c>
      <c r="B4917" s="534"/>
      <c r="C4917" s="441" t="s">
        <v>5315</v>
      </c>
      <c r="D4917" s="441" t="s">
        <v>6685</v>
      </c>
      <c r="E4917" s="260" t="s">
        <v>6126</v>
      </c>
      <c r="F4917" s="380" t="s">
        <v>6686</v>
      </c>
      <c r="G4917" s="371" t="s">
        <v>1577</v>
      </c>
      <c r="H4917" s="381" t="s">
        <v>5462</v>
      </c>
      <c r="I4917" s="470">
        <v>405</v>
      </c>
      <c r="J4917" s="496">
        <v>0.49</v>
      </c>
      <c r="K4917" s="496">
        <v>0.08</v>
      </c>
      <c r="L4917" s="495">
        <f t="shared" si="55"/>
        <v>0.41</v>
      </c>
      <c r="M4917" s="337"/>
    </row>
    <row r="4918" spans="1:13" s="71" customFormat="1" ht="26.4" customHeight="1">
      <c r="A4918" s="324" t="s">
        <v>3</v>
      </c>
      <c r="B4918" s="341" t="s">
        <v>4</v>
      </c>
      <c r="C4918" s="341" t="s">
        <v>3</v>
      </c>
      <c r="D4918" s="325" t="s">
        <v>3</v>
      </c>
      <c r="E4918" s="341" t="s">
        <v>3</v>
      </c>
      <c r="F4918" s="389" t="s">
        <v>3</v>
      </c>
      <c r="G4918" s="341" t="s">
        <v>3</v>
      </c>
      <c r="H4918" s="327" t="s">
        <v>3</v>
      </c>
      <c r="I4918" s="325" t="s">
        <v>3</v>
      </c>
      <c r="J4918" s="390">
        <f>SUM(J4243:J4917)</f>
        <v>43694.29900000005</v>
      </c>
      <c r="K4918" s="390">
        <f>SUM(K4243:K4917)</f>
        <v>25641.399999999987</v>
      </c>
      <c r="L4918" s="390">
        <f>SUM(L4243:L4917)</f>
        <v>18052.899000000049</v>
      </c>
      <c r="M4918" s="337"/>
    </row>
    <row r="4919" spans="1:13" s="332" customFormat="1" ht="26.4" customHeight="1">
      <c r="A4919" s="445">
        <v>1</v>
      </c>
      <c r="B4919" s="536" t="s">
        <v>12846</v>
      </c>
      <c r="C4919" s="444" t="s">
        <v>1154</v>
      </c>
      <c r="D4919" s="444" t="s">
        <v>6687</v>
      </c>
      <c r="E4919" s="444" t="s">
        <v>6688</v>
      </c>
      <c r="F4919" s="387">
        <v>16</v>
      </c>
      <c r="G4919" s="445">
        <v>1978</v>
      </c>
      <c r="H4919" s="472" t="s">
        <v>1149</v>
      </c>
      <c r="I4919" s="470">
        <v>1490</v>
      </c>
      <c r="J4919" s="388">
        <v>675.3</v>
      </c>
      <c r="K4919" s="388">
        <v>618.29999999999995</v>
      </c>
      <c r="L4919" s="497">
        <f t="shared" ref="L4919:L4982" si="56">J4919-K4919</f>
        <v>57</v>
      </c>
      <c r="M4919" s="331"/>
    </row>
    <row r="4920" spans="1:13" s="71" customFormat="1" ht="26.4" customHeight="1">
      <c r="A4920" s="282">
        <v>2</v>
      </c>
      <c r="B4920" s="537"/>
      <c r="C4920" s="444" t="s">
        <v>1154</v>
      </c>
      <c r="D4920" s="444" t="s">
        <v>6690</v>
      </c>
      <c r="E4920" s="444" t="s">
        <v>6691</v>
      </c>
      <c r="F4920" s="387">
        <v>17</v>
      </c>
      <c r="G4920" s="445">
        <v>1983</v>
      </c>
      <c r="H4920" s="472" t="s">
        <v>3243</v>
      </c>
      <c r="I4920" s="470" t="s">
        <v>3243</v>
      </c>
      <c r="J4920" s="388">
        <v>19.3</v>
      </c>
      <c r="K4920" s="388">
        <v>15.3</v>
      </c>
      <c r="L4920" s="497">
        <f t="shared" si="56"/>
        <v>4</v>
      </c>
      <c r="M4920" s="337"/>
    </row>
    <row r="4921" spans="1:13" s="71" customFormat="1" ht="26.4" customHeight="1">
      <c r="A4921" s="282">
        <v>3</v>
      </c>
      <c r="B4921" s="537"/>
      <c r="C4921" s="444" t="s">
        <v>1154</v>
      </c>
      <c r="D4921" s="444" t="s">
        <v>6692</v>
      </c>
      <c r="E4921" s="444" t="s">
        <v>6693</v>
      </c>
      <c r="F4921" s="387">
        <v>18</v>
      </c>
      <c r="G4921" s="445">
        <v>1986</v>
      </c>
      <c r="H4921" s="472" t="s">
        <v>1149</v>
      </c>
      <c r="I4921" s="470">
        <v>83.24</v>
      </c>
      <c r="J4921" s="388">
        <v>469.3</v>
      </c>
      <c r="K4921" s="388">
        <v>388.3</v>
      </c>
      <c r="L4921" s="497">
        <f t="shared" si="56"/>
        <v>81</v>
      </c>
      <c r="M4921" s="337"/>
    </row>
    <row r="4922" spans="1:13" s="71" customFormat="1" ht="26.4" customHeight="1">
      <c r="A4922" s="282">
        <v>4</v>
      </c>
      <c r="B4922" s="537"/>
      <c r="C4922" s="444" t="s">
        <v>1154</v>
      </c>
      <c r="D4922" s="444" t="s">
        <v>6692</v>
      </c>
      <c r="E4922" s="444" t="s">
        <v>6694</v>
      </c>
      <c r="F4922" s="387">
        <v>19</v>
      </c>
      <c r="G4922" s="445" t="s">
        <v>6695</v>
      </c>
      <c r="H4922" s="472" t="s">
        <v>1149</v>
      </c>
      <c r="I4922" s="470">
        <v>6330</v>
      </c>
      <c r="J4922" s="388">
        <v>483.1</v>
      </c>
      <c r="K4922" s="388">
        <v>456.4</v>
      </c>
      <c r="L4922" s="497">
        <f t="shared" si="56"/>
        <v>26.700000000000045</v>
      </c>
      <c r="M4922" s="337"/>
    </row>
    <row r="4923" spans="1:13" s="71" customFormat="1" ht="26.4" customHeight="1">
      <c r="A4923" s="282">
        <v>5</v>
      </c>
      <c r="B4923" s="537"/>
      <c r="C4923" s="444" t="s">
        <v>1154</v>
      </c>
      <c r="D4923" s="444" t="s">
        <v>6692</v>
      </c>
      <c r="E4923" s="260" t="s">
        <v>6696</v>
      </c>
      <c r="F4923" s="387">
        <v>75</v>
      </c>
      <c r="G4923" s="445">
        <v>1960</v>
      </c>
      <c r="H4923" s="472" t="s">
        <v>1149</v>
      </c>
      <c r="I4923" s="470">
        <v>480</v>
      </c>
      <c r="J4923" s="388">
        <v>74.8</v>
      </c>
      <c r="K4923" s="388">
        <v>60.5</v>
      </c>
      <c r="L4923" s="497">
        <f t="shared" si="56"/>
        <v>14.299999999999997</v>
      </c>
      <c r="M4923" s="337"/>
    </row>
    <row r="4924" spans="1:13" s="71" customFormat="1" ht="26.4" customHeight="1">
      <c r="A4924" s="282">
        <v>6</v>
      </c>
      <c r="B4924" s="537"/>
      <c r="C4924" s="444" t="s">
        <v>1154</v>
      </c>
      <c r="D4924" s="444" t="s">
        <v>6692</v>
      </c>
      <c r="E4924" s="260" t="s">
        <v>6697</v>
      </c>
      <c r="F4924" s="387">
        <v>77</v>
      </c>
      <c r="G4924" s="445">
        <v>1963</v>
      </c>
      <c r="H4924" s="472" t="s">
        <v>1149</v>
      </c>
      <c r="I4924" s="470">
        <v>165.5</v>
      </c>
      <c r="J4924" s="388">
        <v>30.3</v>
      </c>
      <c r="K4924" s="388">
        <v>26.7</v>
      </c>
      <c r="L4924" s="497">
        <f t="shared" si="56"/>
        <v>3.6000000000000014</v>
      </c>
      <c r="M4924" s="337"/>
    </row>
    <row r="4925" spans="1:13" s="71" customFormat="1" ht="26.4" customHeight="1">
      <c r="A4925" s="282">
        <v>7</v>
      </c>
      <c r="B4925" s="537"/>
      <c r="C4925" s="444" t="s">
        <v>1154</v>
      </c>
      <c r="D4925" s="444" t="s">
        <v>6692</v>
      </c>
      <c r="E4925" s="260" t="s">
        <v>6698</v>
      </c>
      <c r="F4925" s="387">
        <v>78</v>
      </c>
      <c r="G4925" s="445">
        <v>1974</v>
      </c>
      <c r="H4925" s="472" t="s">
        <v>5462</v>
      </c>
      <c r="I4925" s="470">
        <v>3</v>
      </c>
      <c r="J4925" s="388">
        <v>9.6</v>
      </c>
      <c r="K4925" s="388">
        <v>7.8</v>
      </c>
      <c r="L4925" s="497">
        <f t="shared" si="56"/>
        <v>1.7999999999999998</v>
      </c>
      <c r="M4925" s="337"/>
    </row>
    <row r="4926" spans="1:13" s="71" customFormat="1" ht="26.4" customHeight="1">
      <c r="A4926" s="282">
        <v>8</v>
      </c>
      <c r="B4926" s="537"/>
      <c r="C4926" s="444" t="s">
        <v>1154</v>
      </c>
      <c r="D4926" s="444" t="s">
        <v>6692</v>
      </c>
      <c r="E4926" s="260" t="s">
        <v>6699</v>
      </c>
      <c r="F4926" s="387">
        <v>79</v>
      </c>
      <c r="G4926" s="445">
        <v>1974</v>
      </c>
      <c r="H4926" s="472" t="s">
        <v>5462</v>
      </c>
      <c r="I4926" s="470">
        <v>1060</v>
      </c>
      <c r="J4926" s="388">
        <v>49.7</v>
      </c>
      <c r="K4926" s="388">
        <v>42</v>
      </c>
      <c r="L4926" s="497">
        <f t="shared" si="56"/>
        <v>7.7000000000000028</v>
      </c>
      <c r="M4926" s="337"/>
    </row>
    <row r="4927" spans="1:13" s="71" customFormat="1" ht="26.4" customHeight="1">
      <c r="A4927" s="282">
        <v>9</v>
      </c>
      <c r="B4927" s="537"/>
      <c r="C4927" s="444" t="s">
        <v>1154</v>
      </c>
      <c r="D4927" s="444" t="s">
        <v>6692</v>
      </c>
      <c r="E4927" s="260" t="s">
        <v>6700</v>
      </c>
      <c r="F4927" s="387">
        <v>81</v>
      </c>
      <c r="G4927" s="445">
        <v>1974</v>
      </c>
      <c r="H4927" s="472" t="s">
        <v>1149</v>
      </c>
      <c r="I4927" s="470">
        <v>869.8</v>
      </c>
      <c r="J4927" s="388">
        <v>159.6</v>
      </c>
      <c r="K4927" s="388">
        <v>150</v>
      </c>
      <c r="L4927" s="497">
        <f t="shared" si="56"/>
        <v>9.5999999999999943</v>
      </c>
      <c r="M4927" s="337"/>
    </row>
    <row r="4928" spans="1:13" s="71" customFormat="1" ht="26.4" customHeight="1">
      <c r="A4928" s="282">
        <v>10</v>
      </c>
      <c r="B4928" s="537"/>
      <c r="C4928" s="444" t="s">
        <v>1154</v>
      </c>
      <c r="D4928" s="444" t="s">
        <v>6692</v>
      </c>
      <c r="E4928" s="260" t="s">
        <v>6701</v>
      </c>
      <c r="F4928" s="387">
        <v>82</v>
      </c>
      <c r="G4928" s="445">
        <v>1974</v>
      </c>
      <c r="H4928" s="472" t="s">
        <v>1149</v>
      </c>
      <c r="I4928" s="470">
        <v>514.5</v>
      </c>
      <c r="J4928" s="388">
        <v>99.5</v>
      </c>
      <c r="K4928" s="388">
        <v>85.2</v>
      </c>
      <c r="L4928" s="497">
        <f t="shared" si="56"/>
        <v>14.299999999999997</v>
      </c>
      <c r="M4928" s="337"/>
    </row>
    <row r="4929" spans="1:13" s="71" customFormat="1" ht="26.4" customHeight="1">
      <c r="A4929" s="282">
        <v>11</v>
      </c>
      <c r="B4929" s="537"/>
      <c r="C4929" s="444" t="s">
        <v>1154</v>
      </c>
      <c r="D4929" s="444" t="s">
        <v>6692</v>
      </c>
      <c r="E4929" s="260" t="s">
        <v>6701</v>
      </c>
      <c r="F4929" s="387">
        <v>83</v>
      </c>
      <c r="G4929" s="445">
        <v>1974</v>
      </c>
      <c r="H4929" s="472" t="s">
        <v>1149</v>
      </c>
      <c r="I4929" s="470">
        <v>510.4</v>
      </c>
      <c r="J4929" s="388">
        <v>99.5</v>
      </c>
      <c r="K4929" s="388">
        <v>85.5</v>
      </c>
      <c r="L4929" s="497">
        <f t="shared" si="56"/>
        <v>14</v>
      </c>
      <c r="M4929" s="337"/>
    </row>
    <row r="4930" spans="1:13" s="71" customFormat="1" ht="26.4" customHeight="1">
      <c r="A4930" s="282">
        <v>12</v>
      </c>
      <c r="B4930" s="537"/>
      <c r="C4930" s="444" t="s">
        <v>1154</v>
      </c>
      <c r="D4930" s="260" t="s">
        <v>6702</v>
      </c>
      <c r="E4930" s="260" t="s">
        <v>6703</v>
      </c>
      <c r="F4930" s="387">
        <v>84</v>
      </c>
      <c r="G4930" s="445">
        <v>1974</v>
      </c>
      <c r="H4930" s="472" t="s">
        <v>1149</v>
      </c>
      <c r="I4930" s="470">
        <v>53554.8</v>
      </c>
      <c r="J4930" s="388">
        <v>53.6</v>
      </c>
      <c r="K4930" s="388">
        <v>45</v>
      </c>
      <c r="L4930" s="497">
        <f t="shared" si="56"/>
        <v>8.6000000000000014</v>
      </c>
      <c r="M4930" s="337"/>
    </row>
    <row r="4931" spans="1:13" s="71" customFormat="1" ht="26.4" customHeight="1">
      <c r="A4931" s="282">
        <v>13</v>
      </c>
      <c r="B4931" s="537"/>
      <c r="C4931" s="444" t="s">
        <v>1154</v>
      </c>
      <c r="D4931" s="260" t="s">
        <v>6704</v>
      </c>
      <c r="E4931" s="260" t="s">
        <v>6705</v>
      </c>
      <c r="F4931" s="387">
        <v>85</v>
      </c>
      <c r="G4931" s="445">
        <v>1980</v>
      </c>
      <c r="H4931" s="472" t="s">
        <v>1149</v>
      </c>
      <c r="I4931" s="470">
        <v>183.8</v>
      </c>
      <c r="J4931" s="388">
        <v>61.5</v>
      </c>
      <c r="K4931" s="388">
        <v>54</v>
      </c>
      <c r="L4931" s="497">
        <f t="shared" si="56"/>
        <v>7.5</v>
      </c>
      <c r="M4931" s="337"/>
    </row>
    <row r="4932" spans="1:13" s="71" customFormat="1" ht="26.4" customHeight="1">
      <c r="A4932" s="282">
        <v>14</v>
      </c>
      <c r="B4932" s="537"/>
      <c r="C4932" s="444" t="s">
        <v>1154</v>
      </c>
      <c r="D4932" s="260" t="s">
        <v>6687</v>
      </c>
      <c r="E4932" s="260" t="s">
        <v>6706</v>
      </c>
      <c r="F4932" s="387">
        <v>86</v>
      </c>
      <c r="G4932" s="445">
        <v>1980</v>
      </c>
      <c r="H4932" s="472" t="s">
        <v>3243</v>
      </c>
      <c r="I4932" s="470" t="s">
        <v>3243</v>
      </c>
      <c r="J4932" s="388">
        <v>123.8</v>
      </c>
      <c r="K4932" s="388">
        <v>116.2</v>
      </c>
      <c r="L4932" s="497">
        <f t="shared" si="56"/>
        <v>7.5999999999999943</v>
      </c>
      <c r="M4932" s="337"/>
    </row>
    <row r="4933" spans="1:13" s="71" customFormat="1" ht="26.4" customHeight="1">
      <c r="A4933" s="282">
        <v>15</v>
      </c>
      <c r="B4933" s="537"/>
      <c r="C4933" s="444" t="s">
        <v>1154</v>
      </c>
      <c r="D4933" s="444" t="s">
        <v>6707</v>
      </c>
      <c r="E4933" s="260" t="s">
        <v>6708</v>
      </c>
      <c r="F4933" s="387">
        <v>87</v>
      </c>
      <c r="G4933" s="445">
        <v>1980</v>
      </c>
      <c r="H4933" s="472" t="s">
        <v>1149</v>
      </c>
      <c r="I4933" s="470">
        <v>14</v>
      </c>
      <c r="J4933" s="388">
        <v>23.7</v>
      </c>
      <c r="K4933" s="388">
        <v>19.399999999999999</v>
      </c>
      <c r="L4933" s="497">
        <f t="shared" si="56"/>
        <v>4.3000000000000007</v>
      </c>
      <c r="M4933" s="337"/>
    </row>
    <row r="4934" spans="1:13" s="71" customFormat="1" ht="26.4" customHeight="1">
      <c r="A4934" s="282">
        <v>16</v>
      </c>
      <c r="B4934" s="537"/>
      <c r="C4934" s="444" t="s">
        <v>1154</v>
      </c>
      <c r="D4934" s="444" t="s">
        <v>6707</v>
      </c>
      <c r="E4934" s="260" t="s">
        <v>6709</v>
      </c>
      <c r="F4934" s="387">
        <v>89</v>
      </c>
      <c r="G4934" s="445">
        <v>1986</v>
      </c>
      <c r="H4934" s="472" t="s">
        <v>1149</v>
      </c>
      <c r="I4934" s="470">
        <v>1848</v>
      </c>
      <c r="J4934" s="388">
        <v>507.4</v>
      </c>
      <c r="K4934" s="388">
        <v>470.3</v>
      </c>
      <c r="L4934" s="497">
        <f t="shared" si="56"/>
        <v>37.099999999999966</v>
      </c>
      <c r="M4934" s="337"/>
    </row>
    <row r="4935" spans="1:13" s="71" customFormat="1" ht="26.4" customHeight="1">
      <c r="A4935" s="282">
        <v>17</v>
      </c>
      <c r="B4935" s="537"/>
      <c r="C4935" s="444" t="s">
        <v>1154</v>
      </c>
      <c r="D4935" s="444" t="s">
        <v>6707</v>
      </c>
      <c r="E4935" s="260" t="s">
        <v>6710</v>
      </c>
      <c r="F4935" s="387">
        <v>95</v>
      </c>
      <c r="G4935" s="445">
        <v>1974</v>
      </c>
      <c r="H4935" s="472" t="s">
        <v>1149</v>
      </c>
      <c r="I4935" s="470">
        <v>13904</v>
      </c>
      <c r="J4935" s="388">
        <v>15.5</v>
      </c>
      <c r="K4935" s="388">
        <v>15.5</v>
      </c>
      <c r="L4935" s="497">
        <f t="shared" si="56"/>
        <v>0</v>
      </c>
      <c r="M4935" s="337"/>
    </row>
    <row r="4936" spans="1:13" s="71" customFormat="1" ht="26.4" customHeight="1">
      <c r="A4936" s="282">
        <v>18</v>
      </c>
      <c r="B4936" s="537"/>
      <c r="C4936" s="444" t="s">
        <v>1154</v>
      </c>
      <c r="D4936" s="444" t="s">
        <v>6711</v>
      </c>
      <c r="E4936" s="260" t="s">
        <v>6712</v>
      </c>
      <c r="F4936" s="387">
        <v>133</v>
      </c>
      <c r="G4936" s="445">
        <v>1972</v>
      </c>
      <c r="H4936" s="472" t="s">
        <v>3243</v>
      </c>
      <c r="I4936" s="470" t="s">
        <v>3243</v>
      </c>
      <c r="J4936" s="388">
        <v>417.1</v>
      </c>
      <c r="K4936" s="388">
        <v>375.8</v>
      </c>
      <c r="L4936" s="497">
        <f t="shared" si="56"/>
        <v>41.300000000000011</v>
      </c>
      <c r="M4936" s="337"/>
    </row>
    <row r="4937" spans="1:13" s="71" customFormat="1" ht="26.4" customHeight="1">
      <c r="A4937" s="282">
        <v>19</v>
      </c>
      <c r="B4937" s="537"/>
      <c r="C4937" s="444" t="s">
        <v>1154</v>
      </c>
      <c r="D4937" s="444" t="s">
        <v>6707</v>
      </c>
      <c r="E4937" s="260" t="s">
        <v>6709</v>
      </c>
      <c r="F4937" s="387">
        <v>98</v>
      </c>
      <c r="G4937" s="445">
        <v>1986</v>
      </c>
      <c r="H4937" s="472" t="s">
        <v>1149</v>
      </c>
      <c r="I4937" s="470">
        <v>1840</v>
      </c>
      <c r="J4937" s="388">
        <v>438.3</v>
      </c>
      <c r="K4937" s="388">
        <v>393.8</v>
      </c>
      <c r="L4937" s="497">
        <f t="shared" si="56"/>
        <v>44.5</v>
      </c>
      <c r="M4937" s="337"/>
    </row>
    <row r="4938" spans="1:13" s="71" customFormat="1" ht="26.4" customHeight="1">
      <c r="A4938" s="282">
        <v>20</v>
      </c>
      <c r="B4938" s="537"/>
      <c r="C4938" s="444" t="s">
        <v>1154</v>
      </c>
      <c r="D4938" s="444" t="s">
        <v>6713</v>
      </c>
      <c r="E4938" s="260" t="s">
        <v>6714</v>
      </c>
      <c r="F4938" s="387">
        <v>127</v>
      </c>
      <c r="G4938" s="445">
        <v>1984</v>
      </c>
      <c r="H4938" s="472" t="s">
        <v>6689</v>
      </c>
      <c r="I4938" s="470" t="s">
        <v>6689</v>
      </c>
      <c r="J4938" s="388">
        <v>207.9</v>
      </c>
      <c r="K4938" s="388">
        <v>181.1</v>
      </c>
      <c r="L4938" s="497">
        <f t="shared" si="56"/>
        <v>26.800000000000011</v>
      </c>
      <c r="M4938" s="337"/>
    </row>
    <row r="4939" spans="1:13" s="71" customFormat="1" ht="26.4" customHeight="1">
      <c r="A4939" s="282">
        <v>21</v>
      </c>
      <c r="B4939" s="537"/>
      <c r="C4939" s="444" t="s">
        <v>1154</v>
      </c>
      <c r="D4939" s="444" t="s">
        <v>6715</v>
      </c>
      <c r="E4939" s="260" t="s">
        <v>6716</v>
      </c>
      <c r="F4939" s="387">
        <v>128</v>
      </c>
      <c r="G4939" s="445">
        <v>1965</v>
      </c>
      <c r="H4939" s="472" t="s">
        <v>1149</v>
      </c>
      <c r="I4939" s="470">
        <v>63300</v>
      </c>
      <c r="J4939" s="388">
        <v>33.5</v>
      </c>
      <c r="K4939" s="388">
        <v>26.1</v>
      </c>
      <c r="L4939" s="497">
        <f t="shared" si="56"/>
        <v>7.3999999999999986</v>
      </c>
      <c r="M4939" s="337"/>
    </row>
    <row r="4940" spans="1:13" s="71" customFormat="1" ht="26.4" customHeight="1">
      <c r="A4940" s="282">
        <v>22</v>
      </c>
      <c r="B4940" s="537"/>
      <c r="C4940" s="444" t="s">
        <v>1154</v>
      </c>
      <c r="D4940" s="444" t="s">
        <v>6717</v>
      </c>
      <c r="E4940" s="444" t="s">
        <v>6718</v>
      </c>
      <c r="F4940" s="387">
        <v>130</v>
      </c>
      <c r="G4940" s="445">
        <v>1986</v>
      </c>
      <c r="H4940" s="472" t="s">
        <v>3243</v>
      </c>
      <c r="I4940" s="470" t="s">
        <v>3243</v>
      </c>
      <c r="J4940" s="388">
        <v>94</v>
      </c>
      <c r="K4940" s="388">
        <v>79.400000000000006</v>
      </c>
      <c r="L4940" s="497">
        <f t="shared" si="56"/>
        <v>14.599999999999994</v>
      </c>
      <c r="M4940" s="337"/>
    </row>
    <row r="4941" spans="1:13" s="71" customFormat="1" ht="26.4" customHeight="1">
      <c r="A4941" s="282">
        <v>23</v>
      </c>
      <c r="B4941" s="537"/>
      <c r="C4941" s="444" t="s">
        <v>1154</v>
      </c>
      <c r="D4941" s="444" t="s">
        <v>6707</v>
      </c>
      <c r="E4941" s="260" t="s">
        <v>6719</v>
      </c>
      <c r="F4941" s="387">
        <v>99</v>
      </c>
      <c r="G4941" s="445">
        <v>1974</v>
      </c>
      <c r="H4941" s="472" t="s">
        <v>1149</v>
      </c>
      <c r="I4941" s="470">
        <v>2244</v>
      </c>
      <c r="J4941" s="388">
        <v>26.6</v>
      </c>
      <c r="K4941" s="388">
        <v>22.5</v>
      </c>
      <c r="L4941" s="497">
        <f t="shared" si="56"/>
        <v>4.1000000000000014</v>
      </c>
      <c r="M4941" s="337"/>
    </row>
    <row r="4942" spans="1:13" s="71" customFormat="1" ht="26.4" customHeight="1">
      <c r="A4942" s="282">
        <v>24</v>
      </c>
      <c r="B4942" s="537"/>
      <c r="C4942" s="444" t="s">
        <v>1154</v>
      </c>
      <c r="D4942" s="260" t="s">
        <v>6720</v>
      </c>
      <c r="E4942" s="260" t="s">
        <v>6721</v>
      </c>
      <c r="F4942" s="387">
        <v>106</v>
      </c>
      <c r="G4942" s="445">
        <v>1973</v>
      </c>
      <c r="H4942" s="472" t="s">
        <v>3243</v>
      </c>
      <c r="I4942" s="470" t="s">
        <v>3243</v>
      </c>
      <c r="J4942" s="388">
        <v>20.2</v>
      </c>
      <c r="K4942" s="388">
        <v>20.2</v>
      </c>
      <c r="L4942" s="497">
        <f t="shared" si="56"/>
        <v>0</v>
      </c>
      <c r="M4942" s="337"/>
    </row>
    <row r="4943" spans="1:13" s="71" customFormat="1" ht="26.4" customHeight="1">
      <c r="A4943" s="282">
        <v>25</v>
      </c>
      <c r="B4943" s="537"/>
      <c r="C4943" s="444" t="s">
        <v>1154</v>
      </c>
      <c r="D4943" s="260" t="s">
        <v>6720</v>
      </c>
      <c r="E4943" s="260" t="s">
        <v>6722</v>
      </c>
      <c r="F4943" s="387">
        <v>107</v>
      </c>
      <c r="G4943" s="445">
        <v>1973</v>
      </c>
      <c r="H4943" s="472" t="s">
        <v>3243</v>
      </c>
      <c r="I4943" s="470" t="s">
        <v>3243</v>
      </c>
      <c r="J4943" s="388">
        <v>42.9</v>
      </c>
      <c r="K4943" s="388">
        <v>33.5</v>
      </c>
      <c r="L4943" s="497">
        <f t="shared" si="56"/>
        <v>9.3999999999999986</v>
      </c>
      <c r="M4943" s="337"/>
    </row>
    <row r="4944" spans="1:13" s="71" customFormat="1" ht="26.4" customHeight="1">
      <c r="A4944" s="282">
        <v>26</v>
      </c>
      <c r="B4944" s="537"/>
      <c r="C4944" s="444" t="s">
        <v>1154</v>
      </c>
      <c r="D4944" s="260" t="s">
        <v>6723</v>
      </c>
      <c r="E4944" s="260" t="s">
        <v>4555</v>
      </c>
      <c r="F4944" s="387">
        <v>108</v>
      </c>
      <c r="G4944" s="445">
        <v>1973</v>
      </c>
      <c r="H4944" s="472" t="s">
        <v>3243</v>
      </c>
      <c r="I4944" s="470" t="s">
        <v>3243</v>
      </c>
      <c r="J4944" s="388">
        <v>185.8</v>
      </c>
      <c r="K4944" s="388">
        <v>150.5</v>
      </c>
      <c r="L4944" s="497">
        <f t="shared" si="56"/>
        <v>35.300000000000011</v>
      </c>
      <c r="M4944" s="337"/>
    </row>
    <row r="4945" spans="1:13" s="71" customFormat="1" ht="26.4" customHeight="1">
      <c r="A4945" s="282">
        <v>27</v>
      </c>
      <c r="B4945" s="537"/>
      <c r="C4945" s="444" t="s">
        <v>1154</v>
      </c>
      <c r="D4945" s="260" t="s">
        <v>6723</v>
      </c>
      <c r="E4945" s="260" t="s">
        <v>6724</v>
      </c>
      <c r="F4945" s="387">
        <v>109</v>
      </c>
      <c r="G4945" s="445">
        <v>1973</v>
      </c>
      <c r="H4945" s="472" t="s">
        <v>3243</v>
      </c>
      <c r="I4945" s="470" t="s">
        <v>3243</v>
      </c>
      <c r="J4945" s="388">
        <v>2</v>
      </c>
      <c r="K4945" s="388">
        <v>1.5</v>
      </c>
      <c r="L4945" s="497">
        <f t="shared" si="56"/>
        <v>0.5</v>
      </c>
      <c r="M4945" s="337"/>
    </row>
    <row r="4946" spans="1:13" s="71" customFormat="1" ht="26.4" customHeight="1">
      <c r="A4946" s="282">
        <v>28</v>
      </c>
      <c r="B4946" s="537"/>
      <c r="C4946" s="444" t="s">
        <v>1154</v>
      </c>
      <c r="D4946" s="260" t="s">
        <v>6723</v>
      </c>
      <c r="E4946" s="260" t="s">
        <v>6725</v>
      </c>
      <c r="F4946" s="387">
        <v>110</v>
      </c>
      <c r="G4946" s="445">
        <v>1973</v>
      </c>
      <c r="H4946" s="472" t="s">
        <v>3243</v>
      </c>
      <c r="I4946" s="470" t="s">
        <v>3243</v>
      </c>
      <c r="J4946" s="388">
        <v>160.30000000000001</v>
      </c>
      <c r="K4946" s="388">
        <v>153.9</v>
      </c>
      <c r="L4946" s="497">
        <f t="shared" si="56"/>
        <v>6.4000000000000057</v>
      </c>
      <c r="M4946" s="337"/>
    </row>
    <row r="4947" spans="1:13" s="71" customFormat="1" ht="26.4" customHeight="1">
      <c r="A4947" s="282">
        <v>29</v>
      </c>
      <c r="B4947" s="537"/>
      <c r="C4947" s="444" t="s">
        <v>1154</v>
      </c>
      <c r="D4947" s="260" t="s">
        <v>6723</v>
      </c>
      <c r="E4947" s="260" t="s">
        <v>5520</v>
      </c>
      <c r="F4947" s="387">
        <v>112</v>
      </c>
      <c r="G4947" s="445">
        <v>1973</v>
      </c>
      <c r="H4947" s="472" t="s">
        <v>3243</v>
      </c>
      <c r="I4947" s="470" t="s">
        <v>3243</v>
      </c>
      <c r="J4947" s="388">
        <v>10.1</v>
      </c>
      <c r="K4947" s="388">
        <v>7.8</v>
      </c>
      <c r="L4947" s="497">
        <f t="shared" si="56"/>
        <v>2.2999999999999998</v>
      </c>
      <c r="M4947" s="337"/>
    </row>
    <row r="4948" spans="1:13" s="71" customFormat="1" ht="26.4" customHeight="1">
      <c r="A4948" s="282">
        <v>30</v>
      </c>
      <c r="B4948" s="537"/>
      <c r="C4948" s="444" t="s">
        <v>1154</v>
      </c>
      <c r="D4948" s="260" t="s">
        <v>6723</v>
      </c>
      <c r="E4948" s="260" t="s">
        <v>6726</v>
      </c>
      <c r="F4948" s="387">
        <v>113</v>
      </c>
      <c r="G4948" s="445">
        <v>1973</v>
      </c>
      <c r="H4948" s="472" t="s">
        <v>3243</v>
      </c>
      <c r="I4948" s="470" t="s">
        <v>3243</v>
      </c>
      <c r="J4948" s="388">
        <v>31.3</v>
      </c>
      <c r="K4948" s="388">
        <v>31.3</v>
      </c>
      <c r="L4948" s="497">
        <f t="shared" si="56"/>
        <v>0</v>
      </c>
      <c r="M4948" s="337"/>
    </row>
    <row r="4949" spans="1:13" s="71" customFormat="1" ht="26.4" customHeight="1">
      <c r="A4949" s="282">
        <v>31</v>
      </c>
      <c r="B4949" s="537"/>
      <c r="C4949" s="444" t="s">
        <v>1154</v>
      </c>
      <c r="D4949" s="260" t="s">
        <v>6723</v>
      </c>
      <c r="E4949" s="260" t="s">
        <v>6727</v>
      </c>
      <c r="F4949" s="387">
        <v>114</v>
      </c>
      <c r="G4949" s="445">
        <v>1973</v>
      </c>
      <c r="H4949" s="472" t="s">
        <v>3243</v>
      </c>
      <c r="I4949" s="470" t="s">
        <v>3243</v>
      </c>
      <c r="J4949" s="388">
        <v>143</v>
      </c>
      <c r="K4949" s="388">
        <v>143</v>
      </c>
      <c r="L4949" s="497">
        <f t="shared" si="56"/>
        <v>0</v>
      </c>
      <c r="M4949" s="337"/>
    </row>
    <row r="4950" spans="1:13" s="71" customFormat="1" ht="26.4" customHeight="1">
      <c r="A4950" s="282">
        <v>32</v>
      </c>
      <c r="B4950" s="537"/>
      <c r="C4950" s="444" t="s">
        <v>1154</v>
      </c>
      <c r="D4950" s="260" t="s">
        <v>6723</v>
      </c>
      <c r="E4950" s="260" t="s">
        <v>938</v>
      </c>
      <c r="F4950" s="387">
        <v>116</v>
      </c>
      <c r="G4950" s="445">
        <v>1973</v>
      </c>
      <c r="H4950" s="472" t="s">
        <v>3243</v>
      </c>
      <c r="I4950" s="470" t="s">
        <v>3243</v>
      </c>
      <c r="J4950" s="388">
        <v>21.4</v>
      </c>
      <c r="K4950" s="388">
        <v>21</v>
      </c>
      <c r="L4950" s="497">
        <f t="shared" si="56"/>
        <v>0.39999999999999858</v>
      </c>
      <c r="M4950" s="337"/>
    </row>
    <row r="4951" spans="1:13" s="71" customFormat="1" ht="26.4" customHeight="1">
      <c r="A4951" s="282">
        <v>33</v>
      </c>
      <c r="B4951" s="537"/>
      <c r="C4951" s="444" t="s">
        <v>1154</v>
      </c>
      <c r="D4951" s="260" t="s">
        <v>6723</v>
      </c>
      <c r="E4951" s="260" t="s">
        <v>6728</v>
      </c>
      <c r="F4951" s="387">
        <v>117</v>
      </c>
      <c r="G4951" s="445">
        <v>1973</v>
      </c>
      <c r="H4951" s="472" t="s">
        <v>3243</v>
      </c>
      <c r="I4951" s="470" t="s">
        <v>3243</v>
      </c>
      <c r="J4951" s="388">
        <v>154.9</v>
      </c>
      <c r="K4951" s="388">
        <v>154.9</v>
      </c>
      <c r="L4951" s="497">
        <f t="shared" si="56"/>
        <v>0</v>
      </c>
      <c r="M4951" s="337"/>
    </row>
    <row r="4952" spans="1:13" s="71" customFormat="1" ht="26.4" customHeight="1">
      <c r="A4952" s="282">
        <v>34</v>
      </c>
      <c r="B4952" s="537"/>
      <c r="C4952" s="444" t="s">
        <v>1154</v>
      </c>
      <c r="D4952" s="260" t="s">
        <v>6723</v>
      </c>
      <c r="E4952" s="260" t="s">
        <v>6729</v>
      </c>
      <c r="F4952" s="387">
        <v>119</v>
      </c>
      <c r="G4952" s="445">
        <v>1960</v>
      </c>
      <c r="H4952" s="472" t="s">
        <v>3243</v>
      </c>
      <c r="I4952" s="470" t="s">
        <v>3243</v>
      </c>
      <c r="J4952" s="388">
        <v>106</v>
      </c>
      <c r="K4952" s="388">
        <v>91.8</v>
      </c>
      <c r="L4952" s="497">
        <f t="shared" si="56"/>
        <v>14.200000000000003</v>
      </c>
      <c r="M4952" s="337"/>
    </row>
    <row r="4953" spans="1:13" s="71" customFormat="1" ht="26.4" customHeight="1">
      <c r="A4953" s="282">
        <v>35</v>
      </c>
      <c r="B4953" s="537"/>
      <c r="C4953" s="444" t="s">
        <v>1154</v>
      </c>
      <c r="D4953" s="260" t="s">
        <v>6723</v>
      </c>
      <c r="E4953" s="260" t="s">
        <v>6730</v>
      </c>
      <c r="F4953" s="387">
        <v>126</v>
      </c>
      <c r="G4953" s="445">
        <v>1960</v>
      </c>
      <c r="H4953" s="472" t="s">
        <v>3243</v>
      </c>
      <c r="I4953" s="470" t="s">
        <v>3243</v>
      </c>
      <c r="J4953" s="388">
        <v>97.6</v>
      </c>
      <c r="K4953" s="388">
        <v>95.9</v>
      </c>
      <c r="L4953" s="497">
        <f t="shared" si="56"/>
        <v>1.6999999999999886</v>
      </c>
      <c r="M4953" s="337"/>
    </row>
    <row r="4954" spans="1:13" s="71" customFormat="1" ht="26.4" customHeight="1">
      <c r="A4954" s="282">
        <v>36</v>
      </c>
      <c r="B4954" s="537"/>
      <c r="C4954" s="444" t="s">
        <v>1154</v>
      </c>
      <c r="D4954" s="260" t="s">
        <v>6723</v>
      </c>
      <c r="E4954" s="260" t="s">
        <v>6731</v>
      </c>
      <c r="F4954" s="387">
        <v>134</v>
      </c>
      <c r="G4954" s="445">
        <v>1975</v>
      </c>
      <c r="H4954" s="472" t="s">
        <v>3243</v>
      </c>
      <c r="I4954" s="470" t="s">
        <v>3243</v>
      </c>
      <c r="J4954" s="388">
        <v>93.8</v>
      </c>
      <c r="K4954" s="388">
        <v>93.8</v>
      </c>
      <c r="L4954" s="497">
        <f t="shared" si="56"/>
        <v>0</v>
      </c>
      <c r="M4954" s="337"/>
    </row>
    <row r="4955" spans="1:13" s="71" customFormat="1" ht="26.4" customHeight="1">
      <c r="A4955" s="282">
        <v>37</v>
      </c>
      <c r="B4955" s="537"/>
      <c r="C4955" s="444" t="s">
        <v>1154</v>
      </c>
      <c r="D4955" s="260" t="s">
        <v>6723</v>
      </c>
      <c r="E4955" s="260" t="s">
        <v>6732</v>
      </c>
      <c r="F4955" s="387">
        <v>135</v>
      </c>
      <c r="G4955" s="445">
        <v>1976</v>
      </c>
      <c r="H4955" s="472" t="s">
        <v>3243</v>
      </c>
      <c r="I4955" s="470" t="s">
        <v>3243</v>
      </c>
      <c r="J4955" s="388">
        <v>158.19999999999999</v>
      </c>
      <c r="K4955" s="388">
        <v>158.19999999999999</v>
      </c>
      <c r="L4955" s="497">
        <f t="shared" si="56"/>
        <v>0</v>
      </c>
      <c r="M4955" s="337"/>
    </row>
    <row r="4956" spans="1:13" s="71" customFormat="1" ht="26.4" customHeight="1">
      <c r="A4956" s="282">
        <v>38</v>
      </c>
      <c r="B4956" s="537"/>
      <c r="C4956" s="444" t="s">
        <v>1154</v>
      </c>
      <c r="D4956" s="260" t="s">
        <v>6723</v>
      </c>
      <c r="E4956" s="260" t="s">
        <v>6733</v>
      </c>
      <c r="F4956" s="387">
        <v>136</v>
      </c>
      <c r="G4956" s="445">
        <v>1977</v>
      </c>
      <c r="H4956" s="472" t="s">
        <v>3243</v>
      </c>
      <c r="I4956" s="470" t="s">
        <v>3243</v>
      </c>
      <c r="J4956" s="388">
        <v>315.8</v>
      </c>
      <c r="K4956" s="388">
        <v>264.60000000000002</v>
      </c>
      <c r="L4956" s="497">
        <f t="shared" si="56"/>
        <v>51.199999999999989</v>
      </c>
      <c r="M4956" s="337"/>
    </row>
    <row r="4957" spans="1:13" s="71" customFormat="1" ht="26.4" customHeight="1">
      <c r="A4957" s="282">
        <v>39</v>
      </c>
      <c r="B4957" s="537"/>
      <c r="C4957" s="444" t="s">
        <v>1154</v>
      </c>
      <c r="D4957" s="260" t="s">
        <v>6723</v>
      </c>
      <c r="E4957" s="260" t="s">
        <v>965</v>
      </c>
      <c r="F4957" s="387">
        <v>137</v>
      </c>
      <c r="G4957" s="445">
        <v>1977</v>
      </c>
      <c r="H4957" s="472" t="s">
        <v>3243</v>
      </c>
      <c r="I4957" s="470" t="s">
        <v>3243</v>
      </c>
      <c r="J4957" s="388">
        <v>13.8</v>
      </c>
      <c r="K4957" s="388">
        <v>9.9</v>
      </c>
      <c r="L4957" s="497">
        <f t="shared" si="56"/>
        <v>3.9000000000000004</v>
      </c>
      <c r="M4957" s="337"/>
    </row>
    <row r="4958" spans="1:13" s="71" customFormat="1" ht="26.4" customHeight="1">
      <c r="A4958" s="282">
        <v>40</v>
      </c>
      <c r="B4958" s="537"/>
      <c r="C4958" s="444" t="s">
        <v>1154</v>
      </c>
      <c r="D4958" s="260" t="s">
        <v>6723</v>
      </c>
      <c r="E4958" s="260" t="s">
        <v>6734</v>
      </c>
      <c r="F4958" s="387">
        <v>138</v>
      </c>
      <c r="G4958" s="445">
        <v>1977</v>
      </c>
      <c r="H4958" s="472" t="s">
        <v>3243</v>
      </c>
      <c r="I4958" s="470" t="s">
        <v>3243</v>
      </c>
      <c r="J4958" s="388">
        <v>335.7</v>
      </c>
      <c r="K4958" s="388">
        <v>283</v>
      </c>
      <c r="L4958" s="497">
        <f t="shared" si="56"/>
        <v>52.699999999999989</v>
      </c>
      <c r="M4958" s="337"/>
    </row>
    <row r="4959" spans="1:13" s="71" customFormat="1" ht="26.4" customHeight="1">
      <c r="A4959" s="282">
        <v>41</v>
      </c>
      <c r="B4959" s="537"/>
      <c r="C4959" s="444" t="s">
        <v>1154</v>
      </c>
      <c r="D4959" s="260" t="s">
        <v>6723</v>
      </c>
      <c r="E4959" s="260" t="s">
        <v>6735</v>
      </c>
      <c r="F4959" s="387">
        <v>139</v>
      </c>
      <c r="G4959" s="445">
        <v>1977</v>
      </c>
      <c r="H4959" s="472" t="s">
        <v>3243</v>
      </c>
      <c r="I4959" s="470" t="s">
        <v>3243</v>
      </c>
      <c r="J4959" s="388">
        <v>156.30000000000001</v>
      </c>
      <c r="K4959" s="388">
        <v>132.4</v>
      </c>
      <c r="L4959" s="497">
        <f t="shared" si="56"/>
        <v>23.900000000000006</v>
      </c>
      <c r="M4959" s="337"/>
    </row>
    <row r="4960" spans="1:13" s="71" customFormat="1" ht="26.4" customHeight="1">
      <c r="A4960" s="282">
        <v>42</v>
      </c>
      <c r="B4960" s="537"/>
      <c r="C4960" s="444" t="s">
        <v>1154</v>
      </c>
      <c r="D4960" s="260" t="s">
        <v>6723</v>
      </c>
      <c r="E4960" s="260" t="s">
        <v>6736</v>
      </c>
      <c r="F4960" s="387">
        <v>140</v>
      </c>
      <c r="G4960" s="445">
        <v>1977</v>
      </c>
      <c r="H4960" s="472" t="s">
        <v>3243</v>
      </c>
      <c r="I4960" s="470" t="s">
        <v>3243</v>
      </c>
      <c r="J4960" s="388">
        <v>78.2</v>
      </c>
      <c r="K4960" s="388">
        <v>67.8</v>
      </c>
      <c r="L4960" s="497">
        <f t="shared" si="56"/>
        <v>10.400000000000006</v>
      </c>
      <c r="M4960" s="337"/>
    </row>
    <row r="4961" spans="1:13" s="71" customFormat="1" ht="26.4" customHeight="1">
      <c r="A4961" s="282">
        <v>43</v>
      </c>
      <c r="B4961" s="537"/>
      <c r="C4961" s="444" t="s">
        <v>1154</v>
      </c>
      <c r="D4961" s="260" t="s">
        <v>6723</v>
      </c>
      <c r="E4961" s="260" t="s">
        <v>6737</v>
      </c>
      <c r="F4961" s="387">
        <v>141</v>
      </c>
      <c r="G4961" s="445">
        <v>1977</v>
      </c>
      <c r="H4961" s="472" t="s">
        <v>3243</v>
      </c>
      <c r="I4961" s="470" t="s">
        <v>3243</v>
      </c>
      <c r="J4961" s="388">
        <v>14.3</v>
      </c>
      <c r="K4961" s="388">
        <v>10.3</v>
      </c>
      <c r="L4961" s="497">
        <f t="shared" si="56"/>
        <v>4</v>
      </c>
      <c r="M4961" s="337"/>
    </row>
    <row r="4962" spans="1:13" s="71" customFormat="1" ht="26.4" customHeight="1">
      <c r="A4962" s="282">
        <v>44</v>
      </c>
      <c r="B4962" s="537"/>
      <c r="C4962" s="444" t="s">
        <v>1154</v>
      </c>
      <c r="D4962" s="260" t="s">
        <v>6723</v>
      </c>
      <c r="E4962" s="260" t="s">
        <v>6738</v>
      </c>
      <c r="F4962" s="387">
        <v>142</v>
      </c>
      <c r="G4962" s="445">
        <v>1977</v>
      </c>
      <c r="H4962" s="472" t="s">
        <v>3243</v>
      </c>
      <c r="I4962" s="470" t="s">
        <v>3243</v>
      </c>
      <c r="J4962" s="388">
        <v>557.4</v>
      </c>
      <c r="K4962" s="388">
        <v>442.9</v>
      </c>
      <c r="L4962" s="497">
        <f t="shared" si="56"/>
        <v>114.5</v>
      </c>
      <c r="M4962" s="337"/>
    </row>
    <row r="4963" spans="1:13" s="71" customFormat="1" ht="26.4" customHeight="1">
      <c r="A4963" s="282">
        <v>45</v>
      </c>
      <c r="B4963" s="537"/>
      <c r="C4963" s="444" t="s">
        <v>1154</v>
      </c>
      <c r="D4963" s="260" t="s">
        <v>6723</v>
      </c>
      <c r="E4963" s="260" t="s">
        <v>6739</v>
      </c>
      <c r="F4963" s="387">
        <v>143</v>
      </c>
      <c r="G4963" s="445">
        <v>1978</v>
      </c>
      <c r="H4963" s="472" t="s">
        <v>3243</v>
      </c>
      <c r="I4963" s="470" t="s">
        <v>3243</v>
      </c>
      <c r="J4963" s="388">
        <v>85.9</v>
      </c>
      <c r="K4963" s="388">
        <v>70.099999999999994</v>
      </c>
      <c r="L4963" s="497">
        <f t="shared" si="56"/>
        <v>15.800000000000011</v>
      </c>
      <c r="M4963" s="337"/>
    </row>
    <row r="4964" spans="1:13" s="71" customFormat="1" ht="26.4" customHeight="1">
      <c r="A4964" s="282">
        <v>46</v>
      </c>
      <c r="B4964" s="537"/>
      <c r="C4964" s="444" t="s">
        <v>1154</v>
      </c>
      <c r="D4964" s="260" t="s">
        <v>6723</v>
      </c>
      <c r="E4964" s="260" t="s">
        <v>6740</v>
      </c>
      <c r="F4964" s="387">
        <v>145</v>
      </c>
      <c r="G4964" s="445">
        <v>1980</v>
      </c>
      <c r="H4964" s="472" t="s">
        <v>3243</v>
      </c>
      <c r="I4964" s="470" t="s">
        <v>3243</v>
      </c>
      <c r="J4964" s="388">
        <v>50.6</v>
      </c>
      <c r="K4964" s="388">
        <v>34.299999999999997</v>
      </c>
      <c r="L4964" s="497">
        <f t="shared" si="56"/>
        <v>16.300000000000004</v>
      </c>
      <c r="M4964" s="337"/>
    </row>
    <row r="4965" spans="1:13" s="71" customFormat="1" ht="26.4" customHeight="1">
      <c r="A4965" s="282">
        <v>47</v>
      </c>
      <c r="B4965" s="537"/>
      <c r="C4965" s="444" t="s">
        <v>1154</v>
      </c>
      <c r="D4965" s="260" t="s">
        <v>6741</v>
      </c>
      <c r="E4965" s="260" t="s">
        <v>6742</v>
      </c>
      <c r="F4965" s="387">
        <v>146</v>
      </c>
      <c r="G4965" s="445">
        <v>1986</v>
      </c>
      <c r="H4965" s="472" t="s">
        <v>3243</v>
      </c>
      <c r="I4965" s="470" t="s">
        <v>3243</v>
      </c>
      <c r="J4965" s="388">
        <v>678.7</v>
      </c>
      <c r="K4965" s="388">
        <v>587.5</v>
      </c>
      <c r="L4965" s="497">
        <f t="shared" si="56"/>
        <v>91.200000000000045</v>
      </c>
      <c r="M4965" s="337"/>
    </row>
    <row r="4966" spans="1:13" s="71" customFormat="1" ht="26.4" customHeight="1">
      <c r="A4966" s="282">
        <v>48</v>
      </c>
      <c r="B4966" s="537"/>
      <c r="C4966" s="444" t="s">
        <v>1154</v>
      </c>
      <c r="D4966" s="260" t="s">
        <v>6743</v>
      </c>
      <c r="E4966" s="260" t="s">
        <v>6744</v>
      </c>
      <c r="F4966" s="387">
        <v>442</v>
      </c>
      <c r="G4966" s="445">
        <v>1977</v>
      </c>
      <c r="H4966" s="472" t="s">
        <v>5462</v>
      </c>
      <c r="I4966" s="470">
        <v>1292</v>
      </c>
      <c r="J4966" s="388">
        <v>64.7</v>
      </c>
      <c r="K4966" s="388">
        <v>64.7</v>
      </c>
      <c r="L4966" s="497">
        <f t="shared" si="56"/>
        <v>0</v>
      </c>
      <c r="M4966" s="337"/>
    </row>
    <row r="4967" spans="1:13" s="71" customFormat="1" ht="26.4" customHeight="1">
      <c r="A4967" s="282">
        <v>49</v>
      </c>
      <c r="B4967" s="537"/>
      <c r="C4967" s="444" t="s">
        <v>1154</v>
      </c>
      <c r="D4967" s="260" t="s">
        <v>6743</v>
      </c>
      <c r="E4967" s="260" t="s">
        <v>6744</v>
      </c>
      <c r="F4967" s="387">
        <v>443</v>
      </c>
      <c r="G4967" s="445">
        <v>1977</v>
      </c>
      <c r="H4967" s="472" t="s">
        <v>5462</v>
      </c>
      <c r="I4967" s="470">
        <v>28</v>
      </c>
      <c r="J4967" s="388">
        <v>58.3</v>
      </c>
      <c r="K4967" s="388">
        <v>49.9</v>
      </c>
      <c r="L4967" s="497">
        <f t="shared" si="56"/>
        <v>8.3999999999999986</v>
      </c>
      <c r="M4967" s="337"/>
    </row>
    <row r="4968" spans="1:13" s="71" customFormat="1" ht="26.4" customHeight="1">
      <c r="A4968" s="282">
        <v>50</v>
      </c>
      <c r="B4968" s="537"/>
      <c r="C4968" s="444" t="s">
        <v>1154</v>
      </c>
      <c r="D4968" s="260" t="s">
        <v>6743</v>
      </c>
      <c r="E4968" s="260" t="s">
        <v>6745</v>
      </c>
      <c r="F4968" s="387">
        <v>452</v>
      </c>
      <c r="G4968" s="445">
        <v>1978</v>
      </c>
      <c r="H4968" s="472" t="s">
        <v>5462</v>
      </c>
      <c r="I4968" s="470">
        <v>301</v>
      </c>
      <c r="J4968" s="388">
        <v>3.8</v>
      </c>
      <c r="K4968" s="388">
        <v>3</v>
      </c>
      <c r="L4968" s="497">
        <f t="shared" si="56"/>
        <v>0.79999999999999982</v>
      </c>
      <c r="M4968" s="337"/>
    </row>
    <row r="4969" spans="1:13" s="71" customFormat="1" ht="26.4" customHeight="1">
      <c r="A4969" s="282">
        <v>51</v>
      </c>
      <c r="B4969" s="537"/>
      <c r="C4969" s="444" t="s">
        <v>1154</v>
      </c>
      <c r="D4969" s="260" t="s">
        <v>6743</v>
      </c>
      <c r="E4969" s="260" t="s">
        <v>6746</v>
      </c>
      <c r="F4969" s="387">
        <v>454</v>
      </c>
      <c r="G4969" s="445">
        <v>1978</v>
      </c>
      <c r="H4969" s="472" t="s">
        <v>5462</v>
      </c>
      <c r="I4969" s="470">
        <v>60</v>
      </c>
      <c r="J4969" s="388">
        <v>0.6</v>
      </c>
      <c r="K4969" s="388">
        <v>0.5</v>
      </c>
      <c r="L4969" s="497">
        <f t="shared" si="56"/>
        <v>9.9999999999999978E-2</v>
      </c>
      <c r="M4969" s="337"/>
    </row>
    <row r="4970" spans="1:13" s="71" customFormat="1" ht="26.4" customHeight="1">
      <c r="A4970" s="282">
        <v>52</v>
      </c>
      <c r="B4970" s="537"/>
      <c r="C4970" s="444" t="s">
        <v>1154</v>
      </c>
      <c r="D4970" s="260" t="s">
        <v>6743</v>
      </c>
      <c r="E4970" s="260" t="s">
        <v>6745</v>
      </c>
      <c r="F4970" s="387">
        <v>455</v>
      </c>
      <c r="G4970" s="445">
        <v>1978</v>
      </c>
      <c r="H4970" s="472" t="s">
        <v>5462</v>
      </c>
      <c r="I4970" s="470">
        <v>320</v>
      </c>
      <c r="J4970" s="388">
        <v>5.0999999999999996</v>
      </c>
      <c r="K4970" s="388">
        <v>3.6</v>
      </c>
      <c r="L4970" s="497">
        <f t="shared" si="56"/>
        <v>1.4999999999999996</v>
      </c>
      <c r="M4970" s="337"/>
    </row>
    <row r="4971" spans="1:13" s="71" customFormat="1" ht="26.4" customHeight="1">
      <c r="A4971" s="282">
        <v>53</v>
      </c>
      <c r="B4971" s="537"/>
      <c r="C4971" s="444" t="s">
        <v>1154</v>
      </c>
      <c r="D4971" s="260" t="s">
        <v>6743</v>
      </c>
      <c r="E4971" s="260" t="s">
        <v>6745</v>
      </c>
      <c r="F4971" s="387">
        <v>456</v>
      </c>
      <c r="G4971" s="445">
        <v>1978</v>
      </c>
      <c r="H4971" s="472" t="s">
        <v>5462</v>
      </c>
      <c r="I4971" s="470">
        <v>212</v>
      </c>
      <c r="J4971" s="388">
        <v>4.9000000000000004</v>
      </c>
      <c r="K4971" s="388">
        <v>3.8</v>
      </c>
      <c r="L4971" s="497">
        <f t="shared" si="56"/>
        <v>1.1000000000000005</v>
      </c>
      <c r="M4971" s="337"/>
    </row>
    <row r="4972" spans="1:13" s="71" customFormat="1" ht="26.4" customHeight="1">
      <c r="A4972" s="282">
        <v>54</v>
      </c>
      <c r="B4972" s="537"/>
      <c r="C4972" s="444" t="s">
        <v>1154</v>
      </c>
      <c r="D4972" s="260" t="s">
        <v>6743</v>
      </c>
      <c r="E4972" s="260" t="s">
        <v>6747</v>
      </c>
      <c r="F4972" s="387">
        <v>1069</v>
      </c>
      <c r="G4972" s="445">
        <v>1973</v>
      </c>
      <c r="H4972" s="472" t="s">
        <v>3243</v>
      </c>
      <c r="I4972" s="470" t="s">
        <v>3243</v>
      </c>
      <c r="J4972" s="388">
        <v>132.5</v>
      </c>
      <c r="K4972" s="388">
        <v>123.5</v>
      </c>
      <c r="L4972" s="497">
        <f t="shared" si="56"/>
        <v>9</v>
      </c>
      <c r="M4972" s="337"/>
    </row>
    <row r="4973" spans="1:13" s="71" customFormat="1" ht="26.4" customHeight="1">
      <c r="A4973" s="282">
        <v>55</v>
      </c>
      <c r="B4973" s="537"/>
      <c r="C4973" s="444" t="s">
        <v>1154</v>
      </c>
      <c r="D4973" s="260" t="s">
        <v>6743</v>
      </c>
      <c r="E4973" s="260" t="s">
        <v>6748</v>
      </c>
      <c r="F4973" s="387">
        <v>1548</v>
      </c>
      <c r="G4973" s="445">
        <v>1973</v>
      </c>
      <c r="H4973" s="472" t="s">
        <v>3243</v>
      </c>
      <c r="I4973" s="470" t="s">
        <v>3243</v>
      </c>
      <c r="J4973" s="388">
        <v>10.1</v>
      </c>
      <c r="K4973" s="388">
        <v>7.8</v>
      </c>
      <c r="L4973" s="497">
        <f t="shared" si="56"/>
        <v>2.2999999999999998</v>
      </c>
      <c r="M4973" s="337"/>
    </row>
    <row r="4974" spans="1:13" s="71" customFormat="1" ht="26.4" customHeight="1">
      <c r="A4974" s="282">
        <v>56</v>
      </c>
      <c r="B4974" s="537"/>
      <c r="C4974" s="444" t="s">
        <v>1154</v>
      </c>
      <c r="D4974" s="260" t="s">
        <v>6743</v>
      </c>
      <c r="E4974" s="260" t="s">
        <v>6728</v>
      </c>
      <c r="F4974" s="387">
        <v>1549</v>
      </c>
      <c r="G4974" s="445">
        <v>1973</v>
      </c>
      <c r="H4974" s="472" t="s">
        <v>3243</v>
      </c>
      <c r="I4974" s="470" t="s">
        <v>3243</v>
      </c>
      <c r="J4974" s="388">
        <v>159</v>
      </c>
      <c r="K4974" s="388">
        <v>158</v>
      </c>
      <c r="L4974" s="497">
        <f t="shared" si="56"/>
        <v>1</v>
      </c>
      <c r="M4974" s="337"/>
    </row>
    <row r="4975" spans="1:13" s="71" customFormat="1" ht="26.4" customHeight="1">
      <c r="A4975" s="282">
        <v>57</v>
      </c>
      <c r="B4975" s="537"/>
      <c r="C4975" s="444" t="s">
        <v>1154</v>
      </c>
      <c r="D4975" s="260" t="s">
        <v>6743</v>
      </c>
      <c r="E4975" s="260" t="s">
        <v>6749</v>
      </c>
      <c r="F4975" s="387">
        <v>1550</v>
      </c>
      <c r="G4975" s="445">
        <v>1973</v>
      </c>
      <c r="H4975" s="472" t="s">
        <v>3243</v>
      </c>
      <c r="I4975" s="470" t="s">
        <v>3243</v>
      </c>
      <c r="J4975" s="388">
        <v>147</v>
      </c>
      <c r="K4975" s="388">
        <v>146</v>
      </c>
      <c r="L4975" s="497">
        <f t="shared" si="56"/>
        <v>1</v>
      </c>
      <c r="M4975" s="337"/>
    </row>
    <row r="4976" spans="1:13" s="71" customFormat="1" ht="26.4" customHeight="1">
      <c r="A4976" s="282">
        <v>58</v>
      </c>
      <c r="B4976" s="537"/>
      <c r="C4976" s="444" t="s">
        <v>1154</v>
      </c>
      <c r="D4976" s="260" t="s">
        <v>6743</v>
      </c>
      <c r="E4976" s="260" t="s">
        <v>6728</v>
      </c>
      <c r="F4976" s="387">
        <v>1551</v>
      </c>
      <c r="G4976" s="445">
        <v>1975</v>
      </c>
      <c r="H4976" s="472" t="s">
        <v>3243</v>
      </c>
      <c r="I4976" s="470" t="s">
        <v>3243</v>
      </c>
      <c r="J4976" s="388">
        <v>100.9</v>
      </c>
      <c r="K4976" s="388">
        <v>99.1</v>
      </c>
      <c r="L4976" s="497">
        <f t="shared" si="56"/>
        <v>1.8000000000000114</v>
      </c>
      <c r="M4976" s="337"/>
    </row>
    <row r="4977" spans="1:13" s="71" customFormat="1" ht="26.4" customHeight="1">
      <c r="A4977" s="282">
        <v>59</v>
      </c>
      <c r="B4977" s="537"/>
      <c r="C4977" s="444" t="s">
        <v>1154</v>
      </c>
      <c r="D4977" s="260" t="s">
        <v>6743</v>
      </c>
      <c r="E4977" s="260" t="s">
        <v>6728</v>
      </c>
      <c r="F4977" s="387">
        <v>1552</v>
      </c>
      <c r="G4977" s="445">
        <v>1975</v>
      </c>
      <c r="H4977" s="472" t="s">
        <v>3243</v>
      </c>
      <c r="I4977" s="470" t="s">
        <v>3243</v>
      </c>
      <c r="J4977" s="388">
        <v>100.9</v>
      </c>
      <c r="K4977" s="388">
        <v>99.1</v>
      </c>
      <c r="L4977" s="497">
        <f t="shared" si="56"/>
        <v>1.8000000000000114</v>
      </c>
      <c r="M4977" s="337"/>
    </row>
    <row r="4978" spans="1:13" s="71" customFormat="1" ht="26.4" customHeight="1">
      <c r="A4978" s="282">
        <v>60</v>
      </c>
      <c r="B4978" s="537"/>
      <c r="C4978" s="444" t="s">
        <v>1154</v>
      </c>
      <c r="D4978" s="260" t="s">
        <v>6743</v>
      </c>
      <c r="E4978" s="260" t="s">
        <v>6735</v>
      </c>
      <c r="F4978" s="387">
        <v>1553</v>
      </c>
      <c r="G4978" s="445">
        <v>1977</v>
      </c>
      <c r="H4978" s="472" t="s">
        <v>3243</v>
      </c>
      <c r="I4978" s="470" t="s">
        <v>3243</v>
      </c>
      <c r="J4978" s="388">
        <v>156.4</v>
      </c>
      <c r="K4978" s="388">
        <v>127.3</v>
      </c>
      <c r="L4978" s="497">
        <f t="shared" si="56"/>
        <v>29.100000000000009</v>
      </c>
      <c r="M4978" s="337"/>
    </row>
    <row r="4979" spans="1:13" s="71" customFormat="1" ht="26.4" customHeight="1">
      <c r="A4979" s="282">
        <v>61</v>
      </c>
      <c r="B4979" s="537"/>
      <c r="C4979" s="444" t="s">
        <v>1154</v>
      </c>
      <c r="D4979" s="260" t="s">
        <v>6743</v>
      </c>
      <c r="E4979" s="260" t="s">
        <v>6736</v>
      </c>
      <c r="F4979" s="387">
        <v>1554</v>
      </c>
      <c r="G4979" s="445">
        <v>1977</v>
      </c>
      <c r="H4979" s="472" t="s">
        <v>3243</v>
      </c>
      <c r="I4979" s="470" t="s">
        <v>3243</v>
      </c>
      <c r="J4979" s="388">
        <v>78.2</v>
      </c>
      <c r="K4979" s="388">
        <v>67.8</v>
      </c>
      <c r="L4979" s="497">
        <f t="shared" si="56"/>
        <v>10.400000000000006</v>
      </c>
      <c r="M4979" s="337"/>
    </row>
    <row r="4980" spans="1:13" s="71" customFormat="1" ht="26.4" customHeight="1">
      <c r="A4980" s="282">
        <v>62</v>
      </c>
      <c r="B4980" s="537"/>
      <c r="C4980" s="444" t="s">
        <v>1154</v>
      </c>
      <c r="D4980" s="260" t="s">
        <v>6743</v>
      </c>
      <c r="E4980" s="260" t="s">
        <v>6734</v>
      </c>
      <c r="F4980" s="387">
        <v>1559</v>
      </c>
      <c r="G4980" s="445">
        <v>1977</v>
      </c>
      <c r="H4980" s="472" t="s">
        <v>3243</v>
      </c>
      <c r="I4980" s="470" t="s">
        <v>3243</v>
      </c>
      <c r="J4980" s="388">
        <v>335.7</v>
      </c>
      <c r="K4980" s="388">
        <v>283</v>
      </c>
      <c r="L4980" s="497">
        <f t="shared" si="56"/>
        <v>52.699999999999989</v>
      </c>
      <c r="M4980" s="337"/>
    </row>
    <row r="4981" spans="1:13" s="71" customFormat="1" ht="26.4" customHeight="1">
      <c r="A4981" s="282">
        <v>63</v>
      </c>
      <c r="B4981" s="537"/>
      <c r="C4981" s="444" t="s">
        <v>1154</v>
      </c>
      <c r="D4981" s="260" t="s">
        <v>6743</v>
      </c>
      <c r="E4981" s="260" t="s">
        <v>4555</v>
      </c>
      <c r="F4981" s="387">
        <v>1808</v>
      </c>
      <c r="G4981" s="445">
        <v>1973</v>
      </c>
      <c r="H4981" s="472" t="s">
        <v>3243</v>
      </c>
      <c r="I4981" s="470" t="s">
        <v>3243</v>
      </c>
      <c r="J4981" s="388">
        <v>185.8</v>
      </c>
      <c r="K4981" s="388">
        <v>149.19999999999999</v>
      </c>
      <c r="L4981" s="497">
        <f t="shared" si="56"/>
        <v>36.600000000000023</v>
      </c>
      <c r="M4981" s="337"/>
    </row>
    <row r="4982" spans="1:13" s="71" customFormat="1" ht="26.4" customHeight="1">
      <c r="A4982" s="282">
        <v>64</v>
      </c>
      <c r="B4982" s="537"/>
      <c r="C4982" s="444" t="s">
        <v>1154</v>
      </c>
      <c r="D4982" s="260" t="s">
        <v>6743</v>
      </c>
      <c r="E4982" s="260" t="s">
        <v>6750</v>
      </c>
      <c r="F4982" s="387">
        <v>1809</v>
      </c>
      <c r="G4982" s="445">
        <v>1949</v>
      </c>
      <c r="H4982" s="472" t="s">
        <v>3243</v>
      </c>
      <c r="I4982" s="470" t="s">
        <v>3243</v>
      </c>
      <c r="J4982" s="388">
        <v>13.9</v>
      </c>
      <c r="K4982" s="388">
        <v>13.9</v>
      </c>
      <c r="L4982" s="497">
        <f t="shared" si="56"/>
        <v>0</v>
      </c>
      <c r="M4982" s="337"/>
    </row>
    <row r="4983" spans="1:13" s="71" customFormat="1" ht="26.4" customHeight="1">
      <c r="A4983" s="282">
        <v>65</v>
      </c>
      <c r="B4983" s="537"/>
      <c r="C4983" s="444" t="s">
        <v>1154</v>
      </c>
      <c r="D4983" s="260" t="s">
        <v>6743</v>
      </c>
      <c r="E4983" s="260" t="s">
        <v>6726</v>
      </c>
      <c r="F4983" s="387">
        <v>1560</v>
      </c>
      <c r="G4983" s="445">
        <v>1973</v>
      </c>
      <c r="H4983" s="472" t="s">
        <v>3243</v>
      </c>
      <c r="I4983" s="470" t="s">
        <v>3243</v>
      </c>
      <c r="J4983" s="388">
        <v>31.3</v>
      </c>
      <c r="K4983" s="388">
        <v>31.3</v>
      </c>
      <c r="L4983" s="497">
        <f t="shared" ref="L4983:L5046" si="57">J4983-K4983</f>
        <v>0</v>
      </c>
      <c r="M4983" s="337"/>
    </row>
    <row r="4984" spans="1:13" s="71" customFormat="1" ht="26.4" customHeight="1">
      <c r="A4984" s="282">
        <v>66</v>
      </c>
      <c r="B4984" s="537"/>
      <c r="C4984" s="444" t="s">
        <v>1154</v>
      </c>
      <c r="D4984" s="260" t="s">
        <v>6743</v>
      </c>
      <c r="E4984" s="260" t="s">
        <v>6751</v>
      </c>
      <c r="F4984" s="387">
        <v>1586</v>
      </c>
      <c r="G4984" s="445">
        <v>1965</v>
      </c>
      <c r="H4984" s="472" t="s">
        <v>3243</v>
      </c>
      <c r="I4984" s="470" t="s">
        <v>3243</v>
      </c>
      <c r="J4984" s="388">
        <v>24.1</v>
      </c>
      <c r="K4984" s="388">
        <v>24.1</v>
      </c>
      <c r="L4984" s="497">
        <f t="shared" si="57"/>
        <v>0</v>
      </c>
      <c r="M4984" s="337"/>
    </row>
    <row r="4985" spans="1:13" s="71" customFormat="1" ht="26.4" customHeight="1">
      <c r="A4985" s="282">
        <v>67</v>
      </c>
      <c r="B4985" s="537"/>
      <c r="C4985" s="444" t="s">
        <v>1154</v>
      </c>
      <c r="D4985" s="444" t="s">
        <v>6752</v>
      </c>
      <c r="E4985" s="444" t="s">
        <v>6753</v>
      </c>
      <c r="F4985" s="387">
        <v>147</v>
      </c>
      <c r="G4985" s="445">
        <v>1983</v>
      </c>
      <c r="H4985" s="472" t="s">
        <v>3243</v>
      </c>
      <c r="I4985" s="470" t="s">
        <v>3243</v>
      </c>
      <c r="J4985" s="388">
        <v>231.2</v>
      </c>
      <c r="K4985" s="388">
        <v>195.2</v>
      </c>
      <c r="L4985" s="497">
        <f t="shared" si="57"/>
        <v>36</v>
      </c>
      <c r="M4985" s="337"/>
    </row>
    <row r="4986" spans="1:13" s="71" customFormat="1" ht="26.4" customHeight="1">
      <c r="A4986" s="282">
        <v>68</v>
      </c>
      <c r="B4986" s="537"/>
      <c r="C4986" s="444" t="s">
        <v>1154</v>
      </c>
      <c r="D4986" s="260" t="s">
        <v>6754</v>
      </c>
      <c r="E4986" s="260" t="s">
        <v>6755</v>
      </c>
      <c r="F4986" s="387">
        <v>192</v>
      </c>
      <c r="G4986" s="445">
        <v>1929</v>
      </c>
      <c r="H4986" s="472" t="s">
        <v>5462</v>
      </c>
      <c r="I4986" s="470">
        <v>8960</v>
      </c>
      <c r="J4986" s="388">
        <v>233.3</v>
      </c>
      <c r="K4986" s="388">
        <v>233.1</v>
      </c>
      <c r="L4986" s="497">
        <f t="shared" si="57"/>
        <v>0.20000000000001705</v>
      </c>
      <c r="M4986" s="337"/>
    </row>
    <row r="4987" spans="1:13" s="71" customFormat="1" ht="26.4" customHeight="1">
      <c r="A4987" s="282">
        <v>69</v>
      </c>
      <c r="B4987" s="537"/>
      <c r="C4987" s="444" t="s">
        <v>1154</v>
      </c>
      <c r="D4987" s="260" t="s">
        <v>6756</v>
      </c>
      <c r="E4987" s="260" t="s">
        <v>6757</v>
      </c>
      <c r="F4987" s="387">
        <v>195</v>
      </c>
      <c r="G4987" s="445">
        <v>1959</v>
      </c>
      <c r="H4987" s="472" t="s">
        <v>5462</v>
      </c>
      <c r="I4987" s="470">
        <v>7500</v>
      </c>
      <c r="J4987" s="388">
        <v>59.4</v>
      </c>
      <c r="K4987" s="388">
        <v>56.3</v>
      </c>
      <c r="L4987" s="497">
        <f t="shared" si="57"/>
        <v>3.1000000000000014</v>
      </c>
      <c r="M4987" s="337"/>
    </row>
    <row r="4988" spans="1:13" s="71" customFormat="1" ht="26.4" customHeight="1">
      <c r="A4988" s="282">
        <v>70</v>
      </c>
      <c r="B4988" s="537"/>
      <c r="C4988" s="444" t="s">
        <v>1154</v>
      </c>
      <c r="D4988" s="260" t="s">
        <v>6758</v>
      </c>
      <c r="E4988" s="260" t="s">
        <v>6759</v>
      </c>
      <c r="F4988" s="387">
        <v>196</v>
      </c>
      <c r="G4988" s="445">
        <v>1929</v>
      </c>
      <c r="H4988" s="472" t="s">
        <v>5462</v>
      </c>
      <c r="I4988" s="470">
        <v>8500</v>
      </c>
      <c r="J4988" s="388">
        <v>109.2</v>
      </c>
      <c r="K4988" s="388">
        <v>103.1</v>
      </c>
      <c r="L4988" s="497">
        <f t="shared" si="57"/>
        <v>6.1000000000000085</v>
      </c>
      <c r="M4988" s="337"/>
    </row>
    <row r="4989" spans="1:13" s="71" customFormat="1" ht="26.4" customHeight="1">
      <c r="A4989" s="282">
        <v>71</v>
      </c>
      <c r="B4989" s="537"/>
      <c r="C4989" s="444" t="s">
        <v>1154</v>
      </c>
      <c r="D4989" s="260" t="s">
        <v>6760</v>
      </c>
      <c r="E4989" s="260" t="s">
        <v>6761</v>
      </c>
      <c r="F4989" s="387">
        <v>197</v>
      </c>
      <c r="G4989" s="445">
        <v>1929</v>
      </c>
      <c r="H4989" s="472" t="s">
        <v>5462</v>
      </c>
      <c r="I4989" s="470">
        <v>5440</v>
      </c>
      <c r="J4989" s="388">
        <v>115.7</v>
      </c>
      <c r="K4989" s="388">
        <v>109.2</v>
      </c>
      <c r="L4989" s="497">
        <f t="shared" si="57"/>
        <v>6.5</v>
      </c>
      <c r="M4989" s="337"/>
    </row>
    <row r="4990" spans="1:13" s="71" customFormat="1" ht="26.4" customHeight="1">
      <c r="A4990" s="282">
        <v>72</v>
      </c>
      <c r="B4990" s="537"/>
      <c r="C4990" s="444" t="s">
        <v>1154</v>
      </c>
      <c r="D4990" s="260" t="s">
        <v>6762</v>
      </c>
      <c r="E4990" s="260" t="s">
        <v>6763</v>
      </c>
      <c r="F4990" s="387">
        <v>198</v>
      </c>
      <c r="G4990" s="445">
        <v>1929</v>
      </c>
      <c r="H4990" s="472" t="s">
        <v>5462</v>
      </c>
      <c r="I4990" s="470">
        <v>1500</v>
      </c>
      <c r="J4990" s="388">
        <v>60.2</v>
      </c>
      <c r="K4990" s="388">
        <v>58.6</v>
      </c>
      <c r="L4990" s="497">
        <f t="shared" si="57"/>
        <v>1.6000000000000014</v>
      </c>
      <c r="M4990" s="337"/>
    </row>
    <row r="4991" spans="1:13" s="71" customFormat="1" ht="26.4" customHeight="1">
      <c r="A4991" s="282">
        <v>73</v>
      </c>
      <c r="B4991" s="537"/>
      <c r="C4991" s="444" t="s">
        <v>1154</v>
      </c>
      <c r="D4991" s="260" t="s">
        <v>6764</v>
      </c>
      <c r="E4991" s="260" t="s">
        <v>6765</v>
      </c>
      <c r="F4991" s="387">
        <v>200</v>
      </c>
      <c r="G4991" s="445">
        <v>1932</v>
      </c>
      <c r="H4991" s="472" t="s">
        <v>5462</v>
      </c>
      <c r="I4991" s="470">
        <v>11100</v>
      </c>
      <c r="J4991" s="388">
        <v>432.6</v>
      </c>
      <c r="K4991" s="388">
        <v>410</v>
      </c>
      <c r="L4991" s="497">
        <f t="shared" si="57"/>
        <v>22.600000000000023</v>
      </c>
      <c r="M4991" s="337"/>
    </row>
    <row r="4992" spans="1:13" s="71" customFormat="1" ht="26.4" customHeight="1">
      <c r="A4992" s="282">
        <v>74</v>
      </c>
      <c r="B4992" s="537"/>
      <c r="C4992" s="444" t="s">
        <v>1154</v>
      </c>
      <c r="D4992" s="260" t="s">
        <v>6766</v>
      </c>
      <c r="E4992" s="260" t="s">
        <v>6767</v>
      </c>
      <c r="F4992" s="387">
        <v>201</v>
      </c>
      <c r="G4992" s="445">
        <v>1932</v>
      </c>
      <c r="H4992" s="472" t="s">
        <v>5462</v>
      </c>
      <c r="I4992" s="470">
        <v>4500</v>
      </c>
      <c r="J4992" s="388">
        <v>14.1</v>
      </c>
      <c r="K4992" s="388">
        <v>13.7</v>
      </c>
      <c r="L4992" s="497">
        <f t="shared" si="57"/>
        <v>0.40000000000000036</v>
      </c>
      <c r="M4992" s="337"/>
    </row>
    <row r="4993" spans="1:13" s="71" customFormat="1" ht="26.4" customHeight="1">
      <c r="A4993" s="282">
        <v>75</v>
      </c>
      <c r="B4993" s="537"/>
      <c r="C4993" s="444" t="s">
        <v>1154</v>
      </c>
      <c r="D4993" s="260" t="s">
        <v>6766</v>
      </c>
      <c r="E4993" s="260" t="s">
        <v>6767</v>
      </c>
      <c r="F4993" s="387">
        <v>202</v>
      </c>
      <c r="G4993" s="445">
        <v>1932</v>
      </c>
      <c r="H4993" s="472" t="s">
        <v>5462</v>
      </c>
      <c r="I4993" s="470">
        <v>6010</v>
      </c>
      <c r="J4993" s="388">
        <v>93.3</v>
      </c>
      <c r="K4993" s="388">
        <v>93.3</v>
      </c>
      <c r="L4993" s="497">
        <f t="shared" si="57"/>
        <v>0</v>
      </c>
      <c r="M4993" s="337"/>
    </row>
    <row r="4994" spans="1:13" s="71" customFormat="1" ht="39.6">
      <c r="A4994" s="282">
        <v>76</v>
      </c>
      <c r="B4994" s="537"/>
      <c r="C4994" s="444" t="s">
        <v>1154</v>
      </c>
      <c r="D4994" s="260" t="s">
        <v>6768</v>
      </c>
      <c r="E4994" s="260" t="s">
        <v>6769</v>
      </c>
      <c r="F4994" s="387">
        <v>203</v>
      </c>
      <c r="G4994" s="445">
        <v>1932</v>
      </c>
      <c r="H4994" s="472" t="s">
        <v>5462</v>
      </c>
      <c r="I4994" s="470">
        <v>3750</v>
      </c>
      <c r="J4994" s="388">
        <v>18.100000000000001</v>
      </c>
      <c r="K4994" s="388">
        <v>17.600000000000001</v>
      </c>
      <c r="L4994" s="495">
        <f t="shared" si="57"/>
        <v>0.5</v>
      </c>
      <c r="M4994" s="337"/>
    </row>
    <row r="4995" spans="1:13" s="71" customFormat="1" ht="26.4" customHeight="1">
      <c r="A4995" s="282">
        <v>77</v>
      </c>
      <c r="B4995" s="537"/>
      <c r="C4995" s="444" t="s">
        <v>1154</v>
      </c>
      <c r="D4995" s="260" t="s">
        <v>6770</v>
      </c>
      <c r="E4995" s="260" t="s">
        <v>12721</v>
      </c>
      <c r="F4995" s="387">
        <v>204</v>
      </c>
      <c r="G4995" s="445">
        <v>1932</v>
      </c>
      <c r="H4995" s="472" t="s">
        <v>5462</v>
      </c>
      <c r="I4995" s="470">
        <v>144</v>
      </c>
      <c r="J4995" s="388">
        <v>86.9</v>
      </c>
      <c r="K4995" s="388">
        <v>84.6</v>
      </c>
      <c r="L4995" s="495">
        <f t="shared" si="57"/>
        <v>2.3000000000000114</v>
      </c>
      <c r="M4995" s="337"/>
    </row>
    <row r="4996" spans="1:13" s="71" customFormat="1" ht="26.4" customHeight="1">
      <c r="A4996" s="282">
        <v>78</v>
      </c>
      <c r="B4996" s="537"/>
      <c r="C4996" s="444" t="s">
        <v>1154</v>
      </c>
      <c r="D4996" s="260" t="s">
        <v>6771</v>
      </c>
      <c r="E4996" s="260" t="s">
        <v>6772</v>
      </c>
      <c r="F4996" s="387">
        <v>205</v>
      </c>
      <c r="G4996" s="445">
        <v>1932</v>
      </c>
      <c r="H4996" s="472" t="s">
        <v>5462</v>
      </c>
      <c r="I4996" s="470">
        <v>1000</v>
      </c>
      <c r="J4996" s="388">
        <v>27.5</v>
      </c>
      <c r="K4996" s="388">
        <v>26.8</v>
      </c>
      <c r="L4996" s="495">
        <f t="shared" si="57"/>
        <v>0.69999999999999929</v>
      </c>
      <c r="M4996" s="337"/>
    </row>
    <row r="4997" spans="1:13" s="71" customFormat="1" ht="26.4" customHeight="1">
      <c r="A4997" s="282">
        <v>79</v>
      </c>
      <c r="B4997" s="537"/>
      <c r="C4997" s="444" t="s">
        <v>1154</v>
      </c>
      <c r="D4997" s="260" t="s">
        <v>6773</v>
      </c>
      <c r="E4997" s="260" t="s">
        <v>6774</v>
      </c>
      <c r="F4997" s="387">
        <v>206</v>
      </c>
      <c r="G4997" s="445">
        <v>1938</v>
      </c>
      <c r="H4997" s="472" t="s">
        <v>5462</v>
      </c>
      <c r="I4997" s="470">
        <v>4600</v>
      </c>
      <c r="J4997" s="388">
        <v>64.099999999999994</v>
      </c>
      <c r="K4997" s="388">
        <v>62.5</v>
      </c>
      <c r="L4997" s="495">
        <f t="shared" si="57"/>
        <v>1.5999999999999943</v>
      </c>
      <c r="M4997" s="337"/>
    </row>
    <row r="4998" spans="1:13" s="71" customFormat="1" ht="52.8">
      <c r="A4998" s="282">
        <v>80</v>
      </c>
      <c r="B4998" s="537"/>
      <c r="C4998" s="444" t="s">
        <v>1154</v>
      </c>
      <c r="D4998" s="260" t="s">
        <v>13293</v>
      </c>
      <c r="E4998" s="260" t="s">
        <v>6775</v>
      </c>
      <c r="F4998" s="387">
        <v>207</v>
      </c>
      <c r="G4998" s="445">
        <v>1939</v>
      </c>
      <c r="H4998" s="472" t="s">
        <v>5462</v>
      </c>
      <c r="I4998" s="470">
        <v>20465</v>
      </c>
      <c r="J4998" s="388">
        <v>16.7</v>
      </c>
      <c r="K4998" s="388">
        <v>16.3</v>
      </c>
      <c r="L4998" s="495">
        <f t="shared" si="57"/>
        <v>0.39999999999999858</v>
      </c>
      <c r="M4998" s="337"/>
    </row>
    <row r="4999" spans="1:13" s="71" customFormat="1" ht="26.4" customHeight="1">
      <c r="A4999" s="282">
        <v>81</v>
      </c>
      <c r="B4999" s="537"/>
      <c r="C4999" s="444" t="s">
        <v>1154</v>
      </c>
      <c r="D4999" s="260" t="s">
        <v>6776</v>
      </c>
      <c r="E4999" s="260" t="s">
        <v>12722</v>
      </c>
      <c r="F4999" s="387">
        <v>208</v>
      </c>
      <c r="G4999" s="445">
        <v>1945</v>
      </c>
      <c r="H4999" s="472" t="s">
        <v>5462</v>
      </c>
      <c r="I4999" s="470">
        <v>725</v>
      </c>
      <c r="J4999" s="388">
        <v>21.4</v>
      </c>
      <c r="K4999" s="388">
        <v>20.9</v>
      </c>
      <c r="L4999" s="495">
        <f t="shared" si="57"/>
        <v>0.5</v>
      </c>
      <c r="M4999" s="337"/>
    </row>
    <row r="5000" spans="1:13" s="71" customFormat="1" ht="26.4" customHeight="1">
      <c r="A5000" s="282">
        <v>82</v>
      </c>
      <c r="B5000" s="537"/>
      <c r="C5000" s="444" t="s">
        <v>1154</v>
      </c>
      <c r="D5000" s="260" t="s">
        <v>6777</v>
      </c>
      <c r="E5000" s="260" t="s">
        <v>6778</v>
      </c>
      <c r="F5000" s="387">
        <v>209</v>
      </c>
      <c r="G5000" s="445">
        <v>1946</v>
      </c>
      <c r="H5000" s="472" t="s">
        <v>5462</v>
      </c>
      <c r="I5000" s="470">
        <v>1300</v>
      </c>
      <c r="J5000" s="388">
        <v>48.5</v>
      </c>
      <c r="K5000" s="388">
        <v>46</v>
      </c>
      <c r="L5000" s="495">
        <f t="shared" si="57"/>
        <v>2.5</v>
      </c>
      <c r="M5000" s="337"/>
    </row>
    <row r="5001" spans="1:13" s="71" customFormat="1" ht="26.4" customHeight="1">
      <c r="A5001" s="282">
        <v>83</v>
      </c>
      <c r="B5001" s="537"/>
      <c r="C5001" s="444" t="s">
        <v>1154</v>
      </c>
      <c r="D5001" s="260" t="s">
        <v>6779</v>
      </c>
      <c r="E5001" s="260" t="s">
        <v>6780</v>
      </c>
      <c r="F5001" s="387">
        <v>210</v>
      </c>
      <c r="G5001" s="445">
        <v>1950</v>
      </c>
      <c r="H5001" s="472" t="s">
        <v>5462</v>
      </c>
      <c r="I5001" s="470">
        <v>5000</v>
      </c>
      <c r="J5001" s="388">
        <v>122.7</v>
      </c>
      <c r="K5001" s="388">
        <v>122.3</v>
      </c>
      <c r="L5001" s="495">
        <f t="shared" si="57"/>
        <v>0.40000000000000568</v>
      </c>
      <c r="M5001" s="337"/>
    </row>
    <row r="5002" spans="1:13" s="71" customFormat="1" ht="26.4" customHeight="1">
      <c r="A5002" s="282">
        <v>84</v>
      </c>
      <c r="B5002" s="537"/>
      <c r="C5002" s="444" t="s">
        <v>1154</v>
      </c>
      <c r="D5002" s="260" t="s">
        <v>6781</v>
      </c>
      <c r="E5002" s="260" t="s">
        <v>6782</v>
      </c>
      <c r="F5002" s="387">
        <v>211</v>
      </c>
      <c r="G5002" s="445">
        <v>1954</v>
      </c>
      <c r="H5002" s="472" t="s">
        <v>5462</v>
      </c>
      <c r="I5002" s="470">
        <v>650</v>
      </c>
      <c r="J5002" s="388">
        <v>85</v>
      </c>
      <c r="K5002" s="388">
        <v>84.7</v>
      </c>
      <c r="L5002" s="495">
        <f t="shared" si="57"/>
        <v>0.29999999999999716</v>
      </c>
      <c r="M5002" s="337"/>
    </row>
    <row r="5003" spans="1:13" s="71" customFormat="1" ht="39.6">
      <c r="A5003" s="282">
        <v>85</v>
      </c>
      <c r="B5003" s="537"/>
      <c r="C5003" s="444" t="s">
        <v>1154</v>
      </c>
      <c r="D5003" s="260" t="s">
        <v>12866</v>
      </c>
      <c r="E5003" s="260" t="s">
        <v>13247</v>
      </c>
      <c r="F5003" s="387">
        <v>212</v>
      </c>
      <c r="G5003" s="445">
        <v>1954</v>
      </c>
      <c r="H5003" s="472" t="s">
        <v>5462</v>
      </c>
      <c r="I5003" s="470">
        <v>7272</v>
      </c>
      <c r="J5003" s="388">
        <v>157.6</v>
      </c>
      <c r="K5003" s="388">
        <v>157.19999999999999</v>
      </c>
      <c r="L5003" s="495">
        <f t="shared" si="57"/>
        <v>0.40000000000000568</v>
      </c>
      <c r="M5003" s="337"/>
    </row>
    <row r="5004" spans="1:13" s="71" customFormat="1" ht="26.4" customHeight="1">
      <c r="A5004" s="282">
        <v>86</v>
      </c>
      <c r="B5004" s="537"/>
      <c r="C5004" s="444" t="s">
        <v>1154</v>
      </c>
      <c r="D5004" s="260" t="s">
        <v>6783</v>
      </c>
      <c r="E5004" s="260" t="s">
        <v>6784</v>
      </c>
      <c r="F5004" s="387">
        <v>213</v>
      </c>
      <c r="G5004" s="445">
        <v>1957</v>
      </c>
      <c r="H5004" s="472" t="s">
        <v>5462</v>
      </c>
      <c r="I5004" s="470">
        <v>1935</v>
      </c>
      <c r="J5004" s="388">
        <v>93.2</v>
      </c>
      <c r="K5004" s="388">
        <v>90.8</v>
      </c>
      <c r="L5004" s="495">
        <f t="shared" si="57"/>
        <v>2.4000000000000057</v>
      </c>
      <c r="M5004" s="337"/>
    </row>
    <row r="5005" spans="1:13" s="71" customFormat="1" ht="26.4" customHeight="1">
      <c r="A5005" s="282">
        <v>87</v>
      </c>
      <c r="B5005" s="537"/>
      <c r="C5005" s="444" t="s">
        <v>1154</v>
      </c>
      <c r="D5005" s="260" t="s">
        <v>6785</v>
      </c>
      <c r="E5005" s="260" t="s">
        <v>6786</v>
      </c>
      <c r="F5005" s="387">
        <v>214</v>
      </c>
      <c r="G5005" s="445">
        <v>1957</v>
      </c>
      <c r="H5005" s="472" t="s">
        <v>5462</v>
      </c>
      <c r="I5005" s="470">
        <v>3160</v>
      </c>
      <c r="J5005" s="388">
        <v>79.400000000000006</v>
      </c>
      <c r="K5005" s="388">
        <v>79.099999999999994</v>
      </c>
      <c r="L5005" s="495">
        <f t="shared" si="57"/>
        <v>0.30000000000001137</v>
      </c>
      <c r="M5005" s="337"/>
    </row>
    <row r="5006" spans="1:13" s="71" customFormat="1" ht="26.4" customHeight="1">
      <c r="A5006" s="282">
        <v>88</v>
      </c>
      <c r="B5006" s="537"/>
      <c r="C5006" s="444" t="s">
        <v>1154</v>
      </c>
      <c r="D5006" s="260" t="s">
        <v>6787</v>
      </c>
      <c r="E5006" s="260" t="s">
        <v>6788</v>
      </c>
      <c r="F5006" s="387">
        <v>215</v>
      </c>
      <c r="G5006" s="445">
        <v>1959</v>
      </c>
      <c r="H5006" s="472" t="s">
        <v>5462</v>
      </c>
      <c r="I5006" s="470">
        <v>1862</v>
      </c>
      <c r="J5006" s="388">
        <v>65.5</v>
      </c>
      <c r="K5006" s="388">
        <v>64.900000000000006</v>
      </c>
      <c r="L5006" s="495">
        <f t="shared" si="57"/>
        <v>0.59999999999999432</v>
      </c>
      <c r="M5006" s="337"/>
    </row>
    <row r="5007" spans="1:13" s="71" customFormat="1" ht="52.8">
      <c r="A5007" s="282">
        <v>89</v>
      </c>
      <c r="B5007" s="537"/>
      <c r="C5007" s="444" t="s">
        <v>1154</v>
      </c>
      <c r="D5007" s="260" t="s">
        <v>13412</v>
      </c>
      <c r="E5007" s="260" t="s">
        <v>6784</v>
      </c>
      <c r="F5007" s="387">
        <v>216</v>
      </c>
      <c r="G5007" s="445">
        <v>1959</v>
      </c>
      <c r="H5007" s="472" t="s">
        <v>5462</v>
      </c>
      <c r="I5007" s="470">
        <v>26040</v>
      </c>
      <c r="J5007" s="388">
        <v>11.4</v>
      </c>
      <c r="K5007" s="388">
        <v>11.1</v>
      </c>
      <c r="L5007" s="495">
        <f t="shared" si="57"/>
        <v>0.30000000000000071</v>
      </c>
      <c r="M5007" s="337"/>
    </row>
    <row r="5008" spans="1:13" s="71" customFormat="1" ht="26.4" customHeight="1">
      <c r="A5008" s="282">
        <v>90</v>
      </c>
      <c r="B5008" s="537"/>
      <c r="C5008" s="444" t="s">
        <v>1154</v>
      </c>
      <c r="D5008" s="260" t="s">
        <v>6789</v>
      </c>
      <c r="E5008" s="260" t="s">
        <v>6784</v>
      </c>
      <c r="F5008" s="387">
        <v>217</v>
      </c>
      <c r="G5008" s="445">
        <v>1959</v>
      </c>
      <c r="H5008" s="472" t="s">
        <v>5462</v>
      </c>
      <c r="I5008" s="470">
        <v>1760</v>
      </c>
      <c r="J5008" s="388">
        <v>24.7</v>
      </c>
      <c r="K5008" s="388">
        <v>24.2</v>
      </c>
      <c r="L5008" s="495">
        <f t="shared" si="57"/>
        <v>0.5</v>
      </c>
      <c r="M5008" s="337"/>
    </row>
    <row r="5009" spans="1:13" s="71" customFormat="1" ht="26.4" customHeight="1">
      <c r="A5009" s="282">
        <v>91</v>
      </c>
      <c r="B5009" s="537"/>
      <c r="C5009" s="444" t="s">
        <v>1154</v>
      </c>
      <c r="D5009" s="260" t="s">
        <v>6790</v>
      </c>
      <c r="E5009" s="260" t="s">
        <v>6784</v>
      </c>
      <c r="F5009" s="387">
        <v>218</v>
      </c>
      <c r="G5009" s="445">
        <v>1959</v>
      </c>
      <c r="H5009" s="472" t="s">
        <v>5462</v>
      </c>
      <c r="I5009" s="470">
        <v>2090</v>
      </c>
      <c r="J5009" s="388">
        <v>75.400000000000006</v>
      </c>
      <c r="K5009" s="388">
        <v>74.099999999999994</v>
      </c>
      <c r="L5009" s="495">
        <f t="shared" si="57"/>
        <v>1.3000000000000114</v>
      </c>
      <c r="M5009" s="337"/>
    </row>
    <row r="5010" spans="1:13" s="71" customFormat="1" ht="26.4" customHeight="1">
      <c r="A5010" s="282">
        <v>92</v>
      </c>
      <c r="B5010" s="537"/>
      <c r="C5010" s="444" t="s">
        <v>1154</v>
      </c>
      <c r="D5010" s="260" t="s">
        <v>6791</v>
      </c>
      <c r="E5010" s="260" t="s">
        <v>6784</v>
      </c>
      <c r="F5010" s="387">
        <v>219</v>
      </c>
      <c r="G5010" s="445">
        <v>1959</v>
      </c>
      <c r="H5010" s="472" t="s">
        <v>5462</v>
      </c>
      <c r="I5010" s="470">
        <v>2500</v>
      </c>
      <c r="J5010" s="388">
        <v>41.4</v>
      </c>
      <c r="K5010" s="388">
        <v>39.799999999999997</v>
      </c>
      <c r="L5010" s="495">
        <f t="shared" si="57"/>
        <v>1.6000000000000014</v>
      </c>
      <c r="M5010" s="337"/>
    </row>
    <row r="5011" spans="1:13" s="71" customFormat="1" ht="26.4" customHeight="1">
      <c r="A5011" s="282">
        <v>93</v>
      </c>
      <c r="B5011" s="537"/>
      <c r="C5011" s="444" t="s">
        <v>1154</v>
      </c>
      <c r="D5011" s="260" t="s">
        <v>6792</v>
      </c>
      <c r="E5011" s="260" t="s">
        <v>6784</v>
      </c>
      <c r="F5011" s="387">
        <v>220</v>
      </c>
      <c r="G5011" s="445">
        <v>1959</v>
      </c>
      <c r="H5011" s="472" t="s">
        <v>5462</v>
      </c>
      <c r="I5011" s="470">
        <v>757</v>
      </c>
      <c r="J5011" s="388">
        <v>25.4</v>
      </c>
      <c r="K5011" s="388">
        <v>24.5</v>
      </c>
      <c r="L5011" s="495">
        <f t="shared" si="57"/>
        <v>0.89999999999999858</v>
      </c>
      <c r="M5011" s="337"/>
    </row>
    <row r="5012" spans="1:13" s="71" customFormat="1" ht="39.6">
      <c r="A5012" s="282">
        <v>94</v>
      </c>
      <c r="B5012" s="537"/>
      <c r="C5012" s="444" t="s">
        <v>1154</v>
      </c>
      <c r="D5012" s="260" t="s">
        <v>12867</v>
      </c>
      <c r="E5012" s="260" t="s">
        <v>6784</v>
      </c>
      <c r="F5012" s="387">
        <v>221</v>
      </c>
      <c r="G5012" s="445">
        <v>1959</v>
      </c>
      <c r="H5012" s="472" t="s">
        <v>5462</v>
      </c>
      <c r="I5012" s="470">
        <v>350</v>
      </c>
      <c r="J5012" s="388">
        <v>40.5</v>
      </c>
      <c r="K5012" s="388">
        <v>40.299999999999997</v>
      </c>
      <c r="L5012" s="495">
        <f t="shared" si="57"/>
        <v>0.20000000000000284</v>
      </c>
      <c r="M5012" s="337"/>
    </row>
    <row r="5013" spans="1:13" s="71" customFormat="1" ht="26.4" customHeight="1">
      <c r="A5013" s="282">
        <v>95</v>
      </c>
      <c r="B5013" s="537"/>
      <c r="C5013" s="444" t="s">
        <v>1154</v>
      </c>
      <c r="D5013" s="260" t="s">
        <v>6773</v>
      </c>
      <c r="E5013" s="260" t="s">
        <v>6784</v>
      </c>
      <c r="F5013" s="387">
        <v>222</v>
      </c>
      <c r="G5013" s="445">
        <v>1959</v>
      </c>
      <c r="H5013" s="472" t="s">
        <v>5462</v>
      </c>
      <c r="I5013" s="470">
        <v>4253</v>
      </c>
      <c r="J5013" s="388">
        <v>155.30000000000001</v>
      </c>
      <c r="K5013" s="388">
        <v>154.9</v>
      </c>
      <c r="L5013" s="495">
        <f t="shared" si="57"/>
        <v>0.40000000000000568</v>
      </c>
      <c r="M5013" s="337"/>
    </row>
    <row r="5014" spans="1:13" s="71" customFormat="1" ht="48.75" customHeight="1">
      <c r="A5014" s="282">
        <v>96</v>
      </c>
      <c r="B5014" s="537"/>
      <c r="C5014" s="444" t="s">
        <v>1154</v>
      </c>
      <c r="D5014" s="260" t="s">
        <v>13294</v>
      </c>
      <c r="E5014" s="260" t="s">
        <v>6784</v>
      </c>
      <c r="F5014" s="387">
        <v>223</v>
      </c>
      <c r="G5014" s="445">
        <v>1959</v>
      </c>
      <c r="H5014" s="472" t="s">
        <v>5462</v>
      </c>
      <c r="I5014" s="470">
        <v>8449</v>
      </c>
      <c r="J5014" s="388">
        <v>90.7</v>
      </c>
      <c r="K5014" s="388">
        <v>90.4</v>
      </c>
      <c r="L5014" s="497">
        <f t="shared" si="57"/>
        <v>0.29999999999999716</v>
      </c>
      <c r="M5014" s="337"/>
    </row>
    <row r="5015" spans="1:13" s="71" customFormat="1" ht="26.4">
      <c r="A5015" s="282">
        <v>97</v>
      </c>
      <c r="B5015" s="537"/>
      <c r="C5015" s="444" t="s">
        <v>1154</v>
      </c>
      <c r="D5015" s="260" t="s">
        <v>12868</v>
      </c>
      <c r="E5015" s="260" t="s">
        <v>6784</v>
      </c>
      <c r="F5015" s="387">
        <v>224</v>
      </c>
      <c r="G5015" s="445">
        <v>1957</v>
      </c>
      <c r="H5015" s="472" t="s">
        <v>5462</v>
      </c>
      <c r="I5015" s="470">
        <v>270</v>
      </c>
      <c r="J5015" s="388">
        <v>9.9</v>
      </c>
      <c r="K5015" s="388">
        <v>9.6</v>
      </c>
      <c r="L5015" s="495">
        <f t="shared" si="57"/>
        <v>0.30000000000000071</v>
      </c>
      <c r="M5015" s="337"/>
    </row>
    <row r="5016" spans="1:13" s="71" customFormat="1" ht="26.4">
      <c r="A5016" s="282">
        <v>98</v>
      </c>
      <c r="B5016" s="537"/>
      <c r="C5016" s="444" t="s">
        <v>1154</v>
      </c>
      <c r="D5016" s="260" t="s">
        <v>12868</v>
      </c>
      <c r="E5016" s="260" t="s">
        <v>6784</v>
      </c>
      <c r="F5016" s="387">
        <v>225</v>
      </c>
      <c r="G5016" s="445">
        <v>1957</v>
      </c>
      <c r="H5016" s="472" t="s">
        <v>5462</v>
      </c>
      <c r="I5016" s="470">
        <v>9405</v>
      </c>
      <c r="J5016" s="388">
        <v>19</v>
      </c>
      <c r="K5016" s="388">
        <v>18.5</v>
      </c>
      <c r="L5016" s="495">
        <f t="shared" si="57"/>
        <v>0.5</v>
      </c>
      <c r="M5016" s="337"/>
    </row>
    <row r="5017" spans="1:13" s="71" customFormat="1" ht="26.4" customHeight="1">
      <c r="A5017" s="282">
        <v>99</v>
      </c>
      <c r="B5017" s="537"/>
      <c r="C5017" s="444" t="s">
        <v>1154</v>
      </c>
      <c r="D5017" s="260" t="s">
        <v>6793</v>
      </c>
      <c r="E5017" s="260" t="s">
        <v>6784</v>
      </c>
      <c r="F5017" s="387">
        <v>226</v>
      </c>
      <c r="G5017" s="445">
        <v>1959</v>
      </c>
      <c r="H5017" s="472" t="s">
        <v>5462</v>
      </c>
      <c r="I5017" s="470">
        <v>2925</v>
      </c>
      <c r="J5017" s="388">
        <v>42.4</v>
      </c>
      <c r="K5017" s="388">
        <v>42.3</v>
      </c>
      <c r="L5017" s="495">
        <f t="shared" si="57"/>
        <v>0.10000000000000142</v>
      </c>
      <c r="M5017" s="337"/>
    </row>
    <row r="5018" spans="1:13" s="71" customFormat="1" ht="26.4" customHeight="1">
      <c r="A5018" s="282">
        <v>100</v>
      </c>
      <c r="B5018" s="537"/>
      <c r="C5018" s="444" t="s">
        <v>1154</v>
      </c>
      <c r="D5018" s="260" t="s">
        <v>6794</v>
      </c>
      <c r="E5018" s="260" t="s">
        <v>6784</v>
      </c>
      <c r="F5018" s="387">
        <v>227</v>
      </c>
      <c r="G5018" s="445">
        <v>1959</v>
      </c>
      <c r="H5018" s="472" t="s">
        <v>5462</v>
      </c>
      <c r="I5018" s="470">
        <v>1300</v>
      </c>
      <c r="J5018" s="388">
        <v>57.8</v>
      </c>
      <c r="K5018" s="388">
        <v>56.2</v>
      </c>
      <c r="L5018" s="495">
        <f t="shared" si="57"/>
        <v>1.5999999999999943</v>
      </c>
      <c r="M5018" s="337"/>
    </row>
    <row r="5019" spans="1:13" s="71" customFormat="1" ht="26.4" customHeight="1">
      <c r="A5019" s="282">
        <v>101</v>
      </c>
      <c r="B5019" s="537"/>
      <c r="C5019" s="444" t="s">
        <v>1154</v>
      </c>
      <c r="D5019" s="260" t="s">
        <v>6795</v>
      </c>
      <c r="E5019" s="260" t="s">
        <v>6786</v>
      </c>
      <c r="F5019" s="387">
        <v>228</v>
      </c>
      <c r="G5019" s="445">
        <v>1959</v>
      </c>
      <c r="H5019" s="472" t="s">
        <v>5462</v>
      </c>
      <c r="I5019" s="470">
        <v>1010</v>
      </c>
      <c r="J5019" s="388">
        <v>21.1</v>
      </c>
      <c r="K5019" s="388">
        <v>21</v>
      </c>
      <c r="L5019" s="495">
        <f t="shared" si="57"/>
        <v>0.10000000000000142</v>
      </c>
      <c r="M5019" s="337"/>
    </row>
    <row r="5020" spans="1:13" s="71" customFormat="1" ht="39.6">
      <c r="A5020" s="282">
        <v>102</v>
      </c>
      <c r="B5020" s="537"/>
      <c r="C5020" s="444" t="s">
        <v>1154</v>
      </c>
      <c r="D5020" s="260" t="s">
        <v>6796</v>
      </c>
      <c r="E5020" s="260" t="s">
        <v>6786</v>
      </c>
      <c r="F5020" s="387">
        <v>229</v>
      </c>
      <c r="G5020" s="445">
        <v>1959</v>
      </c>
      <c r="H5020" s="472" t="s">
        <v>5462</v>
      </c>
      <c r="I5020" s="470">
        <v>3653</v>
      </c>
      <c r="J5020" s="388">
        <v>3.2</v>
      </c>
      <c r="K5020" s="388">
        <v>2.5</v>
      </c>
      <c r="L5020" s="495">
        <f t="shared" si="57"/>
        <v>0.70000000000000018</v>
      </c>
      <c r="M5020" s="337"/>
    </row>
    <row r="5021" spans="1:13" s="71" customFormat="1" ht="39.6">
      <c r="A5021" s="282">
        <v>103</v>
      </c>
      <c r="B5021" s="537"/>
      <c r="C5021" s="444" t="s">
        <v>1154</v>
      </c>
      <c r="D5021" s="260" t="s">
        <v>6797</v>
      </c>
      <c r="E5021" s="260" t="s">
        <v>6786</v>
      </c>
      <c r="F5021" s="387">
        <v>230</v>
      </c>
      <c r="G5021" s="445">
        <v>1959</v>
      </c>
      <c r="H5021" s="472" t="s">
        <v>5462</v>
      </c>
      <c r="I5021" s="470">
        <v>10500</v>
      </c>
      <c r="J5021" s="388">
        <v>15.7</v>
      </c>
      <c r="K5021" s="388">
        <v>12.2</v>
      </c>
      <c r="L5021" s="495">
        <f t="shared" si="57"/>
        <v>3.5</v>
      </c>
      <c r="M5021" s="337"/>
    </row>
    <row r="5022" spans="1:13" s="71" customFormat="1" ht="26.4" customHeight="1">
      <c r="A5022" s="282">
        <v>104</v>
      </c>
      <c r="B5022" s="537"/>
      <c r="C5022" s="444" t="s">
        <v>1154</v>
      </c>
      <c r="D5022" s="260" t="s">
        <v>6798</v>
      </c>
      <c r="E5022" s="260" t="s">
        <v>6786</v>
      </c>
      <c r="F5022" s="387">
        <v>231</v>
      </c>
      <c r="G5022" s="445">
        <v>1959</v>
      </c>
      <c r="H5022" s="472" t="s">
        <v>5462</v>
      </c>
      <c r="I5022" s="470">
        <v>1840</v>
      </c>
      <c r="J5022" s="388">
        <v>36.200000000000003</v>
      </c>
      <c r="K5022" s="388">
        <v>32.9</v>
      </c>
      <c r="L5022" s="495">
        <f t="shared" si="57"/>
        <v>3.3000000000000043</v>
      </c>
      <c r="M5022" s="337"/>
    </row>
    <row r="5023" spans="1:13" s="71" customFormat="1" ht="26.4" customHeight="1">
      <c r="A5023" s="282">
        <v>105</v>
      </c>
      <c r="B5023" s="537"/>
      <c r="C5023" s="444" t="s">
        <v>1154</v>
      </c>
      <c r="D5023" s="260" t="s">
        <v>6799</v>
      </c>
      <c r="E5023" s="260" t="s">
        <v>6786</v>
      </c>
      <c r="F5023" s="387">
        <v>232</v>
      </c>
      <c r="G5023" s="445">
        <v>1959</v>
      </c>
      <c r="H5023" s="472" t="s">
        <v>5462</v>
      </c>
      <c r="I5023" s="470">
        <v>800</v>
      </c>
      <c r="J5023" s="388">
        <v>127.7</v>
      </c>
      <c r="K5023" s="388">
        <v>127</v>
      </c>
      <c r="L5023" s="495">
        <f t="shared" si="57"/>
        <v>0.70000000000000284</v>
      </c>
      <c r="M5023" s="337"/>
    </row>
    <row r="5024" spans="1:13" s="71" customFormat="1" ht="26.4" customHeight="1">
      <c r="A5024" s="282">
        <v>106</v>
      </c>
      <c r="B5024" s="537"/>
      <c r="C5024" s="444" t="s">
        <v>1154</v>
      </c>
      <c r="D5024" s="260" t="s">
        <v>6800</v>
      </c>
      <c r="E5024" s="260" t="s">
        <v>6786</v>
      </c>
      <c r="F5024" s="387">
        <v>233</v>
      </c>
      <c r="G5024" s="445">
        <v>1959</v>
      </c>
      <c r="H5024" s="472" t="s">
        <v>5462</v>
      </c>
      <c r="I5024" s="470">
        <v>7110</v>
      </c>
      <c r="J5024" s="388">
        <v>93.9</v>
      </c>
      <c r="K5024" s="388">
        <v>91.5</v>
      </c>
      <c r="L5024" s="495">
        <f t="shared" si="57"/>
        <v>2.4000000000000057</v>
      </c>
      <c r="M5024" s="337"/>
    </row>
    <row r="5025" spans="1:13" s="71" customFormat="1" ht="52.8">
      <c r="A5025" s="282">
        <v>107</v>
      </c>
      <c r="B5025" s="537"/>
      <c r="C5025" s="444" t="s">
        <v>1154</v>
      </c>
      <c r="D5025" s="260" t="s">
        <v>12869</v>
      </c>
      <c r="E5025" s="260" t="s">
        <v>6786</v>
      </c>
      <c r="F5025" s="387">
        <v>234</v>
      </c>
      <c r="G5025" s="445">
        <v>1959</v>
      </c>
      <c r="H5025" s="472" t="s">
        <v>5462</v>
      </c>
      <c r="I5025" s="470">
        <v>7110</v>
      </c>
      <c r="J5025" s="388">
        <v>43.1</v>
      </c>
      <c r="K5025" s="388">
        <v>36</v>
      </c>
      <c r="L5025" s="495">
        <f t="shared" si="57"/>
        <v>7.1000000000000014</v>
      </c>
      <c r="M5025" s="337"/>
    </row>
    <row r="5026" spans="1:13" s="71" customFormat="1" ht="26.4" customHeight="1">
      <c r="A5026" s="282">
        <v>108</v>
      </c>
      <c r="B5026" s="537"/>
      <c r="C5026" s="444" t="s">
        <v>1154</v>
      </c>
      <c r="D5026" s="260" t="s">
        <v>6801</v>
      </c>
      <c r="E5026" s="260" t="s">
        <v>6786</v>
      </c>
      <c r="F5026" s="387">
        <v>235</v>
      </c>
      <c r="G5026" s="445">
        <v>1959</v>
      </c>
      <c r="H5026" s="472" t="s">
        <v>5462</v>
      </c>
      <c r="I5026" s="470">
        <v>2053</v>
      </c>
      <c r="J5026" s="388">
        <v>54.3</v>
      </c>
      <c r="K5026" s="388">
        <v>50.9</v>
      </c>
      <c r="L5026" s="495">
        <f t="shared" si="57"/>
        <v>3.3999999999999986</v>
      </c>
      <c r="M5026" s="337"/>
    </row>
    <row r="5027" spans="1:13" s="71" customFormat="1" ht="39.6">
      <c r="A5027" s="282">
        <v>109</v>
      </c>
      <c r="B5027" s="537"/>
      <c r="C5027" s="444" t="s">
        <v>1154</v>
      </c>
      <c r="D5027" s="260" t="s">
        <v>12870</v>
      </c>
      <c r="E5027" s="260" t="s">
        <v>6786</v>
      </c>
      <c r="F5027" s="387">
        <v>236</v>
      </c>
      <c r="G5027" s="445">
        <v>1959</v>
      </c>
      <c r="H5027" s="472" t="s">
        <v>5462</v>
      </c>
      <c r="I5027" s="470">
        <v>4716</v>
      </c>
      <c r="J5027" s="388">
        <v>5.5</v>
      </c>
      <c r="K5027" s="388">
        <v>4.3</v>
      </c>
      <c r="L5027" s="495">
        <f t="shared" si="57"/>
        <v>1.2000000000000002</v>
      </c>
      <c r="M5027" s="337"/>
    </row>
    <row r="5028" spans="1:13" s="71" customFormat="1" ht="39.6">
      <c r="A5028" s="282">
        <v>110</v>
      </c>
      <c r="B5028" s="537"/>
      <c r="C5028" s="444" t="s">
        <v>1154</v>
      </c>
      <c r="D5028" s="260" t="s">
        <v>6802</v>
      </c>
      <c r="E5028" s="260" t="s">
        <v>6786</v>
      </c>
      <c r="F5028" s="387">
        <v>237</v>
      </c>
      <c r="G5028" s="445">
        <v>1959</v>
      </c>
      <c r="H5028" s="472" t="s">
        <v>5462</v>
      </c>
      <c r="I5028" s="470">
        <v>5975</v>
      </c>
      <c r="J5028" s="388">
        <v>30.3</v>
      </c>
      <c r="K5028" s="388">
        <v>26.8</v>
      </c>
      <c r="L5028" s="495">
        <f t="shared" si="57"/>
        <v>3.5</v>
      </c>
      <c r="M5028" s="337"/>
    </row>
    <row r="5029" spans="1:13" s="71" customFormat="1" ht="26.4" customHeight="1">
      <c r="A5029" s="282">
        <v>111</v>
      </c>
      <c r="B5029" s="537"/>
      <c r="C5029" s="444" t="s">
        <v>1154</v>
      </c>
      <c r="D5029" s="260" t="s">
        <v>6803</v>
      </c>
      <c r="E5029" s="260" t="s">
        <v>6786</v>
      </c>
      <c r="F5029" s="387">
        <v>238</v>
      </c>
      <c r="G5029" s="445">
        <v>1959</v>
      </c>
      <c r="H5029" s="472" t="s">
        <v>5462</v>
      </c>
      <c r="I5029" s="470">
        <v>1500</v>
      </c>
      <c r="J5029" s="388">
        <v>11.6</v>
      </c>
      <c r="K5029" s="388">
        <v>9.1</v>
      </c>
      <c r="L5029" s="495">
        <f t="shared" si="57"/>
        <v>2.5</v>
      </c>
      <c r="M5029" s="337"/>
    </row>
    <row r="5030" spans="1:13" s="71" customFormat="1" ht="26.4" customHeight="1">
      <c r="A5030" s="282">
        <v>112</v>
      </c>
      <c r="B5030" s="537"/>
      <c r="C5030" s="444" t="s">
        <v>1154</v>
      </c>
      <c r="D5030" s="260" t="s">
        <v>6804</v>
      </c>
      <c r="E5030" s="260" t="s">
        <v>6786</v>
      </c>
      <c r="F5030" s="387">
        <v>239</v>
      </c>
      <c r="G5030" s="445">
        <v>1959</v>
      </c>
      <c r="H5030" s="472" t="s">
        <v>5462</v>
      </c>
      <c r="I5030" s="470">
        <v>1700</v>
      </c>
      <c r="J5030" s="388">
        <v>15.7</v>
      </c>
      <c r="K5030" s="388">
        <v>12.9</v>
      </c>
      <c r="L5030" s="495">
        <f t="shared" si="57"/>
        <v>2.7999999999999989</v>
      </c>
      <c r="M5030" s="337"/>
    </row>
    <row r="5031" spans="1:13" s="71" customFormat="1" ht="26.4" customHeight="1">
      <c r="A5031" s="282">
        <v>113</v>
      </c>
      <c r="B5031" s="537"/>
      <c r="C5031" s="444" t="s">
        <v>1154</v>
      </c>
      <c r="D5031" s="260" t="s">
        <v>6805</v>
      </c>
      <c r="E5031" s="260" t="s">
        <v>6786</v>
      </c>
      <c r="F5031" s="387">
        <v>240</v>
      </c>
      <c r="G5031" s="445">
        <v>1959</v>
      </c>
      <c r="H5031" s="472" t="s">
        <v>5462</v>
      </c>
      <c r="I5031" s="470">
        <v>991</v>
      </c>
      <c r="J5031" s="388">
        <v>19.3</v>
      </c>
      <c r="K5031" s="388">
        <v>15.6</v>
      </c>
      <c r="L5031" s="495">
        <f t="shared" si="57"/>
        <v>3.7000000000000011</v>
      </c>
      <c r="M5031" s="337"/>
    </row>
    <row r="5032" spans="1:13" s="71" customFormat="1" ht="52.8">
      <c r="A5032" s="282">
        <v>114</v>
      </c>
      <c r="B5032" s="537"/>
      <c r="C5032" s="444" t="s">
        <v>1154</v>
      </c>
      <c r="D5032" s="260" t="s">
        <v>13413</v>
      </c>
      <c r="E5032" s="260" t="s">
        <v>6786</v>
      </c>
      <c r="F5032" s="387">
        <v>241</v>
      </c>
      <c r="G5032" s="445">
        <v>1959</v>
      </c>
      <c r="H5032" s="472" t="s">
        <v>5462</v>
      </c>
      <c r="I5032" s="470">
        <v>11152</v>
      </c>
      <c r="J5032" s="388">
        <v>41.1</v>
      </c>
      <c r="K5032" s="388">
        <v>38.5</v>
      </c>
      <c r="L5032" s="495">
        <f t="shared" si="57"/>
        <v>2.6000000000000014</v>
      </c>
      <c r="M5032" s="337"/>
    </row>
    <row r="5033" spans="1:13" s="71" customFormat="1" ht="26.4">
      <c r="A5033" s="282">
        <v>115</v>
      </c>
      <c r="B5033" s="537"/>
      <c r="C5033" s="444" t="s">
        <v>1154</v>
      </c>
      <c r="D5033" s="260" t="s">
        <v>6806</v>
      </c>
      <c r="E5033" s="260" t="s">
        <v>6784</v>
      </c>
      <c r="F5033" s="387">
        <v>242</v>
      </c>
      <c r="G5033" s="445">
        <v>1964</v>
      </c>
      <c r="H5033" s="472" t="s">
        <v>5462</v>
      </c>
      <c r="I5033" s="470">
        <v>5563</v>
      </c>
      <c r="J5033" s="388">
        <v>27.6</v>
      </c>
      <c r="K5033" s="388">
        <v>25.2</v>
      </c>
      <c r="L5033" s="495">
        <f t="shared" si="57"/>
        <v>2.4000000000000021</v>
      </c>
      <c r="M5033" s="337"/>
    </row>
    <row r="5034" spans="1:13" s="71" customFormat="1" ht="39.6">
      <c r="A5034" s="282">
        <v>116</v>
      </c>
      <c r="B5034" s="537"/>
      <c r="C5034" s="444" t="s">
        <v>1154</v>
      </c>
      <c r="D5034" s="260" t="s">
        <v>12971</v>
      </c>
      <c r="E5034" s="260" t="s">
        <v>6786</v>
      </c>
      <c r="F5034" s="387">
        <v>243</v>
      </c>
      <c r="G5034" s="445">
        <v>1964</v>
      </c>
      <c r="H5034" s="472" t="s">
        <v>5462</v>
      </c>
      <c r="I5034" s="470">
        <v>3517</v>
      </c>
      <c r="J5034" s="388">
        <v>15.8</v>
      </c>
      <c r="K5034" s="388">
        <v>13.2</v>
      </c>
      <c r="L5034" s="495">
        <f t="shared" si="57"/>
        <v>2.6000000000000014</v>
      </c>
      <c r="M5034" s="337"/>
    </row>
    <row r="5035" spans="1:13" s="71" customFormat="1" ht="26.4">
      <c r="A5035" s="282">
        <v>117</v>
      </c>
      <c r="B5035" s="537"/>
      <c r="C5035" s="444" t="s">
        <v>1154</v>
      </c>
      <c r="D5035" s="260" t="s">
        <v>12972</v>
      </c>
      <c r="E5035" s="260" t="s">
        <v>6786</v>
      </c>
      <c r="F5035" s="387">
        <v>244</v>
      </c>
      <c r="G5035" s="445">
        <v>1964</v>
      </c>
      <c r="H5035" s="472" t="s">
        <v>5462</v>
      </c>
      <c r="I5035" s="470">
        <v>7806</v>
      </c>
      <c r="J5035" s="388">
        <v>25</v>
      </c>
      <c r="K5035" s="388">
        <v>24.3</v>
      </c>
      <c r="L5035" s="495">
        <f t="shared" si="57"/>
        <v>0.69999999999999929</v>
      </c>
      <c r="M5035" s="337"/>
    </row>
    <row r="5036" spans="1:13" s="71" customFormat="1" ht="52.8">
      <c r="A5036" s="282">
        <v>118</v>
      </c>
      <c r="B5036" s="537"/>
      <c r="C5036" s="444" t="s">
        <v>1154</v>
      </c>
      <c r="D5036" s="260" t="s">
        <v>12871</v>
      </c>
      <c r="E5036" s="260" t="s">
        <v>6786</v>
      </c>
      <c r="F5036" s="387">
        <v>245</v>
      </c>
      <c r="G5036" s="445">
        <v>1965</v>
      </c>
      <c r="H5036" s="472" t="s">
        <v>5462</v>
      </c>
      <c r="I5036" s="470">
        <v>6243</v>
      </c>
      <c r="J5036" s="388">
        <v>2.7</v>
      </c>
      <c r="K5036" s="388">
        <v>2.1</v>
      </c>
      <c r="L5036" s="495">
        <f t="shared" si="57"/>
        <v>0.60000000000000009</v>
      </c>
      <c r="M5036" s="337"/>
    </row>
    <row r="5037" spans="1:13" s="71" customFormat="1" ht="52.8">
      <c r="A5037" s="282">
        <v>119</v>
      </c>
      <c r="B5037" s="537"/>
      <c r="C5037" s="444" t="s">
        <v>1154</v>
      </c>
      <c r="D5037" s="260" t="s">
        <v>6807</v>
      </c>
      <c r="E5037" s="260" t="s">
        <v>6786</v>
      </c>
      <c r="F5037" s="387">
        <v>246</v>
      </c>
      <c r="G5037" s="445">
        <v>1965</v>
      </c>
      <c r="H5037" s="472" t="s">
        <v>5462</v>
      </c>
      <c r="I5037" s="470">
        <v>6970</v>
      </c>
      <c r="J5037" s="388">
        <v>0.3</v>
      </c>
      <c r="K5037" s="388">
        <v>0.2</v>
      </c>
      <c r="L5037" s="495">
        <f t="shared" si="57"/>
        <v>9.9999999999999978E-2</v>
      </c>
      <c r="M5037" s="337"/>
    </row>
    <row r="5038" spans="1:13" s="71" customFormat="1" ht="26.4" customHeight="1">
      <c r="A5038" s="282">
        <v>120</v>
      </c>
      <c r="B5038" s="537"/>
      <c r="C5038" s="444" t="s">
        <v>1154</v>
      </c>
      <c r="D5038" s="260" t="s">
        <v>6808</v>
      </c>
      <c r="E5038" s="260" t="s">
        <v>6786</v>
      </c>
      <c r="F5038" s="387">
        <v>247</v>
      </c>
      <c r="G5038" s="445">
        <v>1965</v>
      </c>
      <c r="H5038" s="472" t="s">
        <v>5462</v>
      </c>
      <c r="I5038" s="470">
        <v>220</v>
      </c>
      <c r="J5038" s="388">
        <v>3.2</v>
      </c>
      <c r="K5038" s="388">
        <v>2.8</v>
      </c>
      <c r="L5038" s="495">
        <f t="shared" si="57"/>
        <v>0.40000000000000036</v>
      </c>
      <c r="M5038" s="337"/>
    </row>
    <row r="5039" spans="1:13" s="71" customFormat="1" ht="52.8">
      <c r="A5039" s="282">
        <v>121</v>
      </c>
      <c r="B5039" s="537"/>
      <c r="C5039" s="444" t="s">
        <v>1154</v>
      </c>
      <c r="D5039" s="260" t="s">
        <v>6809</v>
      </c>
      <c r="E5039" s="260" t="s">
        <v>6786</v>
      </c>
      <c r="F5039" s="387">
        <v>248</v>
      </c>
      <c r="G5039" s="445">
        <v>1965</v>
      </c>
      <c r="H5039" s="472" t="s">
        <v>5462</v>
      </c>
      <c r="I5039" s="470">
        <v>283</v>
      </c>
      <c r="J5039" s="388">
        <v>1.9</v>
      </c>
      <c r="K5039" s="388">
        <v>1.5</v>
      </c>
      <c r="L5039" s="495">
        <f t="shared" si="57"/>
        <v>0.39999999999999991</v>
      </c>
      <c r="M5039" s="337"/>
    </row>
    <row r="5040" spans="1:13" s="71" customFormat="1" ht="39.6">
      <c r="A5040" s="282">
        <v>122</v>
      </c>
      <c r="B5040" s="537"/>
      <c r="C5040" s="444" t="s">
        <v>1154</v>
      </c>
      <c r="D5040" s="260" t="s">
        <v>12785</v>
      </c>
      <c r="E5040" s="260" t="s">
        <v>6786</v>
      </c>
      <c r="F5040" s="387">
        <v>249</v>
      </c>
      <c r="G5040" s="445">
        <v>1965</v>
      </c>
      <c r="H5040" s="472" t="s">
        <v>5462</v>
      </c>
      <c r="I5040" s="470">
        <v>1820</v>
      </c>
      <c r="J5040" s="388">
        <v>1.8</v>
      </c>
      <c r="K5040" s="388">
        <v>1.4</v>
      </c>
      <c r="L5040" s="495">
        <f t="shared" si="57"/>
        <v>0.40000000000000013</v>
      </c>
      <c r="M5040" s="337"/>
    </row>
    <row r="5041" spans="1:13" s="71" customFormat="1" ht="39.6">
      <c r="A5041" s="282">
        <v>123</v>
      </c>
      <c r="B5041" s="537"/>
      <c r="C5041" s="444" t="s">
        <v>1154</v>
      </c>
      <c r="D5041" s="260" t="s">
        <v>6810</v>
      </c>
      <c r="E5041" s="260" t="s">
        <v>6786</v>
      </c>
      <c r="F5041" s="387">
        <v>250</v>
      </c>
      <c r="G5041" s="445">
        <v>1965</v>
      </c>
      <c r="H5041" s="472" t="s">
        <v>5462</v>
      </c>
      <c r="I5041" s="470">
        <v>6150</v>
      </c>
      <c r="J5041" s="388">
        <v>2.2000000000000002</v>
      </c>
      <c r="K5041" s="388">
        <v>1.7</v>
      </c>
      <c r="L5041" s="495">
        <f t="shared" si="57"/>
        <v>0.50000000000000022</v>
      </c>
      <c r="M5041" s="337"/>
    </row>
    <row r="5042" spans="1:13" s="71" customFormat="1" ht="39.6">
      <c r="A5042" s="282">
        <v>124</v>
      </c>
      <c r="B5042" s="537"/>
      <c r="C5042" s="444" t="s">
        <v>1154</v>
      </c>
      <c r="D5042" s="260" t="s">
        <v>13248</v>
      </c>
      <c r="E5042" s="260" t="s">
        <v>6786</v>
      </c>
      <c r="F5042" s="387">
        <v>251</v>
      </c>
      <c r="G5042" s="445">
        <v>1965</v>
      </c>
      <c r="H5042" s="472" t="s">
        <v>5462</v>
      </c>
      <c r="I5042" s="470">
        <v>3625</v>
      </c>
      <c r="J5042" s="388">
        <v>2.7</v>
      </c>
      <c r="K5042" s="388">
        <v>2.1</v>
      </c>
      <c r="L5042" s="495">
        <f t="shared" si="57"/>
        <v>0.60000000000000009</v>
      </c>
      <c r="M5042" s="337"/>
    </row>
    <row r="5043" spans="1:13" s="71" customFormat="1" ht="52.8">
      <c r="A5043" s="282">
        <v>125</v>
      </c>
      <c r="B5043" s="537"/>
      <c r="C5043" s="444" t="s">
        <v>1154</v>
      </c>
      <c r="D5043" s="260" t="s">
        <v>6811</v>
      </c>
      <c r="E5043" s="260" t="s">
        <v>6786</v>
      </c>
      <c r="F5043" s="387">
        <v>252</v>
      </c>
      <c r="G5043" s="445">
        <v>1965</v>
      </c>
      <c r="H5043" s="472" t="s">
        <v>5462</v>
      </c>
      <c r="I5043" s="470">
        <v>4355</v>
      </c>
      <c r="J5043" s="388">
        <v>4.4000000000000004</v>
      </c>
      <c r="K5043" s="388">
        <v>3.4</v>
      </c>
      <c r="L5043" s="495">
        <f t="shared" si="57"/>
        <v>1.0000000000000004</v>
      </c>
      <c r="M5043" s="337"/>
    </row>
    <row r="5044" spans="1:13" s="71" customFormat="1" ht="39.6">
      <c r="A5044" s="282">
        <v>126</v>
      </c>
      <c r="B5044" s="537"/>
      <c r="C5044" s="444" t="s">
        <v>1154</v>
      </c>
      <c r="D5044" s="260" t="s">
        <v>6812</v>
      </c>
      <c r="E5044" s="260" t="s">
        <v>6786</v>
      </c>
      <c r="F5044" s="387">
        <v>253</v>
      </c>
      <c r="G5044" s="445">
        <v>1965</v>
      </c>
      <c r="H5044" s="472" t="s">
        <v>5462</v>
      </c>
      <c r="I5044" s="470">
        <v>3095</v>
      </c>
      <c r="J5044" s="388">
        <v>4.9000000000000004</v>
      </c>
      <c r="K5044" s="388">
        <v>3.9</v>
      </c>
      <c r="L5044" s="495">
        <f t="shared" si="57"/>
        <v>1.0000000000000004</v>
      </c>
      <c r="M5044" s="337"/>
    </row>
    <row r="5045" spans="1:13" s="71" customFormat="1" ht="39.6">
      <c r="A5045" s="282">
        <v>127</v>
      </c>
      <c r="B5045" s="537"/>
      <c r="C5045" s="444" t="s">
        <v>1154</v>
      </c>
      <c r="D5045" s="260" t="s">
        <v>6813</v>
      </c>
      <c r="E5045" s="444" t="s">
        <v>6814</v>
      </c>
      <c r="F5045" s="387">
        <v>254</v>
      </c>
      <c r="G5045" s="445">
        <v>1965</v>
      </c>
      <c r="H5045" s="472" t="s">
        <v>5462</v>
      </c>
      <c r="I5045" s="470">
        <v>7300</v>
      </c>
      <c r="J5045" s="388">
        <v>1557.8</v>
      </c>
      <c r="K5045" s="388">
        <v>245.2</v>
      </c>
      <c r="L5045" s="495">
        <f t="shared" si="57"/>
        <v>1312.6</v>
      </c>
      <c r="M5045" s="337"/>
    </row>
    <row r="5046" spans="1:13" s="71" customFormat="1" ht="26.4" customHeight="1">
      <c r="A5046" s="282">
        <v>128</v>
      </c>
      <c r="B5046" s="537"/>
      <c r="C5046" s="482" t="s">
        <v>1154</v>
      </c>
      <c r="D5046" s="260" t="s">
        <v>6815</v>
      </c>
      <c r="E5046" s="260" t="s">
        <v>6816</v>
      </c>
      <c r="F5046" s="387">
        <v>255</v>
      </c>
      <c r="G5046" s="445">
        <v>1965</v>
      </c>
      <c r="H5046" s="472" t="s">
        <v>5462</v>
      </c>
      <c r="I5046" s="470">
        <v>1800</v>
      </c>
      <c r="J5046" s="388">
        <v>48.6</v>
      </c>
      <c r="K5046" s="388">
        <v>45.1</v>
      </c>
      <c r="L5046" s="495">
        <f t="shared" si="57"/>
        <v>3.5</v>
      </c>
      <c r="M5046" s="337"/>
    </row>
    <row r="5047" spans="1:13" s="71" customFormat="1" ht="52.8">
      <c r="A5047" s="282">
        <v>129</v>
      </c>
      <c r="B5047" s="537"/>
      <c r="C5047" s="444" t="s">
        <v>1154</v>
      </c>
      <c r="D5047" s="260" t="s">
        <v>6817</v>
      </c>
      <c r="E5047" s="260" t="s">
        <v>6786</v>
      </c>
      <c r="F5047" s="387">
        <v>256</v>
      </c>
      <c r="G5047" s="445">
        <v>1965</v>
      </c>
      <c r="H5047" s="472" t="s">
        <v>5462</v>
      </c>
      <c r="I5047" s="470">
        <v>6970</v>
      </c>
      <c r="J5047" s="388">
        <v>2.4</v>
      </c>
      <c r="K5047" s="388">
        <v>2.1</v>
      </c>
      <c r="L5047" s="495">
        <f t="shared" ref="L5047:L5110" si="58">J5047-K5047</f>
        <v>0.29999999999999982</v>
      </c>
      <c r="M5047" s="337"/>
    </row>
    <row r="5048" spans="1:13" s="71" customFormat="1" ht="39.6">
      <c r="A5048" s="282">
        <v>130</v>
      </c>
      <c r="B5048" s="537"/>
      <c r="C5048" s="444" t="s">
        <v>1154</v>
      </c>
      <c r="D5048" s="260" t="s">
        <v>12786</v>
      </c>
      <c r="E5048" s="260" t="s">
        <v>6786</v>
      </c>
      <c r="F5048" s="387">
        <v>257</v>
      </c>
      <c r="G5048" s="445">
        <v>1965</v>
      </c>
      <c r="H5048" s="472" t="s">
        <v>5462</v>
      </c>
      <c r="I5048" s="470">
        <v>610</v>
      </c>
      <c r="J5048" s="388">
        <v>8.8000000000000007</v>
      </c>
      <c r="K5048" s="388">
        <v>6.9</v>
      </c>
      <c r="L5048" s="495">
        <f t="shared" si="58"/>
        <v>1.9000000000000004</v>
      </c>
      <c r="M5048" s="337"/>
    </row>
    <row r="5049" spans="1:13" s="71" customFormat="1" ht="26.4" customHeight="1">
      <c r="A5049" s="282">
        <v>131</v>
      </c>
      <c r="B5049" s="537"/>
      <c r="C5049" s="444" t="s">
        <v>1154</v>
      </c>
      <c r="D5049" s="260" t="s">
        <v>6818</v>
      </c>
      <c r="E5049" s="260" t="s">
        <v>6755</v>
      </c>
      <c r="F5049" s="387">
        <v>258</v>
      </c>
      <c r="G5049" s="445">
        <v>1965</v>
      </c>
      <c r="H5049" s="472" t="s">
        <v>5462</v>
      </c>
      <c r="I5049" s="470">
        <v>1810</v>
      </c>
      <c r="J5049" s="388">
        <v>25.3</v>
      </c>
      <c r="K5049" s="388">
        <v>20.9</v>
      </c>
      <c r="L5049" s="495">
        <f t="shared" si="58"/>
        <v>4.4000000000000021</v>
      </c>
      <c r="M5049" s="337"/>
    </row>
    <row r="5050" spans="1:13" s="71" customFormat="1" ht="26.4">
      <c r="A5050" s="282">
        <v>132</v>
      </c>
      <c r="B5050" s="537"/>
      <c r="C5050" s="444" t="s">
        <v>1154</v>
      </c>
      <c r="D5050" s="260" t="s">
        <v>12787</v>
      </c>
      <c r="E5050" s="260" t="s">
        <v>6786</v>
      </c>
      <c r="F5050" s="387">
        <v>259</v>
      </c>
      <c r="G5050" s="445">
        <v>1966</v>
      </c>
      <c r="H5050" s="472" t="s">
        <v>5462</v>
      </c>
      <c r="I5050" s="470">
        <v>2277</v>
      </c>
      <c r="J5050" s="388">
        <v>10.3</v>
      </c>
      <c r="K5050" s="388">
        <v>8.6</v>
      </c>
      <c r="L5050" s="495">
        <f t="shared" si="58"/>
        <v>1.7000000000000011</v>
      </c>
      <c r="M5050" s="337"/>
    </row>
    <row r="5051" spans="1:13" s="71" customFormat="1" ht="26.4">
      <c r="A5051" s="282">
        <v>133</v>
      </c>
      <c r="B5051" s="537"/>
      <c r="C5051" s="444" t="s">
        <v>1154</v>
      </c>
      <c r="D5051" s="260" t="s">
        <v>6819</v>
      </c>
      <c r="E5051" s="260" t="s">
        <v>6786</v>
      </c>
      <c r="F5051" s="387">
        <v>260</v>
      </c>
      <c r="G5051" s="445">
        <v>39813</v>
      </c>
      <c r="H5051" s="472" t="s">
        <v>5462</v>
      </c>
      <c r="I5051" s="470">
        <v>1323</v>
      </c>
      <c r="J5051" s="388">
        <v>34.200000000000003</v>
      </c>
      <c r="K5051" s="388">
        <v>29.4</v>
      </c>
      <c r="L5051" s="495">
        <f t="shared" si="58"/>
        <v>4.8000000000000043</v>
      </c>
      <c r="M5051" s="337"/>
    </row>
    <row r="5052" spans="1:13" s="71" customFormat="1" ht="52.8">
      <c r="A5052" s="282">
        <v>134</v>
      </c>
      <c r="B5052" s="537"/>
      <c r="C5052" s="444" t="s">
        <v>1154</v>
      </c>
      <c r="D5052" s="260" t="s">
        <v>6820</v>
      </c>
      <c r="E5052" s="260" t="s">
        <v>6786</v>
      </c>
      <c r="F5052" s="387">
        <v>261</v>
      </c>
      <c r="G5052" s="445">
        <v>1966</v>
      </c>
      <c r="H5052" s="472" t="s">
        <v>5462</v>
      </c>
      <c r="I5052" s="470">
        <v>11830</v>
      </c>
      <c r="J5052" s="388">
        <v>28.2</v>
      </c>
      <c r="K5052" s="388">
        <v>23.9</v>
      </c>
      <c r="L5052" s="495">
        <f t="shared" si="58"/>
        <v>4.3000000000000007</v>
      </c>
      <c r="M5052" s="337"/>
    </row>
    <row r="5053" spans="1:13" s="71" customFormat="1" ht="26.4" customHeight="1">
      <c r="A5053" s="282">
        <v>135</v>
      </c>
      <c r="B5053" s="537"/>
      <c r="C5053" s="482" t="s">
        <v>1154</v>
      </c>
      <c r="D5053" s="440" t="s">
        <v>6707</v>
      </c>
      <c r="E5053" s="440" t="s">
        <v>6814</v>
      </c>
      <c r="F5053" s="393">
        <v>262</v>
      </c>
      <c r="G5053" s="445">
        <v>1966</v>
      </c>
      <c r="H5053" s="472" t="s">
        <v>5462</v>
      </c>
      <c r="I5053" s="470">
        <v>3036</v>
      </c>
      <c r="J5053" s="394">
        <v>130.1</v>
      </c>
      <c r="K5053" s="394">
        <v>128.30000000000001</v>
      </c>
      <c r="L5053" s="495">
        <f t="shared" si="58"/>
        <v>1.7999999999999829</v>
      </c>
      <c r="M5053" s="337"/>
    </row>
    <row r="5054" spans="1:13" s="71" customFormat="1" ht="26.4" customHeight="1">
      <c r="A5054" s="282">
        <v>136</v>
      </c>
      <c r="B5054" s="537"/>
      <c r="C5054" s="482" t="s">
        <v>1154</v>
      </c>
      <c r="D5054" s="440" t="s">
        <v>6707</v>
      </c>
      <c r="E5054" s="440" t="s">
        <v>6814</v>
      </c>
      <c r="F5054" s="387">
        <v>263</v>
      </c>
      <c r="G5054" s="445">
        <v>1966</v>
      </c>
      <c r="H5054" s="472" t="s">
        <v>5462</v>
      </c>
      <c r="I5054" s="470">
        <v>3000</v>
      </c>
      <c r="J5054" s="388">
        <v>136.19999999999999</v>
      </c>
      <c r="K5054" s="388">
        <v>135.80000000000001</v>
      </c>
      <c r="L5054" s="495">
        <f t="shared" si="58"/>
        <v>0.39999999999997726</v>
      </c>
      <c r="M5054" s="337"/>
    </row>
    <row r="5055" spans="1:13" s="71" customFormat="1" ht="26.4" customHeight="1">
      <c r="A5055" s="282">
        <v>137</v>
      </c>
      <c r="B5055" s="537"/>
      <c r="C5055" s="444" t="s">
        <v>1154</v>
      </c>
      <c r="D5055" s="260" t="s">
        <v>6821</v>
      </c>
      <c r="E5055" s="260" t="s">
        <v>6786</v>
      </c>
      <c r="F5055" s="387">
        <v>264</v>
      </c>
      <c r="G5055" s="445">
        <v>1966</v>
      </c>
      <c r="H5055" s="472" t="s">
        <v>5462</v>
      </c>
      <c r="I5055" s="470">
        <v>234</v>
      </c>
      <c r="J5055" s="388">
        <v>12.3</v>
      </c>
      <c r="K5055" s="388">
        <v>4.5</v>
      </c>
      <c r="L5055" s="495">
        <f t="shared" si="58"/>
        <v>7.8000000000000007</v>
      </c>
      <c r="M5055" s="337"/>
    </row>
    <row r="5056" spans="1:13" s="71" customFormat="1" ht="39.6">
      <c r="A5056" s="282">
        <v>138</v>
      </c>
      <c r="B5056" s="537"/>
      <c r="C5056" s="444" t="s">
        <v>1154</v>
      </c>
      <c r="D5056" s="260" t="s">
        <v>6822</v>
      </c>
      <c r="E5056" s="260" t="s">
        <v>6786</v>
      </c>
      <c r="F5056" s="387">
        <v>265</v>
      </c>
      <c r="G5056" s="445">
        <v>1967</v>
      </c>
      <c r="H5056" s="472" t="s">
        <v>5462</v>
      </c>
      <c r="I5056" s="470">
        <v>2430</v>
      </c>
      <c r="J5056" s="388">
        <v>49.7</v>
      </c>
      <c r="K5056" s="388">
        <v>44</v>
      </c>
      <c r="L5056" s="495">
        <f t="shared" si="58"/>
        <v>5.7000000000000028</v>
      </c>
      <c r="M5056" s="337"/>
    </row>
    <row r="5057" spans="1:13" s="71" customFormat="1" ht="26.4">
      <c r="A5057" s="282">
        <v>139</v>
      </c>
      <c r="B5057" s="537"/>
      <c r="C5057" s="444" t="s">
        <v>1154</v>
      </c>
      <c r="D5057" s="260" t="s">
        <v>6823</v>
      </c>
      <c r="E5057" s="260" t="s">
        <v>6755</v>
      </c>
      <c r="F5057" s="387">
        <v>266</v>
      </c>
      <c r="G5057" s="445">
        <v>1967</v>
      </c>
      <c r="H5057" s="472" t="s">
        <v>5462</v>
      </c>
      <c r="I5057" s="470">
        <v>1910</v>
      </c>
      <c r="J5057" s="388">
        <v>71.8</v>
      </c>
      <c r="K5057" s="388">
        <v>67</v>
      </c>
      <c r="L5057" s="495">
        <f t="shared" si="58"/>
        <v>4.7999999999999972</v>
      </c>
      <c r="M5057" s="337"/>
    </row>
    <row r="5058" spans="1:13" s="71" customFormat="1" ht="39.6">
      <c r="A5058" s="282">
        <v>140</v>
      </c>
      <c r="B5058" s="537"/>
      <c r="C5058" s="444" t="s">
        <v>1154</v>
      </c>
      <c r="D5058" s="260" t="s">
        <v>6824</v>
      </c>
      <c r="E5058" s="260" t="s">
        <v>6755</v>
      </c>
      <c r="F5058" s="387">
        <v>267</v>
      </c>
      <c r="G5058" s="445">
        <v>1967</v>
      </c>
      <c r="H5058" s="472" t="s">
        <v>5462</v>
      </c>
      <c r="I5058" s="470">
        <v>9375</v>
      </c>
      <c r="J5058" s="388">
        <v>175.5</v>
      </c>
      <c r="K5058" s="388">
        <v>175.1</v>
      </c>
      <c r="L5058" s="495">
        <f t="shared" si="58"/>
        <v>0.40000000000000568</v>
      </c>
      <c r="M5058" s="337"/>
    </row>
    <row r="5059" spans="1:13" s="71" customFormat="1" ht="39.6">
      <c r="A5059" s="282">
        <v>141</v>
      </c>
      <c r="B5059" s="537"/>
      <c r="C5059" s="444" t="s">
        <v>1154</v>
      </c>
      <c r="D5059" s="260" t="s">
        <v>6825</v>
      </c>
      <c r="E5059" s="260" t="s">
        <v>6786</v>
      </c>
      <c r="F5059" s="387">
        <v>268</v>
      </c>
      <c r="G5059" s="445">
        <v>1968</v>
      </c>
      <c r="H5059" s="472" t="s">
        <v>5462</v>
      </c>
      <c r="I5059" s="470">
        <v>5600</v>
      </c>
      <c r="J5059" s="388">
        <v>33.200000000000003</v>
      </c>
      <c r="K5059" s="388">
        <v>29.8</v>
      </c>
      <c r="L5059" s="495">
        <f t="shared" si="58"/>
        <v>3.4000000000000021</v>
      </c>
      <c r="M5059" s="337"/>
    </row>
    <row r="5060" spans="1:13" s="71" customFormat="1" ht="39.6">
      <c r="A5060" s="282">
        <v>142</v>
      </c>
      <c r="B5060" s="537"/>
      <c r="C5060" s="444" t="s">
        <v>1154</v>
      </c>
      <c r="D5060" s="260" t="s">
        <v>6826</v>
      </c>
      <c r="E5060" s="260" t="s">
        <v>6786</v>
      </c>
      <c r="F5060" s="387">
        <v>269</v>
      </c>
      <c r="G5060" s="445">
        <v>1969</v>
      </c>
      <c r="H5060" s="472" t="s">
        <v>5462</v>
      </c>
      <c r="I5060" s="470">
        <v>271</v>
      </c>
      <c r="J5060" s="388">
        <v>7.5</v>
      </c>
      <c r="K5060" s="388">
        <v>7.1</v>
      </c>
      <c r="L5060" s="495">
        <f t="shared" si="58"/>
        <v>0.40000000000000036</v>
      </c>
      <c r="M5060" s="337"/>
    </row>
    <row r="5061" spans="1:13" s="332" customFormat="1" ht="26.4" customHeight="1">
      <c r="A5061" s="445">
        <v>143</v>
      </c>
      <c r="B5061" s="537"/>
      <c r="C5061" s="444" t="s">
        <v>1154</v>
      </c>
      <c r="D5061" s="444" t="s">
        <v>6827</v>
      </c>
      <c r="E5061" s="260" t="s">
        <v>6786</v>
      </c>
      <c r="F5061" s="387">
        <v>270</v>
      </c>
      <c r="G5061" s="445">
        <v>1969</v>
      </c>
      <c r="H5061" s="472" t="s">
        <v>5462</v>
      </c>
      <c r="I5061" s="470">
        <v>2332</v>
      </c>
      <c r="J5061" s="388">
        <v>62.6</v>
      </c>
      <c r="K5061" s="388">
        <v>60.1</v>
      </c>
      <c r="L5061" s="495">
        <f t="shared" si="58"/>
        <v>2.5</v>
      </c>
      <c r="M5061" s="331"/>
    </row>
    <row r="5062" spans="1:13" s="71" customFormat="1" ht="39.6">
      <c r="A5062" s="282">
        <v>144</v>
      </c>
      <c r="B5062" s="537"/>
      <c r="C5062" s="444" t="s">
        <v>1154</v>
      </c>
      <c r="D5062" s="260" t="s">
        <v>6828</v>
      </c>
      <c r="E5062" s="260" t="s">
        <v>6786</v>
      </c>
      <c r="F5062" s="387">
        <v>271</v>
      </c>
      <c r="G5062" s="445">
        <v>1969</v>
      </c>
      <c r="H5062" s="472" t="s">
        <v>5462</v>
      </c>
      <c r="I5062" s="470">
        <v>808</v>
      </c>
      <c r="J5062" s="388">
        <v>23.2</v>
      </c>
      <c r="K5062" s="388">
        <v>22.7</v>
      </c>
      <c r="L5062" s="495">
        <f t="shared" si="58"/>
        <v>0.5</v>
      </c>
      <c r="M5062" s="337"/>
    </row>
    <row r="5063" spans="1:13" s="71" customFormat="1" ht="39.6">
      <c r="A5063" s="282">
        <v>145</v>
      </c>
      <c r="B5063" s="537"/>
      <c r="C5063" s="444" t="s">
        <v>1154</v>
      </c>
      <c r="D5063" s="260" t="s">
        <v>12723</v>
      </c>
      <c r="E5063" s="260" t="s">
        <v>6755</v>
      </c>
      <c r="F5063" s="387">
        <v>272</v>
      </c>
      <c r="G5063" s="445">
        <v>1969</v>
      </c>
      <c r="H5063" s="472" t="s">
        <v>5462</v>
      </c>
      <c r="I5063" s="470">
        <v>10480</v>
      </c>
      <c r="J5063" s="388">
        <v>42.6</v>
      </c>
      <c r="K5063" s="388">
        <v>37.6</v>
      </c>
      <c r="L5063" s="495">
        <f t="shared" si="58"/>
        <v>5</v>
      </c>
      <c r="M5063" s="337"/>
    </row>
    <row r="5064" spans="1:13" s="71" customFormat="1" ht="26.4" customHeight="1">
      <c r="A5064" s="282">
        <v>146</v>
      </c>
      <c r="B5064" s="537"/>
      <c r="C5064" s="444" t="s">
        <v>1154</v>
      </c>
      <c r="D5064" s="260" t="s">
        <v>6829</v>
      </c>
      <c r="E5064" s="260" t="s">
        <v>6786</v>
      </c>
      <c r="F5064" s="387">
        <v>273</v>
      </c>
      <c r="G5064" s="445">
        <v>1969</v>
      </c>
      <c r="H5064" s="472" t="s">
        <v>5462</v>
      </c>
      <c r="I5064" s="470">
        <v>61</v>
      </c>
      <c r="J5064" s="388">
        <v>1.8</v>
      </c>
      <c r="K5064" s="388">
        <v>1.7</v>
      </c>
      <c r="L5064" s="495">
        <f t="shared" si="58"/>
        <v>0.10000000000000009</v>
      </c>
      <c r="M5064" s="337"/>
    </row>
    <row r="5065" spans="1:13" s="71" customFormat="1" ht="39.6">
      <c r="A5065" s="282">
        <v>147</v>
      </c>
      <c r="B5065" s="537"/>
      <c r="C5065" s="444" t="s">
        <v>1154</v>
      </c>
      <c r="D5065" s="260" t="s">
        <v>6830</v>
      </c>
      <c r="E5065" s="260" t="s">
        <v>6831</v>
      </c>
      <c r="F5065" s="387">
        <v>274</v>
      </c>
      <c r="G5065" s="445">
        <v>1969</v>
      </c>
      <c r="H5065" s="472" t="s">
        <v>5462</v>
      </c>
      <c r="I5065" s="470">
        <v>29317.4</v>
      </c>
      <c r="J5065" s="388">
        <v>1503</v>
      </c>
      <c r="K5065" s="388">
        <v>802.8</v>
      </c>
      <c r="L5065" s="495">
        <f t="shared" si="58"/>
        <v>700.2</v>
      </c>
      <c r="M5065" s="337"/>
    </row>
    <row r="5066" spans="1:13" s="71" customFormat="1" ht="39.6">
      <c r="A5066" s="282">
        <v>148</v>
      </c>
      <c r="B5066" s="537"/>
      <c r="C5066" s="444" t="s">
        <v>1154</v>
      </c>
      <c r="D5066" s="260" t="s">
        <v>6832</v>
      </c>
      <c r="E5066" s="260" t="s">
        <v>6755</v>
      </c>
      <c r="F5066" s="387">
        <v>275</v>
      </c>
      <c r="G5066" s="445">
        <v>1970</v>
      </c>
      <c r="H5066" s="472" t="s">
        <v>5462</v>
      </c>
      <c r="I5066" s="470">
        <v>10860</v>
      </c>
      <c r="J5066" s="388">
        <v>11.5</v>
      </c>
      <c r="K5066" s="388">
        <v>9</v>
      </c>
      <c r="L5066" s="495">
        <f t="shared" si="58"/>
        <v>2.5</v>
      </c>
      <c r="M5066" s="337"/>
    </row>
    <row r="5067" spans="1:13" s="71" customFormat="1" ht="26.4" customHeight="1">
      <c r="A5067" s="282">
        <v>149</v>
      </c>
      <c r="B5067" s="537"/>
      <c r="C5067" s="444" t="s">
        <v>1154</v>
      </c>
      <c r="D5067" s="260" t="s">
        <v>6689</v>
      </c>
      <c r="E5067" s="260" t="s">
        <v>6833</v>
      </c>
      <c r="F5067" s="387">
        <v>276</v>
      </c>
      <c r="G5067" s="445">
        <v>1970</v>
      </c>
      <c r="H5067" s="472" t="s">
        <v>5462</v>
      </c>
      <c r="I5067" s="470">
        <v>17350</v>
      </c>
      <c r="J5067" s="388">
        <v>148.1</v>
      </c>
      <c r="K5067" s="388">
        <v>137.30000000000001</v>
      </c>
      <c r="L5067" s="495">
        <f t="shared" si="58"/>
        <v>10.799999999999983</v>
      </c>
      <c r="M5067" s="337"/>
    </row>
    <row r="5068" spans="1:13" s="71" customFormat="1" ht="39.6">
      <c r="A5068" s="282">
        <v>150</v>
      </c>
      <c r="B5068" s="537"/>
      <c r="C5068" s="444" t="s">
        <v>1154</v>
      </c>
      <c r="D5068" s="260" t="s">
        <v>12724</v>
      </c>
      <c r="E5068" s="260" t="s">
        <v>6834</v>
      </c>
      <c r="F5068" s="387">
        <v>277</v>
      </c>
      <c r="G5068" s="445">
        <v>1970</v>
      </c>
      <c r="H5068" s="472" t="s">
        <v>5462</v>
      </c>
      <c r="I5068" s="470">
        <v>1271.5</v>
      </c>
      <c r="J5068" s="388">
        <v>26.7</v>
      </c>
      <c r="K5068" s="388">
        <v>21.4</v>
      </c>
      <c r="L5068" s="495">
        <f t="shared" si="58"/>
        <v>5.3000000000000007</v>
      </c>
      <c r="M5068" s="337"/>
    </row>
    <row r="5069" spans="1:13" s="71" customFormat="1" ht="26.4" customHeight="1">
      <c r="A5069" s="282">
        <v>151</v>
      </c>
      <c r="B5069" s="537"/>
      <c r="C5069" s="444" t="s">
        <v>1154</v>
      </c>
      <c r="D5069" s="260" t="s">
        <v>6835</v>
      </c>
      <c r="E5069" s="260" t="s">
        <v>6834</v>
      </c>
      <c r="F5069" s="387">
        <v>278</v>
      </c>
      <c r="G5069" s="445">
        <v>1972</v>
      </c>
      <c r="H5069" s="472" t="s">
        <v>5462</v>
      </c>
      <c r="I5069" s="470">
        <v>1271</v>
      </c>
      <c r="J5069" s="388">
        <v>14.3</v>
      </c>
      <c r="K5069" s="388">
        <v>11.2</v>
      </c>
      <c r="L5069" s="495">
        <f t="shared" si="58"/>
        <v>3.1000000000000014</v>
      </c>
      <c r="M5069" s="337"/>
    </row>
    <row r="5070" spans="1:13" s="71" customFormat="1" ht="26.4" customHeight="1">
      <c r="A5070" s="282">
        <v>152</v>
      </c>
      <c r="B5070" s="537"/>
      <c r="C5070" s="444" t="s">
        <v>1154</v>
      </c>
      <c r="D5070" s="260" t="s">
        <v>6689</v>
      </c>
      <c r="E5070" s="260" t="s">
        <v>6836</v>
      </c>
      <c r="F5070" s="387">
        <v>279</v>
      </c>
      <c r="G5070" s="445">
        <v>1973</v>
      </c>
      <c r="H5070" s="472" t="s">
        <v>5462</v>
      </c>
      <c r="I5070" s="470">
        <v>6018</v>
      </c>
      <c r="J5070" s="388">
        <v>256.10000000000002</v>
      </c>
      <c r="K5070" s="388">
        <v>156.5</v>
      </c>
      <c r="L5070" s="495">
        <f t="shared" si="58"/>
        <v>99.600000000000023</v>
      </c>
      <c r="M5070" s="337"/>
    </row>
    <row r="5071" spans="1:13" s="71" customFormat="1" ht="26.4" customHeight="1">
      <c r="A5071" s="282">
        <v>153</v>
      </c>
      <c r="B5071" s="537"/>
      <c r="C5071" s="444" t="s">
        <v>1154</v>
      </c>
      <c r="D5071" s="260" t="s">
        <v>6837</v>
      </c>
      <c r="E5071" s="260" t="s">
        <v>6838</v>
      </c>
      <c r="F5071" s="387">
        <v>280</v>
      </c>
      <c r="G5071" s="445">
        <v>1974</v>
      </c>
      <c r="H5071" s="472" t="s">
        <v>5462</v>
      </c>
      <c r="I5071" s="470">
        <v>8440</v>
      </c>
      <c r="J5071" s="388">
        <v>5.0999999999999996</v>
      </c>
      <c r="K5071" s="388">
        <v>5</v>
      </c>
      <c r="L5071" s="495">
        <f t="shared" si="58"/>
        <v>9.9999999999999645E-2</v>
      </c>
      <c r="M5071" s="337"/>
    </row>
    <row r="5072" spans="1:13" s="71" customFormat="1" ht="26.4" customHeight="1">
      <c r="A5072" s="282">
        <v>154</v>
      </c>
      <c r="B5072" s="537"/>
      <c r="C5072" s="444" t="s">
        <v>1154</v>
      </c>
      <c r="D5072" s="444" t="s">
        <v>6839</v>
      </c>
      <c r="E5072" s="260" t="s">
        <v>6840</v>
      </c>
      <c r="F5072" s="387">
        <v>281</v>
      </c>
      <c r="G5072" s="445">
        <v>1974</v>
      </c>
      <c r="H5072" s="472" t="s">
        <v>5462</v>
      </c>
      <c r="I5072" s="470">
        <v>1610</v>
      </c>
      <c r="J5072" s="388">
        <v>3.4</v>
      </c>
      <c r="K5072" s="388">
        <v>2.6</v>
      </c>
      <c r="L5072" s="495">
        <f t="shared" si="58"/>
        <v>0.79999999999999982</v>
      </c>
      <c r="M5072" s="337"/>
    </row>
    <row r="5073" spans="1:13" s="71" customFormat="1" ht="26.4" customHeight="1">
      <c r="A5073" s="282">
        <v>155</v>
      </c>
      <c r="B5073" s="537"/>
      <c r="C5073" s="444" t="s">
        <v>1154</v>
      </c>
      <c r="D5073" s="260" t="s">
        <v>6689</v>
      </c>
      <c r="E5073" s="444" t="s">
        <v>6841</v>
      </c>
      <c r="F5073" s="387">
        <v>282</v>
      </c>
      <c r="G5073" s="445">
        <v>1974</v>
      </c>
      <c r="H5073" s="472" t="s">
        <v>5462</v>
      </c>
      <c r="I5073" s="470">
        <v>5470</v>
      </c>
      <c r="J5073" s="388">
        <v>443.5</v>
      </c>
      <c r="K5073" s="388">
        <v>321.3</v>
      </c>
      <c r="L5073" s="495">
        <f t="shared" si="58"/>
        <v>122.19999999999999</v>
      </c>
      <c r="M5073" s="337"/>
    </row>
    <row r="5074" spans="1:13" s="71" customFormat="1" ht="26.4" customHeight="1">
      <c r="A5074" s="282">
        <v>156</v>
      </c>
      <c r="B5074" s="537"/>
      <c r="C5074" s="444" t="s">
        <v>1154</v>
      </c>
      <c r="D5074" s="260" t="s">
        <v>6842</v>
      </c>
      <c r="E5074" s="260" t="s">
        <v>6843</v>
      </c>
      <c r="F5074" s="387">
        <v>283</v>
      </c>
      <c r="G5074" s="445">
        <v>1974</v>
      </c>
      <c r="H5074" s="472" t="s">
        <v>5462</v>
      </c>
      <c r="I5074" s="470">
        <v>3190</v>
      </c>
      <c r="J5074" s="388">
        <v>11.1</v>
      </c>
      <c r="K5074" s="388">
        <v>8.6999999999999993</v>
      </c>
      <c r="L5074" s="495">
        <f t="shared" si="58"/>
        <v>2.4000000000000004</v>
      </c>
      <c r="M5074" s="337"/>
    </row>
    <row r="5075" spans="1:13" s="71" customFormat="1" ht="26.4" customHeight="1">
      <c r="A5075" s="282">
        <v>157</v>
      </c>
      <c r="B5075" s="537"/>
      <c r="C5075" s="444" t="s">
        <v>1154</v>
      </c>
      <c r="D5075" s="260" t="s">
        <v>6844</v>
      </c>
      <c r="E5075" s="260" t="s">
        <v>6845</v>
      </c>
      <c r="F5075" s="387">
        <v>284</v>
      </c>
      <c r="G5075" s="445">
        <v>1975</v>
      </c>
      <c r="H5075" s="472" t="s">
        <v>5462</v>
      </c>
      <c r="I5075" s="470">
        <v>138</v>
      </c>
      <c r="J5075" s="388">
        <v>4</v>
      </c>
      <c r="K5075" s="388">
        <v>3.9</v>
      </c>
      <c r="L5075" s="495">
        <f t="shared" si="58"/>
        <v>0.10000000000000009</v>
      </c>
      <c r="M5075" s="337"/>
    </row>
    <row r="5076" spans="1:13" s="71" customFormat="1" ht="26.4" customHeight="1">
      <c r="A5076" s="282">
        <v>158</v>
      </c>
      <c r="B5076" s="537"/>
      <c r="C5076" s="444" t="s">
        <v>1154</v>
      </c>
      <c r="D5076" s="260" t="s">
        <v>6846</v>
      </c>
      <c r="E5076" s="260" t="s">
        <v>6847</v>
      </c>
      <c r="F5076" s="387">
        <v>285</v>
      </c>
      <c r="G5076" s="445">
        <v>1975</v>
      </c>
      <c r="H5076" s="472" t="s">
        <v>5462</v>
      </c>
      <c r="I5076" s="470">
        <v>353</v>
      </c>
      <c r="J5076" s="388">
        <v>5.8</v>
      </c>
      <c r="K5076" s="388">
        <v>4.5</v>
      </c>
      <c r="L5076" s="495">
        <f t="shared" si="58"/>
        <v>1.2999999999999998</v>
      </c>
      <c r="M5076" s="337"/>
    </row>
    <row r="5077" spans="1:13" s="71" customFormat="1" ht="26.4" customHeight="1">
      <c r="A5077" s="282">
        <v>159</v>
      </c>
      <c r="B5077" s="537"/>
      <c r="C5077" s="444" t="s">
        <v>1154</v>
      </c>
      <c r="D5077" s="260" t="s">
        <v>6848</v>
      </c>
      <c r="E5077" s="260" t="s">
        <v>6849</v>
      </c>
      <c r="F5077" s="387">
        <v>286</v>
      </c>
      <c r="G5077" s="445">
        <v>1975</v>
      </c>
      <c r="H5077" s="472" t="s">
        <v>5462</v>
      </c>
      <c r="I5077" s="470">
        <v>2991</v>
      </c>
      <c r="J5077" s="388">
        <v>17.8</v>
      </c>
      <c r="K5077" s="388">
        <v>13.9</v>
      </c>
      <c r="L5077" s="495">
        <f t="shared" si="58"/>
        <v>3.9000000000000004</v>
      </c>
      <c r="M5077" s="337"/>
    </row>
    <row r="5078" spans="1:13" s="71" customFormat="1" ht="39.6">
      <c r="A5078" s="282">
        <v>160</v>
      </c>
      <c r="B5078" s="537"/>
      <c r="C5078" s="444" t="s">
        <v>1154</v>
      </c>
      <c r="D5078" s="260" t="s">
        <v>6850</v>
      </c>
      <c r="E5078" s="260" t="s">
        <v>6851</v>
      </c>
      <c r="F5078" s="387">
        <v>287</v>
      </c>
      <c r="G5078" s="445">
        <v>1975</v>
      </c>
      <c r="H5078" s="472" t="s">
        <v>5462</v>
      </c>
      <c r="I5078" s="470">
        <v>270</v>
      </c>
      <c r="J5078" s="388">
        <v>1.7</v>
      </c>
      <c r="K5078" s="388">
        <v>1.4</v>
      </c>
      <c r="L5078" s="495">
        <f t="shared" si="58"/>
        <v>0.30000000000000004</v>
      </c>
      <c r="M5078" s="337"/>
    </row>
    <row r="5079" spans="1:13" s="71" customFormat="1" ht="26.4" customHeight="1">
      <c r="A5079" s="282">
        <v>161</v>
      </c>
      <c r="B5079" s="537"/>
      <c r="C5079" s="444" t="s">
        <v>1154</v>
      </c>
      <c r="D5079" s="260" t="s">
        <v>6852</v>
      </c>
      <c r="E5079" s="260" t="s">
        <v>6853</v>
      </c>
      <c r="F5079" s="387">
        <v>288</v>
      </c>
      <c r="G5079" s="445">
        <v>1975</v>
      </c>
      <c r="H5079" s="472" t="s">
        <v>5462</v>
      </c>
      <c r="I5079" s="470">
        <v>1644</v>
      </c>
      <c r="J5079" s="388">
        <v>26.3</v>
      </c>
      <c r="K5079" s="388">
        <v>24.9</v>
      </c>
      <c r="L5079" s="495">
        <f t="shared" si="58"/>
        <v>1.4000000000000021</v>
      </c>
      <c r="M5079" s="337"/>
    </row>
    <row r="5080" spans="1:13" s="71" customFormat="1" ht="26.4" customHeight="1">
      <c r="A5080" s="282">
        <v>162</v>
      </c>
      <c r="B5080" s="537"/>
      <c r="C5080" s="444" t="s">
        <v>1154</v>
      </c>
      <c r="D5080" s="260" t="s">
        <v>6854</v>
      </c>
      <c r="E5080" s="260" t="s">
        <v>6855</v>
      </c>
      <c r="F5080" s="387">
        <v>289</v>
      </c>
      <c r="G5080" s="445">
        <v>1976</v>
      </c>
      <c r="H5080" s="472" t="s">
        <v>5462</v>
      </c>
      <c r="I5080" s="470">
        <v>5400</v>
      </c>
      <c r="J5080" s="388">
        <v>56.8</v>
      </c>
      <c r="K5080" s="388">
        <v>53.5</v>
      </c>
      <c r="L5080" s="495">
        <f t="shared" si="58"/>
        <v>3.2999999999999972</v>
      </c>
      <c r="M5080" s="337"/>
    </row>
    <row r="5081" spans="1:13" s="71" customFormat="1" ht="26.4" customHeight="1">
      <c r="A5081" s="282">
        <v>163</v>
      </c>
      <c r="B5081" s="537"/>
      <c r="C5081" s="444" t="s">
        <v>1154</v>
      </c>
      <c r="D5081" s="260" t="s">
        <v>6856</v>
      </c>
      <c r="E5081" s="260" t="s">
        <v>6857</v>
      </c>
      <c r="F5081" s="387">
        <v>290</v>
      </c>
      <c r="G5081" s="445">
        <v>1976</v>
      </c>
      <c r="H5081" s="472" t="s">
        <v>5462</v>
      </c>
      <c r="I5081" s="470">
        <v>76</v>
      </c>
      <c r="J5081" s="388">
        <v>0.8</v>
      </c>
      <c r="K5081" s="388">
        <v>0.6</v>
      </c>
      <c r="L5081" s="495">
        <f t="shared" si="58"/>
        <v>0.20000000000000007</v>
      </c>
      <c r="M5081" s="337"/>
    </row>
    <row r="5082" spans="1:13" s="71" customFormat="1" ht="26.4">
      <c r="A5082" s="282">
        <v>164</v>
      </c>
      <c r="B5082" s="537"/>
      <c r="C5082" s="444" t="s">
        <v>1154</v>
      </c>
      <c r="D5082" s="260" t="s">
        <v>12788</v>
      </c>
      <c r="E5082" s="260" t="s">
        <v>6858</v>
      </c>
      <c r="F5082" s="387">
        <v>291</v>
      </c>
      <c r="G5082" s="445">
        <v>1976</v>
      </c>
      <c r="H5082" s="472" t="s">
        <v>5462</v>
      </c>
      <c r="I5082" s="470">
        <v>27</v>
      </c>
      <c r="J5082" s="388">
        <v>1.2</v>
      </c>
      <c r="K5082" s="388">
        <v>0.9</v>
      </c>
      <c r="L5082" s="495">
        <f t="shared" si="58"/>
        <v>0.29999999999999993</v>
      </c>
      <c r="M5082" s="337"/>
    </row>
    <row r="5083" spans="1:13" s="71" customFormat="1" ht="26.4" customHeight="1">
      <c r="A5083" s="282">
        <v>165</v>
      </c>
      <c r="B5083" s="537"/>
      <c r="C5083" s="444" t="s">
        <v>1154</v>
      </c>
      <c r="D5083" s="260" t="s">
        <v>6856</v>
      </c>
      <c r="E5083" s="260" t="s">
        <v>6859</v>
      </c>
      <c r="F5083" s="387">
        <v>292</v>
      </c>
      <c r="G5083" s="445">
        <v>1976</v>
      </c>
      <c r="H5083" s="472" t="s">
        <v>5462</v>
      </c>
      <c r="I5083" s="470">
        <v>172</v>
      </c>
      <c r="J5083" s="388">
        <v>1.8</v>
      </c>
      <c r="K5083" s="388">
        <v>1.4</v>
      </c>
      <c r="L5083" s="495">
        <f t="shared" si="58"/>
        <v>0.40000000000000013</v>
      </c>
      <c r="M5083" s="337"/>
    </row>
    <row r="5084" spans="1:13" s="71" customFormat="1" ht="26.4" customHeight="1">
      <c r="A5084" s="282">
        <v>166</v>
      </c>
      <c r="B5084" s="537"/>
      <c r="C5084" s="444" t="s">
        <v>1154</v>
      </c>
      <c r="D5084" s="260" t="s">
        <v>6852</v>
      </c>
      <c r="E5084" s="260" t="s">
        <v>12789</v>
      </c>
      <c r="F5084" s="387">
        <v>293</v>
      </c>
      <c r="G5084" s="445">
        <v>1976</v>
      </c>
      <c r="H5084" s="472" t="s">
        <v>5462</v>
      </c>
      <c r="I5084" s="470">
        <v>176</v>
      </c>
      <c r="J5084" s="388">
        <v>4.0999999999999996</v>
      </c>
      <c r="K5084" s="388">
        <v>3.2</v>
      </c>
      <c r="L5084" s="495">
        <f t="shared" si="58"/>
        <v>0.89999999999999947</v>
      </c>
      <c r="M5084" s="337"/>
    </row>
    <row r="5085" spans="1:13" s="71" customFormat="1" ht="39.6">
      <c r="A5085" s="282">
        <v>167</v>
      </c>
      <c r="B5085" s="537"/>
      <c r="C5085" s="444" t="s">
        <v>1154</v>
      </c>
      <c r="D5085" s="260" t="s">
        <v>12973</v>
      </c>
      <c r="E5085" s="260" t="s">
        <v>6860</v>
      </c>
      <c r="F5085" s="387">
        <v>294</v>
      </c>
      <c r="G5085" s="445">
        <v>1977</v>
      </c>
      <c r="H5085" s="472" t="s">
        <v>5462</v>
      </c>
      <c r="I5085" s="470">
        <v>201</v>
      </c>
      <c r="J5085" s="388">
        <v>23.4</v>
      </c>
      <c r="K5085" s="388">
        <v>22.2</v>
      </c>
      <c r="L5085" s="495">
        <f t="shared" si="58"/>
        <v>1.1999999999999993</v>
      </c>
      <c r="M5085" s="337"/>
    </row>
    <row r="5086" spans="1:13" s="71" customFormat="1" ht="39.6">
      <c r="A5086" s="282">
        <v>168</v>
      </c>
      <c r="B5086" s="537"/>
      <c r="C5086" s="444" t="s">
        <v>1154</v>
      </c>
      <c r="D5086" s="260" t="s">
        <v>12974</v>
      </c>
      <c r="E5086" s="260" t="s">
        <v>6861</v>
      </c>
      <c r="F5086" s="387">
        <v>296</v>
      </c>
      <c r="G5086" s="445">
        <v>1978</v>
      </c>
      <c r="H5086" s="472" t="s">
        <v>5462</v>
      </c>
      <c r="I5086" s="470">
        <v>27</v>
      </c>
      <c r="J5086" s="388">
        <v>2</v>
      </c>
      <c r="K5086" s="388">
        <v>1.7</v>
      </c>
      <c r="L5086" s="495">
        <f t="shared" si="58"/>
        <v>0.30000000000000004</v>
      </c>
      <c r="M5086" s="337"/>
    </row>
    <row r="5087" spans="1:13" s="71" customFormat="1" ht="26.4" customHeight="1">
      <c r="A5087" s="282">
        <v>169</v>
      </c>
      <c r="B5087" s="537"/>
      <c r="C5087" s="482" t="s">
        <v>1154</v>
      </c>
      <c r="D5087" s="260" t="s">
        <v>6862</v>
      </c>
      <c r="E5087" s="260" t="s">
        <v>6863</v>
      </c>
      <c r="F5087" s="387">
        <v>297</v>
      </c>
      <c r="G5087" s="445">
        <v>1978</v>
      </c>
      <c r="H5087" s="472" t="s">
        <v>5462</v>
      </c>
      <c r="I5087" s="470">
        <v>233</v>
      </c>
      <c r="J5087" s="388">
        <v>1</v>
      </c>
      <c r="K5087" s="388">
        <v>0.9</v>
      </c>
      <c r="L5087" s="495">
        <f t="shared" si="58"/>
        <v>9.9999999999999978E-2</v>
      </c>
      <c r="M5087" s="337"/>
    </row>
    <row r="5088" spans="1:13" s="71" customFormat="1" ht="39.6">
      <c r="A5088" s="282">
        <v>170</v>
      </c>
      <c r="B5088" s="537"/>
      <c r="C5088" s="482" t="s">
        <v>1154</v>
      </c>
      <c r="D5088" s="260" t="s">
        <v>6864</v>
      </c>
      <c r="E5088" s="260" t="s">
        <v>13421</v>
      </c>
      <c r="F5088" s="387">
        <v>298</v>
      </c>
      <c r="G5088" s="445">
        <v>1978</v>
      </c>
      <c r="H5088" s="472" t="s">
        <v>5462</v>
      </c>
      <c r="I5088" s="470">
        <v>400</v>
      </c>
      <c r="J5088" s="388">
        <v>4.4000000000000004</v>
      </c>
      <c r="K5088" s="388">
        <v>3.8</v>
      </c>
      <c r="L5088" s="495">
        <f t="shared" si="58"/>
        <v>0.60000000000000053</v>
      </c>
      <c r="M5088" s="337"/>
    </row>
    <row r="5089" spans="1:13" s="71" customFormat="1" ht="26.4" customHeight="1">
      <c r="A5089" s="282">
        <v>171</v>
      </c>
      <c r="B5089" s="537"/>
      <c r="C5089" s="444" t="s">
        <v>1154</v>
      </c>
      <c r="D5089" s="260" t="s">
        <v>6865</v>
      </c>
      <c r="E5089" s="260" t="s">
        <v>6866</v>
      </c>
      <c r="F5089" s="387">
        <v>299</v>
      </c>
      <c r="G5089" s="445">
        <v>1978</v>
      </c>
      <c r="H5089" s="472" t="s">
        <v>5462</v>
      </c>
      <c r="I5089" s="470">
        <v>177</v>
      </c>
      <c r="J5089" s="388">
        <v>1.9</v>
      </c>
      <c r="K5089" s="388">
        <v>1.5</v>
      </c>
      <c r="L5089" s="495">
        <f t="shared" si="58"/>
        <v>0.39999999999999991</v>
      </c>
      <c r="M5089" s="337"/>
    </row>
    <row r="5090" spans="1:13" s="71" customFormat="1" ht="26.4" customHeight="1">
      <c r="A5090" s="282">
        <v>172</v>
      </c>
      <c r="B5090" s="537"/>
      <c r="C5090" s="444" t="s">
        <v>1154</v>
      </c>
      <c r="D5090" s="260" t="s">
        <v>6867</v>
      </c>
      <c r="E5090" s="444" t="s">
        <v>6868</v>
      </c>
      <c r="F5090" s="387">
        <v>300</v>
      </c>
      <c r="G5090" s="445">
        <v>1980</v>
      </c>
      <c r="H5090" s="472" t="s">
        <v>5462</v>
      </c>
      <c r="I5090" s="470">
        <v>214</v>
      </c>
      <c r="J5090" s="388">
        <v>3.1</v>
      </c>
      <c r="K5090" s="388">
        <v>2.7</v>
      </c>
      <c r="L5090" s="495">
        <f t="shared" si="58"/>
        <v>0.39999999999999991</v>
      </c>
      <c r="M5090" s="337"/>
    </row>
    <row r="5091" spans="1:13" s="71" customFormat="1" ht="26.4" customHeight="1">
      <c r="A5091" s="282">
        <v>173</v>
      </c>
      <c r="B5091" s="537"/>
      <c r="C5091" s="444" t="s">
        <v>1154</v>
      </c>
      <c r="D5091" s="260" t="s">
        <v>6869</v>
      </c>
      <c r="E5091" s="260" t="s">
        <v>6870</v>
      </c>
      <c r="F5091" s="387">
        <v>301</v>
      </c>
      <c r="G5091" s="445">
        <v>1980</v>
      </c>
      <c r="H5091" s="472" t="s">
        <v>5462</v>
      </c>
      <c r="I5091" s="470">
        <v>257</v>
      </c>
      <c r="J5091" s="388">
        <v>5.5</v>
      </c>
      <c r="K5091" s="388">
        <v>4.5999999999999996</v>
      </c>
      <c r="L5091" s="495">
        <f t="shared" si="58"/>
        <v>0.90000000000000036</v>
      </c>
      <c r="M5091" s="337"/>
    </row>
    <row r="5092" spans="1:13" s="71" customFormat="1" ht="26.4" customHeight="1">
      <c r="A5092" s="282">
        <v>174</v>
      </c>
      <c r="B5092" s="537"/>
      <c r="C5092" s="444" t="s">
        <v>1154</v>
      </c>
      <c r="D5092" s="260" t="s">
        <v>6852</v>
      </c>
      <c r="E5092" s="260" t="s">
        <v>6871</v>
      </c>
      <c r="F5092" s="387">
        <v>302</v>
      </c>
      <c r="G5092" s="445">
        <v>1980</v>
      </c>
      <c r="H5092" s="472" t="s">
        <v>5462</v>
      </c>
      <c r="I5092" s="470">
        <v>73.5</v>
      </c>
      <c r="J5092" s="388">
        <v>5.6</v>
      </c>
      <c r="K5092" s="388">
        <v>4.4000000000000004</v>
      </c>
      <c r="L5092" s="495">
        <f t="shared" si="58"/>
        <v>1.1999999999999993</v>
      </c>
      <c r="M5092" s="337"/>
    </row>
    <row r="5093" spans="1:13" s="71" customFormat="1" ht="26.4" customHeight="1">
      <c r="A5093" s="282">
        <v>175</v>
      </c>
      <c r="B5093" s="537"/>
      <c r="C5093" s="444" t="s">
        <v>1154</v>
      </c>
      <c r="D5093" s="260" t="s">
        <v>6852</v>
      </c>
      <c r="E5093" s="260" t="s">
        <v>6872</v>
      </c>
      <c r="F5093" s="387">
        <v>303</v>
      </c>
      <c r="G5093" s="445">
        <v>1980</v>
      </c>
      <c r="H5093" s="472" t="s">
        <v>5462</v>
      </c>
      <c r="I5093" s="470">
        <v>3594</v>
      </c>
      <c r="J5093" s="388">
        <v>5.6</v>
      </c>
      <c r="K5093" s="388">
        <v>4.4000000000000004</v>
      </c>
      <c r="L5093" s="495">
        <f t="shared" si="58"/>
        <v>1.1999999999999993</v>
      </c>
      <c r="M5093" s="337"/>
    </row>
    <row r="5094" spans="1:13" s="71" customFormat="1" ht="26.4" customHeight="1">
      <c r="A5094" s="282">
        <v>176</v>
      </c>
      <c r="B5094" s="537"/>
      <c r="C5094" s="444" t="s">
        <v>1154</v>
      </c>
      <c r="D5094" s="260" t="s">
        <v>6873</v>
      </c>
      <c r="E5094" s="260" t="s">
        <v>6874</v>
      </c>
      <c r="F5094" s="387">
        <v>304</v>
      </c>
      <c r="G5094" s="445">
        <v>1980</v>
      </c>
      <c r="H5094" s="472" t="s">
        <v>5462</v>
      </c>
      <c r="I5094" s="470">
        <v>33</v>
      </c>
      <c r="J5094" s="388">
        <v>2.4</v>
      </c>
      <c r="K5094" s="388">
        <v>1.9</v>
      </c>
      <c r="L5094" s="495">
        <f t="shared" si="58"/>
        <v>0.5</v>
      </c>
      <c r="M5094" s="337"/>
    </row>
    <row r="5095" spans="1:13" s="71" customFormat="1" ht="26.4" customHeight="1">
      <c r="A5095" s="282">
        <v>177</v>
      </c>
      <c r="B5095" s="537"/>
      <c r="C5095" s="444" t="s">
        <v>1154</v>
      </c>
      <c r="D5095" s="260" t="s">
        <v>6875</v>
      </c>
      <c r="E5095" s="260" t="s">
        <v>6876</v>
      </c>
      <c r="F5095" s="387">
        <v>305</v>
      </c>
      <c r="G5095" s="445">
        <v>1980</v>
      </c>
      <c r="H5095" s="472" t="s">
        <v>5462</v>
      </c>
      <c r="I5095" s="470">
        <v>66</v>
      </c>
      <c r="J5095" s="388">
        <v>2.2999999999999998</v>
      </c>
      <c r="K5095" s="388">
        <v>1.8</v>
      </c>
      <c r="L5095" s="495">
        <f t="shared" si="58"/>
        <v>0.49999999999999978</v>
      </c>
      <c r="M5095" s="337"/>
    </row>
    <row r="5096" spans="1:13" s="71" customFormat="1" ht="26.4" customHeight="1">
      <c r="A5096" s="282">
        <v>178</v>
      </c>
      <c r="B5096" s="537"/>
      <c r="C5096" s="444" t="s">
        <v>1154</v>
      </c>
      <c r="D5096" s="260" t="s">
        <v>6875</v>
      </c>
      <c r="E5096" s="260" t="s">
        <v>6877</v>
      </c>
      <c r="F5096" s="387">
        <v>306</v>
      </c>
      <c r="G5096" s="445">
        <v>1980</v>
      </c>
      <c r="H5096" s="472" t="s">
        <v>5462</v>
      </c>
      <c r="I5096" s="470">
        <v>36</v>
      </c>
      <c r="J5096" s="388">
        <v>2.2999999999999998</v>
      </c>
      <c r="K5096" s="388">
        <v>1.8</v>
      </c>
      <c r="L5096" s="495">
        <f t="shared" si="58"/>
        <v>0.49999999999999978</v>
      </c>
      <c r="M5096" s="337"/>
    </row>
    <row r="5097" spans="1:13" s="71" customFormat="1" ht="26.4" customHeight="1">
      <c r="A5097" s="282">
        <v>179</v>
      </c>
      <c r="B5097" s="537"/>
      <c r="C5097" s="444" t="s">
        <v>1154</v>
      </c>
      <c r="D5097" s="260" t="s">
        <v>6875</v>
      </c>
      <c r="E5097" s="260" t="s">
        <v>6878</v>
      </c>
      <c r="F5097" s="387">
        <v>307</v>
      </c>
      <c r="G5097" s="445">
        <v>1980</v>
      </c>
      <c r="H5097" s="472" t="s">
        <v>5462</v>
      </c>
      <c r="I5097" s="470">
        <v>13</v>
      </c>
      <c r="J5097" s="388">
        <v>2.6</v>
      </c>
      <c r="K5097" s="388">
        <v>2</v>
      </c>
      <c r="L5097" s="495">
        <f t="shared" si="58"/>
        <v>0.60000000000000009</v>
      </c>
      <c r="M5097" s="337"/>
    </row>
    <row r="5098" spans="1:13" s="71" customFormat="1" ht="26.4" customHeight="1">
      <c r="A5098" s="282">
        <v>180</v>
      </c>
      <c r="B5098" s="537"/>
      <c r="C5098" s="444" t="s">
        <v>1154</v>
      </c>
      <c r="D5098" s="260" t="s">
        <v>6852</v>
      </c>
      <c r="E5098" s="260" t="s">
        <v>6879</v>
      </c>
      <c r="F5098" s="387">
        <v>308</v>
      </c>
      <c r="G5098" s="445">
        <v>1980</v>
      </c>
      <c r="H5098" s="472" t="s">
        <v>5462</v>
      </c>
      <c r="I5098" s="470">
        <v>24</v>
      </c>
      <c r="J5098" s="388">
        <v>0.9</v>
      </c>
      <c r="K5098" s="388">
        <v>0.7</v>
      </c>
      <c r="L5098" s="495">
        <f t="shared" si="58"/>
        <v>0.20000000000000007</v>
      </c>
      <c r="M5098" s="337"/>
    </row>
    <row r="5099" spans="1:13" s="71" customFormat="1" ht="26.4" customHeight="1">
      <c r="A5099" s="282">
        <v>181</v>
      </c>
      <c r="B5099" s="537"/>
      <c r="C5099" s="444" t="s">
        <v>1154</v>
      </c>
      <c r="D5099" s="260" t="s">
        <v>6880</v>
      </c>
      <c r="E5099" s="260" t="s">
        <v>6881</v>
      </c>
      <c r="F5099" s="387">
        <v>309</v>
      </c>
      <c r="G5099" s="445">
        <v>1980</v>
      </c>
      <c r="H5099" s="472" t="s">
        <v>5462</v>
      </c>
      <c r="I5099" s="470">
        <v>82</v>
      </c>
      <c r="J5099" s="388">
        <v>1.3</v>
      </c>
      <c r="K5099" s="388">
        <v>1.1000000000000001</v>
      </c>
      <c r="L5099" s="495">
        <f t="shared" si="58"/>
        <v>0.19999999999999996</v>
      </c>
      <c r="M5099" s="337"/>
    </row>
    <row r="5100" spans="1:13" s="71" customFormat="1" ht="26.4" customHeight="1">
      <c r="A5100" s="282">
        <v>182</v>
      </c>
      <c r="B5100" s="537"/>
      <c r="C5100" s="444" t="s">
        <v>1154</v>
      </c>
      <c r="D5100" s="260" t="s">
        <v>6882</v>
      </c>
      <c r="E5100" s="260" t="s">
        <v>6883</v>
      </c>
      <c r="F5100" s="387">
        <v>310</v>
      </c>
      <c r="G5100" s="445">
        <v>1980</v>
      </c>
      <c r="H5100" s="472" t="s">
        <v>5462</v>
      </c>
      <c r="I5100" s="470">
        <v>82</v>
      </c>
      <c r="J5100" s="496">
        <v>11.2</v>
      </c>
      <c r="K5100" s="496">
        <v>7.6</v>
      </c>
      <c r="L5100" s="495">
        <f t="shared" si="58"/>
        <v>3.5999999999999996</v>
      </c>
      <c r="M5100" s="337"/>
    </row>
    <row r="5101" spans="1:13" s="71" customFormat="1" ht="26.4" customHeight="1">
      <c r="A5101" s="282">
        <v>183</v>
      </c>
      <c r="B5101" s="537"/>
      <c r="C5101" s="444" t="s">
        <v>1154</v>
      </c>
      <c r="D5101" s="260" t="s">
        <v>6884</v>
      </c>
      <c r="E5101" s="260" t="s">
        <v>6885</v>
      </c>
      <c r="F5101" s="387">
        <v>311</v>
      </c>
      <c r="G5101" s="445">
        <v>1980</v>
      </c>
      <c r="H5101" s="472" t="s">
        <v>5462</v>
      </c>
      <c r="I5101" s="470">
        <v>395</v>
      </c>
      <c r="J5101" s="388">
        <v>0.6</v>
      </c>
      <c r="K5101" s="388">
        <v>0.5</v>
      </c>
      <c r="L5101" s="495">
        <f t="shared" si="58"/>
        <v>9.9999999999999978E-2</v>
      </c>
      <c r="M5101" s="337"/>
    </row>
    <row r="5102" spans="1:13" s="71" customFormat="1" ht="26.4" customHeight="1">
      <c r="A5102" s="282">
        <v>184</v>
      </c>
      <c r="B5102" s="537"/>
      <c r="C5102" s="444" t="s">
        <v>1154</v>
      </c>
      <c r="D5102" s="260" t="s">
        <v>6852</v>
      </c>
      <c r="E5102" s="260" t="s">
        <v>6886</v>
      </c>
      <c r="F5102" s="387">
        <v>312</v>
      </c>
      <c r="G5102" s="445">
        <v>1980</v>
      </c>
      <c r="H5102" s="472" t="s">
        <v>5462</v>
      </c>
      <c r="I5102" s="470">
        <v>123</v>
      </c>
      <c r="J5102" s="388">
        <v>2.7</v>
      </c>
      <c r="K5102" s="388">
        <v>2.2999999999999998</v>
      </c>
      <c r="L5102" s="495">
        <f t="shared" si="58"/>
        <v>0.40000000000000036</v>
      </c>
      <c r="M5102" s="337"/>
    </row>
    <row r="5103" spans="1:13" s="71" customFormat="1" ht="26.4" customHeight="1">
      <c r="A5103" s="282">
        <v>185</v>
      </c>
      <c r="B5103" s="537"/>
      <c r="C5103" s="444" t="s">
        <v>1154</v>
      </c>
      <c r="D5103" s="260" t="s">
        <v>6852</v>
      </c>
      <c r="E5103" s="260" t="s">
        <v>6887</v>
      </c>
      <c r="F5103" s="387">
        <v>313</v>
      </c>
      <c r="G5103" s="445">
        <v>1980</v>
      </c>
      <c r="H5103" s="472" t="s">
        <v>5462</v>
      </c>
      <c r="I5103" s="470">
        <v>30</v>
      </c>
      <c r="J5103" s="388">
        <v>1.1000000000000001</v>
      </c>
      <c r="K5103" s="388">
        <v>1</v>
      </c>
      <c r="L5103" s="495">
        <f t="shared" si="58"/>
        <v>0.10000000000000009</v>
      </c>
      <c r="M5103" s="337"/>
    </row>
    <row r="5104" spans="1:13" s="71" customFormat="1" ht="26.4" customHeight="1">
      <c r="A5104" s="282">
        <v>186</v>
      </c>
      <c r="B5104" s="537"/>
      <c r="C5104" s="444" t="s">
        <v>1154</v>
      </c>
      <c r="D5104" s="260" t="s">
        <v>6852</v>
      </c>
      <c r="E5104" s="260" t="s">
        <v>6888</v>
      </c>
      <c r="F5104" s="387">
        <v>314</v>
      </c>
      <c r="G5104" s="445">
        <v>1980</v>
      </c>
      <c r="H5104" s="472" t="s">
        <v>5462</v>
      </c>
      <c r="I5104" s="470">
        <v>30</v>
      </c>
      <c r="J5104" s="388">
        <v>1.3</v>
      </c>
      <c r="K5104" s="388">
        <v>1.1000000000000001</v>
      </c>
      <c r="L5104" s="495">
        <f t="shared" si="58"/>
        <v>0.19999999999999996</v>
      </c>
      <c r="M5104" s="337"/>
    </row>
    <row r="5105" spans="1:13" s="71" customFormat="1" ht="26.4" customHeight="1">
      <c r="A5105" s="282">
        <v>187</v>
      </c>
      <c r="B5105" s="537"/>
      <c r="C5105" s="444" t="s">
        <v>1154</v>
      </c>
      <c r="D5105" s="260" t="s">
        <v>6852</v>
      </c>
      <c r="E5105" s="260" t="s">
        <v>6889</v>
      </c>
      <c r="F5105" s="387">
        <v>315</v>
      </c>
      <c r="G5105" s="445">
        <v>1980</v>
      </c>
      <c r="H5105" s="472" t="s">
        <v>5462</v>
      </c>
      <c r="I5105" s="470">
        <v>7</v>
      </c>
      <c r="J5105" s="388">
        <v>0.7</v>
      </c>
      <c r="K5105" s="388">
        <v>0.6</v>
      </c>
      <c r="L5105" s="495">
        <f t="shared" si="58"/>
        <v>9.9999999999999978E-2</v>
      </c>
      <c r="M5105" s="337"/>
    </row>
    <row r="5106" spans="1:13" s="71" customFormat="1" ht="26.4" customHeight="1">
      <c r="A5106" s="282">
        <v>188</v>
      </c>
      <c r="B5106" s="537"/>
      <c r="C5106" s="444" t="s">
        <v>1154</v>
      </c>
      <c r="D5106" s="260" t="s">
        <v>6852</v>
      </c>
      <c r="E5106" s="260" t="s">
        <v>6890</v>
      </c>
      <c r="F5106" s="387">
        <v>316</v>
      </c>
      <c r="G5106" s="445">
        <v>1980</v>
      </c>
      <c r="H5106" s="472" t="s">
        <v>5462</v>
      </c>
      <c r="I5106" s="470">
        <v>6</v>
      </c>
      <c r="J5106" s="388">
        <v>0.7</v>
      </c>
      <c r="K5106" s="388">
        <v>0.6</v>
      </c>
      <c r="L5106" s="495">
        <f t="shared" si="58"/>
        <v>9.9999999999999978E-2</v>
      </c>
      <c r="M5106" s="337"/>
    </row>
    <row r="5107" spans="1:13" s="71" customFormat="1" ht="26.4" customHeight="1">
      <c r="A5107" s="282">
        <v>189</v>
      </c>
      <c r="B5107" s="537"/>
      <c r="C5107" s="444" t="s">
        <v>1154</v>
      </c>
      <c r="D5107" s="260" t="s">
        <v>6852</v>
      </c>
      <c r="E5107" s="260" t="s">
        <v>6891</v>
      </c>
      <c r="F5107" s="387">
        <v>317</v>
      </c>
      <c r="G5107" s="445">
        <v>1980</v>
      </c>
      <c r="H5107" s="472" t="s">
        <v>5462</v>
      </c>
      <c r="I5107" s="470">
        <v>6</v>
      </c>
      <c r="J5107" s="388">
        <v>0.9</v>
      </c>
      <c r="K5107" s="388">
        <v>0.7</v>
      </c>
      <c r="L5107" s="495">
        <f t="shared" si="58"/>
        <v>0.20000000000000007</v>
      </c>
      <c r="M5107" s="337"/>
    </row>
    <row r="5108" spans="1:13" s="71" customFormat="1" ht="26.4" customHeight="1">
      <c r="A5108" s="282">
        <v>190</v>
      </c>
      <c r="B5108" s="537"/>
      <c r="C5108" s="444" t="s">
        <v>1154</v>
      </c>
      <c r="D5108" s="260" t="s">
        <v>6852</v>
      </c>
      <c r="E5108" s="260" t="s">
        <v>6892</v>
      </c>
      <c r="F5108" s="387">
        <v>318</v>
      </c>
      <c r="G5108" s="445">
        <v>1980</v>
      </c>
      <c r="H5108" s="472" t="s">
        <v>5462</v>
      </c>
      <c r="I5108" s="470">
        <v>1615</v>
      </c>
      <c r="J5108" s="388">
        <v>6.1</v>
      </c>
      <c r="K5108" s="388">
        <v>5.4</v>
      </c>
      <c r="L5108" s="495">
        <f t="shared" si="58"/>
        <v>0.69999999999999929</v>
      </c>
      <c r="M5108" s="337"/>
    </row>
    <row r="5109" spans="1:13" s="71" customFormat="1" ht="26.4" customHeight="1">
      <c r="A5109" s="282">
        <v>191</v>
      </c>
      <c r="B5109" s="537"/>
      <c r="C5109" s="444" t="s">
        <v>1154</v>
      </c>
      <c r="D5109" s="260" t="s">
        <v>6893</v>
      </c>
      <c r="E5109" s="260" t="s">
        <v>6894</v>
      </c>
      <c r="F5109" s="387">
        <v>319</v>
      </c>
      <c r="G5109" s="445">
        <v>1980</v>
      </c>
      <c r="H5109" s="472" t="s">
        <v>5462</v>
      </c>
      <c r="I5109" s="470">
        <v>18</v>
      </c>
      <c r="J5109" s="388">
        <v>2.4</v>
      </c>
      <c r="K5109" s="388">
        <v>2.1</v>
      </c>
      <c r="L5109" s="495">
        <f t="shared" si="58"/>
        <v>0.29999999999999982</v>
      </c>
      <c r="M5109" s="337"/>
    </row>
    <row r="5110" spans="1:13" s="71" customFormat="1" ht="26.4" customHeight="1">
      <c r="A5110" s="282">
        <v>192</v>
      </c>
      <c r="B5110" s="537"/>
      <c r="C5110" s="444" t="s">
        <v>1154</v>
      </c>
      <c r="D5110" s="260" t="s">
        <v>6893</v>
      </c>
      <c r="E5110" s="260" t="s">
        <v>6895</v>
      </c>
      <c r="F5110" s="387">
        <v>320</v>
      </c>
      <c r="G5110" s="445">
        <v>1980</v>
      </c>
      <c r="H5110" s="472" t="s">
        <v>5462</v>
      </c>
      <c r="I5110" s="470">
        <v>12</v>
      </c>
      <c r="J5110" s="388">
        <v>2.4</v>
      </c>
      <c r="K5110" s="388">
        <v>2.1</v>
      </c>
      <c r="L5110" s="495">
        <f t="shared" si="58"/>
        <v>0.29999999999999982</v>
      </c>
      <c r="M5110" s="337"/>
    </row>
    <row r="5111" spans="1:13" s="71" customFormat="1" ht="39.6">
      <c r="A5111" s="282">
        <v>193</v>
      </c>
      <c r="B5111" s="537"/>
      <c r="C5111" s="444" t="s">
        <v>1154</v>
      </c>
      <c r="D5111" s="260" t="s">
        <v>6893</v>
      </c>
      <c r="E5111" s="260" t="s">
        <v>13422</v>
      </c>
      <c r="F5111" s="387">
        <v>321</v>
      </c>
      <c r="G5111" s="445">
        <v>1980</v>
      </c>
      <c r="H5111" s="472" t="s">
        <v>5462</v>
      </c>
      <c r="I5111" s="470">
        <v>1454</v>
      </c>
      <c r="J5111" s="388">
        <v>14.6</v>
      </c>
      <c r="K5111" s="388">
        <v>12.6</v>
      </c>
      <c r="L5111" s="495">
        <f t="shared" ref="L5111:L5174" si="59">J5111-K5111</f>
        <v>2</v>
      </c>
      <c r="M5111" s="337"/>
    </row>
    <row r="5112" spans="1:13" s="71" customFormat="1" ht="26.4" customHeight="1">
      <c r="A5112" s="282">
        <v>194</v>
      </c>
      <c r="B5112" s="537"/>
      <c r="C5112" s="444" t="s">
        <v>1154</v>
      </c>
      <c r="D5112" s="260" t="s">
        <v>6689</v>
      </c>
      <c r="E5112" s="260" t="s">
        <v>6896</v>
      </c>
      <c r="F5112" s="387">
        <v>322</v>
      </c>
      <c r="G5112" s="445">
        <v>1980</v>
      </c>
      <c r="H5112" s="472" t="s">
        <v>5462</v>
      </c>
      <c r="I5112" s="470">
        <v>600</v>
      </c>
      <c r="J5112" s="388">
        <v>48.9</v>
      </c>
      <c r="K5112" s="388">
        <v>42.4</v>
      </c>
      <c r="L5112" s="495">
        <f t="shared" si="59"/>
        <v>6.5</v>
      </c>
      <c r="M5112" s="337"/>
    </row>
    <row r="5113" spans="1:13" s="71" customFormat="1" ht="39.6">
      <c r="A5113" s="282">
        <v>195</v>
      </c>
      <c r="B5113" s="537"/>
      <c r="C5113" s="444" t="s">
        <v>1154</v>
      </c>
      <c r="D5113" s="260" t="s">
        <v>6882</v>
      </c>
      <c r="E5113" s="260" t="s">
        <v>13423</v>
      </c>
      <c r="F5113" s="387">
        <v>323</v>
      </c>
      <c r="G5113" s="445">
        <v>1981</v>
      </c>
      <c r="H5113" s="472" t="s">
        <v>5462</v>
      </c>
      <c r="I5113" s="470">
        <v>14</v>
      </c>
      <c r="J5113" s="388">
        <v>4.3</v>
      </c>
      <c r="K5113" s="388">
        <v>4.3</v>
      </c>
      <c r="L5113" s="495">
        <f t="shared" si="59"/>
        <v>0</v>
      </c>
      <c r="M5113" s="337"/>
    </row>
    <row r="5114" spans="1:13" s="71" customFormat="1" ht="39.6">
      <c r="A5114" s="282">
        <v>196</v>
      </c>
      <c r="B5114" s="537"/>
      <c r="C5114" s="444" t="s">
        <v>1154</v>
      </c>
      <c r="D5114" s="260" t="s">
        <v>6897</v>
      </c>
      <c r="E5114" s="260" t="s">
        <v>6898</v>
      </c>
      <c r="F5114" s="387">
        <v>324</v>
      </c>
      <c r="G5114" s="445">
        <v>1982</v>
      </c>
      <c r="H5114" s="472" t="s">
        <v>5462</v>
      </c>
      <c r="I5114" s="470">
        <v>1945</v>
      </c>
      <c r="J5114" s="388">
        <v>32.799999999999997</v>
      </c>
      <c r="K5114" s="388">
        <v>28.7</v>
      </c>
      <c r="L5114" s="495">
        <f t="shared" si="59"/>
        <v>4.0999999999999979</v>
      </c>
      <c r="M5114" s="337"/>
    </row>
    <row r="5115" spans="1:13" s="71" customFormat="1" ht="26.4" customHeight="1">
      <c r="A5115" s="282">
        <v>197</v>
      </c>
      <c r="B5115" s="537"/>
      <c r="C5115" s="444" t="s">
        <v>1154</v>
      </c>
      <c r="D5115" s="260" t="s">
        <v>6873</v>
      </c>
      <c r="E5115" s="260" t="s">
        <v>6899</v>
      </c>
      <c r="F5115" s="387">
        <v>325</v>
      </c>
      <c r="G5115" s="445">
        <v>1981</v>
      </c>
      <c r="H5115" s="472" t="s">
        <v>5462</v>
      </c>
      <c r="I5115" s="470">
        <v>67</v>
      </c>
      <c r="J5115" s="388">
        <v>2.2999999999999998</v>
      </c>
      <c r="K5115" s="388">
        <v>1.9</v>
      </c>
      <c r="L5115" s="495">
        <f t="shared" si="59"/>
        <v>0.39999999999999991</v>
      </c>
      <c r="M5115" s="337"/>
    </row>
    <row r="5116" spans="1:13" s="71" customFormat="1" ht="26.4" customHeight="1">
      <c r="A5116" s="282">
        <v>198</v>
      </c>
      <c r="B5116" s="537"/>
      <c r="C5116" s="444" t="s">
        <v>1154</v>
      </c>
      <c r="D5116" s="260" t="s">
        <v>6873</v>
      </c>
      <c r="E5116" s="260" t="s">
        <v>12725</v>
      </c>
      <c r="F5116" s="387">
        <v>326</v>
      </c>
      <c r="G5116" s="445">
        <v>1981</v>
      </c>
      <c r="H5116" s="472" t="s">
        <v>5462</v>
      </c>
      <c r="I5116" s="470">
        <v>32</v>
      </c>
      <c r="J5116" s="388">
        <v>0.8</v>
      </c>
      <c r="K5116" s="388">
        <v>0.7</v>
      </c>
      <c r="L5116" s="495">
        <f t="shared" si="59"/>
        <v>0.10000000000000009</v>
      </c>
      <c r="M5116" s="337"/>
    </row>
    <row r="5117" spans="1:13" s="71" customFormat="1" ht="26.4" customHeight="1">
      <c r="A5117" s="282">
        <v>199</v>
      </c>
      <c r="B5117" s="537"/>
      <c r="C5117" s="444" t="s">
        <v>1154</v>
      </c>
      <c r="D5117" s="260" t="s">
        <v>6873</v>
      </c>
      <c r="E5117" s="260" t="s">
        <v>12726</v>
      </c>
      <c r="F5117" s="387">
        <v>327</v>
      </c>
      <c r="G5117" s="445">
        <v>1981</v>
      </c>
      <c r="H5117" s="472" t="s">
        <v>5462</v>
      </c>
      <c r="I5117" s="470">
        <v>37</v>
      </c>
      <c r="J5117" s="388">
        <v>2.5</v>
      </c>
      <c r="K5117" s="388">
        <v>2</v>
      </c>
      <c r="L5117" s="495">
        <f t="shared" si="59"/>
        <v>0.5</v>
      </c>
      <c r="M5117" s="337"/>
    </row>
    <row r="5118" spans="1:13" s="71" customFormat="1" ht="26.4" customHeight="1">
      <c r="A5118" s="282">
        <v>200</v>
      </c>
      <c r="B5118" s="537"/>
      <c r="C5118" s="444" t="s">
        <v>1154</v>
      </c>
      <c r="D5118" s="260" t="s">
        <v>6873</v>
      </c>
      <c r="E5118" s="260" t="s">
        <v>12727</v>
      </c>
      <c r="F5118" s="387">
        <v>328</v>
      </c>
      <c r="G5118" s="445">
        <v>1981</v>
      </c>
      <c r="H5118" s="472" t="s">
        <v>5462</v>
      </c>
      <c r="I5118" s="470">
        <v>75</v>
      </c>
      <c r="J5118" s="388">
        <v>2.2000000000000002</v>
      </c>
      <c r="K5118" s="388">
        <v>1.8</v>
      </c>
      <c r="L5118" s="495">
        <f t="shared" si="59"/>
        <v>0.40000000000000013</v>
      </c>
      <c r="M5118" s="337"/>
    </row>
    <row r="5119" spans="1:13" s="71" customFormat="1" ht="26.4" customHeight="1">
      <c r="A5119" s="282">
        <v>201</v>
      </c>
      <c r="B5119" s="537"/>
      <c r="C5119" s="444" t="s">
        <v>1154</v>
      </c>
      <c r="D5119" s="260" t="s">
        <v>6900</v>
      </c>
      <c r="E5119" s="260" t="s">
        <v>12728</v>
      </c>
      <c r="F5119" s="387">
        <v>329</v>
      </c>
      <c r="G5119" s="445">
        <v>1981</v>
      </c>
      <c r="H5119" s="472" t="s">
        <v>5462</v>
      </c>
      <c r="I5119" s="470">
        <v>76</v>
      </c>
      <c r="J5119" s="388">
        <v>3.1</v>
      </c>
      <c r="K5119" s="388">
        <v>2.4</v>
      </c>
      <c r="L5119" s="495">
        <f t="shared" si="59"/>
        <v>0.70000000000000018</v>
      </c>
      <c r="M5119" s="337"/>
    </row>
    <row r="5120" spans="1:13" s="71" customFormat="1" ht="26.4" customHeight="1">
      <c r="A5120" s="282">
        <v>202</v>
      </c>
      <c r="B5120" s="537"/>
      <c r="C5120" s="444" t="s">
        <v>1154</v>
      </c>
      <c r="D5120" s="260" t="s">
        <v>6900</v>
      </c>
      <c r="E5120" s="260" t="s">
        <v>12729</v>
      </c>
      <c r="F5120" s="387">
        <v>330</v>
      </c>
      <c r="G5120" s="445">
        <v>1981</v>
      </c>
      <c r="H5120" s="472" t="s">
        <v>5462</v>
      </c>
      <c r="I5120" s="470">
        <v>230</v>
      </c>
      <c r="J5120" s="388">
        <v>9.1</v>
      </c>
      <c r="K5120" s="388">
        <v>9</v>
      </c>
      <c r="L5120" s="495">
        <f t="shared" si="59"/>
        <v>9.9999999999999645E-2</v>
      </c>
      <c r="M5120" s="337"/>
    </row>
    <row r="5121" spans="1:13" s="71" customFormat="1" ht="26.4" customHeight="1">
      <c r="A5121" s="282">
        <v>203</v>
      </c>
      <c r="B5121" s="537"/>
      <c r="C5121" s="444" t="s">
        <v>1154</v>
      </c>
      <c r="D5121" s="260" t="s">
        <v>6900</v>
      </c>
      <c r="E5121" s="260" t="s">
        <v>12730</v>
      </c>
      <c r="F5121" s="387">
        <v>331</v>
      </c>
      <c r="G5121" s="445">
        <v>1981</v>
      </c>
      <c r="H5121" s="472" t="s">
        <v>5462</v>
      </c>
      <c r="I5121" s="470">
        <v>19</v>
      </c>
      <c r="J5121" s="388">
        <v>0.2</v>
      </c>
      <c r="K5121" s="388">
        <v>0.2</v>
      </c>
      <c r="L5121" s="495">
        <f t="shared" si="59"/>
        <v>0</v>
      </c>
      <c r="M5121" s="337"/>
    </row>
    <row r="5122" spans="1:13" s="71" customFormat="1" ht="26.4" customHeight="1">
      <c r="A5122" s="282">
        <v>204</v>
      </c>
      <c r="B5122" s="537"/>
      <c r="C5122" s="444" t="s">
        <v>1154</v>
      </c>
      <c r="D5122" s="260" t="s">
        <v>6901</v>
      </c>
      <c r="E5122" s="260" t="s">
        <v>6902</v>
      </c>
      <c r="F5122" s="387">
        <v>332</v>
      </c>
      <c r="G5122" s="445">
        <v>1982</v>
      </c>
      <c r="H5122" s="472" t="s">
        <v>5462</v>
      </c>
      <c r="I5122" s="470">
        <v>1124</v>
      </c>
      <c r="J5122" s="388">
        <v>3.2</v>
      </c>
      <c r="K5122" s="388">
        <v>2.5</v>
      </c>
      <c r="L5122" s="495">
        <f t="shared" si="59"/>
        <v>0.70000000000000018</v>
      </c>
      <c r="M5122" s="337"/>
    </row>
    <row r="5123" spans="1:13" s="71" customFormat="1" ht="39.6">
      <c r="A5123" s="282">
        <v>205</v>
      </c>
      <c r="B5123" s="537"/>
      <c r="C5123" s="444" t="s">
        <v>1154</v>
      </c>
      <c r="D5123" s="260" t="s">
        <v>6903</v>
      </c>
      <c r="E5123" s="260" t="s">
        <v>12872</v>
      </c>
      <c r="F5123" s="387">
        <v>333</v>
      </c>
      <c r="G5123" s="445">
        <v>1984</v>
      </c>
      <c r="H5123" s="472" t="s">
        <v>5462</v>
      </c>
      <c r="I5123" s="470">
        <v>5860</v>
      </c>
      <c r="J5123" s="388">
        <v>163.30000000000001</v>
      </c>
      <c r="K5123" s="388">
        <v>160</v>
      </c>
      <c r="L5123" s="495">
        <f t="shared" si="59"/>
        <v>3.3000000000000114</v>
      </c>
      <c r="M5123" s="337"/>
    </row>
    <row r="5124" spans="1:13" s="71" customFormat="1" ht="26.4" customHeight="1">
      <c r="A5124" s="282">
        <v>206</v>
      </c>
      <c r="B5124" s="537"/>
      <c r="C5124" s="444" t="s">
        <v>1154</v>
      </c>
      <c r="D5124" s="260" t="s">
        <v>6904</v>
      </c>
      <c r="E5124" s="260" t="s">
        <v>6905</v>
      </c>
      <c r="F5124" s="387">
        <v>334</v>
      </c>
      <c r="G5124" s="445">
        <v>1986</v>
      </c>
      <c r="H5124" s="472" t="s">
        <v>5462</v>
      </c>
      <c r="I5124" s="470">
        <v>242</v>
      </c>
      <c r="J5124" s="388">
        <v>0.1</v>
      </c>
      <c r="K5124" s="388">
        <v>0.1</v>
      </c>
      <c r="L5124" s="495">
        <f t="shared" si="59"/>
        <v>0</v>
      </c>
      <c r="M5124" s="337"/>
    </row>
    <row r="5125" spans="1:13" s="71" customFormat="1" ht="26.4" customHeight="1">
      <c r="A5125" s="282">
        <v>207</v>
      </c>
      <c r="B5125" s="537"/>
      <c r="C5125" s="444" t="s">
        <v>1154</v>
      </c>
      <c r="D5125" s="260" t="s">
        <v>6904</v>
      </c>
      <c r="E5125" s="260" t="s">
        <v>6906</v>
      </c>
      <c r="F5125" s="387">
        <v>335</v>
      </c>
      <c r="G5125" s="445">
        <v>1986</v>
      </c>
      <c r="H5125" s="472" t="s">
        <v>5462</v>
      </c>
      <c r="I5125" s="470">
        <v>242</v>
      </c>
      <c r="J5125" s="388">
        <v>11.6</v>
      </c>
      <c r="K5125" s="388">
        <v>9</v>
      </c>
      <c r="L5125" s="495">
        <f t="shared" si="59"/>
        <v>2.5999999999999996</v>
      </c>
      <c r="M5125" s="337"/>
    </row>
    <row r="5126" spans="1:13" s="71" customFormat="1" ht="26.4" customHeight="1">
      <c r="A5126" s="282">
        <v>208</v>
      </c>
      <c r="B5126" s="537"/>
      <c r="C5126" s="444" t="s">
        <v>1154</v>
      </c>
      <c r="D5126" s="260" t="s">
        <v>6904</v>
      </c>
      <c r="E5126" s="260" t="s">
        <v>6907</v>
      </c>
      <c r="F5126" s="387">
        <v>336</v>
      </c>
      <c r="G5126" s="445">
        <v>1986</v>
      </c>
      <c r="H5126" s="472" t="s">
        <v>5462</v>
      </c>
      <c r="I5126" s="470">
        <v>103</v>
      </c>
      <c r="J5126" s="388">
        <v>3.5</v>
      </c>
      <c r="K5126" s="388">
        <v>2.7</v>
      </c>
      <c r="L5126" s="495">
        <f t="shared" si="59"/>
        <v>0.79999999999999982</v>
      </c>
      <c r="M5126" s="337"/>
    </row>
    <row r="5127" spans="1:13" s="71" customFormat="1" ht="26.4" customHeight="1">
      <c r="A5127" s="282">
        <v>209</v>
      </c>
      <c r="B5127" s="537"/>
      <c r="C5127" s="444" t="s">
        <v>1154</v>
      </c>
      <c r="D5127" s="260" t="s">
        <v>6852</v>
      </c>
      <c r="E5127" s="260" t="s">
        <v>6908</v>
      </c>
      <c r="F5127" s="387">
        <v>350</v>
      </c>
      <c r="G5127" s="445">
        <v>1982</v>
      </c>
      <c r="H5127" s="472" t="s">
        <v>5462</v>
      </c>
      <c r="I5127" s="470">
        <v>410</v>
      </c>
      <c r="J5127" s="388">
        <v>17.7</v>
      </c>
      <c r="K5127" s="388">
        <v>14.8</v>
      </c>
      <c r="L5127" s="495">
        <f t="shared" si="59"/>
        <v>2.8999999999999986</v>
      </c>
      <c r="M5127" s="337"/>
    </row>
    <row r="5128" spans="1:13" s="71" customFormat="1" ht="39.6">
      <c r="A5128" s="282">
        <v>210</v>
      </c>
      <c r="B5128" s="537"/>
      <c r="C5128" s="444" t="s">
        <v>1154</v>
      </c>
      <c r="D5128" s="260" t="s">
        <v>6909</v>
      </c>
      <c r="E5128" s="260" t="s">
        <v>6910</v>
      </c>
      <c r="F5128" s="387">
        <v>352</v>
      </c>
      <c r="G5128" s="445">
        <v>1983</v>
      </c>
      <c r="H5128" s="472" t="s">
        <v>5462</v>
      </c>
      <c r="I5128" s="470">
        <v>18</v>
      </c>
      <c r="J5128" s="388">
        <v>6.7</v>
      </c>
      <c r="K5128" s="388">
        <v>5.3</v>
      </c>
      <c r="L5128" s="495">
        <f t="shared" si="59"/>
        <v>1.4000000000000004</v>
      </c>
      <c r="M5128" s="337"/>
    </row>
    <row r="5129" spans="1:13" s="71" customFormat="1" ht="26.4" customHeight="1">
      <c r="A5129" s="282">
        <v>211</v>
      </c>
      <c r="B5129" s="537"/>
      <c r="C5129" s="444" t="s">
        <v>1154</v>
      </c>
      <c r="D5129" s="260" t="s">
        <v>6911</v>
      </c>
      <c r="E5129" s="260" t="s">
        <v>6912</v>
      </c>
      <c r="F5129" s="387">
        <v>353</v>
      </c>
      <c r="G5129" s="445">
        <v>1983</v>
      </c>
      <c r="H5129" s="472" t="s">
        <v>5462</v>
      </c>
      <c r="I5129" s="470">
        <v>11</v>
      </c>
      <c r="J5129" s="388">
        <v>0.5</v>
      </c>
      <c r="K5129" s="388">
        <v>0.4</v>
      </c>
      <c r="L5129" s="495">
        <f t="shared" si="59"/>
        <v>9.9999999999999978E-2</v>
      </c>
      <c r="M5129" s="337"/>
    </row>
    <row r="5130" spans="1:13" s="71" customFormat="1" ht="26.4" customHeight="1">
      <c r="A5130" s="282">
        <v>212</v>
      </c>
      <c r="B5130" s="537"/>
      <c r="C5130" s="444" t="s">
        <v>1154</v>
      </c>
      <c r="D5130" s="260" t="s">
        <v>6911</v>
      </c>
      <c r="E5130" s="260" t="s">
        <v>6913</v>
      </c>
      <c r="F5130" s="387">
        <v>354</v>
      </c>
      <c r="G5130" s="445">
        <v>1983</v>
      </c>
      <c r="H5130" s="472" t="s">
        <v>5462</v>
      </c>
      <c r="I5130" s="470">
        <v>354</v>
      </c>
      <c r="J5130" s="388">
        <v>0.5</v>
      </c>
      <c r="K5130" s="388">
        <v>0.4</v>
      </c>
      <c r="L5130" s="495">
        <f t="shared" si="59"/>
        <v>9.9999999999999978E-2</v>
      </c>
      <c r="M5130" s="337"/>
    </row>
    <row r="5131" spans="1:13" s="71" customFormat="1" ht="26.4" customHeight="1">
      <c r="A5131" s="282">
        <v>213</v>
      </c>
      <c r="B5131" s="537"/>
      <c r="C5131" s="444" t="s">
        <v>1154</v>
      </c>
      <c r="D5131" s="260" t="s">
        <v>6914</v>
      </c>
      <c r="E5131" s="260" t="s">
        <v>6915</v>
      </c>
      <c r="F5131" s="387">
        <v>355</v>
      </c>
      <c r="G5131" s="445">
        <v>1989</v>
      </c>
      <c r="H5131" s="472" t="s">
        <v>5462</v>
      </c>
      <c r="I5131" s="470">
        <v>50</v>
      </c>
      <c r="J5131" s="388">
        <v>0</v>
      </c>
      <c r="K5131" s="388">
        <v>0</v>
      </c>
      <c r="L5131" s="495">
        <f t="shared" si="59"/>
        <v>0</v>
      </c>
      <c r="M5131" s="337"/>
    </row>
    <row r="5132" spans="1:13" s="71" customFormat="1" ht="26.4" customHeight="1">
      <c r="A5132" s="282">
        <v>214</v>
      </c>
      <c r="B5132" s="537"/>
      <c r="C5132" s="444" t="s">
        <v>1154</v>
      </c>
      <c r="D5132" s="260" t="s">
        <v>6916</v>
      </c>
      <c r="E5132" s="260" t="s">
        <v>6917</v>
      </c>
      <c r="F5132" s="387">
        <v>356</v>
      </c>
      <c r="G5132" s="445">
        <v>1984</v>
      </c>
      <c r="H5132" s="472" t="s">
        <v>5462</v>
      </c>
      <c r="I5132" s="470">
        <v>73</v>
      </c>
      <c r="J5132" s="388">
        <v>0.5</v>
      </c>
      <c r="K5132" s="388">
        <v>0.4</v>
      </c>
      <c r="L5132" s="495">
        <f t="shared" si="59"/>
        <v>9.9999999999999978E-2</v>
      </c>
      <c r="M5132" s="337"/>
    </row>
    <row r="5133" spans="1:13" s="71" customFormat="1" ht="26.4" customHeight="1">
      <c r="A5133" s="282">
        <v>215</v>
      </c>
      <c r="B5133" s="537"/>
      <c r="C5133" s="444" t="s">
        <v>1154</v>
      </c>
      <c r="D5133" s="260" t="s">
        <v>6916</v>
      </c>
      <c r="E5133" s="260" t="s">
        <v>6918</v>
      </c>
      <c r="F5133" s="387">
        <v>357</v>
      </c>
      <c r="G5133" s="445">
        <v>1984</v>
      </c>
      <c r="H5133" s="472" t="s">
        <v>5462</v>
      </c>
      <c r="I5133" s="470">
        <v>182</v>
      </c>
      <c r="J5133" s="388">
        <v>1.8</v>
      </c>
      <c r="K5133" s="388">
        <v>1.4</v>
      </c>
      <c r="L5133" s="495">
        <f t="shared" si="59"/>
        <v>0.40000000000000013</v>
      </c>
      <c r="M5133" s="337"/>
    </row>
    <row r="5134" spans="1:13" s="71" customFormat="1" ht="26.4" customHeight="1">
      <c r="A5134" s="282">
        <v>216</v>
      </c>
      <c r="B5134" s="537"/>
      <c r="C5134" s="444" t="s">
        <v>1154</v>
      </c>
      <c r="D5134" s="260" t="s">
        <v>6916</v>
      </c>
      <c r="E5134" s="260" t="s">
        <v>6919</v>
      </c>
      <c r="F5134" s="387">
        <v>358</v>
      </c>
      <c r="G5134" s="445">
        <v>1984</v>
      </c>
      <c r="H5134" s="472" t="s">
        <v>5462</v>
      </c>
      <c r="I5134" s="470">
        <v>82</v>
      </c>
      <c r="J5134" s="388">
        <v>1.8</v>
      </c>
      <c r="K5134" s="388">
        <v>1.4</v>
      </c>
      <c r="L5134" s="495">
        <f t="shared" si="59"/>
        <v>0.40000000000000013</v>
      </c>
      <c r="M5134" s="337"/>
    </row>
    <row r="5135" spans="1:13" s="71" customFormat="1" ht="26.4" customHeight="1">
      <c r="A5135" s="282">
        <v>217</v>
      </c>
      <c r="B5135" s="537"/>
      <c r="C5135" s="444" t="s">
        <v>1154</v>
      </c>
      <c r="D5135" s="260" t="s">
        <v>6916</v>
      </c>
      <c r="E5135" s="260" t="s">
        <v>6920</v>
      </c>
      <c r="F5135" s="387">
        <v>359</v>
      </c>
      <c r="G5135" s="445">
        <v>1984</v>
      </c>
      <c r="H5135" s="472" t="s">
        <v>5462</v>
      </c>
      <c r="I5135" s="470">
        <v>14</v>
      </c>
      <c r="J5135" s="388">
        <v>0.3</v>
      </c>
      <c r="K5135" s="388">
        <v>0.2</v>
      </c>
      <c r="L5135" s="495">
        <f t="shared" si="59"/>
        <v>9.9999999999999978E-2</v>
      </c>
      <c r="M5135" s="337"/>
    </row>
    <row r="5136" spans="1:13" s="71" customFormat="1" ht="26.4">
      <c r="A5136" s="282">
        <v>218</v>
      </c>
      <c r="B5136" s="537"/>
      <c r="C5136" s="444" t="s">
        <v>1154</v>
      </c>
      <c r="D5136" s="260" t="s">
        <v>6921</v>
      </c>
      <c r="E5136" s="260" t="s">
        <v>6922</v>
      </c>
      <c r="F5136" s="387">
        <v>360</v>
      </c>
      <c r="G5136" s="445">
        <v>1984</v>
      </c>
      <c r="H5136" s="472" t="s">
        <v>5462</v>
      </c>
      <c r="I5136" s="470">
        <v>14</v>
      </c>
      <c r="J5136" s="388">
        <v>0.3</v>
      </c>
      <c r="K5136" s="388">
        <v>0.2</v>
      </c>
      <c r="L5136" s="495">
        <f t="shared" si="59"/>
        <v>9.9999999999999978E-2</v>
      </c>
      <c r="M5136" s="337"/>
    </row>
    <row r="5137" spans="1:13" s="71" customFormat="1" ht="26.4" customHeight="1">
      <c r="A5137" s="282">
        <v>219</v>
      </c>
      <c r="B5137" s="537"/>
      <c r="C5137" s="444" t="s">
        <v>1154</v>
      </c>
      <c r="D5137" s="260" t="s">
        <v>6923</v>
      </c>
      <c r="E5137" s="260" t="s">
        <v>6924</v>
      </c>
      <c r="F5137" s="387">
        <v>361</v>
      </c>
      <c r="G5137" s="445">
        <v>1984</v>
      </c>
      <c r="H5137" s="472" t="s">
        <v>5462</v>
      </c>
      <c r="I5137" s="470">
        <v>300</v>
      </c>
      <c r="J5137" s="388">
        <v>0.9</v>
      </c>
      <c r="K5137" s="388">
        <v>0.8</v>
      </c>
      <c r="L5137" s="495">
        <f t="shared" si="59"/>
        <v>9.9999999999999978E-2</v>
      </c>
      <c r="M5137" s="337"/>
    </row>
    <row r="5138" spans="1:13" s="71" customFormat="1" ht="26.4" customHeight="1">
      <c r="A5138" s="282">
        <v>220</v>
      </c>
      <c r="B5138" s="537"/>
      <c r="C5138" s="444" t="s">
        <v>1154</v>
      </c>
      <c r="D5138" s="260" t="s">
        <v>6925</v>
      </c>
      <c r="E5138" s="260" t="s">
        <v>6924</v>
      </c>
      <c r="F5138" s="387">
        <v>362</v>
      </c>
      <c r="G5138" s="445">
        <v>1984</v>
      </c>
      <c r="H5138" s="472" t="s">
        <v>5462</v>
      </c>
      <c r="I5138" s="470">
        <v>12</v>
      </c>
      <c r="J5138" s="388">
        <v>0.3</v>
      </c>
      <c r="K5138" s="388">
        <v>0.2</v>
      </c>
      <c r="L5138" s="495">
        <f t="shared" si="59"/>
        <v>9.9999999999999978E-2</v>
      </c>
      <c r="M5138" s="337"/>
    </row>
    <row r="5139" spans="1:13" s="71" customFormat="1" ht="26.4" customHeight="1">
      <c r="A5139" s="282">
        <v>221</v>
      </c>
      <c r="B5139" s="537"/>
      <c r="C5139" s="444" t="s">
        <v>1154</v>
      </c>
      <c r="D5139" s="260" t="s">
        <v>12975</v>
      </c>
      <c r="E5139" s="260" t="s">
        <v>13424</v>
      </c>
      <c r="F5139" s="387">
        <v>363</v>
      </c>
      <c r="G5139" s="445">
        <v>1984</v>
      </c>
      <c r="H5139" s="472" t="s">
        <v>5462</v>
      </c>
      <c r="I5139" s="470">
        <v>32</v>
      </c>
      <c r="J5139" s="388">
        <v>0.8</v>
      </c>
      <c r="K5139" s="388">
        <v>0.7</v>
      </c>
      <c r="L5139" s="495">
        <f t="shared" si="59"/>
        <v>0.10000000000000009</v>
      </c>
      <c r="M5139" s="337"/>
    </row>
    <row r="5140" spans="1:13" s="71" customFormat="1" ht="26.4" customHeight="1">
      <c r="A5140" s="282">
        <v>222</v>
      </c>
      <c r="B5140" s="537"/>
      <c r="C5140" s="444" t="s">
        <v>1154</v>
      </c>
      <c r="D5140" s="260" t="s">
        <v>6926</v>
      </c>
      <c r="E5140" s="260" t="s">
        <v>12731</v>
      </c>
      <c r="F5140" s="387">
        <v>364</v>
      </c>
      <c r="G5140" s="445">
        <v>1984</v>
      </c>
      <c r="H5140" s="472" t="s">
        <v>5462</v>
      </c>
      <c r="I5140" s="470">
        <v>35</v>
      </c>
      <c r="J5140" s="388">
        <v>0.7</v>
      </c>
      <c r="K5140" s="388">
        <v>0.6</v>
      </c>
      <c r="L5140" s="495">
        <f t="shared" si="59"/>
        <v>9.9999999999999978E-2</v>
      </c>
      <c r="M5140" s="337"/>
    </row>
    <row r="5141" spans="1:13" s="71" customFormat="1" ht="26.4" customHeight="1">
      <c r="A5141" s="282">
        <v>223</v>
      </c>
      <c r="B5141" s="537"/>
      <c r="C5141" s="444" t="s">
        <v>1154</v>
      </c>
      <c r="D5141" s="260" t="s">
        <v>6923</v>
      </c>
      <c r="E5141" s="260" t="s">
        <v>13155</v>
      </c>
      <c r="F5141" s="387">
        <v>365</v>
      </c>
      <c r="G5141" s="445">
        <v>1984</v>
      </c>
      <c r="H5141" s="472" t="s">
        <v>5462</v>
      </c>
      <c r="I5141" s="470">
        <v>1410</v>
      </c>
      <c r="J5141" s="388">
        <v>3.4</v>
      </c>
      <c r="K5141" s="388">
        <v>3</v>
      </c>
      <c r="L5141" s="495">
        <f t="shared" si="59"/>
        <v>0.39999999999999991</v>
      </c>
      <c r="M5141" s="337"/>
    </row>
    <row r="5142" spans="1:13" s="71" customFormat="1" ht="26.4" customHeight="1">
      <c r="A5142" s="282">
        <v>224</v>
      </c>
      <c r="B5142" s="537"/>
      <c r="C5142" s="444" t="s">
        <v>1154</v>
      </c>
      <c r="D5142" s="260" t="s">
        <v>6923</v>
      </c>
      <c r="E5142" s="260" t="s">
        <v>6927</v>
      </c>
      <c r="F5142" s="387">
        <v>366</v>
      </c>
      <c r="G5142" s="445">
        <v>1984</v>
      </c>
      <c r="H5142" s="472" t="s">
        <v>5462</v>
      </c>
      <c r="I5142" s="470">
        <v>150</v>
      </c>
      <c r="J5142" s="388">
        <v>1.3</v>
      </c>
      <c r="K5142" s="388">
        <v>1.1000000000000001</v>
      </c>
      <c r="L5142" s="495">
        <f t="shared" si="59"/>
        <v>0.19999999999999996</v>
      </c>
      <c r="M5142" s="337"/>
    </row>
    <row r="5143" spans="1:13" s="71" customFormat="1" ht="26.4" customHeight="1">
      <c r="A5143" s="282">
        <v>225</v>
      </c>
      <c r="B5143" s="537"/>
      <c r="C5143" s="444" t="s">
        <v>1154</v>
      </c>
      <c r="D5143" s="260" t="s">
        <v>6923</v>
      </c>
      <c r="E5143" s="260" t="s">
        <v>12732</v>
      </c>
      <c r="F5143" s="387">
        <v>367</v>
      </c>
      <c r="G5143" s="445">
        <v>1985</v>
      </c>
      <c r="H5143" s="472" t="s">
        <v>5462</v>
      </c>
      <c r="I5143" s="470">
        <v>48</v>
      </c>
      <c r="J5143" s="388">
        <v>6</v>
      </c>
      <c r="K5143" s="388">
        <v>5</v>
      </c>
      <c r="L5143" s="495">
        <f t="shared" si="59"/>
        <v>1</v>
      </c>
      <c r="M5143" s="337"/>
    </row>
    <row r="5144" spans="1:13" s="71" customFormat="1" ht="26.4" customHeight="1">
      <c r="A5144" s="282">
        <v>226</v>
      </c>
      <c r="B5144" s="537"/>
      <c r="C5144" s="444" t="s">
        <v>1154</v>
      </c>
      <c r="D5144" s="260" t="s">
        <v>6923</v>
      </c>
      <c r="E5144" s="260" t="s">
        <v>12733</v>
      </c>
      <c r="F5144" s="387">
        <v>368</v>
      </c>
      <c r="G5144" s="445">
        <v>1985</v>
      </c>
      <c r="H5144" s="472" t="s">
        <v>5462</v>
      </c>
      <c r="I5144" s="470">
        <v>8</v>
      </c>
      <c r="J5144" s="388">
        <v>1</v>
      </c>
      <c r="K5144" s="388">
        <v>0.8</v>
      </c>
      <c r="L5144" s="495">
        <f t="shared" si="59"/>
        <v>0.19999999999999996</v>
      </c>
      <c r="M5144" s="337"/>
    </row>
    <row r="5145" spans="1:13" s="71" customFormat="1" ht="26.4" customHeight="1">
      <c r="A5145" s="282">
        <v>227</v>
      </c>
      <c r="B5145" s="537"/>
      <c r="C5145" s="444" t="s">
        <v>1154</v>
      </c>
      <c r="D5145" s="260" t="s">
        <v>6923</v>
      </c>
      <c r="E5145" s="260" t="s">
        <v>12734</v>
      </c>
      <c r="F5145" s="387">
        <v>369</v>
      </c>
      <c r="G5145" s="445">
        <v>1985</v>
      </c>
      <c r="H5145" s="472" t="s">
        <v>5462</v>
      </c>
      <c r="I5145" s="470">
        <v>13</v>
      </c>
      <c r="J5145" s="388">
        <v>1.7</v>
      </c>
      <c r="K5145" s="388">
        <v>1.3</v>
      </c>
      <c r="L5145" s="495">
        <f t="shared" si="59"/>
        <v>0.39999999999999991</v>
      </c>
      <c r="M5145" s="337"/>
    </row>
    <row r="5146" spans="1:13" s="71" customFormat="1" ht="26.4" customHeight="1">
      <c r="A5146" s="282">
        <v>228</v>
      </c>
      <c r="B5146" s="537"/>
      <c r="C5146" s="444" t="s">
        <v>1154</v>
      </c>
      <c r="D5146" s="260" t="s">
        <v>6923</v>
      </c>
      <c r="E5146" s="260" t="s">
        <v>12735</v>
      </c>
      <c r="F5146" s="387">
        <v>370</v>
      </c>
      <c r="G5146" s="445">
        <v>1985</v>
      </c>
      <c r="H5146" s="472" t="s">
        <v>5462</v>
      </c>
      <c r="I5146" s="470">
        <v>55</v>
      </c>
      <c r="J5146" s="388">
        <v>2.9</v>
      </c>
      <c r="K5146" s="388">
        <v>2.2999999999999998</v>
      </c>
      <c r="L5146" s="495">
        <f t="shared" si="59"/>
        <v>0.60000000000000009</v>
      </c>
      <c r="M5146" s="337"/>
    </row>
    <row r="5147" spans="1:13" s="71" customFormat="1" ht="26.4" customHeight="1">
      <c r="A5147" s="282">
        <v>229</v>
      </c>
      <c r="B5147" s="537"/>
      <c r="C5147" s="444" t="s">
        <v>1154</v>
      </c>
      <c r="D5147" s="260" t="s">
        <v>6928</v>
      </c>
      <c r="E5147" s="260" t="s">
        <v>6929</v>
      </c>
      <c r="F5147" s="387">
        <v>371</v>
      </c>
      <c r="G5147" s="445">
        <v>1985</v>
      </c>
      <c r="H5147" s="472" t="s">
        <v>5462</v>
      </c>
      <c r="I5147" s="470">
        <v>377</v>
      </c>
      <c r="J5147" s="388">
        <v>6.2</v>
      </c>
      <c r="K5147" s="388">
        <v>5.3</v>
      </c>
      <c r="L5147" s="495">
        <f t="shared" si="59"/>
        <v>0.90000000000000036</v>
      </c>
      <c r="M5147" s="337"/>
    </row>
    <row r="5148" spans="1:13" s="71" customFormat="1" ht="26.4" customHeight="1">
      <c r="A5148" s="282">
        <v>230</v>
      </c>
      <c r="B5148" s="537"/>
      <c r="C5148" s="444" t="s">
        <v>1154</v>
      </c>
      <c r="D5148" s="260" t="s">
        <v>6930</v>
      </c>
      <c r="E5148" s="260" t="s">
        <v>6931</v>
      </c>
      <c r="F5148" s="387">
        <v>372</v>
      </c>
      <c r="G5148" s="445">
        <v>1985</v>
      </c>
      <c r="H5148" s="472" t="s">
        <v>5462</v>
      </c>
      <c r="I5148" s="470">
        <v>377</v>
      </c>
      <c r="J5148" s="388">
        <v>2.6</v>
      </c>
      <c r="K5148" s="388">
        <v>2.1</v>
      </c>
      <c r="L5148" s="495">
        <f t="shared" si="59"/>
        <v>0.5</v>
      </c>
      <c r="M5148" s="337"/>
    </row>
    <row r="5149" spans="1:13" s="71" customFormat="1" ht="26.4" customHeight="1">
      <c r="A5149" s="282">
        <v>231</v>
      </c>
      <c r="B5149" s="537"/>
      <c r="C5149" s="444" t="s">
        <v>1154</v>
      </c>
      <c r="D5149" s="260" t="s">
        <v>6925</v>
      </c>
      <c r="E5149" s="260" t="s">
        <v>12736</v>
      </c>
      <c r="F5149" s="387">
        <v>373</v>
      </c>
      <c r="G5149" s="445">
        <v>1985</v>
      </c>
      <c r="H5149" s="472" t="s">
        <v>5462</v>
      </c>
      <c r="I5149" s="470">
        <v>21</v>
      </c>
      <c r="J5149" s="388">
        <v>3.1</v>
      </c>
      <c r="K5149" s="388">
        <v>2.5</v>
      </c>
      <c r="L5149" s="495">
        <f t="shared" si="59"/>
        <v>0.60000000000000009</v>
      </c>
      <c r="M5149" s="337"/>
    </row>
    <row r="5150" spans="1:13" s="71" customFormat="1" ht="26.4" customHeight="1">
      <c r="A5150" s="282">
        <v>232</v>
      </c>
      <c r="B5150" s="537"/>
      <c r="C5150" s="444" t="s">
        <v>1154</v>
      </c>
      <c r="D5150" s="260" t="s">
        <v>6925</v>
      </c>
      <c r="E5150" s="260" t="s">
        <v>12737</v>
      </c>
      <c r="F5150" s="387">
        <v>374</v>
      </c>
      <c r="G5150" s="445">
        <v>1985</v>
      </c>
      <c r="H5150" s="472" t="s">
        <v>5462</v>
      </c>
      <c r="I5150" s="470">
        <v>27</v>
      </c>
      <c r="J5150" s="388">
        <v>4.7</v>
      </c>
      <c r="K5150" s="388">
        <v>3.7</v>
      </c>
      <c r="L5150" s="495">
        <f t="shared" si="59"/>
        <v>1</v>
      </c>
      <c r="M5150" s="337"/>
    </row>
    <row r="5151" spans="1:13" s="71" customFormat="1" ht="26.4" customHeight="1">
      <c r="A5151" s="282">
        <v>233</v>
      </c>
      <c r="B5151" s="537"/>
      <c r="C5151" s="444" t="s">
        <v>1154</v>
      </c>
      <c r="D5151" s="260" t="s">
        <v>6925</v>
      </c>
      <c r="E5151" s="260" t="s">
        <v>12738</v>
      </c>
      <c r="F5151" s="387">
        <v>375</v>
      </c>
      <c r="G5151" s="445">
        <v>1985</v>
      </c>
      <c r="H5151" s="472" t="s">
        <v>5462</v>
      </c>
      <c r="I5151" s="470">
        <v>24</v>
      </c>
      <c r="J5151" s="388">
        <v>2.8</v>
      </c>
      <c r="K5151" s="388">
        <v>2.2999999999999998</v>
      </c>
      <c r="L5151" s="495">
        <f t="shared" si="59"/>
        <v>0.5</v>
      </c>
      <c r="M5151" s="337"/>
    </row>
    <row r="5152" spans="1:13" s="71" customFormat="1" ht="26.4" customHeight="1">
      <c r="A5152" s="282">
        <v>234</v>
      </c>
      <c r="B5152" s="537"/>
      <c r="C5152" s="444" t="s">
        <v>1154</v>
      </c>
      <c r="D5152" s="260" t="s">
        <v>6852</v>
      </c>
      <c r="E5152" s="260" t="s">
        <v>6932</v>
      </c>
      <c r="F5152" s="387">
        <v>376</v>
      </c>
      <c r="G5152" s="445">
        <v>1985</v>
      </c>
      <c r="H5152" s="472" t="s">
        <v>5462</v>
      </c>
      <c r="I5152" s="470">
        <v>16</v>
      </c>
      <c r="J5152" s="388">
        <v>0.7</v>
      </c>
      <c r="K5152" s="388">
        <v>0.6</v>
      </c>
      <c r="L5152" s="495">
        <f t="shared" si="59"/>
        <v>9.9999999999999978E-2</v>
      </c>
      <c r="M5152" s="337"/>
    </row>
    <row r="5153" spans="1:13" s="71" customFormat="1" ht="26.4" customHeight="1">
      <c r="A5153" s="282">
        <v>235</v>
      </c>
      <c r="B5153" s="537"/>
      <c r="C5153" s="444" t="s">
        <v>1154</v>
      </c>
      <c r="D5153" s="260" t="s">
        <v>6852</v>
      </c>
      <c r="E5153" s="444" t="s">
        <v>12739</v>
      </c>
      <c r="F5153" s="387">
        <v>378</v>
      </c>
      <c r="G5153" s="445">
        <v>1985</v>
      </c>
      <c r="H5153" s="472" t="s">
        <v>5462</v>
      </c>
      <c r="I5153" s="470">
        <v>215</v>
      </c>
      <c r="J5153" s="388">
        <v>3.7</v>
      </c>
      <c r="K5153" s="388">
        <v>3</v>
      </c>
      <c r="L5153" s="495">
        <f t="shared" si="59"/>
        <v>0.70000000000000018</v>
      </c>
      <c r="M5153" s="337"/>
    </row>
    <row r="5154" spans="1:13" s="71" customFormat="1" ht="26.4" customHeight="1">
      <c r="A5154" s="282">
        <v>236</v>
      </c>
      <c r="B5154" s="537"/>
      <c r="C5154" s="444" t="s">
        <v>1154</v>
      </c>
      <c r="D5154" s="260" t="s">
        <v>6923</v>
      </c>
      <c r="E5154" s="260" t="s">
        <v>12740</v>
      </c>
      <c r="F5154" s="387">
        <v>379</v>
      </c>
      <c r="G5154" s="445">
        <v>1985</v>
      </c>
      <c r="H5154" s="472" t="s">
        <v>5462</v>
      </c>
      <c r="I5154" s="470">
        <v>38</v>
      </c>
      <c r="J5154" s="388">
        <v>5.0999999999999996</v>
      </c>
      <c r="K5154" s="388">
        <v>4</v>
      </c>
      <c r="L5154" s="495">
        <f t="shared" si="59"/>
        <v>1.0999999999999996</v>
      </c>
      <c r="M5154" s="337"/>
    </row>
    <row r="5155" spans="1:13" s="71" customFormat="1" ht="26.4" customHeight="1">
      <c r="A5155" s="282">
        <v>237</v>
      </c>
      <c r="B5155" s="537"/>
      <c r="C5155" s="444" t="s">
        <v>1154</v>
      </c>
      <c r="D5155" s="260" t="s">
        <v>6933</v>
      </c>
      <c r="E5155" s="260" t="s">
        <v>6934</v>
      </c>
      <c r="F5155" s="387">
        <v>380</v>
      </c>
      <c r="G5155" s="445">
        <v>1985</v>
      </c>
      <c r="H5155" s="472" t="s">
        <v>5462</v>
      </c>
      <c r="I5155" s="470">
        <v>16</v>
      </c>
      <c r="J5155" s="388">
        <v>3</v>
      </c>
      <c r="K5155" s="388">
        <v>2.2999999999999998</v>
      </c>
      <c r="L5155" s="495">
        <f t="shared" si="59"/>
        <v>0.70000000000000018</v>
      </c>
      <c r="M5155" s="337"/>
    </row>
    <row r="5156" spans="1:13" s="71" customFormat="1" ht="26.4" customHeight="1">
      <c r="A5156" s="282">
        <v>238</v>
      </c>
      <c r="B5156" s="537"/>
      <c r="C5156" s="444" t="s">
        <v>1154</v>
      </c>
      <c r="D5156" s="260" t="s">
        <v>6923</v>
      </c>
      <c r="E5156" s="260" t="s">
        <v>6935</v>
      </c>
      <c r="F5156" s="387">
        <v>381</v>
      </c>
      <c r="G5156" s="445">
        <v>1985</v>
      </c>
      <c r="H5156" s="472" t="s">
        <v>5462</v>
      </c>
      <c r="I5156" s="470">
        <v>36</v>
      </c>
      <c r="J5156" s="388">
        <v>1.3</v>
      </c>
      <c r="K5156" s="388">
        <v>1</v>
      </c>
      <c r="L5156" s="495">
        <f t="shared" si="59"/>
        <v>0.30000000000000004</v>
      </c>
      <c r="M5156" s="337"/>
    </row>
    <row r="5157" spans="1:13" s="71" customFormat="1" ht="26.4" customHeight="1">
      <c r="A5157" s="282">
        <v>239</v>
      </c>
      <c r="B5157" s="537"/>
      <c r="C5157" s="444" t="s">
        <v>1154</v>
      </c>
      <c r="D5157" s="260" t="s">
        <v>6770</v>
      </c>
      <c r="E5157" s="260" t="s">
        <v>6936</v>
      </c>
      <c r="F5157" s="387">
        <v>382</v>
      </c>
      <c r="G5157" s="445">
        <v>1986</v>
      </c>
      <c r="H5157" s="472" t="s">
        <v>5462</v>
      </c>
      <c r="I5157" s="470">
        <v>15</v>
      </c>
      <c r="J5157" s="388">
        <v>4.5999999999999996</v>
      </c>
      <c r="K5157" s="388">
        <v>3.6</v>
      </c>
      <c r="L5157" s="495">
        <f t="shared" si="59"/>
        <v>0.99999999999999956</v>
      </c>
      <c r="M5157" s="337"/>
    </row>
    <row r="5158" spans="1:13" s="71" customFormat="1" ht="39.6">
      <c r="A5158" s="282">
        <v>240</v>
      </c>
      <c r="B5158" s="537"/>
      <c r="C5158" s="444" t="s">
        <v>1154</v>
      </c>
      <c r="D5158" s="260" t="s">
        <v>6928</v>
      </c>
      <c r="E5158" s="260" t="s">
        <v>6937</v>
      </c>
      <c r="F5158" s="387">
        <v>383</v>
      </c>
      <c r="G5158" s="445">
        <v>1986</v>
      </c>
      <c r="H5158" s="472" t="s">
        <v>5462</v>
      </c>
      <c r="I5158" s="470">
        <v>34</v>
      </c>
      <c r="J5158" s="388">
        <v>4.8</v>
      </c>
      <c r="K5158" s="388">
        <v>3.7</v>
      </c>
      <c r="L5158" s="495">
        <f t="shared" si="59"/>
        <v>1.0999999999999996</v>
      </c>
      <c r="M5158" s="337"/>
    </row>
    <row r="5159" spans="1:13" s="71" customFormat="1" ht="26.4" customHeight="1">
      <c r="A5159" s="282">
        <v>241</v>
      </c>
      <c r="B5159" s="537"/>
      <c r="C5159" s="444" t="s">
        <v>1154</v>
      </c>
      <c r="D5159" s="260" t="s">
        <v>6904</v>
      </c>
      <c r="E5159" s="260" t="s">
        <v>12741</v>
      </c>
      <c r="F5159" s="387">
        <v>384</v>
      </c>
      <c r="G5159" s="445">
        <v>1986</v>
      </c>
      <c r="H5159" s="472" t="s">
        <v>5462</v>
      </c>
      <c r="I5159" s="470">
        <v>563</v>
      </c>
      <c r="J5159" s="388">
        <v>5.2</v>
      </c>
      <c r="K5159" s="388">
        <v>4</v>
      </c>
      <c r="L5159" s="495">
        <f t="shared" si="59"/>
        <v>1.2000000000000002</v>
      </c>
      <c r="M5159" s="337"/>
    </row>
    <row r="5160" spans="1:13" s="71" customFormat="1" ht="26.4" customHeight="1">
      <c r="A5160" s="282">
        <v>242</v>
      </c>
      <c r="B5160" s="537"/>
      <c r="C5160" s="444" t="s">
        <v>1154</v>
      </c>
      <c r="D5160" s="260" t="s">
        <v>6904</v>
      </c>
      <c r="E5160" s="260" t="s">
        <v>6938</v>
      </c>
      <c r="F5160" s="387">
        <v>385</v>
      </c>
      <c r="G5160" s="445">
        <v>1986</v>
      </c>
      <c r="H5160" s="472" t="s">
        <v>5462</v>
      </c>
      <c r="I5160" s="470">
        <v>5</v>
      </c>
      <c r="J5160" s="388">
        <v>9.8000000000000007</v>
      </c>
      <c r="K5160" s="388">
        <v>8.3000000000000007</v>
      </c>
      <c r="L5160" s="495">
        <f t="shared" si="59"/>
        <v>1.5</v>
      </c>
      <c r="M5160" s="337"/>
    </row>
    <row r="5161" spans="1:13" s="332" customFormat="1" ht="26.4" customHeight="1">
      <c r="A5161" s="445">
        <v>243</v>
      </c>
      <c r="B5161" s="537"/>
      <c r="C5161" s="444" t="s">
        <v>1154</v>
      </c>
      <c r="D5161" s="444" t="s">
        <v>6904</v>
      </c>
      <c r="E5161" s="444" t="s">
        <v>6939</v>
      </c>
      <c r="F5161" s="387">
        <v>386</v>
      </c>
      <c r="G5161" s="445">
        <v>1986</v>
      </c>
      <c r="H5161" s="472" t="s">
        <v>5462</v>
      </c>
      <c r="I5161" s="470">
        <v>12.4</v>
      </c>
      <c r="J5161" s="388">
        <v>4.4000000000000004</v>
      </c>
      <c r="K5161" s="388">
        <v>3.4</v>
      </c>
      <c r="L5161" s="495">
        <f t="shared" si="59"/>
        <v>1.0000000000000004</v>
      </c>
      <c r="M5161" s="331"/>
    </row>
    <row r="5162" spans="1:13" s="71" customFormat="1" ht="26.4" customHeight="1">
      <c r="A5162" s="282">
        <v>244</v>
      </c>
      <c r="B5162" s="537"/>
      <c r="C5162" s="444" t="s">
        <v>1154</v>
      </c>
      <c r="D5162" s="260" t="s">
        <v>6756</v>
      </c>
      <c r="E5162" s="260" t="s">
        <v>6940</v>
      </c>
      <c r="F5162" s="387">
        <v>387</v>
      </c>
      <c r="G5162" s="445">
        <v>1986</v>
      </c>
      <c r="H5162" s="472" t="s">
        <v>5462</v>
      </c>
      <c r="I5162" s="470">
        <v>130</v>
      </c>
      <c r="J5162" s="388">
        <v>0.3</v>
      </c>
      <c r="K5162" s="388">
        <v>0.2</v>
      </c>
      <c r="L5162" s="495">
        <f t="shared" si="59"/>
        <v>9.9999999999999978E-2</v>
      </c>
      <c r="M5162" s="337"/>
    </row>
    <row r="5163" spans="1:13" s="71" customFormat="1" ht="39.6">
      <c r="A5163" s="282">
        <v>245</v>
      </c>
      <c r="B5163" s="537"/>
      <c r="C5163" s="444" t="s">
        <v>1154</v>
      </c>
      <c r="D5163" s="260" t="s">
        <v>6941</v>
      </c>
      <c r="E5163" s="260" t="s">
        <v>6942</v>
      </c>
      <c r="F5163" s="387">
        <v>388</v>
      </c>
      <c r="G5163" s="445">
        <v>1986</v>
      </c>
      <c r="H5163" s="472" t="s">
        <v>5462</v>
      </c>
      <c r="I5163" s="470">
        <v>9</v>
      </c>
      <c r="J5163" s="388">
        <v>1</v>
      </c>
      <c r="K5163" s="388">
        <v>0.8</v>
      </c>
      <c r="L5163" s="495">
        <f t="shared" si="59"/>
        <v>0.19999999999999996</v>
      </c>
      <c r="M5163" s="337"/>
    </row>
    <row r="5164" spans="1:13" s="71" customFormat="1" ht="26.4" customHeight="1">
      <c r="A5164" s="282">
        <v>246</v>
      </c>
      <c r="B5164" s="537"/>
      <c r="C5164" s="444" t="s">
        <v>1154</v>
      </c>
      <c r="D5164" s="260" t="s">
        <v>6925</v>
      </c>
      <c r="E5164" s="260" t="s">
        <v>6943</v>
      </c>
      <c r="F5164" s="387">
        <v>389</v>
      </c>
      <c r="G5164" s="445">
        <v>1987</v>
      </c>
      <c r="H5164" s="472" t="s">
        <v>5462</v>
      </c>
      <c r="I5164" s="470">
        <v>283</v>
      </c>
      <c r="J5164" s="388">
        <v>5</v>
      </c>
      <c r="K5164" s="388">
        <v>3.9</v>
      </c>
      <c r="L5164" s="495">
        <f t="shared" si="59"/>
        <v>1.1000000000000001</v>
      </c>
      <c r="M5164" s="337"/>
    </row>
    <row r="5165" spans="1:13" s="71" customFormat="1" ht="26.4" customHeight="1">
      <c r="A5165" s="282">
        <v>247</v>
      </c>
      <c r="B5165" s="537"/>
      <c r="C5165" s="444" t="s">
        <v>1154</v>
      </c>
      <c r="D5165" s="260" t="s">
        <v>6925</v>
      </c>
      <c r="E5165" s="260" t="s">
        <v>6944</v>
      </c>
      <c r="F5165" s="387">
        <v>390</v>
      </c>
      <c r="G5165" s="445">
        <v>1987</v>
      </c>
      <c r="H5165" s="472" t="s">
        <v>5462</v>
      </c>
      <c r="I5165" s="470">
        <v>171</v>
      </c>
      <c r="J5165" s="388">
        <v>9.4</v>
      </c>
      <c r="K5165" s="388">
        <v>7.7</v>
      </c>
      <c r="L5165" s="495">
        <f t="shared" si="59"/>
        <v>1.7000000000000002</v>
      </c>
      <c r="M5165" s="337"/>
    </row>
    <row r="5166" spans="1:13" s="71" customFormat="1" ht="26.4">
      <c r="A5166" s="282">
        <v>248</v>
      </c>
      <c r="B5166" s="537"/>
      <c r="C5166" s="444" t="s">
        <v>1154</v>
      </c>
      <c r="D5166" s="260" t="s">
        <v>6783</v>
      </c>
      <c r="E5166" s="260" t="s">
        <v>6945</v>
      </c>
      <c r="F5166" s="387">
        <v>391</v>
      </c>
      <c r="G5166" s="445">
        <v>1987</v>
      </c>
      <c r="H5166" s="472" t="s">
        <v>5462</v>
      </c>
      <c r="I5166" s="470">
        <v>27</v>
      </c>
      <c r="J5166" s="388">
        <v>1.6</v>
      </c>
      <c r="K5166" s="388">
        <v>1.3</v>
      </c>
      <c r="L5166" s="495">
        <f t="shared" si="59"/>
        <v>0.30000000000000004</v>
      </c>
      <c r="M5166" s="337"/>
    </row>
    <row r="5167" spans="1:13" s="71" customFormat="1" ht="26.4" customHeight="1">
      <c r="A5167" s="282">
        <v>249</v>
      </c>
      <c r="B5167" s="537"/>
      <c r="C5167" s="444" t="s">
        <v>1154</v>
      </c>
      <c r="D5167" s="260" t="s">
        <v>6946</v>
      </c>
      <c r="E5167" s="260" t="s">
        <v>12742</v>
      </c>
      <c r="F5167" s="387">
        <v>392</v>
      </c>
      <c r="G5167" s="445">
        <v>1987</v>
      </c>
      <c r="H5167" s="472" t="s">
        <v>5462</v>
      </c>
      <c r="I5167" s="470">
        <v>290</v>
      </c>
      <c r="J5167" s="388">
        <v>4.8</v>
      </c>
      <c r="K5167" s="388">
        <v>4.7</v>
      </c>
      <c r="L5167" s="495">
        <f t="shared" si="59"/>
        <v>9.9999999999999645E-2</v>
      </c>
      <c r="M5167" s="337"/>
    </row>
    <row r="5168" spans="1:13" s="71" customFormat="1" ht="39.6">
      <c r="A5168" s="282">
        <v>250</v>
      </c>
      <c r="B5168" s="537"/>
      <c r="C5168" s="444" t="s">
        <v>1154</v>
      </c>
      <c r="D5168" s="260" t="s">
        <v>13414</v>
      </c>
      <c r="E5168" s="260" t="s">
        <v>12743</v>
      </c>
      <c r="F5168" s="387">
        <v>393</v>
      </c>
      <c r="G5168" s="445">
        <v>1988</v>
      </c>
      <c r="H5168" s="472" t="s">
        <v>5462</v>
      </c>
      <c r="I5168" s="470">
        <v>89</v>
      </c>
      <c r="J5168" s="388">
        <v>0.8</v>
      </c>
      <c r="K5168" s="388">
        <v>0.6</v>
      </c>
      <c r="L5168" s="495">
        <f t="shared" si="59"/>
        <v>0.20000000000000007</v>
      </c>
      <c r="M5168" s="337"/>
    </row>
    <row r="5169" spans="1:13" s="71" customFormat="1" ht="26.4" customHeight="1">
      <c r="A5169" s="282">
        <v>251</v>
      </c>
      <c r="B5169" s="537"/>
      <c r="C5169" s="444" t="s">
        <v>1154</v>
      </c>
      <c r="D5169" s="260" t="s">
        <v>6947</v>
      </c>
      <c r="E5169" s="260" t="s">
        <v>12744</v>
      </c>
      <c r="F5169" s="387">
        <v>394</v>
      </c>
      <c r="G5169" s="445">
        <v>1988</v>
      </c>
      <c r="H5169" s="472" t="s">
        <v>5462</v>
      </c>
      <c r="I5169" s="470">
        <v>54.1</v>
      </c>
      <c r="J5169" s="388">
        <v>0.4</v>
      </c>
      <c r="K5169" s="388">
        <v>0.3</v>
      </c>
      <c r="L5169" s="495">
        <f t="shared" si="59"/>
        <v>0.10000000000000003</v>
      </c>
      <c r="M5169" s="337"/>
    </row>
    <row r="5170" spans="1:13" s="71" customFormat="1" ht="26.4" customHeight="1">
      <c r="A5170" s="282">
        <v>252</v>
      </c>
      <c r="B5170" s="537"/>
      <c r="C5170" s="444" t="s">
        <v>1154</v>
      </c>
      <c r="D5170" s="260" t="s">
        <v>6948</v>
      </c>
      <c r="E5170" s="260" t="s">
        <v>6949</v>
      </c>
      <c r="F5170" s="387">
        <v>395</v>
      </c>
      <c r="G5170" s="445">
        <v>1988</v>
      </c>
      <c r="H5170" s="472" t="s">
        <v>5462</v>
      </c>
      <c r="I5170" s="470">
        <v>40.200000000000003</v>
      </c>
      <c r="J5170" s="388">
        <v>0.4</v>
      </c>
      <c r="K5170" s="388">
        <v>0.3</v>
      </c>
      <c r="L5170" s="495">
        <f t="shared" si="59"/>
        <v>0.10000000000000003</v>
      </c>
      <c r="M5170" s="337"/>
    </row>
    <row r="5171" spans="1:13" s="71" customFormat="1" ht="39.6">
      <c r="A5171" s="282">
        <v>253</v>
      </c>
      <c r="B5171" s="537"/>
      <c r="C5171" s="444" t="s">
        <v>1154</v>
      </c>
      <c r="D5171" s="260" t="s">
        <v>6756</v>
      </c>
      <c r="E5171" s="260" t="s">
        <v>12745</v>
      </c>
      <c r="F5171" s="387">
        <v>396</v>
      </c>
      <c r="G5171" s="445">
        <v>1988</v>
      </c>
      <c r="H5171" s="472" t="s">
        <v>5462</v>
      </c>
      <c r="I5171" s="470">
        <v>262.5</v>
      </c>
      <c r="J5171" s="388">
        <v>0.5</v>
      </c>
      <c r="K5171" s="388">
        <v>0.4</v>
      </c>
      <c r="L5171" s="495">
        <f t="shared" si="59"/>
        <v>9.9999999999999978E-2</v>
      </c>
      <c r="M5171" s="337"/>
    </row>
    <row r="5172" spans="1:13" s="71" customFormat="1" ht="39.6">
      <c r="A5172" s="282">
        <v>254</v>
      </c>
      <c r="B5172" s="537"/>
      <c r="C5172" s="444" t="s">
        <v>1154</v>
      </c>
      <c r="D5172" s="260" t="s">
        <v>6867</v>
      </c>
      <c r="E5172" s="260" t="s">
        <v>6950</v>
      </c>
      <c r="F5172" s="387">
        <v>397</v>
      </c>
      <c r="G5172" s="445">
        <v>1988</v>
      </c>
      <c r="H5172" s="472" t="s">
        <v>5462</v>
      </c>
      <c r="I5172" s="470">
        <v>26</v>
      </c>
      <c r="J5172" s="388">
        <v>1.5</v>
      </c>
      <c r="K5172" s="388">
        <v>1.2</v>
      </c>
      <c r="L5172" s="495">
        <f t="shared" si="59"/>
        <v>0.30000000000000004</v>
      </c>
      <c r="M5172" s="337"/>
    </row>
    <row r="5173" spans="1:13" s="71" customFormat="1" ht="26.4" customHeight="1">
      <c r="A5173" s="282">
        <v>255</v>
      </c>
      <c r="B5173" s="537"/>
      <c r="C5173" s="444" t="s">
        <v>1154</v>
      </c>
      <c r="D5173" s="260" t="s">
        <v>6951</v>
      </c>
      <c r="E5173" s="260" t="s">
        <v>13425</v>
      </c>
      <c r="F5173" s="387">
        <v>398</v>
      </c>
      <c r="G5173" s="445">
        <v>1988</v>
      </c>
      <c r="H5173" s="472" t="s">
        <v>5462</v>
      </c>
      <c r="I5173" s="470">
        <v>60</v>
      </c>
      <c r="J5173" s="388">
        <v>0.3</v>
      </c>
      <c r="K5173" s="388">
        <v>0.2</v>
      </c>
      <c r="L5173" s="495">
        <f t="shared" si="59"/>
        <v>9.9999999999999978E-2</v>
      </c>
      <c r="M5173" s="337"/>
    </row>
    <row r="5174" spans="1:13" s="71" customFormat="1" ht="26.4" customHeight="1">
      <c r="A5174" s="282">
        <v>256</v>
      </c>
      <c r="B5174" s="537"/>
      <c r="C5174" s="444" t="s">
        <v>1154</v>
      </c>
      <c r="D5174" s="260" t="s">
        <v>6952</v>
      </c>
      <c r="E5174" s="260" t="s">
        <v>6953</v>
      </c>
      <c r="F5174" s="387">
        <v>400</v>
      </c>
      <c r="G5174" s="445">
        <v>1960</v>
      </c>
      <c r="H5174" s="472" t="s">
        <v>5462</v>
      </c>
      <c r="I5174" s="470">
        <v>1626</v>
      </c>
      <c r="J5174" s="388">
        <v>30.8</v>
      </c>
      <c r="K5174" s="388">
        <v>27.1</v>
      </c>
      <c r="L5174" s="495">
        <f t="shared" si="59"/>
        <v>3.6999999999999993</v>
      </c>
      <c r="M5174" s="337"/>
    </row>
    <row r="5175" spans="1:13" s="71" customFormat="1" ht="26.4" customHeight="1">
      <c r="A5175" s="282">
        <v>257</v>
      </c>
      <c r="B5175" s="537"/>
      <c r="C5175" s="444" t="s">
        <v>1154</v>
      </c>
      <c r="D5175" s="260" t="s">
        <v>6954</v>
      </c>
      <c r="E5175" s="260" t="s">
        <v>6955</v>
      </c>
      <c r="F5175" s="387">
        <v>401</v>
      </c>
      <c r="G5175" s="445">
        <v>1960</v>
      </c>
      <c r="H5175" s="472" t="s">
        <v>5462</v>
      </c>
      <c r="I5175" s="470">
        <v>1600</v>
      </c>
      <c r="J5175" s="388">
        <v>34.1</v>
      </c>
      <c r="K5175" s="388">
        <v>30.3</v>
      </c>
      <c r="L5175" s="495">
        <f t="shared" ref="L5175:L5238" si="60">J5175-K5175</f>
        <v>3.8000000000000007</v>
      </c>
      <c r="M5175" s="337"/>
    </row>
    <row r="5176" spans="1:13" s="71" customFormat="1" ht="26.4" customHeight="1">
      <c r="A5176" s="282">
        <v>258</v>
      </c>
      <c r="B5176" s="537"/>
      <c r="C5176" s="444" t="s">
        <v>1154</v>
      </c>
      <c r="D5176" s="260" t="s">
        <v>6948</v>
      </c>
      <c r="E5176" s="260" t="s">
        <v>12790</v>
      </c>
      <c r="F5176" s="387">
        <v>402</v>
      </c>
      <c r="G5176" s="445">
        <v>1960</v>
      </c>
      <c r="H5176" s="472" t="s">
        <v>5462</v>
      </c>
      <c r="I5176" s="470">
        <v>1935</v>
      </c>
      <c r="J5176" s="388">
        <v>36.700000000000003</v>
      </c>
      <c r="K5176" s="388">
        <v>32.299999999999997</v>
      </c>
      <c r="L5176" s="495">
        <f t="shared" si="60"/>
        <v>4.4000000000000057</v>
      </c>
      <c r="M5176" s="337"/>
    </row>
    <row r="5177" spans="1:13" s="71" customFormat="1" ht="26.4" customHeight="1">
      <c r="A5177" s="282">
        <v>259</v>
      </c>
      <c r="B5177" s="537"/>
      <c r="C5177" s="444" t="s">
        <v>1154</v>
      </c>
      <c r="D5177" s="260" t="s">
        <v>6793</v>
      </c>
      <c r="E5177" s="260" t="s">
        <v>6956</v>
      </c>
      <c r="F5177" s="387">
        <v>403</v>
      </c>
      <c r="G5177" s="445">
        <v>1960</v>
      </c>
      <c r="H5177" s="472" t="s">
        <v>5462</v>
      </c>
      <c r="I5177" s="470">
        <v>1844</v>
      </c>
      <c r="J5177" s="388">
        <v>28.6</v>
      </c>
      <c r="K5177" s="388">
        <v>23.2</v>
      </c>
      <c r="L5177" s="495">
        <f t="shared" si="60"/>
        <v>5.4000000000000021</v>
      </c>
      <c r="M5177" s="337"/>
    </row>
    <row r="5178" spans="1:13" s="71" customFormat="1" ht="26.4" customHeight="1">
      <c r="A5178" s="282">
        <v>260</v>
      </c>
      <c r="B5178" s="537"/>
      <c r="C5178" s="444" t="s">
        <v>1154</v>
      </c>
      <c r="D5178" s="260" t="s">
        <v>6952</v>
      </c>
      <c r="E5178" s="260" t="s">
        <v>6957</v>
      </c>
      <c r="F5178" s="387">
        <v>404</v>
      </c>
      <c r="G5178" s="445">
        <v>1960</v>
      </c>
      <c r="H5178" s="472" t="s">
        <v>5462</v>
      </c>
      <c r="I5178" s="470">
        <v>2848</v>
      </c>
      <c r="J5178" s="388">
        <v>142.9</v>
      </c>
      <c r="K5178" s="388">
        <v>132.9</v>
      </c>
      <c r="L5178" s="495">
        <f t="shared" si="60"/>
        <v>10</v>
      </c>
      <c r="M5178" s="337"/>
    </row>
    <row r="5179" spans="1:13" s="71" customFormat="1" ht="26.4" customHeight="1">
      <c r="A5179" s="282">
        <v>261</v>
      </c>
      <c r="B5179" s="537"/>
      <c r="C5179" s="444" t="s">
        <v>1154</v>
      </c>
      <c r="D5179" s="260" t="s">
        <v>6952</v>
      </c>
      <c r="E5179" s="260" t="s">
        <v>6958</v>
      </c>
      <c r="F5179" s="387">
        <v>405</v>
      </c>
      <c r="G5179" s="445">
        <v>1960</v>
      </c>
      <c r="H5179" s="472" t="s">
        <v>5462</v>
      </c>
      <c r="I5179" s="470">
        <v>2116</v>
      </c>
      <c r="J5179" s="388">
        <v>98.1</v>
      </c>
      <c r="K5179" s="388">
        <v>85.2</v>
      </c>
      <c r="L5179" s="495">
        <f t="shared" si="60"/>
        <v>12.899999999999991</v>
      </c>
      <c r="M5179" s="337"/>
    </row>
    <row r="5180" spans="1:13" s="71" customFormat="1" ht="26.4" customHeight="1">
      <c r="A5180" s="282">
        <v>262</v>
      </c>
      <c r="B5180" s="537"/>
      <c r="C5180" s="444" t="s">
        <v>1154</v>
      </c>
      <c r="D5180" s="260" t="s">
        <v>6959</v>
      </c>
      <c r="E5180" s="260" t="s">
        <v>12791</v>
      </c>
      <c r="F5180" s="387">
        <v>406</v>
      </c>
      <c r="G5180" s="445">
        <v>1960</v>
      </c>
      <c r="H5180" s="472" t="s">
        <v>5462</v>
      </c>
      <c r="I5180" s="470">
        <v>100</v>
      </c>
      <c r="J5180" s="388">
        <v>49.8</v>
      </c>
      <c r="K5180" s="388">
        <v>41.9</v>
      </c>
      <c r="L5180" s="495">
        <f t="shared" si="60"/>
        <v>7.8999999999999986</v>
      </c>
      <c r="M5180" s="337"/>
    </row>
    <row r="5181" spans="1:13" s="71" customFormat="1" ht="26.4" customHeight="1">
      <c r="A5181" s="282">
        <v>263</v>
      </c>
      <c r="B5181" s="537"/>
      <c r="C5181" s="444" t="s">
        <v>1154</v>
      </c>
      <c r="D5181" s="260" t="s">
        <v>6960</v>
      </c>
      <c r="E5181" s="260" t="s">
        <v>6961</v>
      </c>
      <c r="F5181" s="387">
        <v>407</v>
      </c>
      <c r="G5181" s="445">
        <v>1961</v>
      </c>
      <c r="H5181" s="472" t="s">
        <v>5462</v>
      </c>
      <c r="I5181" s="470">
        <v>1518</v>
      </c>
      <c r="J5181" s="388">
        <v>9.8000000000000007</v>
      </c>
      <c r="K5181" s="388">
        <v>7.7</v>
      </c>
      <c r="L5181" s="495">
        <f t="shared" si="60"/>
        <v>2.1000000000000005</v>
      </c>
      <c r="M5181" s="337"/>
    </row>
    <row r="5182" spans="1:13" s="71" customFormat="1" ht="26.4" customHeight="1">
      <c r="A5182" s="282">
        <v>264</v>
      </c>
      <c r="B5182" s="537"/>
      <c r="C5182" s="444" t="s">
        <v>1154</v>
      </c>
      <c r="D5182" s="260" t="s">
        <v>6962</v>
      </c>
      <c r="E5182" s="260" t="s">
        <v>6963</v>
      </c>
      <c r="F5182" s="387">
        <v>408</v>
      </c>
      <c r="G5182" s="445">
        <v>1961</v>
      </c>
      <c r="H5182" s="472" t="s">
        <v>5462</v>
      </c>
      <c r="I5182" s="470">
        <v>1667</v>
      </c>
      <c r="J5182" s="388">
        <v>11.2</v>
      </c>
      <c r="K5182" s="388">
        <v>8.8000000000000007</v>
      </c>
      <c r="L5182" s="495">
        <f t="shared" si="60"/>
        <v>2.3999999999999986</v>
      </c>
      <c r="M5182" s="337"/>
    </row>
    <row r="5183" spans="1:13" s="71" customFormat="1" ht="26.4" customHeight="1">
      <c r="A5183" s="282">
        <v>265</v>
      </c>
      <c r="B5183" s="537"/>
      <c r="C5183" s="444" t="s">
        <v>1154</v>
      </c>
      <c r="D5183" s="260" t="s">
        <v>6964</v>
      </c>
      <c r="E5183" s="260" t="s">
        <v>6965</v>
      </c>
      <c r="F5183" s="387">
        <v>409</v>
      </c>
      <c r="G5183" s="445">
        <v>1961</v>
      </c>
      <c r="H5183" s="472" t="s">
        <v>5462</v>
      </c>
      <c r="I5183" s="470">
        <v>1917</v>
      </c>
      <c r="J5183" s="388">
        <v>15.5</v>
      </c>
      <c r="K5183" s="388">
        <v>12.1</v>
      </c>
      <c r="L5183" s="495">
        <f t="shared" si="60"/>
        <v>3.4000000000000004</v>
      </c>
      <c r="M5183" s="337"/>
    </row>
    <row r="5184" spans="1:13" s="71" customFormat="1" ht="26.4" customHeight="1">
      <c r="A5184" s="282">
        <v>266</v>
      </c>
      <c r="B5184" s="537"/>
      <c r="C5184" s="444" t="s">
        <v>1154</v>
      </c>
      <c r="D5184" s="260" t="s">
        <v>6966</v>
      </c>
      <c r="E5184" s="260" t="s">
        <v>6967</v>
      </c>
      <c r="F5184" s="387">
        <v>410</v>
      </c>
      <c r="G5184" s="445">
        <v>1961</v>
      </c>
      <c r="H5184" s="472" t="s">
        <v>5462</v>
      </c>
      <c r="I5184" s="470">
        <v>1593</v>
      </c>
      <c r="J5184" s="388">
        <v>10</v>
      </c>
      <c r="K5184" s="388">
        <v>7.8</v>
      </c>
      <c r="L5184" s="495">
        <f t="shared" si="60"/>
        <v>2.2000000000000002</v>
      </c>
      <c r="M5184" s="337"/>
    </row>
    <row r="5185" spans="1:13" s="71" customFormat="1" ht="26.4" customHeight="1">
      <c r="A5185" s="282">
        <v>267</v>
      </c>
      <c r="B5185" s="537"/>
      <c r="C5185" s="444" t="s">
        <v>1154</v>
      </c>
      <c r="D5185" s="260" t="s">
        <v>6952</v>
      </c>
      <c r="E5185" s="260" t="s">
        <v>6968</v>
      </c>
      <c r="F5185" s="387">
        <v>411</v>
      </c>
      <c r="G5185" s="445">
        <v>1961</v>
      </c>
      <c r="H5185" s="472" t="s">
        <v>5462</v>
      </c>
      <c r="I5185" s="470">
        <v>362</v>
      </c>
      <c r="J5185" s="388">
        <v>4.0999999999999996</v>
      </c>
      <c r="K5185" s="388">
        <v>3.2</v>
      </c>
      <c r="L5185" s="495">
        <f t="shared" si="60"/>
        <v>0.89999999999999947</v>
      </c>
      <c r="M5185" s="337"/>
    </row>
    <row r="5186" spans="1:13" s="71" customFormat="1" ht="26.4" customHeight="1">
      <c r="A5186" s="282">
        <v>268</v>
      </c>
      <c r="B5186" s="537"/>
      <c r="C5186" s="444" t="s">
        <v>1154</v>
      </c>
      <c r="D5186" s="260" t="s">
        <v>6952</v>
      </c>
      <c r="E5186" s="260" t="s">
        <v>13156</v>
      </c>
      <c r="F5186" s="387">
        <v>412</v>
      </c>
      <c r="G5186" s="445">
        <v>1953</v>
      </c>
      <c r="H5186" s="472" t="s">
        <v>5462</v>
      </c>
      <c r="I5186" s="470">
        <v>2250</v>
      </c>
      <c r="J5186" s="388">
        <v>62.1</v>
      </c>
      <c r="K5186" s="388">
        <v>53.9</v>
      </c>
      <c r="L5186" s="495">
        <f t="shared" si="60"/>
        <v>8.2000000000000028</v>
      </c>
      <c r="M5186" s="337"/>
    </row>
    <row r="5187" spans="1:13" s="71" customFormat="1" ht="26.4" customHeight="1">
      <c r="A5187" s="282">
        <v>269</v>
      </c>
      <c r="B5187" s="537"/>
      <c r="C5187" s="444" t="s">
        <v>1154</v>
      </c>
      <c r="D5187" s="260" t="s">
        <v>6952</v>
      </c>
      <c r="E5187" s="260" t="s">
        <v>6969</v>
      </c>
      <c r="F5187" s="387">
        <v>413</v>
      </c>
      <c r="G5187" s="445">
        <v>1966</v>
      </c>
      <c r="H5187" s="472" t="s">
        <v>5462</v>
      </c>
      <c r="I5187" s="470">
        <v>2150</v>
      </c>
      <c r="J5187" s="388">
        <v>103.2</v>
      </c>
      <c r="K5187" s="388">
        <v>95.8</v>
      </c>
      <c r="L5187" s="495">
        <f t="shared" si="60"/>
        <v>7.4000000000000057</v>
      </c>
      <c r="M5187" s="337"/>
    </row>
    <row r="5188" spans="1:13" s="71" customFormat="1" ht="26.4" customHeight="1">
      <c r="A5188" s="282">
        <v>270</v>
      </c>
      <c r="B5188" s="537"/>
      <c r="C5188" s="444" t="s">
        <v>1154</v>
      </c>
      <c r="D5188" s="260" t="s">
        <v>6952</v>
      </c>
      <c r="E5188" s="260" t="s">
        <v>6970</v>
      </c>
      <c r="F5188" s="387">
        <v>414</v>
      </c>
      <c r="G5188" s="445">
        <v>1964</v>
      </c>
      <c r="H5188" s="472" t="s">
        <v>5462</v>
      </c>
      <c r="I5188" s="470">
        <v>2765</v>
      </c>
      <c r="J5188" s="388">
        <v>50.8</v>
      </c>
      <c r="K5188" s="388">
        <v>42.7</v>
      </c>
      <c r="L5188" s="495">
        <f t="shared" si="60"/>
        <v>8.0999999999999943</v>
      </c>
      <c r="M5188" s="337"/>
    </row>
    <row r="5189" spans="1:13" s="71" customFormat="1" ht="26.4" customHeight="1">
      <c r="A5189" s="282">
        <v>271</v>
      </c>
      <c r="B5189" s="537"/>
      <c r="C5189" s="444" t="s">
        <v>1154</v>
      </c>
      <c r="D5189" s="260" t="s">
        <v>6971</v>
      </c>
      <c r="E5189" s="260" t="s">
        <v>6972</v>
      </c>
      <c r="F5189" s="387">
        <v>415</v>
      </c>
      <c r="G5189" s="445">
        <v>1965</v>
      </c>
      <c r="H5189" s="472" t="s">
        <v>5462</v>
      </c>
      <c r="I5189" s="470">
        <v>983</v>
      </c>
      <c r="J5189" s="388">
        <v>18.5</v>
      </c>
      <c r="K5189" s="388">
        <v>14.4</v>
      </c>
      <c r="L5189" s="495">
        <f t="shared" si="60"/>
        <v>4.0999999999999996</v>
      </c>
      <c r="M5189" s="337"/>
    </row>
    <row r="5190" spans="1:13" s="71" customFormat="1" ht="26.4" customHeight="1">
      <c r="A5190" s="282">
        <v>272</v>
      </c>
      <c r="B5190" s="537"/>
      <c r="C5190" s="444" t="s">
        <v>1154</v>
      </c>
      <c r="D5190" s="260" t="s">
        <v>6856</v>
      </c>
      <c r="E5190" s="260" t="s">
        <v>6973</v>
      </c>
      <c r="F5190" s="387">
        <v>416</v>
      </c>
      <c r="G5190" s="445">
        <v>1965</v>
      </c>
      <c r="H5190" s="472" t="s">
        <v>5462</v>
      </c>
      <c r="I5190" s="470">
        <v>215</v>
      </c>
      <c r="J5190" s="388">
        <v>4.7</v>
      </c>
      <c r="K5190" s="388">
        <v>3.8</v>
      </c>
      <c r="L5190" s="495">
        <f t="shared" si="60"/>
        <v>0.90000000000000036</v>
      </c>
      <c r="M5190" s="337"/>
    </row>
    <row r="5191" spans="1:13" s="71" customFormat="1" ht="26.4" customHeight="1">
      <c r="A5191" s="282">
        <v>273</v>
      </c>
      <c r="B5191" s="537"/>
      <c r="C5191" s="444" t="s">
        <v>1154</v>
      </c>
      <c r="D5191" s="260" t="s">
        <v>6815</v>
      </c>
      <c r="E5191" s="260" t="s">
        <v>6974</v>
      </c>
      <c r="F5191" s="387">
        <v>417</v>
      </c>
      <c r="G5191" s="445">
        <v>1965</v>
      </c>
      <c r="H5191" s="472" t="s">
        <v>5462</v>
      </c>
      <c r="I5191" s="470">
        <v>770</v>
      </c>
      <c r="J5191" s="388">
        <v>15.6</v>
      </c>
      <c r="K5191" s="388">
        <v>12.1</v>
      </c>
      <c r="L5191" s="495">
        <f t="shared" si="60"/>
        <v>3.5</v>
      </c>
      <c r="M5191" s="337"/>
    </row>
    <row r="5192" spans="1:13" s="71" customFormat="1" ht="26.4" customHeight="1">
      <c r="A5192" s="282">
        <v>274</v>
      </c>
      <c r="B5192" s="537"/>
      <c r="C5192" s="444" t="s">
        <v>1154</v>
      </c>
      <c r="D5192" s="260" t="s">
        <v>6975</v>
      </c>
      <c r="E5192" s="260" t="s">
        <v>6976</v>
      </c>
      <c r="F5192" s="387">
        <v>418</v>
      </c>
      <c r="G5192" s="445">
        <v>1966</v>
      </c>
      <c r="H5192" s="472" t="s">
        <v>5462</v>
      </c>
      <c r="I5192" s="470">
        <v>2906</v>
      </c>
      <c r="J5192" s="388">
        <v>21.3</v>
      </c>
      <c r="K5192" s="388">
        <v>16.600000000000001</v>
      </c>
      <c r="L5192" s="495">
        <f t="shared" si="60"/>
        <v>4.6999999999999993</v>
      </c>
      <c r="M5192" s="337"/>
    </row>
    <row r="5193" spans="1:13" s="71" customFormat="1" ht="26.4" customHeight="1">
      <c r="A5193" s="282">
        <v>275</v>
      </c>
      <c r="B5193" s="537"/>
      <c r="C5193" s="444" t="s">
        <v>6977</v>
      </c>
      <c r="D5193" s="260" t="s">
        <v>6803</v>
      </c>
      <c r="E5193" s="260" t="s">
        <v>6978</v>
      </c>
      <c r="F5193" s="387">
        <v>419</v>
      </c>
      <c r="G5193" s="445">
        <v>1966</v>
      </c>
      <c r="H5193" s="472" t="s">
        <v>5462</v>
      </c>
      <c r="I5193" s="470">
        <v>1386</v>
      </c>
      <c r="J5193" s="388">
        <v>20.3</v>
      </c>
      <c r="K5193" s="388">
        <v>15.8</v>
      </c>
      <c r="L5193" s="495">
        <f t="shared" si="60"/>
        <v>4.5</v>
      </c>
      <c r="M5193" s="337"/>
    </row>
    <row r="5194" spans="1:13" s="71" customFormat="1" ht="39.6">
      <c r="A5194" s="282">
        <v>276</v>
      </c>
      <c r="B5194" s="537"/>
      <c r="C5194" s="444" t="s">
        <v>1154</v>
      </c>
      <c r="D5194" s="260" t="s">
        <v>6979</v>
      </c>
      <c r="E5194" s="260" t="s">
        <v>12746</v>
      </c>
      <c r="F5194" s="387">
        <v>420</v>
      </c>
      <c r="G5194" s="445">
        <v>1969</v>
      </c>
      <c r="H5194" s="472" t="s">
        <v>5462</v>
      </c>
      <c r="I5194" s="470">
        <v>17621.900000000001</v>
      </c>
      <c r="J5194" s="388">
        <v>72.8</v>
      </c>
      <c r="K5194" s="388">
        <v>66.599999999999994</v>
      </c>
      <c r="L5194" s="497">
        <f t="shared" si="60"/>
        <v>6.2000000000000028</v>
      </c>
      <c r="M5194" s="337"/>
    </row>
    <row r="5195" spans="1:13" s="71" customFormat="1" ht="26.4" customHeight="1">
      <c r="A5195" s="282">
        <v>277</v>
      </c>
      <c r="B5195" s="537"/>
      <c r="C5195" s="444" t="s">
        <v>1154</v>
      </c>
      <c r="D5195" s="260" t="s">
        <v>6773</v>
      </c>
      <c r="E5195" s="260" t="s">
        <v>6980</v>
      </c>
      <c r="F5195" s="387">
        <v>421</v>
      </c>
      <c r="G5195" s="445">
        <v>1969</v>
      </c>
      <c r="H5195" s="472" t="s">
        <v>5462</v>
      </c>
      <c r="I5195" s="470">
        <v>4422</v>
      </c>
      <c r="J5195" s="388">
        <v>58.9</v>
      </c>
      <c r="K5195" s="388">
        <v>53.9</v>
      </c>
      <c r="L5195" s="497">
        <f t="shared" si="60"/>
        <v>5</v>
      </c>
      <c r="M5195" s="337"/>
    </row>
    <row r="5196" spans="1:13" s="71" customFormat="1" ht="26.4" customHeight="1">
      <c r="A5196" s="282">
        <v>278</v>
      </c>
      <c r="B5196" s="537"/>
      <c r="C5196" s="444" t="s">
        <v>1154</v>
      </c>
      <c r="D5196" s="260" t="s">
        <v>6856</v>
      </c>
      <c r="E5196" s="260" t="s">
        <v>6981</v>
      </c>
      <c r="F5196" s="387">
        <v>422</v>
      </c>
      <c r="G5196" s="445">
        <v>1969</v>
      </c>
      <c r="H5196" s="472" t="s">
        <v>5462</v>
      </c>
      <c r="I5196" s="470">
        <v>4500</v>
      </c>
      <c r="J5196" s="388">
        <v>79.5</v>
      </c>
      <c r="K5196" s="388">
        <v>72.7</v>
      </c>
      <c r="L5196" s="497">
        <f t="shared" si="60"/>
        <v>6.7999999999999972</v>
      </c>
      <c r="M5196" s="337"/>
    </row>
    <row r="5197" spans="1:13" s="71" customFormat="1" ht="26.4" customHeight="1">
      <c r="A5197" s="282">
        <v>279</v>
      </c>
      <c r="B5197" s="537"/>
      <c r="C5197" s="444" t="s">
        <v>1154</v>
      </c>
      <c r="D5197" s="260" t="s">
        <v>6856</v>
      </c>
      <c r="E5197" s="260" t="s">
        <v>6982</v>
      </c>
      <c r="F5197" s="387">
        <v>423</v>
      </c>
      <c r="G5197" s="445">
        <v>1970</v>
      </c>
      <c r="H5197" s="472" t="s">
        <v>5462</v>
      </c>
      <c r="I5197" s="470">
        <v>400</v>
      </c>
      <c r="J5197" s="388">
        <v>35</v>
      </c>
      <c r="K5197" s="388">
        <v>30.4</v>
      </c>
      <c r="L5197" s="497">
        <f t="shared" si="60"/>
        <v>4.6000000000000014</v>
      </c>
      <c r="M5197" s="337"/>
    </row>
    <row r="5198" spans="1:13" s="71" customFormat="1" ht="26.4" customHeight="1">
      <c r="A5198" s="282">
        <v>280</v>
      </c>
      <c r="B5198" s="537"/>
      <c r="C5198" s="444" t="s">
        <v>1154</v>
      </c>
      <c r="D5198" s="260" t="s">
        <v>6909</v>
      </c>
      <c r="E5198" s="260" t="s">
        <v>6983</v>
      </c>
      <c r="F5198" s="387">
        <v>424</v>
      </c>
      <c r="G5198" s="445">
        <v>1970</v>
      </c>
      <c r="H5198" s="472" t="s">
        <v>5462</v>
      </c>
      <c r="I5198" s="470">
        <v>7664</v>
      </c>
      <c r="J5198" s="388">
        <v>146.6</v>
      </c>
      <c r="K5198" s="388">
        <v>140.9</v>
      </c>
      <c r="L5198" s="497">
        <f t="shared" si="60"/>
        <v>5.6999999999999886</v>
      </c>
      <c r="M5198" s="337"/>
    </row>
    <row r="5199" spans="1:13" s="71" customFormat="1" ht="36.75" customHeight="1">
      <c r="A5199" s="282">
        <v>281</v>
      </c>
      <c r="B5199" s="537"/>
      <c r="C5199" s="444" t="s">
        <v>1154</v>
      </c>
      <c r="D5199" s="260" t="s">
        <v>6984</v>
      </c>
      <c r="E5199" s="260" t="s">
        <v>6985</v>
      </c>
      <c r="F5199" s="387">
        <v>425</v>
      </c>
      <c r="G5199" s="445">
        <v>1971</v>
      </c>
      <c r="H5199" s="472" t="s">
        <v>5462</v>
      </c>
      <c r="I5199" s="470">
        <v>1245</v>
      </c>
      <c r="J5199" s="496">
        <v>19.5</v>
      </c>
      <c r="K5199" s="496">
        <v>15.2</v>
      </c>
      <c r="L5199" s="497">
        <f t="shared" si="60"/>
        <v>4.3000000000000007</v>
      </c>
      <c r="M5199" s="337"/>
    </row>
    <row r="5200" spans="1:13" s="71" customFormat="1" ht="37.5" customHeight="1">
      <c r="A5200" s="282">
        <v>282</v>
      </c>
      <c r="B5200" s="537"/>
      <c r="C5200" s="444" t="s">
        <v>1154</v>
      </c>
      <c r="D5200" s="444" t="s">
        <v>6986</v>
      </c>
      <c r="E5200" s="444" t="s">
        <v>6987</v>
      </c>
      <c r="F5200" s="387">
        <v>426</v>
      </c>
      <c r="G5200" s="445">
        <v>1969</v>
      </c>
      <c r="H5200" s="472" t="s">
        <v>5462</v>
      </c>
      <c r="I5200" s="470">
        <v>8058</v>
      </c>
      <c r="J5200" s="496">
        <v>166.5</v>
      </c>
      <c r="K5200" s="496">
        <v>157.4</v>
      </c>
      <c r="L5200" s="497">
        <f t="shared" si="60"/>
        <v>9.0999999999999943</v>
      </c>
      <c r="M5200" s="337"/>
    </row>
    <row r="5201" spans="1:13" s="71" customFormat="1" ht="26.4">
      <c r="A5201" s="282">
        <v>283</v>
      </c>
      <c r="B5201" s="537"/>
      <c r="C5201" s="444" t="s">
        <v>1154</v>
      </c>
      <c r="D5201" s="260" t="s">
        <v>12792</v>
      </c>
      <c r="E5201" s="260" t="s">
        <v>6988</v>
      </c>
      <c r="F5201" s="387">
        <v>427</v>
      </c>
      <c r="G5201" s="445">
        <v>1969</v>
      </c>
      <c r="H5201" s="472" t="s">
        <v>5462</v>
      </c>
      <c r="I5201" s="470">
        <v>475</v>
      </c>
      <c r="J5201" s="496">
        <v>16.3</v>
      </c>
      <c r="K5201" s="496">
        <v>12.7</v>
      </c>
      <c r="L5201" s="497">
        <f t="shared" si="60"/>
        <v>3.6000000000000014</v>
      </c>
      <c r="M5201" s="337"/>
    </row>
    <row r="5202" spans="1:13" s="71" customFormat="1" ht="26.4" customHeight="1">
      <c r="A5202" s="282">
        <v>284</v>
      </c>
      <c r="B5202" s="537"/>
      <c r="C5202" s="444" t="s">
        <v>1154</v>
      </c>
      <c r="D5202" s="260" t="s">
        <v>6989</v>
      </c>
      <c r="E5202" s="260" t="s">
        <v>6990</v>
      </c>
      <c r="F5202" s="387">
        <v>428</v>
      </c>
      <c r="G5202" s="445">
        <v>1959</v>
      </c>
      <c r="H5202" s="472" t="s">
        <v>5462</v>
      </c>
      <c r="I5202" s="470">
        <v>2509</v>
      </c>
      <c r="J5202" s="388">
        <v>28.7</v>
      </c>
      <c r="K5202" s="388">
        <v>24.7</v>
      </c>
      <c r="L5202" s="497">
        <f t="shared" si="60"/>
        <v>4</v>
      </c>
      <c r="M5202" s="337"/>
    </row>
    <row r="5203" spans="1:13" s="71" customFormat="1" ht="26.4" customHeight="1">
      <c r="A5203" s="282">
        <v>285</v>
      </c>
      <c r="B5203" s="537"/>
      <c r="C5203" s="444" t="s">
        <v>1154</v>
      </c>
      <c r="D5203" s="260" t="s">
        <v>6900</v>
      </c>
      <c r="E5203" s="260" t="s">
        <v>6991</v>
      </c>
      <c r="F5203" s="387">
        <v>429</v>
      </c>
      <c r="G5203" s="445">
        <v>1972</v>
      </c>
      <c r="H5203" s="472" t="s">
        <v>5462</v>
      </c>
      <c r="I5203" s="470">
        <v>1568</v>
      </c>
      <c r="J5203" s="388">
        <v>18.600000000000001</v>
      </c>
      <c r="K5203" s="388">
        <v>14.5</v>
      </c>
      <c r="L5203" s="497">
        <f t="shared" si="60"/>
        <v>4.1000000000000014</v>
      </c>
      <c r="M5203" s="337"/>
    </row>
    <row r="5204" spans="1:13" s="71" customFormat="1" ht="26.4" customHeight="1">
      <c r="A5204" s="282">
        <v>286</v>
      </c>
      <c r="B5204" s="537"/>
      <c r="C5204" s="444" t="s">
        <v>1154</v>
      </c>
      <c r="D5204" s="260" t="s">
        <v>6992</v>
      </c>
      <c r="E5204" s="260" t="s">
        <v>6993</v>
      </c>
      <c r="F5204" s="387">
        <v>430</v>
      </c>
      <c r="G5204" s="445">
        <v>1972</v>
      </c>
      <c r="H5204" s="472" t="s">
        <v>5462</v>
      </c>
      <c r="I5204" s="470">
        <v>2996</v>
      </c>
      <c r="J5204" s="388">
        <v>109.5</v>
      </c>
      <c r="K5204" s="388">
        <v>99.2</v>
      </c>
      <c r="L5204" s="497">
        <f t="shared" si="60"/>
        <v>10.299999999999997</v>
      </c>
      <c r="M5204" s="337"/>
    </row>
    <row r="5205" spans="1:13" s="71" customFormat="1" ht="39.6">
      <c r="A5205" s="282">
        <v>287</v>
      </c>
      <c r="B5205" s="537"/>
      <c r="C5205" s="444" t="s">
        <v>1154</v>
      </c>
      <c r="D5205" s="260" t="s">
        <v>12873</v>
      </c>
      <c r="E5205" s="260" t="s">
        <v>6994</v>
      </c>
      <c r="F5205" s="387">
        <v>431</v>
      </c>
      <c r="G5205" s="445">
        <v>1974</v>
      </c>
      <c r="H5205" s="472" t="s">
        <v>5462</v>
      </c>
      <c r="I5205" s="470">
        <v>904</v>
      </c>
      <c r="J5205" s="388">
        <v>10.3</v>
      </c>
      <c r="K5205" s="388">
        <v>9</v>
      </c>
      <c r="L5205" s="497">
        <f t="shared" si="60"/>
        <v>1.3000000000000007</v>
      </c>
      <c r="M5205" s="337"/>
    </row>
    <row r="5206" spans="1:13" s="71" customFormat="1" ht="26.4" customHeight="1">
      <c r="A5206" s="282">
        <v>288</v>
      </c>
      <c r="B5206" s="537"/>
      <c r="C5206" s="444" t="s">
        <v>1154</v>
      </c>
      <c r="D5206" s="260" t="s">
        <v>6995</v>
      </c>
      <c r="E5206" s="260" t="s">
        <v>6996</v>
      </c>
      <c r="F5206" s="387">
        <v>432</v>
      </c>
      <c r="G5206" s="445">
        <v>1974</v>
      </c>
      <c r="H5206" s="472" t="s">
        <v>5462</v>
      </c>
      <c r="I5206" s="470">
        <v>750</v>
      </c>
      <c r="J5206" s="388">
        <v>24.2</v>
      </c>
      <c r="K5206" s="388">
        <v>21.6</v>
      </c>
      <c r="L5206" s="497">
        <f t="shared" si="60"/>
        <v>2.5999999999999979</v>
      </c>
      <c r="M5206" s="337"/>
    </row>
    <row r="5207" spans="1:13" s="71" customFormat="1" ht="26.4" customHeight="1">
      <c r="A5207" s="282">
        <v>289</v>
      </c>
      <c r="B5207" s="537"/>
      <c r="C5207" s="444" t="s">
        <v>1154</v>
      </c>
      <c r="D5207" s="260" t="s">
        <v>6997</v>
      </c>
      <c r="E5207" s="260" t="s">
        <v>6998</v>
      </c>
      <c r="F5207" s="387">
        <v>433</v>
      </c>
      <c r="G5207" s="445">
        <v>1974</v>
      </c>
      <c r="H5207" s="472" t="s">
        <v>5462</v>
      </c>
      <c r="I5207" s="470">
        <v>500</v>
      </c>
      <c r="J5207" s="388">
        <v>130.9</v>
      </c>
      <c r="K5207" s="388">
        <v>125.2</v>
      </c>
      <c r="L5207" s="497">
        <f t="shared" si="60"/>
        <v>5.7000000000000028</v>
      </c>
      <c r="M5207" s="337"/>
    </row>
    <row r="5208" spans="1:13" s="71" customFormat="1" ht="26.4" customHeight="1">
      <c r="A5208" s="282">
        <v>290</v>
      </c>
      <c r="B5208" s="537"/>
      <c r="C5208" s="444" t="s">
        <v>1154</v>
      </c>
      <c r="D5208" s="260" t="s">
        <v>6999</v>
      </c>
      <c r="E5208" s="260" t="s">
        <v>7000</v>
      </c>
      <c r="F5208" s="387">
        <v>434</v>
      </c>
      <c r="G5208" s="445">
        <v>1975</v>
      </c>
      <c r="H5208" s="472" t="s">
        <v>5462</v>
      </c>
      <c r="I5208" s="470">
        <v>576</v>
      </c>
      <c r="J5208" s="388">
        <v>8.5</v>
      </c>
      <c r="K5208" s="388">
        <v>6.6</v>
      </c>
      <c r="L5208" s="497">
        <f t="shared" si="60"/>
        <v>1.9000000000000004</v>
      </c>
      <c r="M5208" s="337"/>
    </row>
    <row r="5209" spans="1:13" s="71" customFormat="1" ht="39.6">
      <c r="A5209" s="282">
        <v>291</v>
      </c>
      <c r="B5209" s="537"/>
      <c r="C5209" s="444" t="s">
        <v>1154</v>
      </c>
      <c r="D5209" s="260" t="s">
        <v>6999</v>
      </c>
      <c r="E5209" s="260" t="s">
        <v>12747</v>
      </c>
      <c r="F5209" s="387">
        <v>435</v>
      </c>
      <c r="G5209" s="445">
        <v>1975</v>
      </c>
      <c r="H5209" s="472" t="s">
        <v>5462</v>
      </c>
      <c r="I5209" s="470">
        <v>169</v>
      </c>
      <c r="J5209" s="388">
        <v>1.5</v>
      </c>
      <c r="K5209" s="388">
        <v>1.2</v>
      </c>
      <c r="L5209" s="497">
        <f t="shared" si="60"/>
        <v>0.30000000000000004</v>
      </c>
      <c r="M5209" s="337"/>
    </row>
    <row r="5210" spans="1:13" s="71" customFormat="1" ht="26.4" customHeight="1">
      <c r="A5210" s="282">
        <v>292</v>
      </c>
      <c r="B5210" s="537"/>
      <c r="C5210" s="444" t="s">
        <v>1154</v>
      </c>
      <c r="D5210" s="260" t="s">
        <v>6852</v>
      </c>
      <c r="E5210" s="260" t="s">
        <v>7001</v>
      </c>
      <c r="F5210" s="387">
        <v>436</v>
      </c>
      <c r="G5210" s="445">
        <v>1975</v>
      </c>
      <c r="H5210" s="472" t="s">
        <v>5462</v>
      </c>
      <c r="I5210" s="470">
        <v>1061</v>
      </c>
      <c r="J5210" s="388">
        <v>20.5</v>
      </c>
      <c r="K5210" s="388">
        <v>18.100000000000001</v>
      </c>
      <c r="L5210" s="497">
        <f t="shared" si="60"/>
        <v>2.3999999999999986</v>
      </c>
      <c r="M5210" s="337"/>
    </row>
    <row r="5211" spans="1:13" s="71" customFormat="1" ht="26.4" customHeight="1">
      <c r="A5211" s="282">
        <v>293</v>
      </c>
      <c r="B5211" s="537"/>
      <c r="C5211" s="444" t="s">
        <v>1154</v>
      </c>
      <c r="D5211" s="260" t="s">
        <v>6852</v>
      </c>
      <c r="E5211" s="260" t="s">
        <v>7002</v>
      </c>
      <c r="F5211" s="387">
        <v>437</v>
      </c>
      <c r="G5211" s="445">
        <v>1975</v>
      </c>
      <c r="H5211" s="472" t="s">
        <v>5462</v>
      </c>
      <c r="I5211" s="470">
        <v>516</v>
      </c>
      <c r="J5211" s="388">
        <v>3.5</v>
      </c>
      <c r="K5211" s="388">
        <v>2.7</v>
      </c>
      <c r="L5211" s="497">
        <f t="shared" si="60"/>
        <v>0.79999999999999982</v>
      </c>
      <c r="M5211" s="337"/>
    </row>
    <row r="5212" spans="1:13" s="71" customFormat="1" ht="26.4" customHeight="1">
      <c r="A5212" s="282">
        <v>294</v>
      </c>
      <c r="B5212" s="537"/>
      <c r="C5212" s="444" t="s">
        <v>1154</v>
      </c>
      <c r="D5212" s="260" t="s">
        <v>6852</v>
      </c>
      <c r="E5212" s="260" t="s">
        <v>7003</v>
      </c>
      <c r="F5212" s="387">
        <v>438</v>
      </c>
      <c r="G5212" s="445">
        <v>1976</v>
      </c>
      <c r="H5212" s="472" t="s">
        <v>5462</v>
      </c>
      <c r="I5212" s="470">
        <v>529</v>
      </c>
      <c r="J5212" s="388">
        <v>2.5</v>
      </c>
      <c r="K5212" s="388">
        <v>2</v>
      </c>
      <c r="L5212" s="497">
        <f t="shared" si="60"/>
        <v>0.5</v>
      </c>
      <c r="M5212" s="337"/>
    </row>
    <row r="5213" spans="1:13" s="71" customFormat="1" ht="26.4" customHeight="1">
      <c r="A5213" s="282">
        <v>295</v>
      </c>
      <c r="B5213" s="537"/>
      <c r="C5213" s="444" t="s">
        <v>1154</v>
      </c>
      <c r="D5213" s="260" t="s">
        <v>7004</v>
      </c>
      <c r="E5213" s="260" t="s">
        <v>7005</v>
      </c>
      <c r="F5213" s="387">
        <v>439</v>
      </c>
      <c r="G5213" s="445">
        <v>1976</v>
      </c>
      <c r="H5213" s="472" t="s">
        <v>5462</v>
      </c>
      <c r="I5213" s="470">
        <v>106</v>
      </c>
      <c r="J5213" s="388">
        <v>1.4</v>
      </c>
      <c r="K5213" s="388">
        <v>1.1000000000000001</v>
      </c>
      <c r="L5213" s="497">
        <f t="shared" si="60"/>
        <v>0.29999999999999982</v>
      </c>
      <c r="M5213" s="337"/>
    </row>
    <row r="5214" spans="1:13" s="71" customFormat="1" ht="26.4" customHeight="1">
      <c r="A5214" s="282">
        <v>296</v>
      </c>
      <c r="B5214" s="537"/>
      <c r="C5214" s="444" t="s">
        <v>1154</v>
      </c>
      <c r="D5214" s="260" t="s">
        <v>7004</v>
      </c>
      <c r="E5214" s="260" t="s">
        <v>7006</v>
      </c>
      <c r="F5214" s="387">
        <v>440</v>
      </c>
      <c r="G5214" s="445">
        <v>1976</v>
      </c>
      <c r="H5214" s="472" t="s">
        <v>5462</v>
      </c>
      <c r="I5214" s="470">
        <v>150</v>
      </c>
      <c r="J5214" s="388">
        <v>2.2999999999999998</v>
      </c>
      <c r="K5214" s="388">
        <v>1.8</v>
      </c>
      <c r="L5214" s="497">
        <f t="shared" si="60"/>
        <v>0.49999999999999978</v>
      </c>
      <c r="M5214" s="337"/>
    </row>
    <row r="5215" spans="1:13" s="71" customFormat="1" ht="26.4" customHeight="1">
      <c r="A5215" s="282">
        <v>297</v>
      </c>
      <c r="B5215" s="537"/>
      <c r="C5215" s="444" t="s">
        <v>1154</v>
      </c>
      <c r="D5215" s="260" t="s">
        <v>7004</v>
      </c>
      <c r="E5215" s="260" t="s">
        <v>7007</v>
      </c>
      <c r="F5215" s="387">
        <v>441</v>
      </c>
      <c r="G5215" s="445">
        <v>1976</v>
      </c>
      <c r="H5215" s="472" t="s">
        <v>5462</v>
      </c>
      <c r="I5215" s="470">
        <v>735</v>
      </c>
      <c r="J5215" s="388">
        <v>18.3</v>
      </c>
      <c r="K5215" s="388">
        <v>15.9</v>
      </c>
      <c r="L5215" s="497">
        <f t="shared" si="60"/>
        <v>2.4000000000000004</v>
      </c>
      <c r="M5215" s="337"/>
    </row>
    <row r="5216" spans="1:13" s="71" customFormat="1" ht="26.4">
      <c r="A5216" s="282">
        <v>298</v>
      </c>
      <c r="B5216" s="537"/>
      <c r="C5216" s="444" t="s">
        <v>7008</v>
      </c>
      <c r="D5216" s="260" t="s">
        <v>7009</v>
      </c>
      <c r="E5216" s="260" t="s">
        <v>12793</v>
      </c>
      <c r="F5216" s="387">
        <v>444</v>
      </c>
      <c r="G5216" s="445">
        <v>1977</v>
      </c>
      <c r="H5216" s="472" t="s">
        <v>5462</v>
      </c>
      <c r="I5216" s="470">
        <v>120</v>
      </c>
      <c r="J5216" s="388">
        <v>9.1</v>
      </c>
      <c r="K5216" s="388">
        <v>6.9</v>
      </c>
      <c r="L5216" s="497">
        <f t="shared" si="60"/>
        <v>2.1999999999999993</v>
      </c>
      <c r="M5216" s="337"/>
    </row>
    <row r="5217" spans="1:13" s="71" customFormat="1" ht="26.4" customHeight="1">
      <c r="A5217" s="282">
        <v>299</v>
      </c>
      <c r="B5217" s="537"/>
      <c r="C5217" s="444" t="s">
        <v>1154</v>
      </c>
      <c r="D5217" s="260" t="s">
        <v>7010</v>
      </c>
      <c r="E5217" s="260" t="s">
        <v>7011</v>
      </c>
      <c r="F5217" s="387">
        <v>445</v>
      </c>
      <c r="G5217" s="445">
        <v>1978</v>
      </c>
      <c r="H5217" s="472" t="s">
        <v>5462</v>
      </c>
      <c r="I5217" s="470">
        <v>382</v>
      </c>
      <c r="J5217" s="388">
        <v>4.5</v>
      </c>
      <c r="K5217" s="388">
        <v>3.5</v>
      </c>
      <c r="L5217" s="497">
        <f t="shared" si="60"/>
        <v>1</v>
      </c>
      <c r="M5217" s="337"/>
    </row>
    <row r="5218" spans="1:13" s="71" customFormat="1" ht="26.4" customHeight="1">
      <c r="A5218" s="282">
        <v>300</v>
      </c>
      <c r="B5218" s="537"/>
      <c r="C5218" s="444" t="s">
        <v>1154</v>
      </c>
      <c r="D5218" s="260" t="s">
        <v>7012</v>
      </c>
      <c r="E5218" s="260" t="s">
        <v>7013</v>
      </c>
      <c r="F5218" s="387">
        <v>446</v>
      </c>
      <c r="G5218" s="445">
        <v>1978</v>
      </c>
      <c r="H5218" s="472" t="s">
        <v>5462</v>
      </c>
      <c r="I5218" s="470">
        <v>166</v>
      </c>
      <c r="J5218" s="388">
        <v>1.4</v>
      </c>
      <c r="K5218" s="388">
        <v>1</v>
      </c>
      <c r="L5218" s="497">
        <f t="shared" si="60"/>
        <v>0.39999999999999991</v>
      </c>
      <c r="M5218" s="337"/>
    </row>
    <row r="5219" spans="1:13" s="71" customFormat="1" ht="26.4" customHeight="1">
      <c r="A5219" s="282">
        <v>301</v>
      </c>
      <c r="B5219" s="537"/>
      <c r="C5219" s="444" t="s">
        <v>1154</v>
      </c>
      <c r="D5219" s="260" t="s">
        <v>7014</v>
      </c>
      <c r="E5219" s="260" t="s">
        <v>7015</v>
      </c>
      <c r="F5219" s="387">
        <v>447</v>
      </c>
      <c r="G5219" s="445">
        <v>1978</v>
      </c>
      <c r="H5219" s="472" t="s">
        <v>5462</v>
      </c>
      <c r="I5219" s="470">
        <v>275</v>
      </c>
      <c r="J5219" s="388">
        <v>2.7</v>
      </c>
      <c r="K5219" s="388">
        <v>2.1</v>
      </c>
      <c r="L5219" s="497">
        <f t="shared" si="60"/>
        <v>0.60000000000000009</v>
      </c>
      <c r="M5219" s="337"/>
    </row>
    <row r="5220" spans="1:13" s="71" customFormat="1" ht="26.4" customHeight="1">
      <c r="A5220" s="282">
        <v>302</v>
      </c>
      <c r="B5220" s="537"/>
      <c r="C5220" s="444" t="s">
        <v>1154</v>
      </c>
      <c r="D5220" s="260" t="s">
        <v>6852</v>
      </c>
      <c r="E5220" s="260" t="s">
        <v>7016</v>
      </c>
      <c r="F5220" s="387">
        <v>448</v>
      </c>
      <c r="G5220" s="445">
        <v>1978</v>
      </c>
      <c r="H5220" s="472" t="s">
        <v>5462</v>
      </c>
      <c r="I5220" s="470">
        <v>467</v>
      </c>
      <c r="J5220" s="388">
        <v>2.2999999999999998</v>
      </c>
      <c r="K5220" s="388">
        <v>1.8</v>
      </c>
      <c r="L5220" s="497">
        <f t="shared" si="60"/>
        <v>0.49999999999999978</v>
      </c>
      <c r="M5220" s="337"/>
    </row>
    <row r="5221" spans="1:13" s="71" customFormat="1" ht="26.4" customHeight="1">
      <c r="A5221" s="282">
        <v>303</v>
      </c>
      <c r="B5221" s="537"/>
      <c r="C5221" s="444" t="s">
        <v>1154</v>
      </c>
      <c r="D5221" s="260" t="s">
        <v>7009</v>
      </c>
      <c r="E5221" s="260" t="s">
        <v>7016</v>
      </c>
      <c r="F5221" s="387">
        <v>449</v>
      </c>
      <c r="G5221" s="445">
        <v>1978</v>
      </c>
      <c r="H5221" s="472" t="s">
        <v>5462</v>
      </c>
      <c r="I5221" s="470">
        <v>370</v>
      </c>
      <c r="J5221" s="388">
        <v>1.9</v>
      </c>
      <c r="K5221" s="388">
        <v>1.5</v>
      </c>
      <c r="L5221" s="497">
        <f t="shared" si="60"/>
        <v>0.39999999999999991</v>
      </c>
      <c r="M5221" s="337"/>
    </row>
    <row r="5222" spans="1:13" s="71" customFormat="1" ht="26.4" customHeight="1">
      <c r="A5222" s="282">
        <v>304</v>
      </c>
      <c r="B5222" s="537"/>
      <c r="C5222" s="444" t="s">
        <v>1154</v>
      </c>
      <c r="D5222" s="260" t="s">
        <v>6867</v>
      </c>
      <c r="E5222" s="260" t="s">
        <v>7017</v>
      </c>
      <c r="F5222" s="387">
        <v>457</v>
      </c>
      <c r="G5222" s="445">
        <v>1980</v>
      </c>
      <c r="H5222" s="472" t="s">
        <v>5462</v>
      </c>
      <c r="I5222" s="470">
        <v>274</v>
      </c>
      <c r="J5222" s="388">
        <v>3.8</v>
      </c>
      <c r="K5222" s="388">
        <v>3</v>
      </c>
      <c r="L5222" s="497">
        <f t="shared" si="60"/>
        <v>0.79999999999999982</v>
      </c>
      <c r="M5222" s="337"/>
    </row>
    <row r="5223" spans="1:13" s="71" customFormat="1" ht="26.4" customHeight="1">
      <c r="A5223" s="282">
        <v>305</v>
      </c>
      <c r="B5223" s="537"/>
      <c r="C5223" s="444" t="s">
        <v>1154</v>
      </c>
      <c r="D5223" s="260" t="s">
        <v>7018</v>
      </c>
      <c r="E5223" s="260" t="s">
        <v>7019</v>
      </c>
      <c r="F5223" s="387">
        <v>458</v>
      </c>
      <c r="G5223" s="445">
        <v>1980</v>
      </c>
      <c r="H5223" s="472" t="s">
        <v>5462</v>
      </c>
      <c r="I5223" s="470">
        <v>107</v>
      </c>
      <c r="J5223" s="388">
        <v>3.6</v>
      </c>
      <c r="K5223" s="388">
        <v>2.8</v>
      </c>
      <c r="L5223" s="497">
        <f t="shared" si="60"/>
        <v>0.80000000000000027</v>
      </c>
      <c r="M5223" s="337"/>
    </row>
    <row r="5224" spans="1:13" s="71" customFormat="1" ht="26.4" customHeight="1">
      <c r="A5224" s="282">
        <v>306</v>
      </c>
      <c r="B5224" s="537"/>
      <c r="C5224" s="444" t="s">
        <v>1154</v>
      </c>
      <c r="D5224" s="260" t="s">
        <v>7020</v>
      </c>
      <c r="E5224" s="260" t="s">
        <v>7021</v>
      </c>
      <c r="F5224" s="387">
        <v>459</v>
      </c>
      <c r="G5224" s="445">
        <v>1980</v>
      </c>
      <c r="H5224" s="472" t="s">
        <v>5462</v>
      </c>
      <c r="I5224" s="470">
        <v>123</v>
      </c>
      <c r="J5224" s="388">
        <v>2.7</v>
      </c>
      <c r="K5224" s="388">
        <v>2.1</v>
      </c>
      <c r="L5224" s="497">
        <f t="shared" si="60"/>
        <v>0.60000000000000009</v>
      </c>
      <c r="M5224" s="337"/>
    </row>
    <row r="5225" spans="1:13" s="71" customFormat="1" ht="26.4" customHeight="1">
      <c r="A5225" s="282">
        <v>307</v>
      </c>
      <c r="B5225" s="537"/>
      <c r="C5225" s="444" t="s">
        <v>1154</v>
      </c>
      <c r="D5225" s="260" t="s">
        <v>7022</v>
      </c>
      <c r="E5225" s="260" t="s">
        <v>7023</v>
      </c>
      <c r="F5225" s="387">
        <v>460</v>
      </c>
      <c r="G5225" s="445">
        <v>1980</v>
      </c>
      <c r="H5225" s="472" t="s">
        <v>5462</v>
      </c>
      <c r="I5225" s="470">
        <v>111.5</v>
      </c>
      <c r="J5225" s="388">
        <v>4.0999999999999996</v>
      </c>
      <c r="K5225" s="388">
        <v>3.2</v>
      </c>
      <c r="L5225" s="497">
        <f t="shared" si="60"/>
        <v>0.89999999999999947</v>
      </c>
      <c r="M5225" s="337"/>
    </row>
    <row r="5226" spans="1:13" s="71" customFormat="1" ht="26.4" customHeight="1">
      <c r="A5226" s="282">
        <v>308</v>
      </c>
      <c r="B5226" s="537"/>
      <c r="C5226" s="444" t="s">
        <v>1154</v>
      </c>
      <c r="D5226" s="260" t="s">
        <v>7024</v>
      </c>
      <c r="E5226" s="260" t="s">
        <v>7025</v>
      </c>
      <c r="F5226" s="387">
        <v>461</v>
      </c>
      <c r="G5226" s="445">
        <v>1980</v>
      </c>
      <c r="H5226" s="472" t="s">
        <v>5462</v>
      </c>
      <c r="I5226" s="470">
        <v>179.6</v>
      </c>
      <c r="J5226" s="388">
        <v>1.4</v>
      </c>
      <c r="K5226" s="388">
        <v>1.3</v>
      </c>
      <c r="L5226" s="497">
        <f t="shared" si="60"/>
        <v>9.9999999999999867E-2</v>
      </c>
      <c r="M5226" s="337"/>
    </row>
    <row r="5227" spans="1:13" s="71" customFormat="1" ht="26.4" customHeight="1">
      <c r="A5227" s="282">
        <v>309</v>
      </c>
      <c r="B5227" s="537"/>
      <c r="C5227" s="444" t="s">
        <v>1154</v>
      </c>
      <c r="D5227" s="260" t="s">
        <v>7026</v>
      </c>
      <c r="E5227" s="260" t="s">
        <v>7027</v>
      </c>
      <c r="F5227" s="387">
        <v>462</v>
      </c>
      <c r="G5227" s="445">
        <v>1980</v>
      </c>
      <c r="H5227" s="472" t="s">
        <v>5462</v>
      </c>
      <c r="I5227" s="470">
        <v>114</v>
      </c>
      <c r="J5227" s="388">
        <v>1.7</v>
      </c>
      <c r="K5227" s="388">
        <v>1.3</v>
      </c>
      <c r="L5227" s="497">
        <f t="shared" si="60"/>
        <v>0.39999999999999991</v>
      </c>
      <c r="M5227" s="337"/>
    </row>
    <row r="5228" spans="1:13" s="71" customFormat="1" ht="26.4" customHeight="1">
      <c r="A5228" s="282">
        <v>310</v>
      </c>
      <c r="B5228" s="537"/>
      <c r="C5228" s="444" t="s">
        <v>1154</v>
      </c>
      <c r="D5228" s="260" t="s">
        <v>7028</v>
      </c>
      <c r="E5228" s="260" t="s">
        <v>7029</v>
      </c>
      <c r="F5228" s="387">
        <v>463</v>
      </c>
      <c r="G5228" s="445">
        <v>1980</v>
      </c>
      <c r="H5228" s="472" t="s">
        <v>5462</v>
      </c>
      <c r="I5228" s="470">
        <v>146</v>
      </c>
      <c r="J5228" s="388">
        <v>3.2</v>
      </c>
      <c r="K5228" s="388">
        <v>2.5</v>
      </c>
      <c r="L5228" s="497">
        <f t="shared" si="60"/>
        <v>0.70000000000000018</v>
      </c>
      <c r="M5228" s="337"/>
    </row>
    <row r="5229" spans="1:13" s="71" customFormat="1" ht="26.4" customHeight="1">
      <c r="A5229" s="282">
        <v>311</v>
      </c>
      <c r="B5229" s="537"/>
      <c r="C5229" s="444" t="s">
        <v>1154</v>
      </c>
      <c r="D5229" s="260" t="s">
        <v>7030</v>
      </c>
      <c r="E5229" s="260" t="s">
        <v>7031</v>
      </c>
      <c r="F5229" s="387">
        <v>464</v>
      </c>
      <c r="G5229" s="445">
        <v>1980</v>
      </c>
      <c r="H5229" s="472" t="s">
        <v>5462</v>
      </c>
      <c r="I5229" s="470">
        <v>75</v>
      </c>
      <c r="J5229" s="388">
        <v>1.8</v>
      </c>
      <c r="K5229" s="388">
        <v>1.4</v>
      </c>
      <c r="L5229" s="497">
        <f t="shared" si="60"/>
        <v>0.40000000000000013</v>
      </c>
      <c r="M5229" s="337"/>
    </row>
    <row r="5230" spans="1:13" s="71" customFormat="1" ht="26.4" customHeight="1">
      <c r="A5230" s="282">
        <v>312</v>
      </c>
      <c r="B5230" s="537"/>
      <c r="C5230" s="444" t="s">
        <v>1154</v>
      </c>
      <c r="D5230" s="260" t="s">
        <v>7032</v>
      </c>
      <c r="E5230" s="260" t="s">
        <v>7033</v>
      </c>
      <c r="F5230" s="387">
        <v>465</v>
      </c>
      <c r="G5230" s="445">
        <v>1980</v>
      </c>
      <c r="H5230" s="472" t="s">
        <v>5462</v>
      </c>
      <c r="I5230" s="470">
        <v>225</v>
      </c>
      <c r="J5230" s="388">
        <v>3.1</v>
      </c>
      <c r="K5230" s="388">
        <v>2.4</v>
      </c>
      <c r="L5230" s="495">
        <f t="shared" si="60"/>
        <v>0.70000000000000018</v>
      </c>
      <c r="M5230" s="337"/>
    </row>
    <row r="5231" spans="1:13" s="71" customFormat="1" ht="26.4" customHeight="1">
      <c r="A5231" s="282">
        <v>313</v>
      </c>
      <c r="B5231" s="537"/>
      <c r="C5231" s="444" t="s">
        <v>1154</v>
      </c>
      <c r="D5231" s="260" t="s">
        <v>7034</v>
      </c>
      <c r="E5231" s="260" t="s">
        <v>7035</v>
      </c>
      <c r="F5231" s="387">
        <v>466</v>
      </c>
      <c r="G5231" s="445">
        <v>1980</v>
      </c>
      <c r="H5231" s="472" t="s">
        <v>5462</v>
      </c>
      <c r="I5231" s="470">
        <v>98</v>
      </c>
      <c r="J5231" s="388">
        <v>6.5</v>
      </c>
      <c r="K5231" s="388">
        <v>5.0999999999999996</v>
      </c>
      <c r="L5231" s="495">
        <f t="shared" si="60"/>
        <v>1.4000000000000004</v>
      </c>
      <c r="M5231" s="337"/>
    </row>
    <row r="5232" spans="1:13" s="71" customFormat="1" ht="26.4" customHeight="1">
      <c r="A5232" s="282">
        <v>314</v>
      </c>
      <c r="B5232" s="537"/>
      <c r="C5232" s="444" t="s">
        <v>1154</v>
      </c>
      <c r="D5232" s="444" t="s">
        <v>7036</v>
      </c>
      <c r="E5232" s="260" t="s">
        <v>7037</v>
      </c>
      <c r="F5232" s="387">
        <v>467</v>
      </c>
      <c r="G5232" s="445">
        <v>1980</v>
      </c>
      <c r="H5232" s="472" t="s">
        <v>5462</v>
      </c>
      <c r="I5232" s="470">
        <v>150</v>
      </c>
      <c r="J5232" s="388">
        <v>4</v>
      </c>
      <c r="K5232" s="388">
        <v>3.1</v>
      </c>
      <c r="L5232" s="495">
        <f t="shared" si="60"/>
        <v>0.89999999999999991</v>
      </c>
      <c r="M5232" s="337"/>
    </row>
    <row r="5233" spans="1:13" s="71" customFormat="1" ht="26.4" customHeight="1">
      <c r="A5233" s="282">
        <v>315</v>
      </c>
      <c r="B5233" s="537"/>
      <c r="C5233" s="444" t="s">
        <v>1154</v>
      </c>
      <c r="D5233" s="260" t="s">
        <v>7032</v>
      </c>
      <c r="E5233" s="260" t="s">
        <v>7038</v>
      </c>
      <c r="F5233" s="387">
        <v>468</v>
      </c>
      <c r="G5233" s="445">
        <v>1980</v>
      </c>
      <c r="H5233" s="472" t="s">
        <v>5462</v>
      </c>
      <c r="I5233" s="470">
        <v>101</v>
      </c>
      <c r="J5233" s="388">
        <v>1.4</v>
      </c>
      <c r="K5233" s="388">
        <v>1.1000000000000001</v>
      </c>
      <c r="L5233" s="495">
        <f t="shared" si="60"/>
        <v>0.29999999999999982</v>
      </c>
      <c r="M5233" s="337"/>
    </row>
    <row r="5234" spans="1:13" s="71" customFormat="1" ht="26.4" customHeight="1">
      <c r="A5234" s="282">
        <v>316</v>
      </c>
      <c r="B5234" s="537"/>
      <c r="C5234" s="444" t="s">
        <v>1154</v>
      </c>
      <c r="D5234" s="260" t="s">
        <v>7032</v>
      </c>
      <c r="E5234" s="260" t="s">
        <v>7039</v>
      </c>
      <c r="F5234" s="387">
        <v>469</v>
      </c>
      <c r="G5234" s="445">
        <v>1980</v>
      </c>
      <c r="H5234" s="472" t="s">
        <v>5462</v>
      </c>
      <c r="I5234" s="470">
        <v>158</v>
      </c>
      <c r="J5234" s="388">
        <v>3.7</v>
      </c>
      <c r="K5234" s="388">
        <v>2.9</v>
      </c>
      <c r="L5234" s="495">
        <f t="shared" si="60"/>
        <v>0.80000000000000027</v>
      </c>
      <c r="M5234" s="337"/>
    </row>
    <row r="5235" spans="1:13" s="71" customFormat="1" ht="26.4" customHeight="1">
      <c r="A5235" s="282">
        <v>317</v>
      </c>
      <c r="B5235" s="537"/>
      <c r="C5235" s="444" t="s">
        <v>1154</v>
      </c>
      <c r="D5235" s="260" t="s">
        <v>7032</v>
      </c>
      <c r="E5235" s="260" t="s">
        <v>7040</v>
      </c>
      <c r="F5235" s="387">
        <v>470</v>
      </c>
      <c r="G5235" s="445">
        <v>1980</v>
      </c>
      <c r="H5235" s="472" t="s">
        <v>5462</v>
      </c>
      <c r="I5235" s="470">
        <v>133</v>
      </c>
      <c r="J5235" s="388">
        <v>2.7</v>
      </c>
      <c r="K5235" s="388">
        <v>2.1</v>
      </c>
      <c r="L5235" s="495">
        <f t="shared" si="60"/>
        <v>0.60000000000000009</v>
      </c>
      <c r="M5235" s="337"/>
    </row>
    <row r="5236" spans="1:13" s="71" customFormat="1" ht="26.4" customHeight="1">
      <c r="A5236" s="282">
        <v>318</v>
      </c>
      <c r="B5236" s="537"/>
      <c r="C5236" s="444" t="s">
        <v>1154</v>
      </c>
      <c r="D5236" s="260" t="s">
        <v>7032</v>
      </c>
      <c r="E5236" s="260" t="s">
        <v>7041</v>
      </c>
      <c r="F5236" s="387">
        <v>471</v>
      </c>
      <c r="G5236" s="445">
        <v>1980</v>
      </c>
      <c r="H5236" s="472" t="s">
        <v>5462</v>
      </c>
      <c r="I5236" s="470">
        <v>110</v>
      </c>
      <c r="J5236" s="388">
        <v>1.9</v>
      </c>
      <c r="K5236" s="388">
        <v>1.5</v>
      </c>
      <c r="L5236" s="495">
        <f t="shared" si="60"/>
        <v>0.39999999999999991</v>
      </c>
      <c r="M5236" s="337"/>
    </row>
    <row r="5237" spans="1:13" s="71" customFormat="1" ht="26.4" customHeight="1">
      <c r="A5237" s="282">
        <v>319</v>
      </c>
      <c r="B5237" s="537"/>
      <c r="C5237" s="444" t="s">
        <v>1154</v>
      </c>
      <c r="D5237" s="260" t="s">
        <v>7032</v>
      </c>
      <c r="E5237" s="260" t="s">
        <v>7042</v>
      </c>
      <c r="F5237" s="387">
        <v>472</v>
      </c>
      <c r="G5237" s="445">
        <v>1980</v>
      </c>
      <c r="H5237" s="472" t="s">
        <v>5462</v>
      </c>
      <c r="I5237" s="470">
        <v>123</v>
      </c>
      <c r="J5237" s="388">
        <v>2.2000000000000002</v>
      </c>
      <c r="K5237" s="388">
        <v>1.7</v>
      </c>
      <c r="L5237" s="495">
        <f t="shared" si="60"/>
        <v>0.50000000000000022</v>
      </c>
      <c r="M5237" s="337"/>
    </row>
    <row r="5238" spans="1:13" s="71" customFormat="1" ht="26.4" customHeight="1">
      <c r="A5238" s="282">
        <v>320</v>
      </c>
      <c r="B5238" s="537"/>
      <c r="C5238" s="444" t="s">
        <v>1154</v>
      </c>
      <c r="D5238" s="260" t="s">
        <v>7032</v>
      </c>
      <c r="E5238" s="260" t="s">
        <v>7043</v>
      </c>
      <c r="F5238" s="387">
        <v>473</v>
      </c>
      <c r="G5238" s="445">
        <v>1980</v>
      </c>
      <c r="H5238" s="472" t="s">
        <v>5462</v>
      </c>
      <c r="I5238" s="470">
        <v>122</v>
      </c>
      <c r="J5238" s="388">
        <v>2.2000000000000002</v>
      </c>
      <c r="K5238" s="388">
        <v>1.7</v>
      </c>
      <c r="L5238" s="495">
        <f t="shared" si="60"/>
        <v>0.50000000000000022</v>
      </c>
      <c r="M5238" s="337"/>
    </row>
    <row r="5239" spans="1:13" s="71" customFormat="1" ht="26.4" customHeight="1">
      <c r="A5239" s="282">
        <v>321</v>
      </c>
      <c r="B5239" s="537"/>
      <c r="C5239" s="444" t="s">
        <v>1154</v>
      </c>
      <c r="D5239" s="260" t="s">
        <v>7032</v>
      </c>
      <c r="E5239" s="260" t="s">
        <v>7044</v>
      </c>
      <c r="F5239" s="387">
        <v>474</v>
      </c>
      <c r="G5239" s="445">
        <v>1980</v>
      </c>
      <c r="H5239" s="472" t="s">
        <v>5462</v>
      </c>
      <c r="I5239" s="470">
        <v>125</v>
      </c>
      <c r="J5239" s="388">
        <v>2.2999999999999998</v>
      </c>
      <c r="K5239" s="388">
        <v>1.8</v>
      </c>
      <c r="L5239" s="495">
        <f t="shared" ref="L5239:L5302" si="61">J5239-K5239</f>
        <v>0.49999999999999978</v>
      </c>
      <c r="M5239" s="337"/>
    </row>
    <row r="5240" spans="1:13" s="71" customFormat="1" ht="26.4" customHeight="1">
      <c r="A5240" s="282">
        <v>322</v>
      </c>
      <c r="B5240" s="537"/>
      <c r="C5240" s="444" t="s">
        <v>1154</v>
      </c>
      <c r="D5240" s="260" t="s">
        <v>7045</v>
      </c>
      <c r="E5240" s="260" t="s">
        <v>7046</v>
      </c>
      <c r="F5240" s="387">
        <v>475</v>
      </c>
      <c r="G5240" s="445">
        <v>1980</v>
      </c>
      <c r="H5240" s="472" t="s">
        <v>5462</v>
      </c>
      <c r="I5240" s="470">
        <v>701</v>
      </c>
      <c r="J5240" s="388">
        <v>3.6</v>
      </c>
      <c r="K5240" s="388">
        <v>2.8</v>
      </c>
      <c r="L5240" s="495">
        <f t="shared" si="61"/>
        <v>0.80000000000000027</v>
      </c>
      <c r="M5240" s="337"/>
    </row>
    <row r="5241" spans="1:13" s="71" customFormat="1" ht="26.4" customHeight="1">
      <c r="A5241" s="282">
        <v>323</v>
      </c>
      <c r="B5241" s="537"/>
      <c r="C5241" s="444" t="s">
        <v>1154</v>
      </c>
      <c r="D5241" s="260" t="s">
        <v>7047</v>
      </c>
      <c r="E5241" s="260" t="s">
        <v>7048</v>
      </c>
      <c r="F5241" s="387">
        <v>476</v>
      </c>
      <c r="G5241" s="445">
        <v>1980</v>
      </c>
      <c r="H5241" s="472" t="s">
        <v>5462</v>
      </c>
      <c r="I5241" s="470">
        <v>2166</v>
      </c>
      <c r="J5241" s="388">
        <v>9</v>
      </c>
      <c r="K5241" s="388">
        <v>7</v>
      </c>
      <c r="L5241" s="495">
        <f t="shared" si="61"/>
        <v>2</v>
      </c>
      <c r="M5241" s="337"/>
    </row>
    <row r="5242" spans="1:13" s="71" customFormat="1" ht="26.4" customHeight="1">
      <c r="A5242" s="282">
        <v>324</v>
      </c>
      <c r="B5242" s="537"/>
      <c r="C5242" s="444" t="s">
        <v>1154</v>
      </c>
      <c r="D5242" s="260" t="s">
        <v>6819</v>
      </c>
      <c r="E5242" s="260" t="s">
        <v>7049</v>
      </c>
      <c r="F5242" s="387">
        <v>477</v>
      </c>
      <c r="G5242" s="445">
        <v>1980</v>
      </c>
      <c r="H5242" s="472" t="s">
        <v>5462</v>
      </c>
      <c r="I5242" s="470">
        <v>2100</v>
      </c>
      <c r="J5242" s="388">
        <v>9</v>
      </c>
      <c r="K5242" s="388">
        <v>7</v>
      </c>
      <c r="L5242" s="495">
        <f t="shared" si="61"/>
        <v>2</v>
      </c>
      <c r="M5242" s="337"/>
    </row>
    <row r="5243" spans="1:13" s="71" customFormat="1" ht="26.4" customHeight="1">
      <c r="A5243" s="282">
        <v>325</v>
      </c>
      <c r="B5243" s="537"/>
      <c r="C5243" s="444" t="s">
        <v>1154</v>
      </c>
      <c r="D5243" s="260" t="s">
        <v>7050</v>
      </c>
      <c r="E5243" s="260" t="s">
        <v>7051</v>
      </c>
      <c r="F5243" s="387">
        <v>478</v>
      </c>
      <c r="G5243" s="445">
        <v>1980</v>
      </c>
      <c r="H5243" s="472" t="s">
        <v>5462</v>
      </c>
      <c r="I5243" s="470">
        <v>797</v>
      </c>
      <c r="J5243" s="388">
        <v>53</v>
      </c>
      <c r="K5243" s="388">
        <v>44.4</v>
      </c>
      <c r="L5243" s="495">
        <f t="shared" si="61"/>
        <v>8.6000000000000014</v>
      </c>
      <c r="M5243" s="337"/>
    </row>
    <row r="5244" spans="1:13" s="71" customFormat="1" ht="26.4" customHeight="1">
      <c r="A5244" s="282">
        <v>326</v>
      </c>
      <c r="B5244" s="537"/>
      <c r="C5244" s="444" t="s">
        <v>1154</v>
      </c>
      <c r="D5244" s="260" t="s">
        <v>6989</v>
      </c>
      <c r="E5244" s="260" t="s">
        <v>7052</v>
      </c>
      <c r="F5244" s="387">
        <v>479</v>
      </c>
      <c r="G5244" s="445">
        <v>1980</v>
      </c>
      <c r="H5244" s="472" t="s">
        <v>5462</v>
      </c>
      <c r="I5244" s="470">
        <v>113</v>
      </c>
      <c r="J5244" s="388">
        <v>2.6</v>
      </c>
      <c r="K5244" s="388">
        <v>2</v>
      </c>
      <c r="L5244" s="495">
        <f t="shared" si="61"/>
        <v>0.60000000000000009</v>
      </c>
      <c r="M5244" s="337"/>
    </row>
    <row r="5245" spans="1:13" s="71" customFormat="1" ht="26.4" customHeight="1">
      <c r="A5245" s="282">
        <v>327</v>
      </c>
      <c r="B5245" s="537"/>
      <c r="C5245" s="444" t="s">
        <v>1154</v>
      </c>
      <c r="D5245" s="260" t="s">
        <v>7053</v>
      </c>
      <c r="E5245" s="260" t="s">
        <v>7054</v>
      </c>
      <c r="F5245" s="387">
        <v>480</v>
      </c>
      <c r="G5245" s="445">
        <v>1980</v>
      </c>
      <c r="H5245" s="472" t="s">
        <v>5462</v>
      </c>
      <c r="I5245" s="470">
        <v>2450</v>
      </c>
      <c r="J5245" s="388">
        <v>88.8</v>
      </c>
      <c r="K5245" s="388">
        <v>75.400000000000006</v>
      </c>
      <c r="L5245" s="495">
        <f t="shared" si="61"/>
        <v>13.399999999999991</v>
      </c>
      <c r="M5245" s="337"/>
    </row>
    <row r="5246" spans="1:13" s="71" customFormat="1" ht="26.4" customHeight="1">
      <c r="A5246" s="282">
        <v>328</v>
      </c>
      <c r="B5246" s="537"/>
      <c r="C5246" s="444" t="s">
        <v>1154</v>
      </c>
      <c r="D5246" s="260" t="s">
        <v>7055</v>
      </c>
      <c r="E5246" s="260" t="s">
        <v>7056</v>
      </c>
      <c r="F5246" s="387">
        <v>481</v>
      </c>
      <c r="G5246" s="445">
        <v>1980</v>
      </c>
      <c r="H5246" s="472" t="s">
        <v>5462</v>
      </c>
      <c r="I5246" s="470">
        <v>492</v>
      </c>
      <c r="J5246" s="388">
        <v>2.7</v>
      </c>
      <c r="K5246" s="388">
        <v>2.1</v>
      </c>
      <c r="L5246" s="495">
        <f t="shared" si="61"/>
        <v>0.60000000000000009</v>
      </c>
      <c r="M5246" s="337"/>
    </row>
    <row r="5247" spans="1:13" s="71" customFormat="1" ht="26.4" customHeight="1">
      <c r="A5247" s="282">
        <v>329</v>
      </c>
      <c r="B5247" s="537"/>
      <c r="C5247" s="444" t="s">
        <v>1154</v>
      </c>
      <c r="D5247" s="260" t="s">
        <v>7055</v>
      </c>
      <c r="E5247" s="260" t="s">
        <v>7057</v>
      </c>
      <c r="F5247" s="387">
        <v>482</v>
      </c>
      <c r="G5247" s="445">
        <v>1980</v>
      </c>
      <c r="H5247" s="472" t="s">
        <v>5462</v>
      </c>
      <c r="I5247" s="470">
        <v>897</v>
      </c>
      <c r="J5247" s="388">
        <v>41.2</v>
      </c>
      <c r="K5247" s="388">
        <v>34.6</v>
      </c>
      <c r="L5247" s="495">
        <f t="shared" si="61"/>
        <v>6.6000000000000014</v>
      </c>
      <c r="M5247" s="337"/>
    </row>
    <row r="5248" spans="1:13" s="71" customFormat="1" ht="26.4" customHeight="1">
      <c r="A5248" s="282">
        <v>330</v>
      </c>
      <c r="B5248" s="537"/>
      <c r="C5248" s="444" t="s">
        <v>1154</v>
      </c>
      <c r="D5248" s="260" t="s">
        <v>7058</v>
      </c>
      <c r="E5248" s="260" t="s">
        <v>7059</v>
      </c>
      <c r="F5248" s="387">
        <v>483</v>
      </c>
      <c r="G5248" s="445">
        <v>1980</v>
      </c>
      <c r="H5248" s="472" t="s">
        <v>5462</v>
      </c>
      <c r="I5248" s="470">
        <v>744</v>
      </c>
      <c r="J5248" s="388">
        <v>32.200000000000003</v>
      </c>
      <c r="K5248" s="388">
        <v>26</v>
      </c>
      <c r="L5248" s="495">
        <f t="shared" si="61"/>
        <v>6.2000000000000028</v>
      </c>
      <c r="M5248" s="337"/>
    </row>
    <row r="5249" spans="1:13" s="71" customFormat="1" ht="26.4" customHeight="1">
      <c r="A5249" s="282">
        <v>331</v>
      </c>
      <c r="B5249" s="537"/>
      <c r="C5249" s="444" t="s">
        <v>1154</v>
      </c>
      <c r="D5249" s="260" t="s">
        <v>7058</v>
      </c>
      <c r="E5249" s="260" t="s">
        <v>7059</v>
      </c>
      <c r="F5249" s="387">
        <v>484</v>
      </c>
      <c r="G5249" s="445">
        <v>1980</v>
      </c>
      <c r="H5249" s="472" t="s">
        <v>5462</v>
      </c>
      <c r="I5249" s="470">
        <v>26</v>
      </c>
      <c r="J5249" s="388">
        <v>1.2</v>
      </c>
      <c r="K5249" s="388">
        <v>0.9</v>
      </c>
      <c r="L5249" s="495">
        <f t="shared" si="61"/>
        <v>0.29999999999999993</v>
      </c>
      <c r="M5249" s="337"/>
    </row>
    <row r="5250" spans="1:13" s="71" customFormat="1" ht="26.4" customHeight="1">
      <c r="A5250" s="282">
        <v>332</v>
      </c>
      <c r="B5250" s="537"/>
      <c r="C5250" s="444" t="s">
        <v>1154</v>
      </c>
      <c r="D5250" s="260" t="s">
        <v>7060</v>
      </c>
      <c r="E5250" s="260" t="s">
        <v>7061</v>
      </c>
      <c r="F5250" s="387">
        <v>485</v>
      </c>
      <c r="G5250" s="445">
        <v>1980</v>
      </c>
      <c r="H5250" s="472" t="s">
        <v>5462</v>
      </c>
      <c r="I5250" s="470">
        <v>2057</v>
      </c>
      <c r="J5250" s="388">
        <v>94.6</v>
      </c>
      <c r="K5250" s="388">
        <v>81.900000000000006</v>
      </c>
      <c r="L5250" s="495">
        <f t="shared" si="61"/>
        <v>12.699999999999989</v>
      </c>
      <c r="M5250" s="337"/>
    </row>
    <row r="5251" spans="1:13" s="71" customFormat="1" ht="26.4" customHeight="1">
      <c r="A5251" s="282">
        <v>333</v>
      </c>
      <c r="B5251" s="537"/>
      <c r="C5251" s="444" t="s">
        <v>1154</v>
      </c>
      <c r="D5251" s="260" t="s">
        <v>7062</v>
      </c>
      <c r="E5251" s="260" t="s">
        <v>7063</v>
      </c>
      <c r="F5251" s="387">
        <v>486</v>
      </c>
      <c r="G5251" s="445">
        <v>1980</v>
      </c>
      <c r="H5251" s="472" t="s">
        <v>5462</v>
      </c>
      <c r="I5251" s="470">
        <v>500</v>
      </c>
      <c r="J5251" s="388">
        <v>23</v>
      </c>
      <c r="K5251" s="388">
        <v>17.899999999999999</v>
      </c>
      <c r="L5251" s="495">
        <f t="shared" si="61"/>
        <v>5.1000000000000014</v>
      </c>
      <c r="M5251" s="337"/>
    </row>
    <row r="5252" spans="1:13" s="71" customFormat="1" ht="26.4" customHeight="1">
      <c r="A5252" s="282">
        <v>334</v>
      </c>
      <c r="B5252" s="537"/>
      <c r="C5252" s="444" t="s">
        <v>1154</v>
      </c>
      <c r="D5252" s="260" t="s">
        <v>7064</v>
      </c>
      <c r="E5252" s="260" t="s">
        <v>13157</v>
      </c>
      <c r="F5252" s="387">
        <v>487</v>
      </c>
      <c r="G5252" s="445">
        <v>1980</v>
      </c>
      <c r="H5252" s="472" t="s">
        <v>5462</v>
      </c>
      <c r="I5252" s="470">
        <v>800</v>
      </c>
      <c r="J5252" s="388">
        <v>36.799999999999997</v>
      </c>
      <c r="K5252" s="388">
        <v>31.2</v>
      </c>
      <c r="L5252" s="495">
        <f t="shared" si="61"/>
        <v>5.5999999999999979</v>
      </c>
      <c r="M5252" s="337"/>
    </row>
    <row r="5253" spans="1:13" s="71" customFormat="1" ht="26.4" customHeight="1">
      <c r="A5253" s="282">
        <v>335</v>
      </c>
      <c r="B5253" s="537"/>
      <c r="C5253" s="444" t="s">
        <v>1154</v>
      </c>
      <c r="D5253" s="260" t="s">
        <v>7065</v>
      </c>
      <c r="E5253" s="260" t="s">
        <v>7066</v>
      </c>
      <c r="F5253" s="387">
        <v>488</v>
      </c>
      <c r="G5253" s="445">
        <v>1980</v>
      </c>
      <c r="H5253" s="472" t="s">
        <v>5462</v>
      </c>
      <c r="I5253" s="470">
        <v>543</v>
      </c>
      <c r="J5253" s="388">
        <v>21.9</v>
      </c>
      <c r="K5253" s="388">
        <v>17.100000000000001</v>
      </c>
      <c r="L5253" s="495">
        <f t="shared" si="61"/>
        <v>4.7999999999999972</v>
      </c>
      <c r="M5253" s="337"/>
    </row>
    <row r="5254" spans="1:13" s="71" customFormat="1" ht="26.4" customHeight="1">
      <c r="A5254" s="282">
        <v>336</v>
      </c>
      <c r="B5254" s="537"/>
      <c r="C5254" s="444" t="s">
        <v>1154</v>
      </c>
      <c r="D5254" s="260" t="s">
        <v>7067</v>
      </c>
      <c r="E5254" s="260" t="s">
        <v>7068</v>
      </c>
      <c r="F5254" s="387">
        <v>489</v>
      </c>
      <c r="G5254" s="445">
        <v>1981</v>
      </c>
      <c r="H5254" s="472" t="s">
        <v>5462</v>
      </c>
      <c r="I5254" s="470">
        <v>116.5</v>
      </c>
      <c r="J5254" s="388">
        <v>3</v>
      </c>
      <c r="K5254" s="388">
        <v>2.2999999999999998</v>
      </c>
      <c r="L5254" s="495">
        <f t="shared" si="61"/>
        <v>0.70000000000000018</v>
      </c>
      <c r="M5254" s="337"/>
    </row>
    <row r="5255" spans="1:13" s="71" customFormat="1" ht="26.4" customHeight="1">
      <c r="A5255" s="282">
        <v>337</v>
      </c>
      <c r="B5255" s="537"/>
      <c r="C5255" s="444" t="s">
        <v>1154</v>
      </c>
      <c r="D5255" s="260" t="s">
        <v>6880</v>
      </c>
      <c r="E5255" s="260" t="s">
        <v>7069</v>
      </c>
      <c r="F5255" s="387">
        <v>490</v>
      </c>
      <c r="G5255" s="445">
        <v>1981</v>
      </c>
      <c r="H5255" s="472" t="s">
        <v>5462</v>
      </c>
      <c r="I5255" s="470">
        <v>232</v>
      </c>
      <c r="J5255" s="388">
        <v>6.4</v>
      </c>
      <c r="K5255" s="388">
        <v>5</v>
      </c>
      <c r="L5255" s="495">
        <f t="shared" si="61"/>
        <v>1.4000000000000004</v>
      </c>
      <c r="M5255" s="337"/>
    </row>
    <row r="5256" spans="1:13" s="71" customFormat="1" ht="26.4" customHeight="1">
      <c r="A5256" s="282">
        <v>338</v>
      </c>
      <c r="B5256" s="537"/>
      <c r="C5256" s="444" t="s">
        <v>1154</v>
      </c>
      <c r="D5256" s="260" t="s">
        <v>6904</v>
      </c>
      <c r="E5256" s="260" t="s">
        <v>7070</v>
      </c>
      <c r="F5256" s="387">
        <v>491</v>
      </c>
      <c r="G5256" s="445">
        <v>1981</v>
      </c>
      <c r="H5256" s="472" t="s">
        <v>5462</v>
      </c>
      <c r="I5256" s="470">
        <v>307</v>
      </c>
      <c r="J5256" s="388">
        <v>5.2</v>
      </c>
      <c r="K5256" s="388">
        <v>4</v>
      </c>
      <c r="L5256" s="495">
        <f t="shared" si="61"/>
        <v>1.2000000000000002</v>
      </c>
      <c r="M5256" s="337"/>
    </row>
    <row r="5257" spans="1:13" s="71" customFormat="1" ht="26.4" customHeight="1">
      <c r="A5257" s="282">
        <v>339</v>
      </c>
      <c r="B5257" s="537"/>
      <c r="C5257" s="444" t="s">
        <v>1154</v>
      </c>
      <c r="D5257" s="260" t="s">
        <v>6873</v>
      </c>
      <c r="E5257" s="260" t="s">
        <v>7071</v>
      </c>
      <c r="F5257" s="387">
        <v>492</v>
      </c>
      <c r="G5257" s="445">
        <v>1981</v>
      </c>
      <c r="H5257" s="472" t="s">
        <v>5462</v>
      </c>
      <c r="I5257" s="470">
        <v>94</v>
      </c>
      <c r="J5257" s="388">
        <v>2.6</v>
      </c>
      <c r="K5257" s="388">
        <v>2</v>
      </c>
      <c r="L5257" s="495">
        <f t="shared" si="61"/>
        <v>0.60000000000000009</v>
      </c>
      <c r="M5257" s="337"/>
    </row>
    <row r="5258" spans="1:13" s="71" customFormat="1" ht="26.4" customHeight="1">
      <c r="A5258" s="282">
        <v>340</v>
      </c>
      <c r="B5258" s="537"/>
      <c r="C5258" s="444" t="s">
        <v>1154</v>
      </c>
      <c r="D5258" s="260" t="s">
        <v>6873</v>
      </c>
      <c r="E5258" s="260" t="s">
        <v>7072</v>
      </c>
      <c r="F5258" s="387">
        <v>493</v>
      </c>
      <c r="G5258" s="445">
        <v>1981</v>
      </c>
      <c r="H5258" s="472" t="s">
        <v>5462</v>
      </c>
      <c r="I5258" s="470">
        <v>160</v>
      </c>
      <c r="J5258" s="388">
        <v>1.4</v>
      </c>
      <c r="K5258" s="388">
        <v>1.1000000000000001</v>
      </c>
      <c r="L5258" s="495">
        <f t="shared" si="61"/>
        <v>0.29999999999999982</v>
      </c>
      <c r="M5258" s="337"/>
    </row>
    <row r="5259" spans="1:13" s="71" customFormat="1" ht="26.4" customHeight="1">
      <c r="A5259" s="282">
        <v>341</v>
      </c>
      <c r="B5259" s="537"/>
      <c r="C5259" s="444" t="s">
        <v>1154</v>
      </c>
      <c r="D5259" s="260" t="s">
        <v>6873</v>
      </c>
      <c r="E5259" s="260" t="s">
        <v>7073</v>
      </c>
      <c r="F5259" s="387">
        <v>494</v>
      </c>
      <c r="G5259" s="445">
        <v>1981</v>
      </c>
      <c r="H5259" s="472" t="s">
        <v>5462</v>
      </c>
      <c r="I5259" s="470">
        <v>160</v>
      </c>
      <c r="J5259" s="388">
        <v>2.1</v>
      </c>
      <c r="K5259" s="388">
        <v>1.6</v>
      </c>
      <c r="L5259" s="495">
        <f t="shared" si="61"/>
        <v>0.5</v>
      </c>
      <c r="M5259" s="337"/>
    </row>
    <row r="5260" spans="1:13" s="71" customFormat="1" ht="26.4" customHeight="1">
      <c r="A5260" s="282">
        <v>342</v>
      </c>
      <c r="B5260" s="537"/>
      <c r="C5260" s="444" t="s">
        <v>1154</v>
      </c>
      <c r="D5260" s="260" t="s">
        <v>6873</v>
      </c>
      <c r="E5260" s="260" t="s">
        <v>7074</v>
      </c>
      <c r="F5260" s="387">
        <v>495</v>
      </c>
      <c r="G5260" s="445">
        <v>1981</v>
      </c>
      <c r="H5260" s="472" t="s">
        <v>5462</v>
      </c>
      <c r="I5260" s="470">
        <v>249</v>
      </c>
      <c r="J5260" s="388">
        <v>5.6</v>
      </c>
      <c r="K5260" s="388">
        <v>4.4000000000000004</v>
      </c>
      <c r="L5260" s="495">
        <f t="shared" si="61"/>
        <v>1.1999999999999993</v>
      </c>
      <c r="M5260" s="337"/>
    </row>
    <row r="5261" spans="1:13" s="71" customFormat="1" ht="26.4" customHeight="1">
      <c r="A5261" s="282">
        <v>343</v>
      </c>
      <c r="B5261" s="537"/>
      <c r="C5261" s="444" t="s">
        <v>1154</v>
      </c>
      <c r="D5261" s="260" t="s">
        <v>6873</v>
      </c>
      <c r="E5261" s="260" t="s">
        <v>7013</v>
      </c>
      <c r="F5261" s="387">
        <v>496</v>
      </c>
      <c r="G5261" s="445">
        <v>1981</v>
      </c>
      <c r="H5261" s="472" t="s">
        <v>5462</v>
      </c>
      <c r="I5261" s="470">
        <v>268</v>
      </c>
      <c r="J5261" s="388">
        <v>6</v>
      </c>
      <c r="K5261" s="388">
        <v>5</v>
      </c>
      <c r="L5261" s="495">
        <f t="shared" si="61"/>
        <v>1</v>
      </c>
      <c r="M5261" s="337"/>
    </row>
    <row r="5262" spans="1:13" s="71" customFormat="1" ht="26.4" customHeight="1">
      <c r="A5262" s="282">
        <v>344</v>
      </c>
      <c r="B5262" s="537"/>
      <c r="C5262" s="444" t="s">
        <v>1154</v>
      </c>
      <c r="D5262" s="260" t="s">
        <v>6873</v>
      </c>
      <c r="E5262" s="260" t="s">
        <v>7075</v>
      </c>
      <c r="F5262" s="387">
        <v>497</v>
      </c>
      <c r="G5262" s="445">
        <v>1981</v>
      </c>
      <c r="H5262" s="472" t="s">
        <v>5462</v>
      </c>
      <c r="I5262" s="470">
        <v>291</v>
      </c>
      <c r="J5262" s="388">
        <v>1.4</v>
      </c>
      <c r="K5262" s="388">
        <v>1.1000000000000001</v>
      </c>
      <c r="L5262" s="495">
        <f t="shared" si="61"/>
        <v>0.29999999999999982</v>
      </c>
      <c r="M5262" s="337"/>
    </row>
    <row r="5263" spans="1:13" s="71" customFormat="1" ht="26.4" customHeight="1">
      <c r="A5263" s="282">
        <v>345</v>
      </c>
      <c r="B5263" s="537"/>
      <c r="C5263" s="444" t="s">
        <v>1154</v>
      </c>
      <c r="D5263" s="260" t="s">
        <v>6923</v>
      </c>
      <c r="E5263" s="260" t="s">
        <v>7076</v>
      </c>
      <c r="F5263" s="387">
        <v>498</v>
      </c>
      <c r="G5263" s="445">
        <v>1984</v>
      </c>
      <c r="H5263" s="472" t="s">
        <v>5462</v>
      </c>
      <c r="I5263" s="470">
        <v>112</v>
      </c>
      <c r="J5263" s="388">
        <v>2.8</v>
      </c>
      <c r="K5263" s="388">
        <v>2.2000000000000002</v>
      </c>
      <c r="L5263" s="495">
        <f t="shared" si="61"/>
        <v>0.59999999999999964</v>
      </c>
      <c r="M5263" s="337"/>
    </row>
    <row r="5264" spans="1:13" s="71" customFormat="1" ht="26.4" customHeight="1">
      <c r="A5264" s="282">
        <v>346</v>
      </c>
      <c r="B5264" s="537"/>
      <c r="C5264" s="444" t="s">
        <v>1154</v>
      </c>
      <c r="D5264" s="260" t="s">
        <v>6923</v>
      </c>
      <c r="E5264" s="260" t="s">
        <v>7077</v>
      </c>
      <c r="F5264" s="387">
        <v>499</v>
      </c>
      <c r="G5264" s="445">
        <v>1984</v>
      </c>
      <c r="H5264" s="472" t="s">
        <v>5462</v>
      </c>
      <c r="I5264" s="470">
        <v>24</v>
      </c>
      <c r="J5264" s="388">
        <v>0.5</v>
      </c>
      <c r="K5264" s="388">
        <v>0.4</v>
      </c>
      <c r="L5264" s="495">
        <f t="shared" si="61"/>
        <v>9.9999999999999978E-2</v>
      </c>
      <c r="M5264" s="337"/>
    </row>
    <row r="5265" spans="1:13" s="71" customFormat="1" ht="26.4" customHeight="1">
      <c r="A5265" s="282">
        <v>347</v>
      </c>
      <c r="B5265" s="537"/>
      <c r="C5265" s="444" t="s">
        <v>1154</v>
      </c>
      <c r="D5265" s="260" t="s">
        <v>6923</v>
      </c>
      <c r="E5265" s="260" t="s">
        <v>7078</v>
      </c>
      <c r="F5265" s="387">
        <v>500</v>
      </c>
      <c r="G5265" s="445">
        <v>1984</v>
      </c>
      <c r="H5265" s="472" t="s">
        <v>5462</v>
      </c>
      <c r="I5265" s="470">
        <v>83</v>
      </c>
      <c r="J5265" s="388">
        <v>2.1</v>
      </c>
      <c r="K5265" s="388">
        <v>1.7</v>
      </c>
      <c r="L5265" s="495">
        <f t="shared" si="61"/>
        <v>0.40000000000000013</v>
      </c>
      <c r="M5265" s="337"/>
    </row>
    <row r="5266" spans="1:13" s="71" customFormat="1" ht="26.4" customHeight="1">
      <c r="A5266" s="282">
        <v>348</v>
      </c>
      <c r="B5266" s="537"/>
      <c r="C5266" s="444" t="s">
        <v>1154</v>
      </c>
      <c r="D5266" s="260" t="s">
        <v>6923</v>
      </c>
      <c r="E5266" s="260" t="s">
        <v>7079</v>
      </c>
      <c r="F5266" s="387">
        <v>501</v>
      </c>
      <c r="G5266" s="445">
        <v>1984</v>
      </c>
      <c r="H5266" s="472" t="s">
        <v>5462</v>
      </c>
      <c r="I5266" s="470">
        <v>62</v>
      </c>
      <c r="J5266" s="388">
        <v>1.5</v>
      </c>
      <c r="K5266" s="388">
        <v>1.2</v>
      </c>
      <c r="L5266" s="495">
        <f t="shared" si="61"/>
        <v>0.30000000000000004</v>
      </c>
      <c r="M5266" s="337"/>
    </row>
    <row r="5267" spans="1:13" s="71" customFormat="1" ht="26.4" customHeight="1">
      <c r="A5267" s="282">
        <v>349</v>
      </c>
      <c r="B5267" s="537"/>
      <c r="C5267" s="444" t="s">
        <v>1154</v>
      </c>
      <c r="D5267" s="260" t="s">
        <v>6923</v>
      </c>
      <c r="E5267" s="260" t="s">
        <v>7080</v>
      </c>
      <c r="F5267" s="387">
        <v>502</v>
      </c>
      <c r="G5267" s="445">
        <v>1984</v>
      </c>
      <c r="H5267" s="472" t="s">
        <v>5462</v>
      </c>
      <c r="I5267" s="470">
        <v>48</v>
      </c>
      <c r="J5267" s="388">
        <v>1.2</v>
      </c>
      <c r="K5267" s="388">
        <v>0.9</v>
      </c>
      <c r="L5267" s="495">
        <f t="shared" si="61"/>
        <v>0.29999999999999993</v>
      </c>
      <c r="M5267" s="337"/>
    </row>
    <row r="5268" spans="1:13" s="71" customFormat="1" ht="26.4" customHeight="1">
      <c r="A5268" s="282">
        <v>350</v>
      </c>
      <c r="B5268" s="537"/>
      <c r="C5268" s="444" t="s">
        <v>1154</v>
      </c>
      <c r="D5268" s="260" t="s">
        <v>6923</v>
      </c>
      <c r="E5268" s="260" t="s">
        <v>7081</v>
      </c>
      <c r="F5268" s="387">
        <v>503</v>
      </c>
      <c r="G5268" s="445">
        <v>1984</v>
      </c>
      <c r="H5268" s="472" t="s">
        <v>5462</v>
      </c>
      <c r="I5268" s="470">
        <v>108</v>
      </c>
      <c r="J5268" s="388">
        <v>2.7</v>
      </c>
      <c r="K5268" s="388">
        <v>2.1</v>
      </c>
      <c r="L5268" s="495">
        <f t="shared" si="61"/>
        <v>0.60000000000000009</v>
      </c>
      <c r="M5268" s="337"/>
    </row>
    <row r="5269" spans="1:13" s="71" customFormat="1" ht="26.4" customHeight="1">
      <c r="A5269" s="282">
        <v>351</v>
      </c>
      <c r="B5269" s="537"/>
      <c r="C5269" s="444" t="s">
        <v>1154</v>
      </c>
      <c r="D5269" s="260" t="s">
        <v>6923</v>
      </c>
      <c r="E5269" s="260" t="s">
        <v>7082</v>
      </c>
      <c r="F5269" s="387">
        <v>504</v>
      </c>
      <c r="G5269" s="445">
        <v>1984</v>
      </c>
      <c r="H5269" s="472" t="s">
        <v>5462</v>
      </c>
      <c r="I5269" s="470">
        <v>150</v>
      </c>
      <c r="J5269" s="388">
        <v>1.3</v>
      </c>
      <c r="K5269" s="388">
        <v>1</v>
      </c>
      <c r="L5269" s="495">
        <f t="shared" si="61"/>
        <v>0.30000000000000004</v>
      </c>
      <c r="M5269" s="337"/>
    </row>
    <row r="5270" spans="1:13" s="71" customFormat="1" ht="26.4" customHeight="1">
      <c r="A5270" s="282">
        <v>352</v>
      </c>
      <c r="B5270" s="537"/>
      <c r="C5270" s="444" t="s">
        <v>1154</v>
      </c>
      <c r="D5270" s="260" t="s">
        <v>6923</v>
      </c>
      <c r="E5270" s="260" t="s">
        <v>7083</v>
      </c>
      <c r="F5270" s="387">
        <v>505</v>
      </c>
      <c r="G5270" s="445">
        <v>1984</v>
      </c>
      <c r="H5270" s="472" t="s">
        <v>5462</v>
      </c>
      <c r="I5270" s="470">
        <v>83</v>
      </c>
      <c r="J5270" s="388">
        <v>2.1</v>
      </c>
      <c r="K5270" s="388">
        <v>1.6</v>
      </c>
      <c r="L5270" s="495">
        <f t="shared" si="61"/>
        <v>0.5</v>
      </c>
      <c r="M5270" s="337"/>
    </row>
    <row r="5271" spans="1:13" s="71" customFormat="1" ht="26.4" customHeight="1">
      <c r="A5271" s="282">
        <v>353</v>
      </c>
      <c r="B5271" s="537"/>
      <c r="C5271" s="444" t="s">
        <v>1154</v>
      </c>
      <c r="D5271" s="260" t="s">
        <v>7084</v>
      </c>
      <c r="E5271" s="260" t="s">
        <v>7085</v>
      </c>
      <c r="F5271" s="387">
        <v>506</v>
      </c>
      <c r="G5271" s="445">
        <v>1984</v>
      </c>
      <c r="H5271" s="472" t="s">
        <v>5462</v>
      </c>
      <c r="I5271" s="470">
        <v>97</v>
      </c>
      <c r="J5271" s="388">
        <v>2.4</v>
      </c>
      <c r="K5271" s="388">
        <v>1.9</v>
      </c>
      <c r="L5271" s="495">
        <f t="shared" si="61"/>
        <v>0.5</v>
      </c>
      <c r="M5271" s="337"/>
    </row>
    <row r="5272" spans="1:13" s="71" customFormat="1" ht="26.4" customHeight="1">
      <c r="A5272" s="282">
        <v>354</v>
      </c>
      <c r="B5272" s="537"/>
      <c r="C5272" s="444" t="s">
        <v>1154</v>
      </c>
      <c r="D5272" s="260" t="s">
        <v>7084</v>
      </c>
      <c r="E5272" s="260" t="s">
        <v>7086</v>
      </c>
      <c r="F5272" s="387">
        <v>507</v>
      </c>
      <c r="G5272" s="445">
        <v>1984</v>
      </c>
      <c r="H5272" s="472" t="s">
        <v>5462</v>
      </c>
      <c r="I5272" s="470">
        <v>47</v>
      </c>
      <c r="J5272" s="388">
        <v>1.2</v>
      </c>
      <c r="K5272" s="388">
        <v>0.9</v>
      </c>
      <c r="L5272" s="495">
        <f t="shared" si="61"/>
        <v>0.29999999999999993</v>
      </c>
      <c r="M5272" s="337"/>
    </row>
    <row r="5273" spans="1:13" s="71" customFormat="1" ht="26.4" customHeight="1">
      <c r="A5273" s="282">
        <v>355</v>
      </c>
      <c r="B5273" s="537"/>
      <c r="C5273" s="444" t="s">
        <v>1154</v>
      </c>
      <c r="D5273" s="260" t="s">
        <v>6951</v>
      </c>
      <c r="E5273" s="260" t="s">
        <v>7087</v>
      </c>
      <c r="F5273" s="387">
        <v>508</v>
      </c>
      <c r="G5273" s="445">
        <v>1984</v>
      </c>
      <c r="H5273" s="472" t="s">
        <v>5462</v>
      </c>
      <c r="I5273" s="470">
        <v>142</v>
      </c>
      <c r="J5273" s="388">
        <v>3.5</v>
      </c>
      <c r="K5273" s="388">
        <v>3.5</v>
      </c>
      <c r="L5273" s="495">
        <f t="shared" si="61"/>
        <v>0</v>
      </c>
      <c r="M5273" s="337"/>
    </row>
    <row r="5274" spans="1:13" s="71" customFormat="1" ht="26.4" customHeight="1">
      <c r="A5274" s="282">
        <v>356</v>
      </c>
      <c r="B5274" s="537"/>
      <c r="C5274" s="444" t="s">
        <v>1154</v>
      </c>
      <c r="D5274" s="260" t="s">
        <v>6904</v>
      </c>
      <c r="E5274" s="260" t="s">
        <v>7088</v>
      </c>
      <c r="F5274" s="387">
        <v>509</v>
      </c>
      <c r="G5274" s="445">
        <v>1984</v>
      </c>
      <c r="H5274" s="472" t="s">
        <v>5462</v>
      </c>
      <c r="I5274" s="470">
        <v>47</v>
      </c>
      <c r="J5274" s="388">
        <v>1.2</v>
      </c>
      <c r="K5274" s="388">
        <v>0.9</v>
      </c>
      <c r="L5274" s="495">
        <f t="shared" si="61"/>
        <v>0.29999999999999993</v>
      </c>
      <c r="M5274" s="337"/>
    </row>
    <row r="5275" spans="1:13" s="71" customFormat="1" ht="26.4" customHeight="1">
      <c r="A5275" s="282">
        <v>357</v>
      </c>
      <c r="B5275" s="537"/>
      <c r="C5275" s="444" t="s">
        <v>1154</v>
      </c>
      <c r="D5275" s="260" t="s">
        <v>7089</v>
      </c>
      <c r="E5275" s="260" t="s">
        <v>7090</v>
      </c>
      <c r="F5275" s="387">
        <v>510</v>
      </c>
      <c r="G5275" s="445">
        <v>1984</v>
      </c>
      <c r="H5275" s="472" t="s">
        <v>5462</v>
      </c>
      <c r="I5275" s="470">
        <v>1221</v>
      </c>
      <c r="J5275" s="388">
        <v>1.5</v>
      </c>
      <c r="K5275" s="388">
        <v>1.2</v>
      </c>
      <c r="L5275" s="495">
        <f t="shared" si="61"/>
        <v>0.30000000000000004</v>
      </c>
      <c r="M5275" s="337"/>
    </row>
    <row r="5276" spans="1:13" s="71" customFormat="1" ht="26.4" customHeight="1">
      <c r="A5276" s="282">
        <v>358</v>
      </c>
      <c r="B5276" s="537"/>
      <c r="C5276" s="444" t="s">
        <v>1154</v>
      </c>
      <c r="D5276" s="260" t="s">
        <v>7091</v>
      </c>
      <c r="E5276" s="260" t="s">
        <v>7092</v>
      </c>
      <c r="F5276" s="387">
        <v>511</v>
      </c>
      <c r="G5276" s="445">
        <v>1985</v>
      </c>
      <c r="H5276" s="472" t="s">
        <v>5462</v>
      </c>
      <c r="I5276" s="470">
        <v>237</v>
      </c>
      <c r="J5276" s="388">
        <v>4.2</v>
      </c>
      <c r="K5276" s="388">
        <v>3.3</v>
      </c>
      <c r="L5276" s="495">
        <f t="shared" si="61"/>
        <v>0.90000000000000036</v>
      </c>
      <c r="M5276" s="337"/>
    </row>
    <row r="5277" spans="1:13" s="71" customFormat="1" ht="26.4" customHeight="1">
      <c r="A5277" s="282">
        <v>359</v>
      </c>
      <c r="B5277" s="537"/>
      <c r="C5277" s="444" t="s">
        <v>1154</v>
      </c>
      <c r="D5277" s="260" t="s">
        <v>7091</v>
      </c>
      <c r="E5277" s="260" t="s">
        <v>7093</v>
      </c>
      <c r="F5277" s="387">
        <v>512</v>
      </c>
      <c r="G5277" s="445">
        <v>1985</v>
      </c>
      <c r="H5277" s="472" t="s">
        <v>5462</v>
      </c>
      <c r="I5277" s="470">
        <v>59</v>
      </c>
      <c r="J5277" s="388">
        <v>1.3</v>
      </c>
      <c r="K5277" s="388">
        <v>1</v>
      </c>
      <c r="L5277" s="495">
        <f t="shared" si="61"/>
        <v>0.30000000000000004</v>
      </c>
      <c r="M5277" s="337"/>
    </row>
    <row r="5278" spans="1:13" s="71" customFormat="1" ht="26.4" customHeight="1">
      <c r="A5278" s="282">
        <v>360</v>
      </c>
      <c r="B5278" s="537"/>
      <c r="C5278" s="444" t="s">
        <v>1154</v>
      </c>
      <c r="D5278" s="260" t="s">
        <v>7091</v>
      </c>
      <c r="E5278" s="260" t="s">
        <v>7094</v>
      </c>
      <c r="F5278" s="387">
        <v>513</v>
      </c>
      <c r="G5278" s="445">
        <v>1985</v>
      </c>
      <c r="H5278" s="472" t="s">
        <v>5462</v>
      </c>
      <c r="I5278" s="470">
        <v>78</v>
      </c>
      <c r="J5278" s="388">
        <v>2.4</v>
      </c>
      <c r="K5278" s="388">
        <v>1.9</v>
      </c>
      <c r="L5278" s="495">
        <f t="shared" si="61"/>
        <v>0.5</v>
      </c>
      <c r="M5278" s="337"/>
    </row>
    <row r="5279" spans="1:13" s="71" customFormat="1" ht="26.4" customHeight="1">
      <c r="A5279" s="282">
        <v>361</v>
      </c>
      <c r="B5279" s="537"/>
      <c r="C5279" s="444" t="s">
        <v>1154</v>
      </c>
      <c r="D5279" s="260" t="s">
        <v>7091</v>
      </c>
      <c r="E5279" s="260" t="s">
        <v>7095</v>
      </c>
      <c r="F5279" s="387">
        <v>514</v>
      </c>
      <c r="G5279" s="445">
        <v>1985</v>
      </c>
      <c r="H5279" s="472" t="s">
        <v>5462</v>
      </c>
      <c r="I5279" s="470">
        <v>114</v>
      </c>
      <c r="J5279" s="388">
        <v>1.4</v>
      </c>
      <c r="K5279" s="388">
        <v>1.1000000000000001</v>
      </c>
      <c r="L5279" s="495">
        <f t="shared" si="61"/>
        <v>0.29999999999999982</v>
      </c>
      <c r="M5279" s="337"/>
    </row>
    <row r="5280" spans="1:13" s="71" customFormat="1" ht="26.4" customHeight="1">
      <c r="A5280" s="282">
        <v>362</v>
      </c>
      <c r="B5280" s="537"/>
      <c r="C5280" s="444" t="s">
        <v>1154</v>
      </c>
      <c r="D5280" s="260" t="s">
        <v>7091</v>
      </c>
      <c r="E5280" s="260" t="s">
        <v>7086</v>
      </c>
      <c r="F5280" s="387">
        <v>515</v>
      </c>
      <c r="G5280" s="445">
        <v>1985</v>
      </c>
      <c r="H5280" s="472" t="s">
        <v>5462</v>
      </c>
      <c r="I5280" s="470">
        <v>609</v>
      </c>
      <c r="J5280" s="388">
        <v>0.8</v>
      </c>
      <c r="K5280" s="388">
        <v>0.6</v>
      </c>
      <c r="L5280" s="495">
        <f t="shared" si="61"/>
        <v>0.20000000000000007</v>
      </c>
      <c r="M5280" s="337"/>
    </row>
    <row r="5281" spans="1:13" s="71" customFormat="1" ht="26.4" customHeight="1">
      <c r="A5281" s="282">
        <v>363</v>
      </c>
      <c r="B5281" s="537"/>
      <c r="C5281" s="444" t="s">
        <v>1154</v>
      </c>
      <c r="D5281" s="260" t="s">
        <v>6930</v>
      </c>
      <c r="E5281" s="260" t="s">
        <v>7096</v>
      </c>
      <c r="F5281" s="387">
        <v>516</v>
      </c>
      <c r="G5281" s="445">
        <v>1985</v>
      </c>
      <c r="H5281" s="472" t="s">
        <v>5462</v>
      </c>
      <c r="I5281" s="470">
        <v>194</v>
      </c>
      <c r="J5281" s="388">
        <v>2.5</v>
      </c>
      <c r="K5281" s="388">
        <v>1.9</v>
      </c>
      <c r="L5281" s="495">
        <f t="shared" si="61"/>
        <v>0.60000000000000009</v>
      </c>
      <c r="M5281" s="337"/>
    </row>
    <row r="5282" spans="1:13" s="71" customFormat="1" ht="26.4" customHeight="1">
      <c r="A5282" s="282">
        <v>364</v>
      </c>
      <c r="B5282" s="537"/>
      <c r="C5282" s="444" t="s">
        <v>1154</v>
      </c>
      <c r="D5282" s="260" t="s">
        <v>7097</v>
      </c>
      <c r="E5282" s="260" t="s">
        <v>7098</v>
      </c>
      <c r="F5282" s="387">
        <v>517</v>
      </c>
      <c r="G5282" s="445">
        <v>1985</v>
      </c>
      <c r="H5282" s="472" t="s">
        <v>5462</v>
      </c>
      <c r="I5282" s="470">
        <v>75</v>
      </c>
      <c r="J5282" s="388">
        <v>2.6</v>
      </c>
      <c r="K5282" s="388">
        <v>2</v>
      </c>
      <c r="L5282" s="495">
        <f t="shared" si="61"/>
        <v>0.60000000000000009</v>
      </c>
      <c r="M5282" s="337"/>
    </row>
    <row r="5283" spans="1:13" s="71" customFormat="1" ht="26.4" customHeight="1">
      <c r="A5283" s="282">
        <v>365</v>
      </c>
      <c r="B5283" s="537"/>
      <c r="C5283" s="444" t="s">
        <v>1154</v>
      </c>
      <c r="D5283" s="260" t="s">
        <v>7097</v>
      </c>
      <c r="E5283" s="260" t="s">
        <v>7099</v>
      </c>
      <c r="F5283" s="387">
        <v>518</v>
      </c>
      <c r="G5283" s="445">
        <v>1985</v>
      </c>
      <c r="H5283" s="472" t="s">
        <v>5462</v>
      </c>
      <c r="I5283" s="470">
        <v>99</v>
      </c>
      <c r="J5283" s="388">
        <v>3.6</v>
      </c>
      <c r="K5283" s="388">
        <v>2.8</v>
      </c>
      <c r="L5283" s="495">
        <f t="shared" si="61"/>
        <v>0.80000000000000027</v>
      </c>
      <c r="M5283" s="337"/>
    </row>
    <row r="5284" spans="1:13" s="71" customFormat="1" ht="26.4" customHeight="1">
      <c r="A5284" s="282">
        <v>366</v>
      </c>
      <c r="B5284" s="537"/>
      <c r="C5284" s="444" t="s">
        <v>1154</v>
      </c>
      <c r="D5284" s="260" t="s">
        <v>7097</v>
      </c>
      <c r="E5284" s="260" t="s">
        <v>7100</v>
      </c>
      <c r="F5284" s="387">
        <v>519</v>
      </c>
      <c r="G5284" s="445">
        <v>1985</v>
      </c>
      <c r="H5284" s="472" t="s">
        <v>5462</v>
      </c>
      <c r="I5284" s="470">
        <v>115</v>
      </c>
      <c r="J5284" s="496">
        <v>2.6</v>
      </c>
      <c r="K5284" s="496">
        <v>2</v>
      </c>
      <c r="L5284" s="495">
        <f t="shared" si="61"/>
        <v>0.60000000000000009</v>
      </c>
      <c r="M5284" s="337"/>
    </row>
    <row r="5285" spans="1:13" s="71" customFormat="1" ht="26.4" customHeight="1">
      <c r="A5285" s="282">
        <v>367</v>
      </c>
      <c r="B5285" s="537"/>
      <c r="C5285" s="444" t="s">
        <v>1154</v>
      </c>
      <c r="D5285" s="260" t="s">
        <v>6692</v>
      </c>
      <c r="E5285" s="260" t="s">
        <v>7101</v>
      </c>
      <c r="F5285" s="387">
        <v>626</v>
      </c>
      <c r="G5285" s="445">
        <v>1978</v>
      </c>
      <c r="H5285" s="472" t="s">
        <v>3243</v>
      </c>
      <c r="I5285" s="470" t="s">
        <v>3243</v>
      </c>
      <c r="J5285" s="388">
        <v>24.4</v>
      </c>
      <c r="K5285" s="388">
        <v>24</v>
      </c>
      <c r="L5285" s="495">
        <f t="shared" si="61"/>
        <v>0.39999999999999858</v>
      </c>
      <c r="M5285" s="337"/>
    </row>
    <row r="5286" spans="1:13" s="71" customFormat="1" ht="26.4" customHeight="1">
      <c r="A5286" s="282">
        <v>368</v>
      </c>
      <c r="B5286" s="537"/>
      <c r="C5286" s="444" t="s">
        <v>1154</v>
      </c>
      <c r="D5286" s="444" t="s">
        <v>7102</v>
      </c>
      <c r="E5286" s="260" t="s">
        <v>7103</v>
      </c>
      <c r="F5286" s="387">
        <v>912</v>
      </c>
      <c r="G5286" s="445">
        <v>1985</v>
      </c>
      <c r="H5286" s="472" t="s">
        <v>5462</v>
      </c>
      <c r="I5286" s="470">
        <v>123.8</v>
      </c>
      <c r="J5286" s="388">
        <v>4.5999999999999996</v>
      </c>
      <c r="K5286" s="388">
        <v>3.6</v>
      </c>
      <c r="L5286" s="495">
        <f t="shared" si="61"/>
        <v>0.99999999999999956</v>
      </c>
      <c r="M5286" s="337"/>
    </row>
    <row r="5287" spans="1:13" s="71" customFormat="1" ht="26.4" customHeight="1">
      <c r="A5287" s="282">
        <v>369</v>
      </c>
      <c r="B5287" s="537"/>
      <c r="C5287" s="444" t="s">
        <v>1154</v>
      </c>
      <c r="D5287" s="444" t="s">
        <v>7104</v>
      </c>
      <c r="E5287" s="260" t="s">
        <v>7105</v>
      </c>
      <c r="F5287" s="387">
        <v>913</v>
      </c>
      <c r="G5287" s="445">
        <v>1985</v>
      </c>
      <c r="H5287" s="472" t="s">
        <v>5462</v>
      </c>
      <c r="I5287" s="470">
        <v>493</v>
      </c>
      <c r="J5287" s="388">
        <v>11.8</v>
      </c>
      <c r="K5287" s="388">
        <v>9.1999999999999993</v>
      </c>
      <c r="L5287" s="495">
        <f t="shared" si="61"/>
        <v>2.6000000000000014</v>
      </c>
      <c r="M5287" s="337"/>
    </row>
    <row r="5288" spans="1:13" s="71" customFormat="1" ht="26.4" customHeight="1">
      <c r="A5288" s="282">
        <v>370</v>
      </c>
      <c r="B5288" s="537"/>
      <c r="C5288" s="444" t="s">
        <v>1154</v>
      </c>
      <c r="D5288" s="444" t="s">
        <v>7106</v>
      </c>
      <c r="E5288" s="260" t="s">
        <v>7107</v>
      </c>
      <c r="F5288" s="387">
        <v>914</v>
      </c>
      <c r="G5288" s="445">
        <v>1985</v>
      </c>
      <c r="H5288" s="472" t="s">
        <v>5462</v>
      </c>
      <c r="I5288" s="470">
        <v>70</v>
      </c>
      <c r="J5288" s="388">
        <v>3.2</v>
      </c>
      <c r="K5288" s="388">
        <v>2.5</v>
      </c>
      <c r="L5288" s="495">
        <f t="shared" si="61"/>
        <v>0.70000000000000018</v>
      </c>
      <c r="M5288" s="337"/>
    </row>
    <row r="5289" spans="1:13" s="71" customFormat="1" ht="26.4" customHeight="1">
      <c r="A5289" s="282">
        <v>371</v>
      </c>
      <c r="B5289" s="537"/>
      <c r="C5289" s="444" t="s">
        <v>1154</v>
      </c>
      <c r="D5289" s="444" t="s">
        <v>7108</v>
      </c>
      <c r="E5289" s="260" t="s">
        <v>7109</v>
      </c>
      <c r="F5289" s="387">
        <v>915</v>
      </c>
      <c r="G5289" s="445">
        <v>1985</v>
      </c>
      <c r="H5289" s="472" t="s">
        <v>5462</v>
      </c>
      <c r="I5289" s="470">
        <v>207</v>
      </c>
      <c r="J5289" s="388">
        <v>3</v>
      </c>
      <c r="K5289" s="388">
        <v>2.2999999999999998</v>
      </c>
      <c r="L5289" s="495">
        <f t="shared" si="61"/>
        <v>0.70000000000000018</v>
      </c>
      <c r="M5289" s="337"/>
    </row>
    <row r="5290" spans="1:13" s="71" customFormat="1" ht="26.4" customHeight="1">
      <c r="A5290" s="282">
        <v>372</v>
      </c>
      <c r="B5290" s="537"/>
      <c r="C5290" s="444" t="s">
        <v>1154</v>
      </c>
      <c r="D5290" s="444" t="s">
        <v>7110</v>
      </c>
      <c r="E5290" s="260" t="s">
        <v>7111</v>
      </c>
      <c r="F5290" s="387">
        <v>916</v>
      </c>
      <c r="G5290" s="445">
        <v>1985</v>
      </c>
      <c r="H5290" s="472" t="s">
        <v>5462</v>
      </c>
      <c r="I5290" s="470">
        <v>25</v>
      </c>
      <c r="J5290" s="388">
        <v>1.1000000000000001</v>
      </c>
      <c r="K5290" s="388">
        <v>0.9</v>
      </c>
      <c r="L5290" s="495">
        <f t="shared" si="61"/>
        <v>0.20000000000000007</v>
      </c>
      <c r="M5290" s="337"/>
    </row>
    <row r="5291" spans="1:13" s="71" customFormat="1" ht="26.4" customHeight="1">
      <c r="A5291" s="282">
        <v>373</v>
      </c>
      <c r="B5291" s="537"/>
      <c r="C5291" s="444" t="s">
        <v>1154</v>
      </c>
      <c r="D5291" s="444" t="s">
        <v>6923</v>
      </c>
      <c r="E5291" s="260" t="s">
        <v>7112</v>
      </c>
      <c r="F5291" s="387">
        <v>917</v>
      </c>
      <c r="G5291" s="445">
        <v>1985</v>
      </c>
      <c r="H5291" s="472" t="s">
        <v>5462</v>
      </c>
      <c r="I5291" s="470">
        <v>230</v>
      </c>
      <c r="J5291" s="388">
        <v>4.3</v>
      </c>
      <c r="K5291" s="388">
        <v>3.4</v>
      </c>
      <c r="L5291" s="495">
        <f t="shared" si="61"/>
        <v>0.89999999999999991</v>
      </c>
      <c r="M5291" s="337"/>
    </row>
    <row r="5292" spans="1:13" s="71" customFormat="1" ht="26.4" customHeight="1">
      <c r="A5292" s="282">
        <v>374</v>
      </c>
      <c r="B5292" s="537"/>
      <c r="C5292" s="444" t="s">
        <v>1154</v>
      </c>
      <c r="D5292" s="444" t="s">
        <v>7113</v>
      </c>
      <c r="E5292" s="260" t="s">
        <v>7114</v>
      </c>
      <c r="F5292" s="387">
        <v>918</v>
      </c>
      <c r="G5292" s="445">
        <v>1986</v>
      </c>
      <c r="H5292" s="472" t="s">
        <v>5462</v>
      </c>
      <c r="I5292" s="470">
        <v>132</v>
      </c>
      <c r="J5292" s="388">
        <v>2.9</v>
      </c>
      <c r="K5292" s="388">
        <v>2.2000000000000002</v>
      </c>
      <c r="L5292" s="495">
        <f t="shared" si="61"/>
        <v>0.69999999999999973</v>
      </c>
      <c r="M5292" s="337"/>
    </row>
    <row r="5293" spans="1:13" s="71" customFormat="1" ht="26.4" customHeight="1">
      <c r="A5293" s="282">
        <v>375</v>
      </c>
      <c r="B5293" s="537"/>
      <c r="C5293" s="444" t="s">
        <v>1154</v>
      </c>
      <c r="D5293" s="444" t="s">
        <v>7115</v>
      </c>
      <c r="E5293" s="260" t="s">
        <v>7116</v>
      </c>
      <c r="F5293" s="387">
        <v>919</v>
      </c>
      <c r="G5293" s="445">
        <v>1986</v>
      </c>
      <c r="H5293" s="472" t="s">
        <v>5462</v>
      </c>
      <c r="I5293" s="470">
        <v>40</v>
      </c>
      <c r="J5293" s="388">
        <v>1.6</v>
      </c>
      <c r="K5293" s="388">
        <v>1.3</v>
      </c>
      <c r="L5293" s="495">
        <f t="shared" si="61"/>
        <v>0.30000000000000004</v>
      </c>
      <c r="M5293" s="337"/>
    </row>
    <row r="5294" spans="1:13" s="71" customFormat="1" ht="26.4" customHeight="1">
      <c r="A5294" s="282">
        <v>376</v>
      </c>
      <c r="B5294" s="537"/>
      <c r="C5294" s="444" t="s">
        <v>1154</v>
      </c>
      <c r="D5294" s="444" t="s">
        <v>7117</v>
      </c>
      <c r="E5294" s="260" t="s">
        <v>7118</v>
      </c>
      <c r="F5294" s="387">
        <v>920</v>
      </c>
      <c r="G5294" s="445">
        <v>1986</v>
      </c>
      <c r="H5294" s="472" t="s">
        <v>5462</v>
      </c>
      <c r="I5294" s="470">
        <v>270</v>
      </c>
      <c r="J5294" s="388">
        <v>14</v>
      </c>
      <c r="K5294" s="388">
        <v>12.2</v>
      </c>
      <c r="L5294" s="495">
        <f t="shared" si="61"/>
        <v>1.8000000000000007</v>
      </c>
      <c r="M5294" s="337"/>
    </row>
    <row r="5295" spans="1:13" s="71" customFormat="1" ht="26.4" customHeight="1">
      <c r="A5295" s="282">
        <v>377</v>
      </c>
      <c r="B5295" s="537"/>
      <c r="C5295" s="444" t="s">
        <v>1154</v>
      </c>
      <c r="D5295" s="444" t="s">
        <v>7119</v>
      </c>
      <c r="E5295" s="260" t="s">
        <v>7120</v>
      </c>
      <c r="F5295" s="387">
        <v>921</v>
      </c>
      <c r="G5295" s="445">
        <v>1986</v>
      </c>
      <c r="H5295" s="472" t="s">
        <v>5462</v>
      </c>
      <c r="I5295" s="470">
        <v>124</v>
      </c>
      <c r="J5295" s="388">
        <v>5.4</v>
      </c>
      <c r="K5295" s="388">
        <v>4.5</v>
      </c>
      <c r="L5295" s="495">
        <f t="shared" si="61"/>
        <v>0.90000000000000036</v>
      </c>
      <c r="M5295" s="337"/>
    </row>
    <row r="5296" spans="1:13" s="71" customFormat="1" ht="26.4" customHeight="1">
      <c r="A5296" s="282">
        <v>378</v>
      </c>
      <c r="B5296" s="537"/>
      <c r="C5296" s="444" t="s">
        <v>1154</v>
      </c>
      <c r="D5296" s="444" t="s">
        <v>7121</v>
      </c>
      <c r="E5296" s="260" t="s">
        <v>7122</v>
      </c>
      <c r="F5296" s="387">
        <v>922</v>
      </c>
      <c r="G5296" s="445">
        <v>1986</v>
      </c>
      <c r="H5296" s="472" t="s">
        <v>5462</v>
      </c>
      <c r="I5296" s="470">
        <v>1800</v>
      </c>
      <c r="J5296" s="388">
        <v>174.2</v>
      </c>
      <c r="K5296" s="388">
        <v>167.6</v>
      </c>
      <c r="L5296" s="495">
        <f t="shared" si="61"/>
        <v>6.5999999999999943</v>
      </c>
      <c r="M5296" s="337"/>
    </row>
    <row r="5297" spans="1:13" s="71" customFormat="1" ht="26.4" customHeight="1">
      <c r="A5297" s="282">
        <v>379</v>
      </c>
      <c r="B5297" s="537"/>
      <c r="C5297" s="444" t="s">
        <v>1154</v>
      </c>
      <c r="D5297" s="444" t="s">
        <v>7123</v>
      </c>
      <c r="E5297" s="260" t="s">
        <v>7124</v>
      </c>
      <c r="F5297" s="387">
        <v>923</v>
      </c>
      <c r="G5297" s="445">
        <v>1987</v>
      </c>
      <c r="H5297" s="472" t="s">
        <v>5462</v>
      </c>
      <c r="I5297" s="470">
        <v>12</v>
      </c>
      <c r="J5297" s="388">
        <v>0.9</v>
      </c>
      <c r="K5297" s="388">
        <v>0.7</v>
      </c>
      <c r="L5297" s="495">
        <f t="shared" si="61"/>
        <v>0.20000000000000007</v>
      </c>
      <c r="M5297" s="337"/>
    </row>
    <row r="5298" spans="1:13" s="71" customFormat="1" ht="26.4" customHeight="1">
      <c r="A5298" s="282">
        <v>380</v>
      </c>
      <c r="B5298" s="537"/>
      <c r="C5298" s="444" t="s">
        <v>1154</v>
      </c>
      <c r="D5298" s="444" t="s">
        <v>7125</v>
      </c>
      <c r="E5298" s="260" t="s">
        <v>7126</v>
      </c>
      <c r="F5298" s="387">
        <v>924</v>
      </c>
      <c r="G5298" s="445">
        <v>1987</v>
      </c>
      <c r="H5298" s="472" t="s">
        <v>5462</v>
      </c>
      <c r="I5298" s="470">
        <v>451</v>
      </c>
      <c r="J5298" s="388">
        <v>8.1</v>
      </c>
      <c r="K5298" s="388">
        <v>6.9</v>
      </c>
      <c r="L5298" s="495">
        <f t="shared" si="61"/>
        <v>1.1999999999999993</v>
      </c>
      <c r="M5298" s="337"/>
    </row>
    <row r="5299" spans="1:13" s="71" customFormat="1" ht="26.4" customHeight="1">
      <c r="A5299" s="282">
        <v>381</v>
      </c>
      <c r="B5299" s="537"/>
      <c r="C5299" s="444" t="s">
        <v>1154</v>
      </c>
      <c r="D5299" s="444" t="s">
        <v>7127</v>
      </c>
      <c r="E5299" s="260" t="s">
        <v>7128</v>
      </c>
      <c r="F5299" s="387">
        <v>925</v>
      </c>
      <c r="G5299" s="445">
        <v>1987</v>
      </c>
      <c r="H5299" s="472" t="s">
        <v>5462</v>
      </c>
      <c r="I5299" s="470">
        <v>234</v>
      </c>
      <c r="J5299" s="388">
        <v>4.9000000000000004</v>
      </c>
      <c r="K5299" s="388">
        <v>4.0999999999999996</v>
      </c>
      <c r="L5299" s="495">
        <f t="shared" si="61"/>
        <v>0.80000000000000071</v>
      </c>
      <c r="M5299" s="337"/>
    </row>
    <row r="5300" spans="1:13" s="71" customFormat="1" ht="26.4" customHeight="1">
      <c r="A5300" s="282">
        <v>382</v>
      </c>
      <c r="B5300" s="537"/>
      <c r="C5300" s="444" t="s">
        <v>1154</v>
      </c>
      <c r="D5300" s="444" t="s">
        <v>7129</v>
      </c>
      <c r="E5300" s="260" t="s">
        <v>12748</v>
      </c>
      <c r="F5300" s="387">
        <v>926</v>
      </c>
      <c r="G5300" s="445">
        <v>1987</v>
      </c>
      <c r="H5300" s="472" t="s">
        <v>5462</v>
      </c>
      <c r="I5300" s="470">
        <v>241</v>
      </c>
      <c r="J5300" s="388">
        <v>8.9</v>
      </c>
      <c r="K5300" s="388">
        <v>7.6</v>
      </c>
      <c r="L5300" s="495">
        <f t="shared" si="61"/>
        <v>1.3000000000000007</v>
      </c>
      <c r="M5300" s="337"/>
    </row>
    <row r="5301" spans="1:13" s="71" customFormat="1" ht="26.4" customHeight="1">
      <c r="A5301" s="282">
        <v>383</v>
      </c>
      <c r="B5301" s="537"/>
      <c r="C5301" s="444" t="s">
        <v>1154</v>
      </c>
      <c r="D5301" s="444" t="s">
        <v>7130</v>
      </c>
      <c r="E5301" s="260" t="s">
        <v>13158</v>
      </c>
      <c r="F5301" s="387">
        <v>927</v>
      </c>
      <c r="G5301" s="445">
        <v>1988</v>
      </c>
      <c r="H5301" s="472" t="s">
        <v>5462</v>
      </c>
      <c r="I5301" s="470">
        <v>576.5</v>
      </c>
      <c r="J5301" s="388">
        <v>33.9</v>
      </c>
      <c r="K5301" s="388">
        <v>31.3</v>
      </c>
      <c r="L5301" s="495">
        <f t="shared" si="61"/>
        <v>2.5999999999999979</v>
      </c>
      <c r="M5301" s="337"/>
    </row>
    <row r="5302" spans="1:13" s="71" customFormat="1" ht="26.4" customHeight="1">
      <c r="A5302" s="282">
        <v>384</v>
      </c>
      <c r="B5302" s="537"/>
      <c r="C5302" s="444" t="s">
        <v>1154</v>
      </c>
      <c r="D5302" s="444" t="s">
        <v>6925</v>
      </c>
      <c r="E5302" s="260" t="s">
        <v>2781</v>
      </c>
      <c r="F5302" s="387">
        <v>928</v>
      </c>
      <c r="G5302" s="445">
        <v>1988</v>
      </c>
      <c r="H5302" s="472" t="s">
        <v>5462</v>
      </c>
      <c r="I5302" s="470">
        <v>28</v>
      </c>
      <c r="J5302" s="388">
        <v>2.2000000000000002</v>
      </c>
      <c r="K5302" s="388">
        <v>1.8</v>
      </c>
      <c r="L5302" s="495">
        <f t="shared" si="61"/>
        <v>0.40000000000000013</v>
      </c>
      <c r="M5302" s="337"/>
    </row>
    <row r="5303" spans="1:13" s="71" customFormat="1" ht="26.4" customHeight="1">
      <c r="A5303" s="282">
        <v>385</v>
      </c>
      <c r="B5303" s="537"/>
      <c r="C5303" s="444" t="s">
        <v>1154</v>
      </c>
      <c r="D5303" s="444" t="s">
        <v>7131</v>
      </c>
      <c r="E5303" s="260" t="s">
        <v>12749</v>
      </c>
      <c r="F5303" s="387">
        <v>929</v>
      </c>
      <c r="G5303" s="445">
        <v>1988</v>
      </c>
      <c r="H5303" s="472" t="s">
        <v>5462</v>
      </c>
      <c r="I5303" s="470">
        <v>106</v>
      </c>
      <c r="J5303" s="388">
        <v>2.5</v>
      </c>
      <c r="K5303" s="388">
        <v>2</v>
      </c>
      <c r="L5303" s="495">
        <f t="shared" ref="L5303:L5366" si="62">J5303-K5303</f>
        <v>0.5</v>
      </c>
      <c r="M5303" s="337"/>
    </row>
    <row r="5304" spans="1:13" s="71" customFormat="1" ht="26.4" customHeight="1">
      <c r="A5304" s="282">
        <v>386</v>
      </c>
      <c r="B5304" s="537"/>
      <c r="C5304" s="444" t="s">
        <v>1154</v>
      </c>
      <c r="D5304" s="444" t="s">
        <v>7132</v>
      </c>
      <c r="E5304" s="260" t="s">
        <v>12750</v>
      </c>
      <c r="F5304" s="387">
        <v>930</v>
      </c>
      <c r="G5304" s="445">
        <v>1988</v>
      </c>
      <c r="H5304" s="472" t="s">
        <v>5462</v>
      </c>
      <c r="I5304" s="470">
        <v>60.9</v>
      </c>
      <c r="J5304" s="388">
        <v>0.5</v>
      </c>
      <c r="K5304" s="388">
        <v>0.4</v>
      </c>
      <c r="L5304" s="495">
        <f t="shared" si="62"/>
        <v>9.9999999999999978E-2</v>
      </c>
      <c r="M5304" s="337"/>
    </row>
    <row r="5305" spans="1:13" s="71" customFormat="1" ht="26.4" customHeight="1">
      <c r="A5305" s="282">
        <v>387</v>
      </c>
      <c r="B5305" s="537"/>
      <c r="C5305" s="444" t="s">
        <v>1154</v>
      </c>
      <c r="D5305" s="444" t="s">
        <v>7133</v>
      </c>
      <c r="E5305" s="260" t="s">
        <v>7134</v>
      </c>
      <c r="F5305" s="387">
        <v>931</v>
      </c>
      <c r="G5305" s="445">
        <v>1988</v>
      </c>
      <c r="H5305" s="472" t="s">
        <v>5462</v>
      </c>
      <c r="I5305" s="470">
        <v>81</v>
      </c>
      <c r="J5305" s="388">
        <v>0.6</v>
      </c>
      <c r="K5305" s="388">
        <v>0.5</v>
      </c>
      <c r="L5305" s="495">
        <f t="shared" si="62"/>
        <v>9.9999999999999978E-2</v>
      </c>
      <c r="M5305" s="337"/>
    </row>
    <row r="5306" spans="1:13" s="71" customFormat="1" ht="36" customHeight="1">
      <c r="A5306" s="282">
        <v>388</v>
      </c>
      <c r="B5306" s="537"/>
      <c r="C5306" s="444" t="s">
        <v>1154</v>
      </c>
      <c r="D5306" s="444" t="s">
        <v>13415</v>
      </c>
      <c r="E5306" s="260" t="s">
        <v>7135</v>
      </c>
      <c r="F5306" s="387">
        <v>932</v>
      </c>
      <c r="G5306" s="445">
        <v>1988</v>
      </c>
      <c r="H5306" s="472" t="s">
        <v>5462</v>
      </c>
      <c r="I5306" s="470">
        <v>363.4</v>
      </c>
      <c r="J5306" s="388">
        <v>2.7</v>
      </c>
      <c r="K5306" s="388">
        <v>2.2000000000000002</v>
      </c>
      <c r="L5306" s="495">
        <f t="shared" si="62"/>
        <v>0.5</v>
      </c>
      <c r="M5306" s="337"/>
    </row>
    <row r="5307" spans="1:13" s="71" customFormat="1" ht="26.4" customHeight="1">
      <c r="A5307" s="282">
        <v>389</v>
      </c>
      <c r="B5307" s="537"/>
      <c r="C5307" s="444" t="s">
        <v>1154</v>
      </c>
      <c r="D5307" s="444" t="s">
        <v>7136</v>
      </c>
      <c r="E5307" s="260" t="s">
        <v>7137</v>
      </c>
      <c r="F5307" s="387">
        <v>933</v>
      </c>
      <c r="G5307" s="445">
        <v>1988</v>
      </c>
      <c r="H5307" s="472" t="s">
        <v>5462</v>
      </c>
      <c r="I5307" s="470">
        <v>60</v>
      </c>
      <c r="J5307" s="388">
        <v>4.3</v>
      </c>
      <c r="K5307" s="388">
        <v>3.7</v>
      </c>
      <c r="L5307" s="495">
        <f t="shared" si="62"/>
        <v>0.59999999999999964</v>
      </c>
      <c r="M5307" s="337"/>
    </row>
    <row r="5308" spans="1:13" s="71" customFormat="1" ht="26.4">
      <c r="A5308" s="282">
        <v>390</v>
      </c>
      <c r="B5308" s="537"/>
      <c r="C5308" s="444" t="s">
        <v>1154</v>
      </c>
      <c r="D5308" s="444" t="s">
        <v>7138</v>
      </c>
      <c r="E5308" s="260" t="s">
        <v>12751</v>
      </c>
      <c r="F5308" s="387">
        <v>934</v>
      </c>
      <c r="G5308" s="445">
        <v>1988</v>
      </c>
      <c r="H5308" s="472" t="s">
        <v>5462</v>
      </c>
      <c r="I5308" s="470">
        <v>117.5</v>
      </c>
      <c r="J5308" s="388">
        <v>3.9</v>
      </c>
      <c r="K5308" s="388">
        <v>3.1</v>
      </c>
      <c r="L5308" s="495">
        <f t="shared" si="62"/>
        <v>0.79999999999999982</v>
      </c>
      <c r="M5308" s="337"/>
    </row>
    <row r="5309" spans="1:13" s="71" customFormat="1" ht="26.4" customHeight="1">
      <c r="A5309" s="282">
        <v>391</v>
      </c>
      <c r="B5309" s="537"/>
      <c r="C5309" s="444" t="s">
        <v>1154</v>
      </c>
      <c r="D5309" s="444" t="s">
        <v>7139</v>
      </c>
      <c r="E5309" s="260" t="s">
        <v>7140</v>
      </c>
      <c r="F5309" s="387">
        <v>939</v>
      </c>
      <c r="G5309" s="445">
        <v>1988</v>
      </c>
      <c r="H5309" s="472" t="s">
        <v>3243</v>
      </c>
      <c r="I5309" s="470" t="s">
        <v>3243</v>
      </c>
      <c r="J5309" s="388">
        <v>3.4</v>
      </c>
      <c r="K5309" s="388">
        <v>3.4</v>
      </c>
      <c r="L5309" s="495">
        <f t="shared" si="62"/>
        <v>0</v>
      </c>
      <c r="M5309" s="337"/>
    </row>
    <row r="5310" spans="1:13" s="71" customFormat="1" ht="26.4" customHeight="1">
      <c r="A5310" s="282">
        <v>392</v>
      </c>
      <c r="B5310" s="537"/>
      <c r="C5310" s="444" t="s">
        <v>1154</v>
      </c>
      <c r="D5310" s="444" t="s">
        <v>7141</v>
      </c>
      <c r="E5310" s="260" t="s">
        <v>7142</v>
      </c>
      <c r="F5310" s="387">
        <v>940</v>
      </c>
      <c r="G5310" s="445">
        <v>1988</v>
      </c>
      <c r="H5310" s="472" t="s">
        <v>5462</v>
      </c>
      <c r="I5310" s="470">
        <v>107</v>
      </c>
      <c r="J5310" s="388">
        <v>2.6</v>
      </c>
      <c r="K5310" s="388">
        <v>2.1</v>
      </c>
      <c r="L5310" s="495">
        <f t="shared" si="62"/>
        <v>0.5</v>
      </c>
      <c r="M5310" s="337"/>
    </row>
    <row r="5311" spans="1:13" s="71" customFormat="1" ht="26.4">
      <c r="A5311" s="282">
        <v>393</v>
      </c>
      <c r="B5311" s="537"/>
      <c r="C5311" s="444" t="s">
        <v>1154</v>
      </c>
      <c r="D5311" s="444" t="s">
        <v>7143</v>
      </c>
      <c r="E5311" s="260" t="s">
        <v>7144</v>
      </c>
      <c r="F5311" s="387">
        <v>945</v>
      </c>
      <c r="G5311" s="445">
        <v>1989</v>
      </c>
      <c r="H5311" s="472" t="s">
        <v>5462</v>
      </c>
      <c r="I5311" s="470">
        <v>183</v>
      </c>
      <c r="J5311" s="388">
        <v>6.2</v>
      </c>
      <c r="K5311" s="388">
        <v>5.0999999999999996</v>
      </c>
      <c r="L5311" s="495">
        <f t="shared" si="62"/>
        <v>1.1000000000000005</v>
      </c>
      <c r="M5311" s="337"/>
    </row>
    <row r="5312" spans="1:13" s="71" customFormat="1" ht="26.4" customHeight="1">
      <c r="A5312" s="282">
        <v>394</v>
      </c>
      <c r="B5312" s="537"/>
      <c r="C5312" s="444" t="s">
        <v>1154</v>
      </c>
      <c r="D5312" s="444" t="s">
        <v>6856</v>
      </c>
      <c r="E5312" s="260" t="s">
        <v>7145</v>
      </c>
      <c r="F5312" s="387">
        <v>946</v>
      </c>
      <c r="G5312" s="445">
        <v>1989</v>
      </c>
      <c r="H5312" s="472" t="s">
        <v>5462</v>
      </c>
      <c r="I5312" s="470">
        <v>235</v>
      </c>
      <c r="J5312" s="388">
        <v>0.7</v>
      </c>
      <c r="K5312" s="388">
        <v>0.5</v>
      </c>
      <c r="L5312" s="495">
        <f t="shared" si="62"/>
        <v>0.19999999999999996</v>
      </c>
      <c r="M5312" s="337"/>
    </row>
    <row r="5313" spans="1:13" s="71" customFormat="1" ht="26.4" customHeight="1">
      <c r="A5313" s="282">
        <v>395</v>
      </c>
      <c r="B5313" s="537"/>
      <c r="C5313" s="444" t="s">
        <v>1154</v>
      </c>
      <c r="D5313" s="444" t="s">
        <v>7113</v>
      </c>
      <c r="E5313" s="260" t="s">
        <v>7146</v>
      </c>
      <c r="F5313" s="387">
        <v>947</v>
      </c>
      <c r="G5313" s="445">
        <v>1989</v>
      </c>
      <c r="H5313" s="472" t="s">
        <v>5462</v>
      </c>
      <c r="I5313" s="470">
        <v>15.8</v>
      </c>
      <c r="J5313" s="388">
        <v>1.8</v>
      </c>
      <c r="K5313" s="388">
        <v>1.4</v>
      </c>
      <c r="L5313" s="495">
        <f t="shared" si="62"/>
        <v>0.40000000000000013</v>
      </c>
      <c r="M5313" s="337"/>
    </row>
    <row r="5314" spans="1:13" s="71" customFormat="1" ht="26.4" customHeight="1">
      <c r="A5314" s="282">
        <v>396</v>
      </c>
      <c r="B5314" s="537"/>
      <c r="C5314" s="444" t="s">
        <v>1154</v>
      </c>
      <c r="D5314" s="444" t="s">
        <v>7143</v>
      </c>
      <c r="E5314" s="260" t="s">
        <v>7147</v>
      </c>
      <c r="F5314" s="387">
        <v>948</v>
      </c>
      <c r="G5314" s="445">
        <v>1989</v>
      </c>
      <c r="H5314" s="472" t="s">
        <v>5462</v>
      </c>
      <c r="I5314" s="470">
        <v>109</v>
      </c>
      <c r="J5314" s="388">
        <v>2.2000000000000002</v>
      </c>
      <c r="K5314" s="388">
        <v>1.8</v>
      </c>
      <c r="L5314" s="495">
        <f t="shared" si="62"/>
        <v>0.40000000000000013</v>
      </c>
      <c r="M5314" s="337"/>
    </row>
    <row r="5315" spans="1:13" s="71" customFormat="1" ht="26.4" customHeight="1">
      <c r="A5315" s="282">
        <v>397</v>
      </c>
      <c r="B5315" s="537"/>
      <c r="C5315" s="444" t="s">
        <v>1154</v>
      </c>
      <c r="D5315" s="444" t="s">
        <v>6856</v>
      </c>
      <c r="E5315" s="260" t="s">
        <v>7148</v>
      </c>
      <c r="F5315" s="387">
        <v>949</v>
      </c>
      <c r="G5315" s="445">
        <v>1989</v>
      </c>
      <c r="H5315" s="472" t="s">
        <v>5462</v>
      </c>
      <c r="I5315" s="470">
        <v>49</v>
      </c>
      <c r="J5315" s="388">
        <v>1.7</v>
      </c>
      <c r="K5315" s="388">
        <v>1.4</v>
      </c>
      <c r="L5315" s="495">
        <f t="shared" si="62"/>
        <v>0.30000000000000004</v>
      </c>
      <c r="M5315" s="337"/>
    </row>
    <row r="5316" spans="1:13" s="71" customFormat="1" ht="26.4" customHeight="1">
      <c r="A5316" s="282">
        <v>398</v>
      </c>
      <c r="B5316" s="537"/>
      <c r="C5316" s="444" t="s">
        <v>1154</v>
      </c>
      <c r="D5316" s="444" t="s">
        <v>7149</v>
      </c>
      <c r="E5316" s="260" t="s">
        <v>12752</v>
      </c>
      <c r="F5316" s="387">
        <v>950</v>
      </c>
      <c r="G5316" s="445">
        <v>1989</v>
      </c>
      <c r="H5316" s="472" t="s">
        <v>5462</v>
      </c>
      <c r="I5316" s="470">
        <v>91.6</v>
      </c>
      <c r="J5316" s="388">
        <v>4.5999999999999996</v>
      </c>
      <c r="K5316" s="388">
        <v>3.9</v>
      </c>
      <c r="L5316" s="495">
        <f t="shared" si="62"/>
        <v>0.69999999999999973</v>
      </c>
      <c r="M5316" s="337"/>
    </row>
    <row r="5317" spans="1:13" s="71" customFormat="1" ht="26.4" customHeight="1">
      <c r="A5317" s="282">
        <v>399</v>
      </c>
      <c r="B5317" s="537"/>
      <c r="C5317" s="444" t="s">
        <v>1154</v>
      </c>
      <c r="D5317" s="444" t="s">
        <v>7150</v>
      </c>
      <c r="E5317" s="260" t="s">
        <v>7151</v>
      </c>
      <c r="F5317" s="387">
        <v>958</v>
      </c>
      <c r="G5317" s="445">
        <v>1990</v>
      </c>
      <c r="H5317" s="472" t="s">
        <v>5462</v>
      </c>
      <c r="I5317" s="470">
        <v>188</v>
      </c>
      <c r="J5317" s="388">
        <v>0.3</v>
      </c>
      <c r="K5317" s="388">
        <v>0.3</v>
      </c>
      <c r="L5317" s="495">
        <f t="shared" si="62"/>
        <v>0</v>
      </c>
      <c r="M5317" s="337"/>
    </row>
    <row r="5318" spans="1:13" s="71" customFormat="1" ht="26.4" customHeight="1">
      <c r="A5318" s="282">
        <v>400</v>
      </c>
      <c r="B5318" s="537"/>
      <c r="C5318" s="444" t="s">
        <v>1154</v>
      </c>
      <c r="D5318" s="444" t="s">
        <v>7152</v>
      </c>
      <c r="E5318" s="260" t="s">
        <v>12753</v>
      </c>
      <c r="F5318" s="387">
        <v>959</v>
      </c>
      <c r="G5318" s="445">
        <v>1990</v>
      </c>
      <c r="H5318" s="472" t="s">
        <v>5462</v>
      </c>
      <c r="I5318" s="470">
        <v>77.5</v>
      </c>
      <c r="J5318" s="388">
        <v>5.7</v>
      </c>
      <c r="K5318" s="388">
        <v>4.8</v>
      </c>
      <c r="L5318" s="495">
        <f t="shared" si="62"/>
        <v>0.90000000000000036</v>
      </c>
      <c r="M5318" s="337"/>
    </row>
    <row r="5319" spans="1:13" s="71" customFormat="1" ht="26.4" customHeight="1">
      <c r="A5319" s="282">
        <v>401</v>
      </c>
      <c r="B5319" s="537"/>
      <c r="C5319" s="444" t="s">
        <v>1154</v>
      </c>
      <c r="D5319" s="444" t="s">
        <v>7153</v>
      </c>
      <c r="E5319" s="260" t="s">
        <v>12754</v>
      </c>
      <c r="F5319" s="387">
        <v>962</v>
      </c>
      <c r="G5319" s="445">
        <v>1990</v>
      </c>
      <c r="H5319" s="472" t="s">
        <v>5462</v>
      </c>
      <c r="I5319" s="470">
        <v>60</v>
      </c>
      <c r="J5319" s="388">
        <v>1.8</v>
      </c>
      <c r="K5319" s="388">
        <v>1.4</v>
      </c>
      <c r="L5319" s="495">
        <f t="shared" si="62"/>
        <v>0.40000000000000013</v>
      </c>
      <c r="M5319" s="337"/>
    </row>
    <row r="5320" spans="1:13" s="71" customFormat="1" ht="26.4" customHeight="1">
      <c r="A5320" s="282">
        <v>402</v>
      </c>
      <c r="B5320" s="537"/>
      <c r="C5320" s="444" t="s">
        <v>1154</v>
      </c>
      <c r="D5320" s="444" t="s">
        <v>7154</v>
      </c>
      <c r="E5320" s="260" t="s">
        <v>12755</v>
      </c>
      <c r="F5320" s="387">
        <v>963</v>
      </c>
      <c r="G5320" s="445">
        <v>1990</v>
      </c>
      <c r="H5320" s="472" t="s">
        <v>5462</v>
      </c>
      <c r="I5320" s="470">
        <v>78.599999999999994</v>
      </c>
      <c r="J5320" s="388">
        <v>1.3</v>
      </c>
      <c r="K5320" s="388">
        <v>1</v>
      </c>
      <c r="L5320" s="495">
        <f t="shared" si="62"/>
        <v>0.30000000000000004</v>
      </c>
      <c r="M5320" s="337"/>
    </row>
    <row r="5321" spans="1:13" s="71" customFormat="1" ht="26.4" customHeight="1">
      <c r="A5321" s="282">
        <v>403</v>
      </c>
      <c r="B5321" s="537"/>
      <c r="C5321" s="444" t="s">
        <v>1154</v>
      </c>
      <c r="D5321" s="444" t="s">
        <v>7155</v>
      </c>
      <c r="E5321" s="260" t="s">
        <v>7156</v>
      </c>
      <c r="F5321" s="387">
        <v>964</v>
      </c>
      <c r="G5321" s="445">
        <v>1990</v>
      </c>
      <c r="H5321" s="472" t="s">
        <v>5462</v>
      </c>
      <c r="I5321" s="470">
        <v>110</v>
      </c>
      <c r="J5321" s="388">
        <v>1.9</v>
      </c>
      <c r="K5321" s="388">
        <v>1.9</v>
      </c>
      <c r="L5321" s="495">
        <f t="shared" si="62"/>
        <v>0</v>
      </c>
      <c r="M5321" s="337"/>
    </row>
    <row r="5322" spans="1:13" s="71" customFormat="1" ht="26.4" customHeight="1">
      <c r="A5322" s="282">
        <v>404</v>
      </c>
      <c r="B5322" s="537"/>
      <c r="C5322" s="444" t="s">
        <v>1154</v>
      </c>
      <c r="D5322" s="444" t="s">
        <v>7157</v>
      </c>
      <c r="E5322" s="260" t="s">
        <v>7158</v>
      </c>
      <c r="F5322" s="387">
        <v>965</v>
      </c>
      <c r="G5322" s="445">
        <v>1990</v>
      </c>
      <c r="H5322" s="472" t="s">
        <v>5462</v>
      </c>
      <c r="I5322" s="470">
        <v>102</v>
      </c>
      <c r="J5322" s="388">
        <v>1.9</v>
      </c>
      <c r="K5322" s="388">
        <v>1.5</v>
      </c>
      <c r="L5322" s="495">
        <f t="shared" si="62"/>
        <v>0.39999999999999991</v>
      </c>
      <c r="M5322" s="337"/>
    </row>
    <row r="5323" spans="1:13" s="71" customFormat="1" ht="26.4" customHeight="1">
      <c r="A5323" s="282">
        <v>405</v>
      </c>
      <c r="B5323" s="537"/>
      <c r="C5323" s="444" t="s">
        <v>1154</v>
      </c>
      <c r="D5323" s="444" t="s">
        <v>6893</v>
      </c>
      <c r="E5323" s="260" t="s">
        <v>7159</v>
      </c>
      <c r="F5323" s="387">
        <v>978</v>
      </c>
      <c r="G5323" s="445">
        <v>1990</v>
      </c>
      <c r="H5323" s="472" t="s">
        <v>5462</v>
      </c>
      <c r="I5323" s="470">
        <v>2523</v>
      </c>
      <c r="J5323" s="388">
        <v>67.3</v>
      </c>
      <c r="K5323" s="388">
        <v>61.7</v>
      </c>
      <c r="L5323" s="495">
        <f t="shared" si="62"/>
        <v>5.5999999999999943</v>
      </c>
      <c r="M5323" s="337"/>
    </row>
    <row r="5324" spans="1:13" s="71" customFormat="1" ht="26.4" customHeight="1">
      <c r="A5324" s="282">
        <v>406</v>
      </c>
      <c r="B5324" s="537"/>
      <c r="C5324" s="444" t="s">
        <v>1154</v>
      </c>
      <c r="D5324" s="444" t="s">
        <v>7160</v>
      </c>
      <c r="E5324" s="260" t="s">
        <v>7161</v>
      </c>
      <c r="F5324" s="387">
        <v>980</v>
      </c>
      <c r="G5324" s="445">
        <v>1990</v>
      </c>
      <c r="H5324" s="472" t="s">
        <v>5462</v>
      </c>
      <c r="I5324" s="470">
        <v>1325</v>
      </c>
      <c r="J5324" s="388">
        <v>50.5</v>
      </c>
      <c r="K5324" s="388">
        <v>46.7</v>
      </c>
      <c r="L5324" s="495">
        <f t="shared" si="62"/>
        <v>3.7999999999999972</v>
      </c>
      <c r="M5324" s="337"/>
    </row>
    <row r="5325" spans="1:13" s="71" customFormat="1" ht="26.4" customHeight="1">
      <c r="A5325" s="282">
        <v>407</v>
      </c>
      <c r="B5325" s="537"/>
      <c r="C5325" s="444" t="s">
        <v>1154</v>
      </c>
      <c r="D5325" s="444" t="s">
        <v>7162</v>
      </c>
      <c r="E5325" s="260" t="s">
        <v>7163</v>
      </c>
      <c r="F5325" s="387">
        <v>982</v>
      </c>
      <c r="G5325" s="445">
        <v>1990</v>
      </c>
      <c r="H5325" s="472" t="s">
        <v>5462</v>
      </c>
      <c r="I5325" s="470">
        <v>125</v>
      </c>
      <c r="J5325" s="388">
        <v>2</v>
      </c>
      <c r="K5325" s="388">
        <v>1.6</v>
      </c>
      <c r="L5325" s="495">
        <f t="shared" si="62"/>
        <v>0.39999999999999991</v>
      </c>
      <c r="M5325" s="337"/>
    </row>
    <row r="5326" spans="1:13" s="71" customFormat="1" ht="26.4" customHeight="1">
      <c r="A5326" s="282">
        <v>408</v>
      </c>
      <c r="B5326" s="537"/>
      <c r="C5326" s="444" t="s">
        <v>1154</v>
      </c>
      <c r="D5326" s="444" t="s">
        <v>7164</v>
      </c>
      <c r="E5326" s="260" t="s">
        <v>7165</v>
      </c>
      <c r="F5326" s="387">
        <v>983</v>
      </c>
      <c r="G5326" s="445">
        <v>1990</v>
      </c>
      <c r="H5326" s="472" t="s">
        <v>5462</v>
      </c>
      <c r="I5326" s="470">
        <v>122.5</v>
      </c>
      <c r="J5326" s="388">
        <v>4.4000000000000004</v>
      </c>
      <c r="K5326" s="388">
        <v>3.7</v>
      </c>
      <c r="L5326" s="495">
        <f t="shared" si="62"/>
        <v>0.70000000000000018</v>
      </c>
      <c r="M5326" s="337"/>
    </row>
    <row r="5327" spans="1:13" s="71" customFormat="1" ht="26.4" customHeight="1">
      <c r="A5327" s="282">
        <v>409</v>
      </c>
      <c r="B5327" s="537"/>
      <c r="C5327" s="444" t="s">
        <v>1154</v>
      </c>
      <c r="D5327" s="444" t="s">
        <v>7089</v>
      </c>
      <c r="E5327" s="260" t="s">
        <v>7166</v>
      </c>
      <c r="F5327" s="387">
        <v>985</v>
      </c>
      <c r="G5327" s="445">
        <v>1990</v>
      </c>
      <c r="H5327" s="472" t="s">
        <v>5462</v>
      </c>
      <c r="I5327" s="470">
        <v>1800</v>
      </c>
      <c r="J5327" s="388">
        <v>48</v>
      </c>
      <c r="K5327" s="388">
        <v>46.5</v>
      </c>
      <c r="L5327" s="495">
        <f t="shared" si="62"/>
        <v>1.5</v>
      </c>
      <c r="M5327" s="337"/>
    </row>
    <row r="5328" spans="1:13" s="71" customFormat="1" ht="26.4" customHeight="1">
      <c r="A5328" s="282">
        <v>410</v>
      </c>
      <c r="B5328" s="537"/>
      <c r="C5328" s="444" t="s">
        <v>1154</v>
      </c>
      <c r="D5328" s="444" t="s">
        <v>7167</v>
      </c>
      <c r="E5328" s="260" t="s">
        <v>7168</v>
      </c>
      <c r="F5328" s="387">
        <v>986</v>
      </c>
      <c r="G5328" s="445">
        <v>1990</v>
      </c>
      <c r="H5328" s="472" t="s">
        <v>5462</v>
      </c>
      <c r="I5328" s="470">
        <v>187.5</v>
      </c>
      <c r="J5328" s="388">
        <v>3.1</v>
      </c>
      <c r="K5328" s="388">
        <v>2.5</v>
      </c>
      <c r="L5328" s="495">
        <f t="shared" si="62"/>
        <v>0.60000000000000009</v>
      </c>
      <c r="M5328" s="337"/>
    </row>
    <row r="5329" spans="1:13" s="71" customFormat="1" ht="26.4" customHeight="1">
      <c r="A5329" s="282">
        <v>411</v>
      </c>
      <c r="B5329" s="537"/>
      <c r="C5329" s="444" t="s">
        <v>1154</v>
      </c>
      <c r="D5329" s="444" t="s">
        <v>6904</v>
      </c>
      <c r="E5329" s="260" t="s">
        <v>7169</v>
      </c>
      <c r="F5329" s="387">
        <v>987</v>
      </c>
      <c r="G5329" s="445">
        <v>1990</v>
      </c>
      <c r="H5329" s="472" t="s">
        <v>5462</v>
      </c>
      <c r="I5329" s="470">
        <v>187</v>
      </c>
      <c r="J5329" s="388">
        <v>10.1</v>
      </c>
      <c r="K5329" s="388">
        <v>8.8000000000000007</v>
      </c>
      <c r="L5329" s="495">
        <f t="shared" si="62"/>
        <v>1.2999999999999989</v>
      </c>
      <c r="M5329" s="337"/>
    </row>
    <row r="5330" spans="1:13" s="71" customFormat="1" ht="26.4" customHeight="1">
      <c r="A5330" s="282">
        <v>412</v>
      </c>
      <c r="B5330" s="537"/>
      <c r="C5330" s="444" t="s">
        <v>1154</v>
      </c>
      <c r="D5330" s="444" t="s">
        <v>7167</v>
      </c>
      <c r="E5330" s="260" t="s">
        <v>7170</v>
      </c>
      <c r="F5330" s="387">
        <v>988</v>
      </c>
      <c r="G5330" s="445">
        <v>1990</v>
      </c>
      <c r="H5330" s="472" t="s">
        <v>5462</v>
      </c>
      <c r="I5330" s="470">
        <v>102</v>
      </c>
      <c r="J5330" s="388">
        <v>2.5</v>
      </c>
      <c r="K5330" s="388">
        <v>2</v>
      </c>
      <c r="L5330" s="495">
        <f t="shared" si="62"/>
        <v>0.5</v>
      </c>
      <c r="M5330" s="337"/>
    </row>
    <row r="5331" spans="1:13" s="71" customFormat="1" ht="26.4" customHeight="1">
      <c r="A5331" s="282">
        <v>413</v>
      </c>
      <c r="B5331" s="537"/>
      <c r="C5331" s="444" t="s">
        <v>1154</v>
      </c>
      <c r="D5331" s="444" t="s">
        <v>6904</v>
      </c>
      <c r="E5331" s="260" t="s">
        <v>7171</v>
      </c>
      <c r="F5331" s="387">
        <v>989</v>
      </c>
      <c r="G5331" s="445">
        <v>1990</v>
      </c>
      <c r="H5331" s="472" t="s">
        <v>5462</v>
      </c>
      <c r="I5331" s="470">
        <v>1166</v>
      </c>
      <c r="J5331" s="496">
        <v>12.4</v>
      </c>
      <c r="K5331" s="496">
        <v>10.9</v>
      </c>
      <c r="L5331" s="495">
        <f t="shared" si="62"/>
        <v>1.5</v>
      </c>
      <c r="M5331" s="337"/>
    </row>
    <row r="5332" spans="1:13" s="71" customFormat="1" ht="26.4" customHeight="1">
      <c r="A5332" s="282">
        <v>414</v>
      </c>
      <c r="B5332" s="537"/>
      <c r="C5332" s="444" t="s">
        <v>1154</v>
      </c>
      <c r="D5332" s="444" t="s">
        <v>6909</v>
      </c>
      <c r="E5332" s="260" t="s">
        <v>7172</v>
      </c>
      <c r="F5332" s="387">
        <v>1002</v>
      </c>
      <c r="G5332" s="445">
        <v>1991</v>
      </c>
      <c r="H5332" s="472" t="s">
        <v>5462</v>
      </c>
      <c r="I5332" s="470">
        <v>572</v>
      </c>
      <c r="J5332" s="388">
        <v>6.2</v>
      </c>
      <c r="K5332" s="388">
        <v>5.2</v>
      </c>
      <c r="L5332" s="495">
        <f t="shared" si="62"/>
        <v>1</v>
      </c>
      <c r="M5332" s="337"/>
    </row>
    <row r="5333" spans="1:13" s="71" customFormat="1" ht="26.4" customHeight="1">
      <c r="A5333" s="282">
        <v>415</v>
      </c>
      <c r="B5333" s="537"/>
      <c r="C5333" s="444" t="s">
        <v>1154</v>
      </c>
      <c r="D5333" s="444" t="s">
        <v>6909</v>
      </c>
      <c r="E5333" s="260" t="s">
        <v>7173</v>
      </c>
      <c r="F5333" s="387">
        <v>1003</v>
      </c>
      <c r="G5333" s="445">
        <v>1991</v>
      </c>
      <c r="H5333" s="472" t="s">
        <v>5462</v>
      </c>
      <c r="I5333" s="470">
        <v>249</v>
      </c>
      <c r="J5333" s="388">
        <v>12.4</v>
      </c>
      <c r="K5333" s="388">
        <v>10.9</v>
      </c>
      <c r="L5333" s="495">
        <f t="shared" si="62"/>
        <v>1.5</v>
      </c>
      <c r="M5333" s="337"/>
    </row>
    <row r="5334" spans="1:13" s="71" customFormat="1" ht="26.4" customHeight="1">
      <c r="A5334" s="282">
        <v>416</v>
      </c>
      <c r="B5334" s="537"/>
      <c r="C5334" s="444" t="s">
        <v>1154</v>
      </c>
      <c r="D5334" s="444" t="s">
        <v>6911</v>
      </c>
      <c r="E5334" s="260" t="s">
        <v>7174</v>
      </c>
      <c r="F5334" s="387">
        <v>1012</v>
      </c>
      <c r="G5334" s="445">
        <v>1991</v>
      </c>
      <c r="H5334" s="472" t="s">
        <v>5462</v>
      </c>
      <c r="I5334" s="470">
        <v>162.19999999999999</v>
      </c>
      <c r="J5334" s="388">
        <v>9.8000000000000007</v>
      </c>
      <c r="K5334" s="388">
        <v>8</v>
      </c>
      <c r="L5334" s="495">
        <f t="shared" si="62"/>
        <v>1.8000000000000007</v>
      </c>
      <c r="M5334" s="337"/>
    </row>
    <row r="5335" spans="1:13" s="71" customFormat="1" ht="26.4" customHeight="1">
      <c r="A5335" s="282">
        <v>417</v>
      </c>
      <c r="B5335" s="537"/>
      <c r="C5335" s="444" t="s">
        <v>1154</v>
      </c>
      <c r="D5335" s="444" t="s">
        <v>7175</v>
      </c>
      <c r="E5335" s="260" t="s">
        <v>7176</v>
      </c>
      <c r="F5335" s="387">
        <v>1013</v>
      </c>
      <c r="G5335" s="445">
        <v>1991</v>
      </c>
      <c r="H5335" s="472" t="s">
        <v>5462</v>
      </c>
      <c r="I5335" s="470">
        <v>370</v>
      </c>
      <c r="J5335" s="388">
        <v>11.4</v>
      </c>
      <c r="K5335" s="388">
        <v>10.199999999999999</v>
      </c>
      <c r="L5335" s="495">
        <f t="shared" si="62"/>
        <v>1.2000000000000011</v>
      </c>
      <c r="M5335" s="337"/>
    </row>
    <row r="5336" spans="1:13" s="71" customFormat="1" ht="26.4" customHeight="1">
      <c r="A5336" s="282">
        <v>418</v>
      </c>
      <c r="B5336" s="537"/>
      <c r="C5336" s="444" t="s">
        <v>1154</v>
      </c>
      <c r="D5336" s="444" t="s">
        <v>6911</v>
      </c>
      <c r="E5336" s="260" t="s">
        <v>7177</v>
      </c>
      <c r="F5336" s="387">
        <v>1016</v>
      </c>
      <c r="G5336" s="445">
        <v>1992</v>
      </c>
      <c r="H5336" s="472" t="s">
        <v>5462</v>
      </c>
      <c r="I5336" s="470">
        <v>414</v>
      </c>
      <c r="J5336" s="388">
        <v>63.8</v>
      </c>
      <c r="K5336" s="388">
        <v>58.9</v>
      </c>
      <c r="L5336" s="495">
        <f t="shared" si="62"/>
        <v>4.8999999999999986</v>
      </c>
      <c r="M5336" s="337"/>
    </row>
    <row r="5337" spans="1:13" s="71" customFormat="1" ht="26.4" customHeight="1">
      <c r="A5337" s="282">
        <v>419</v>
      </c>
      <c r="B5337" s="537"/>
      <c r="C5337" s="444" t="s">
        <v>1154</v>
      </c>
      <c r="D5337" s="444" t="s">
        <v>6911</v>
      </c>
      <c r="E5337" s="260" t="s">
        <v>7178</v>
      </c>
      <c r="F5337" s="387">
        <v>1017</v>
      </c>
      <c r="G5337" s="445">
        <v>1992</v>
      </c>
      <c r="H5337" s="472" t="s">
        <v>5462</v>
      </c>
      <c r="I5337" s="470">
        <v>88</v>
      </c>
      <c r="J5337" s="388">
        <v>6.8</v>
      </c>
      <c r="K5337" s="388">
        <v>5.8</v>
      </c>
      <c r="L5337" s="495">
        <f t="shared" si="62"/>
        <v>1</v>
      </c>
      <c r="M5337" s="337"/>
    </row>
    <row r="5338" spans="1:13" s="71" customFormat="1" ht="26.4" customHeight="1">
      <c r="A5338" s="282">
        <v>420</v>
      </c>
      <c r="B5338" s="537"/>
      <c r="C5338" s="444" t="s">
        <v>1154</v>
      </c>
      <c r="D5338" s="444" t="s">
        <v>7179</v>
      </c>
      <c r="E5338" s="260" t="s">
        <v>7180</v>
      </c>
      <c r="F5338" s="387">
        <v>1022</v>
      </c>
      <c r="G5338" s="445">
        <v>1992</v>
      </c>
      <c r="H5338" s="472" t="s">
        <v>5462</v>
      </c>
      <c r="I5338" s="470">
        <v>123</v>
      </c>
      <c r="J5338" s="388">
        <v>2.4</v>
      </c>
      <c r="K5338" s="388">
        <v>2.2999999999999998</v>
      </c>
      <c r="L5338" s="495">
        <f t="shared" si="62"/>
        <v>0.10000000000000009</v>
      </c>
      <c r="M5338" s="337"/>
    </row>
    <row r="5339" spans="1:13" s="71" customFormat="1" ht="26.4" customHeight="1">
      <c r="A5339" s="282">
        <v>421</v>
      </c>
      <c r="B5339" s="537"/>
      <c r="C5339" s="444" t="s">
        <v>1154</v>
      </c>
      <c r="D5339" s="444" t="s">
        <v>7181</v>
      </c>
      <c r="E5339" s="260" t="s">
        <v>7182</v>
      </c>
      <c r="F5339" s="387">
        <v>1023</v>
      </c>
      <c r="G5339" s="445">
        <v>1992</v>
      </c>
      <c r="H5339" s="472" t="s">
        <v>5462</v>
      </c>
      <c r="I5339" s="470">
        <v>85</v>
      </c>
      <c r="J5339" s="388">
        <v>3.1</v>
      </c>
      <c r="K5339" s="388">
        <v>2.9</v>
      </c>
      <c r="L5339" s="495">
        <f t="shared" si="62"/>
        <v>0.20000000000000018</v>
      </c>
      <c r="M5339" s="337"/>
    </row>
    <row r="5340" spans="1:13" s="71" customFormat="1" ht="40.5" customHeight="1">
      <c r="A5340" s="282">
        <v>422</v>
      </c>
      <c r="B5340" s="537"/>
      <c r="C5340" s="444" t="s">
        <v>1154</v>
      </c>
      <c r="D5340" s="444" t="s">
        <v>7183</v>
      </c>
      <c r="E5340" s="260" t="s">
        <v>13159</v>
      </c>
      <c r="F5340" s="387">
        <v>1033</v>
      </c>
      <c r="G5340" s="445">
        <v>1992</v>
      </c>
      <c r="H5340" s="472" t="s">
        <v>5462</v>
      </c>
      <c r="I5340" s="470">
        <v>48</v>
      </c>
      <c r="J5340" s="388">
        <v>0.1</v>
      </c>
      <c r="K5340" s="388">
        <v>0</v>
      </c>
      <c r="L5340" s="495">
        <f t="shared" si="62"/>
        <v>0.1</v>
      </c>
      <c r="M5340" s="337"/>
    </row>
    <row r="5341" spans="1:13" s="71" customFormat="1" ht="26.4" customHeight="1">
      <c r="A5341" s="282">
        <v>423</v>
      </c>
      <c r="B5341" s="537"/>
      <c r="C5341" s="444" t="s">
        <v>1154</v>
      </c>
      <c r="D5341" s="444" t="s">
        <v>7184</v>
      </c>
      <c r="E5341" s="260" t="s">
        <v>13428</v>
      </c>
      <c r="F5341" s="387">
        <v>1034</v>
      </c>
      <c r="G5341" s="445">
        <v>1992</v>
      </c>
      <c r="H5341" s="472" t="s">
        <v>5462</v>
      </c>
      <c r="I5341" s="470">
        <v>58.5</v>
      </c>
      <c r="J5341" s="388">
        <v>0.3</v>
      </c>
      <c r="K5341" s="388">
        <v>0.3</v>
      </c>
      <c r="L5341" s="495">
        <f t="shared" si="62"/>
        <v>0</v>
      </c>
      <c r="M5341" s="337"/>
    </row>
    <row r="5342" spans="1:13" s="71" customFormat="1" ht="26.4" customHeight="1">
      <c r="A5342" s="282">
        <v>424</v>
      </c>
      <c r="B5342" s="537"/>
      <c r="C5342" s="444" t="s">
        <v>1154</v>
      </c>
      <c r="D5342" s="444" t="s">
        <v>7185</v>
      </c>
      <c r="E5342" s="260" t="s">
        <v>7186</v>
      </c>
      <c r="F5342" s="387">
        <v>1035</v>
      </c>
      <c r="G5342" s="445">
        <v>1992</v>
      </c>
      <c r="H5342" s="472" t="s">
        <v>5462</v>
      </c>
      <c r="I5342" s="470">
        <v>48.2</v>
      </c>
      <c r="J5342" s="388">
        <v>0.4</v>
      </c>
      <c r="K5342" s="388">
        <v>0.3</v>
      </c>
      <c r="L5342" s="495">
        <f t="shared" si="62"/>
        <v>0.10000000000000003</v>
      </c>
      <c r="M5342" s="337"/>
    </row>
    <row r="5343" spans="1:13" s="71" customFormat="1" ht="26.4">
      <c r="A5343" s="282">
        <v>425</v>
      </c>
      <c r="B5343" s="537"/>
      <c r="C5343" s="444" t="s">
        <v>1154</v>
      </c>
      <c r="D5343" s="444" t="s">
        <v>7187</v>
      </c>
      <c r="E5343" s="260" t="s">
        <v>7188</v>
      </c>
      <c r="F5343" s="387">
        <v>1036</v>
      </c>
      <c r="G5343" s="445">
        <v>1992</v>
      </c>
      <c r="H5343" s="472" t="s">
        <v>5462</v>
      </c>
      <c r="I5343" s="470">
        <v>28.8</v>
      </c>
      <c r="J5343" s="388">
        <v>0.1</v>
      </c>
      <c r="K5343" s="388">
        <v>0.1</v>
      </c>
      <c r="L5343" s="495">
        <f t="shared" si="62"/>
        <v>0</v>
      </c>
      <c r="M5343" s="337"/>
    </row>
    <row r="5344" spans="1:13" s="71" customFormat="1" ht="26.4" customHeight="1">
      <c r="A5344" s="282">
        <v>426</v>
      </c>
      <c r="B5344" s="537"/>
      <c r="C5344" s="444" t="s">
        <v>1154</v>
      </c>
      <c r="D5344" s="444" t="s">
        <v>7189</v>
      </c>
      <c r="E5344" s="260" t="s">
        <v>7190</v>
      </c>
      <c r="F5344" s="387">
        <v>1037</v>
      </c>
      <c r="G5344" s="445">
        <v>1992</v>
      </c>
      <c r="H5344" s="472" t="s">
        <v>5462</v>
      </c>
      <c r="I5344" s="470">
        <v>47.7</v>
      </c>
      <c r="J5344" s="388">
        <v>0.2</v>
      </c>
      <c r="K5344" s="388">
        <v>0.1</v>
      </c>
      <c r="L5344" s="495">
        <f t="shared" si="62"/>
        <v>0.1</v>
      </c>
      <c r="M5344" s="337"/>
    </row>
    <row r="5345" spans="1:13" s="71" customFormat="1" ht="26.4" customHeight="1">
      <c r="A5345" s="282">
        <v>427</v>
      </c>
      <c r="B5345" s="537"/>
      <c r="C5345" s="444" t="s">
        <v>1154</v>
      </c>
      <c r="D5345" s="444" t="s">
        <v>7191</v>
      </c>
      <c r="E5345" s="260" t="s">
        <v>13427</v>
      </c>
      <c r="F5345" s="387">
        <v>1043</v>
      </c>
      <c r="G5345" s="445">
        <v>1993</v>
      </c>
      <c r="H5345" s="472" t="s">
        <v>5462</v>
      </c>
      <c r="I5345" s="470">
        <v>155.5</v>
      </c>
      <c r="J5345" s="388">
        <v>0.2</v>
      </c>
      <c r="K5345" s="388">
        <v>0.1</v>
      </c>
      <c r="L5345" s="495">
        <f t="shared" si="62"/>
        <v>0.1</v>
      </c>
      <c r="M5345" s="337"/>
    </row>
    <row r="5346" spans="1:13" s="71" customFormat="1" ht="26.4" customHeight="1">
      <c r="A5346" s="282">
        <v>428</v>
      </c>
      <c r="B5346" s="537"/>
      <c r="C5346" s="444" t="s">
        <v>1154</v>
      </c>
      <c r="D5346" s="444" t="s">
        <v>7192</v>
      </c>
      <c r="E5346" s="260" t="s">
        <v>7193</v>
      </c>
      <c r="F5346" s="387">
        <v>1044</v>
      </c>
      <c r="G5346" s="445">
        <v>1993</v>
      </c>
      <c r="H5346" s="472" t="s">
        <v>5462</v>
      </c>
      <c r="I5346" s="470">
        <v>948</v>
      </c>
      <c r="J5346" s="388">
        <v>0.1</v>
      </c>
      <c r="K5346" s="388">
        <v>0.1</v>
      </c>
      <c r="L5346" s="495">
        <f t="shared" si="62"/>
        <v>0</v>
      </c>
      <c r="M5346" s="337"/>
    </row>
    <row r="5347" spans="1:13" s="71" customFormat="1" ht="26.4" customHeight="1">
      <c r="A5347" s="282">
        <v>429</v>
      </c>
      <c r="B5347" s="537"/>
      <c r="C5347" s="444" t="s">
        <v>1154</v>
      </c>
      <c r="D5347" s="444" t="s">
        <v>7194</v>
      </c>
      <c r="E5347" s="260" t="s">
        <v>7195</v>
      </c>
      <c r="F5347" s="387">
        <v>1050</v>
      </c>
      <c r="G5347" s="445">
        <v>1993</v>
      </c>
      <c r="H5347" s="472" t="s">
        <v>5462</v>
      </c>
      <c r="I5347" s="470">
        <v>9560</v>
      </c>
      <c r="J5347" s="388">
        <v>43.2</v>
      </c>
      <c r="K5347" s="388">
        <v>39.799999999999997</v>
      </c>
      <c r="L5347" s="495">
        <f t="shared" si="62"/>
        <v>3.4000000000000057</v>
      </c>
      <c r="M5347" s="337"/>
    </row>
    <row r="5348" spans="1:13" s="71" customFormat="1" ht="26.4" customHeight="1">
      <c r="A5348" s="282">
        <v>430</v>
      </c>
      <c r="B5348" s="537"/>
      <c r="C5348" s="444" t="s">
        <v>1154</v>
      </c>
      <c r="D5348" s="444" t="s">
        <v>7196</v>
      </c>
      <c r="E5348" s="260" t="s">
        <v>7197</v>
      </c>
      <c r="F5348" s="387">
        <v>1054</v>
      </c>
      <c r="G5348" s="445">
        <v>1993</v>
      </c>
      <c r="H5348" s="472" t="s">
        <v>1149</v>
      </c>
      <c r="I5348" s="470">
        <v>307.2</v>
      </c>
      <c r="J5348" s="388">
        <v>1038.3</v>
      </c>
      <c r="K5348" s="388">
        <v>962.3</v>
      </c>
      <c r="L5348" s="495">
        <f t="shared" si="62"/>
        <v>76</v>
      </c>
      <c r="M5348" s="337"/>
    </row>
    <row r="5349" spans="1:13" s="71" customFormat="1" ht="26.4" customHeight="1">
      <c r="A5349" s="282">
        <v>431</v>
      </c>
      <c r="B5349" s="537"/>
      <c r="C5349" s="444" t="s">
        <v>1154</v>
      </c>
      <c r="D5349" s="444" t="s">
        <v>7198</v>
      </c>
      <c r="E5349" s="260" t="s">
        <v>7199</v>
      </c>
      <c r="F5349" s="387">
        <v>1055</v>
      </c>
      <c r="G5349" s="445">
        <v>1993</v>
      </c>
      <c r="H5349" s="472" t="s">
        <v>3243</v>
      </c>
      <c r="I5349" s="470" t="s">
        <v>3243</v>
      </c>
      <c r="J5349" s="388">
        <v>57.5</v>
      </c>
      <c r="K5349" s="388">
        <v>47.9</v>
      </c>
      <c r="L5349" s="495">
        <f t="shared" si="62"/>
        <v>9.6000000000000014</v>
      </c>
      <c r="M5349" s="337"/>
    </row>
    <row r="5350" spans="1:13" s="71" customFormat="1" ht="26.4" customHeight="1">
      <c r="A5350" s="282">
        <v>432</v>
      </c>
      <c r="B5350" s="537"/>
      <c r="C5350" s="444" t="s">
        <v>1154</v>
      </c>
      <c r="D5350" s="444" t="s">
        <v>7196</v>
      </c>
      <c r="E5350" s="260" t="s">
        <v>7200</v>
      </c>
      <c r="F5350" s="387">
        <v>1061</v>
      </c>
      <c r="G5350" s="445">
        <v>1986</v>
      </c>
      <c r="H5350" s="472" t="s">
        <v>3243</v>
      </c>
      <c r="I5350" s="470" t="s">
        <v>3243</v>
      </c>
      <c r="J5350" s="388">
        <v>24.5</v>
      </c>
      <c r="K5350" s="388">
        <v>19.100000000000001</v>
      </c>
      <c r="L5350" s="495">
        <f t="shared" si="62"/>
        <v>5.3999999999999986</v>
      </c>
      <c r="M5350" s="337"/>
    </row>
    <row r="5351" spans="1:13" s="71" customFormat="1" ht="26.4" customHeight="1">
      <c r="A5351" s="282">
        <v>433</v>
      </c>
      <c r="B5351" s="537"/>
      <c r="C5351" s="444" t="s">
        <v>1154</v>
      </c>
      <c r="D5351" s="444" t="s">
        <v>7201</v>
      </c>
      <c r="E5351" s="260" t="s">
        <v>7202</v>
      </c>
      <c r="F5351" s="387">
        <v>1078</v>
      </c>
      <c r="G5351" s="445">
        <v>1994</v>
      </c>
      <c r="H5351" s="472" t="s">
        <v>5462</v>
      </c>
      <c r="I5351" s="470">
        <v>185</v>
      </c>
      <c r="J5351" s="388">
        <v>5.4</v>
      </c>
      <c r="K5351" s="388">
        <v>4.5</v>
      </c>
      <c r="L5351" s="495">
        <f t="shared" si="62"/>
        <v>0.90000000000000036</v>
      </c>
      <c r="M5351" s="337"/>
    </row>
    <row r="5352" spans="1:13" s="71" customFormat="1" ht="26.4" customHeight="1">
      <c r="A5352" s="282">
        <v>434</v>
      </c>
      <c r="B5352" s="537"/>
      <c r="C5352" s="444" t="s">
        <v>1154</v>
      </c>
      <c r="D5352" s="444" t="s">
        <v>7201</v>
      </c>
      <c r="E5352" s="395" t="s">
        <v>7203</v>
      </c>
      <c r="F5352" s="387">
        <v>1079</v>
      </c>
      <c r="G5352" s="445">
        <v>1994</v>
      </c>
      <c r="H5352" s="472" t="s">
        <v>5462</v>
      </c>
      <c r="I5352" s="470">
        <v>35</v>
      </c>
      <c r="J5352" s="388">
        <v>2.2000000000000002</v>
      </c>
      <c r="K5352" s="388">
        <v>1.7</v>
      </c>
      <c r="L5352" s="495">
        <f t="shared" si="62"/>
        <v>0.50000000000000022</v>
      </c>
      <c r="M5352" s="337"/>
    </row>
    <row r="5353" spans="1:13" s="71" customFormat="1" ht="26.4" customHeight="1">
      <c r="A5353" s="282">
        <v>435</v>
      </c>
      <c r="B5353" s="537"/>
      <c r="C5353" s="444" t="s">
        <v>1154</v>
      </c>
      <c r="D5353" s="444" t="s">
        <v>7201</v>
      </c>
      <c r="E5353" s="444" t="s">
        <v>7204</v>
      </c>
      <c r="F5353" s="387">
        <v>1083</v>
      </c>
      <c r="G5353" s="445">
        <v>1994</v>
      </c>
      <c r="H5353" s="472" t="s">
        <v>5462</v>
      </c>
      <c r="I5353" s="470">
        <v>45</v>
      </c>
      <c r="J5353" s="388">
        <v>43.6</v>
      </c>
      <c r="K5353" s="388">
        <v>40.1</v>
      </c>
      <c r="L5353" s="495">
        <f t="shared" si="62"/>
        <v>3.5</v>
      </c>
      <c r="M5353" s="337"/>
    </row>
    <row r="5354" spans="1:13" s="71" customFormat="1" ht="26.4" customHeight="1">
      <c r="A5354" s="282">
        <v>436</v>
      </c>
      <c r="B5354" s="537"/>
      <c r="C5354" s="444" t="s">
        <v>1154</v>
      </c>
      <c r="D5354" s="444" t="s">
        <v>7205</v>
      </c>
      <c r="E5354" s="444" t="s">
        <v>7206</v>
      </c>
      <c r="F5354" s="387">
        <v>1084</v>
      </c>
      <c r="G5354" s="445">
        <v>1995</v>
      </c>
      <c r="H5354" s="472" t="s">
        <v>5462</v>
      </c>
      <c r="I5354" s="470">
        <v>100</v>
      </c>
      <c r="J5354" s="388">
        <v>265</v>
      </c>
      <c r="K5354" s="388">
        <v>255.1</v>
      </c>
      <c r="L5354" s="495">
        <f t="shared" si="62"/>
        <v>9.9000000000000057</v>
      </c>
      <c r="M5354" s="337"/>
    </row>
    <row r="5355" spans="1:13" s="71" customFormat="1" ht="26.4" customHeight="1">
      <c r="A5355" s="282">
        <v>437</v>
      </c>
      <c r="B5355" s="537"/>
      <c r="C5355" s="444" t="s">
        <v>1154</v>
      </c>
      <c r="D5355" s="444" t="s">
        <v>7205</v>
      </c>
      <c r="E5355" s="444" t="s">
        <v>13426</v>
      </c>
      <c r="F5355" s="387">
        <v>1085</v>
      </c>
      <c r="G5355" s="445">
        <v>1995</v>
      </c>
      <c r="H5355" s="472" t="s">
        <v>5462</v>
      </c>
      <c r="I5355" s="470">
        <v>100</v>
      </c>
      <c r="J5355" s="388">
        <v>0.1</v>
      </c>
      <c r="K5355" s="388">
        <v>0.1</v>
      </c>
      <c r="L5355" s="495">
        <f t="shared" si="62"/>
        <v>0</v>
      </c>
      <c r="M5355" s="337"/>
    </row>
    <row r="5356" spans="1:13" s="71" customFormat="1" ht="26.4" customHeight="1">
      <c r="A5356" s="282">
        <v>438</v>
      </c>
      <c r="B5356" s="537"/>
      <c r="C5356" s="444" t="s">
        <v>1154</v>
      </c>
      <c r="D5356" s="444" t="s">
        <v>7205</v>
      </c>
      <c r="E5356" s="444" t="s">
        <v>7207</v>
      </c>
      <c r="F5356" s="387">
        <v>1143</v>
      </c>
      <c r="G5356" s="445">
        <v>1995</v>
      </c>
      <c r="H5356" s="472" t="s">
        <v>5462</v>
      </c>
      <c r="I5356" s="470">
        <v>100</v>
      </c>
      <c r="J5356" s="388">
        <v>131.80000000000001</v>
      </c>
      <c r="K5356" s="388">
        <v>105.9</v>
      </c>
      <c r="L5356" s="495">
        <f t="shared" si="62"/>
        <v>25.900000000000006</v>
      </c>
      <c r="M5356" s="337"/>
    </row>
    <row r="5357" spans="1:13" s="71" customFormat="1" ht="26.4" customHeight="1">
      <c r="A5357" s="282">
        <v>439</v>
      </c>
      <c r="B5357" s="537"/>
      <c r="C5357" s="444" t="s">
        <v>1154</v>
      </c>
      <c r="D5357" s="444" t="s">
        <v>7208</v>
      </c>
      <c r="E5357" s="444" t="s">
        <v>7209</v>
      </c>
      <c r="F5357" s="387">
        <v>1150</v>
      </c>
      <c r="G5357" s="445">
        <v>39813</v>
      </c>
      <c r="H5357" s="472" t="s">
        <v>3243</v>
      </c>
      <c r="I5357" s="470" t="s">
        <v>3243</v>
      </c>
      <c r="J5357" s="394">
        <v>16.100000000000001</v>
      </c>
      <c r="K5357" s="388">
        <v>12.6</v>
      </c>
      <c r="L5357" s="495">
        <f t="shared" si="62"/>
        <v>3.5000000000000018</v>
      </c>
      <c r="M5357" s="337"/>
    </row>
    <row r="5358" spans="1:13" s="71" customFormat="1" ht="26.4" customHeight="1">
      <c r="A5358" s="282">
        <v>440</v>
      </c>
      <c r="B5358" s="537"/>
      <c r="C5358" s="444" t="s">
        <v>1154</v>
      </c>
      <c r="D5358" s="444" t="s">
        <v>6909</v>
      </c>
      <c r="E5358" s="444" t="s">
        <v>7210</v>
      </c>
      <c r="F5358" s="387">
        <v>1156</v>
      </c>
      <c r="G5358" s="445">
        <v>1952</v>
      </c>
      <c r="H5358" s="472" t="s">
        <v>5462</v>
      </c>
      <c r="I5358" s="470">
        <v>4200</v>
      </c>
      <c r="J5358" s="388">
        <v>0.1</v>
      </c>
      <c r="K5358" s="388">
        <v>0.1</v>
      </c>
      <c r="L5358" s="495">
        <f t="shared" si="62"/>
        <v>0</v>
      </c>
      <c r="M5358" s="337"/>
    </row>
    <row r="5359" spans="1:13" s="71" customFormat="1" ht="26.4" customHeight="1">
      <c r="A5359" s="282">
        <v>441</v>
      </c>
      <c r="B5359" s="537"/>
      <c r="C5359" s="444" t="s">
        <v>1154</v>
      </c>
      <c r="D5359" s="444" t="s">
        <v>7205</v>
      </c>
      <c r="E5359" s="444" t="s">
        <v>7211</v>
      </c>
      <c r="F5359" s="387">
        <v>1157</v>
      </c>
      <c r="G5359" s="445">
        <v>1952</v>
      </c>
      <c r="H5359" s="472" t="s">
        <v>5462</v>
      </c>
      <c r="I5359" s="470">
        <v>7530</v>
      </c>
      <c r="J5359" s="388">
        <v>122.4</v>
      </c>
      <c r="K5359" s="388">
        <v>121.7</v>
      </c>
      <c r="L5359" s="495">
        <f t="shared" si="62"/>
        <v>0.70000000000000284</v>
      </c>
      <c r="M5359" s="337"/>
    </row>
    <row r="5360" spans="1:13" s="71" customFormat="1" ht="26.4" customHeight="1">
      <c r="A5360" s="282">
        <v>442</v>
      </c>
      <c r="B5360" s="537"/>
      <c r="C5360" s="444" t="s">
        <v>1154</v>
      </c>
      <c r="D5360" s="444" t="s">
        <v>6947</v>
      </c>
      <c r="E5360" s="395" t="s">
        <v>7212</v>
      </c>
      <c r="F5360" s="387">
        <v>1158</v>
      </c>
      <c r="G5360" s="445">
        <v>1952</v>
      </c>
      <c r="H5360" s="472" t="s">
        <v>5462</v>
      </c>
      <c r="I5360" s="470">
        <v>750</v>
      </c>
      <c r="J5360" s="388">
        <v>26.4</v>
      </c>
      <c r="K5360" s="388">
        <v>20.5</v>
      </c>
      <c r="L5360" s="495">
        <f t="shared" si="62"/>
        <v>5.8999999999999986</v>
      </c>
      <c r="M5360" s="337"/>
    </row>
    <row r="5361" spans="1:13" s="71" customFormat="1" ht="26.4" customHeight="1">
      <c r="A5361" s="282">
        <v>443</v>
      </c>
      <c r="B5361" s="537"/>
      <c r="C5361" s="444" t="s">
        <v>1154</v>
      </c>
      <c r="D5361" s="260" t="s">
        <v>7213</v>
      </c>
      <c r="E5361" s="260" t="s">
        <v>7214</v>
      </c>
      <c r="F5361" s="387">
        <v>1159</v>
      </c>
      <c r="G5361" s="445">
        <v>1953</v>
      </c>
      <c r="H5361" s="472" t="s">
        <v>5462</v>
      </c>
      <c r="I5361" s="470">
        <v>105</v>
      </c>
      <c r="J5361" s="388">
        <v>4.5999999999999996</v>
      </c>
      <c r="K5361" s="388">
        <v>3.6</v>
      </c>
      <c r="L5361" s="495">
        <f t="shared" si="62"/>
        <v>0.99999999999999956</v>
      </c>
      <c r="M5361" s="337"/>
    </row>
    <row r="5362" spans="1:13" s="71" customFormat="1" ht="26.4" customHeight="1">
      <c r="A5362" s="282">
        <v>444</v>
      </c>
      <c r="B5362" s="537"/>
      <c r="C5362" s="444" t="s">
        <v>1154</v>
      </c>
      <c r="D5362" s="260" t="s">
        <v>7215</v>
      </c>
      <c r="E5362" s="395" t="s">
        <v>7216</v>
      </c>
      <c r="F5362" s="387">
        <v>1160</v>
      </c>
      <c r="G5362" s="445">
        <v>1949</v>
      </c>
      <c r="H5362" s="472" t="s">
        <v>5462</v>
      </c>
      <c r="I5362" s="470">
        <v>1315</v>
      </c>
      <c r="J5362" s="388">
        <v>48.8</v>
      </c>
      <c r="K5362" s="388">
        <v>44.2</v>
      </c>
      <c r="L5362" s="495">
        <f t="shared" si="62"/>
        <v>4.5999999999999943</v>
      </c>
      <c r="M5362" s="337"/>
    </row>
    <row r="5363" spans="1:13" s="71" customFormat="1" ht="26.4" customHeight="1">
      <c r="A5363" s="282">
        <v>445</v>
      </c>
      <c r="B5363" s="537"/>
      <c r="C5363" s="444" t="s">
        <v>1154</v>
      </c>
      <c r="D5363" s="260" t="s">
        <v>6947</v>
      </c>
      <c r="E5363" s="260" t="s">
        <v>7217</v>
      </c>
      <c r="F5363" s="387">
        <v>1161</v>
      </c>
      <c r="G5363" s="445">
        <v>1951</v>
      </c>
      <c r="H5363" s="472" t="s">
        <v>5462</v>
      </c>
      <c r="I5363" s="470">
        <v>1315</v>
      </c>
      <c r="J5363" s="388">
        <v>5.0999999999999996</v>
      </c>
      <c r="K5363" s="388">
        <v>4.2</v>
      </c>
      <c r="L5363" s="495">
        <f t="shared" si="62"/>
        <v>0.89999999999999947</v>
      </c>
      <c r="M5363" s="337"/>
    </row>
    <row r="5364" spans="1:13" s="71" customFormat="1" ht="26.4" customHeight="1">
      <c r="A5364" s="282">
        <v>446</v>
      </c>
      <c r="B5364" s="537"/>
      <c r="C5364" s="444" t="s">
        <v>1154</v>
      </c>
      <c r="D5364" s="260" t="s">
        <v>6770</v>
      </c>
      <c r="E5364" s="260" t="s">
        <v>7218</v>
      </c>
      <c r="F5364" s="387">
        <v>1162</v>
      </c>
      <c r="G5364" s="445">
        <v>1951</v>
      </c>
      <c r="H5364" s="472" t="s">
        <v>5462</v>
      </c>
      <c r="I5364" s="470">
        <v>200</v>
      </c>
      <c r="J5364" s="388">
        <v>5.0999999999999996</v>
      </c>
      <c r="K5364" s="388">
        <v>4.2</v>
      </c>
      <c r="L5364" s="495">
        <f t="shared" si="62"/>
        <v>0.89999999999999947</v>
      </c>
      <c r="M5364" s="337"/>
    </row>
    <row r="5365" spans="1:13" s="71" customFormat="1" ht="26.4" customHeight="1">
      <c r="A5365" s="282">
        <v>447</v>
      </c>
      <c r="B5365" s="537"/>
      <c r="C5365" s="444" t="s">
        <v>1154</v>
      </c>
      <c r="D5365" s="260" t="s">
        <v>6869</v>
      </c>
      <c r="E5365" s="260" t="s">
        <v>7219</v>
      </c>
      <c r="F5365" s="387">
        <v>1163</v>
      </c>
      <c r="G5365" s="445">
        <v>1953</v>
      </c>
      <c r="H5365" s="472" t="s">
        <v>5462</v>
      </c>
      <c r="I5365" s="470">
        <v>950</v>
      </c>
      <c r="J5365" s="388">
        <v>7.3</v>
      </c>
      <c r="K5365" s="388">
        <v>5.7</v>
      </c>
      <c r="L5365" s="495">
        <f t="shared" si="62"/>
        <v>1.5999999999999996</v>
      </c>
      <c r="M5365" s="337"/>
    </row>
    <row r="5366" spans="1:13" s="71" customFormat="1" ht="26.4" customHeight="1">
      <c r="A5366" s="282">
        <v>448</v>
      </c>
      <c r="B5366" s="537"/>
      <c r="C5366" s="444" t="s">
        <v>1154</v>
      </c>
      <c r="D5366" s="260" t="s">
        <v>7220</v>
      </c>
      <c r="E5366" s="260" t="s">
        <v>7221</v>
      </c>
      <c r="F5366" s="387">
        <v>1164</v>
      </c>
      <c r="G5366" s="445">
        <v>1959</v>
      </c>
      <c r="H5366" s="472" t="s">
        <v>5462</v>
      </c>
      <c r="I5366" s="470">
        <v>264</v>
      </c>
      <c r="J5366" s="388">
        <v>4.2</v>
      </c>
      <c r="K5366" s="388">
        <v>3.3</v>
      </c>
      <c r="L5366" s="495">
        <f t="shared" si="62"/>
        <v>0.90000000000000036</v>
      </c>
      <c r="M5366" s="337"/>
    </row>
    <row r="5367" spans="1:13" s="71" customFormat="1" ht="26.4" customHeight="1">
      <c r="A5367" s="282">
        <v>449</v>
      </c>
      <c r="B5367" s="537"/>
      <c r="C5367" s="444" t="s">
        <v>1154</v>
      </c>
      <c r="D5367" s="260" t="s">
        <v>7222</v>
      </c>
      <c r="E5367" s="260" t="s">
        <v>7223</v>
      </c>
      <c r="F5367" s="387">
        <v>1174</v>
      </c>
      <c r="G5367" s="445">
        <v>1998</v>
      </c>
      <c r="H5367" s="472" t="s">
        <v>5462</v>
      </c>
      <c r="I5367" s="470">
        <v>231</v>
      </c>
      <c r="J5367" s="388">
        <v>3.5</v>
      </c>
      <c r="K5367" s="388">
        <v>2.4</v>
      </c>
      <c r="L5367" s="495">
        <f t="shared" ref="L5367:L5402" si="63">J5367-K5367</f>
        <v>1.1000000000000001</v>
      </c>
      <c r="M5367" s="337"/>
    </row>
    <row r="5368" spans="1:13" s="71" customFormat="1" ht="26.4" customHeight="1">
      <c r="A5368" s="282">
        <v>450</v>
      </c>
      <c r="B5368" s="537"/>
      <c r="C5368" s="444" t="s">
        <v>1154</v>
      </c>
      <c r="D5368" s="260" t="s">
        <v>7222</v>
      </c>
      <c r="E5368" s="260" t="s">
        <v>7224</v>
      </c>
      <c r="F5368" s="387">
        <v>1175</v>
      </c>
      <c r="G5368" s="445">
        <v>1998</v>
      </c>
      <c r="H5368" s="472" t="s">
        <v>5462</v>
      </c>
      <c r="I5368" s="470">
        <v>42</v>
      </c>
      <c r="J5368" s="388">
        <v>0.4</v>
      </c>
      <c r="K5368" s="388">
        <v>0.3</v>
      </c>
      <c r="L5368" s="495">
        <f t="shared" si="63"/>
        <v>0.10000000000000003</v>
      </c>
      <c r="M5368" s="337"/>
    </row>
    <row r="5369" spans="1:13" s="71" customFormat="1" ht="26.4" customHeight="1">
      <c r="A5369" s="282">
        <v>451</v>
      </c>
      <c r="B5369" s="537"/>
      <c r="C5369" s="444" t="s">
        <v>1154</v>
      </c>
      <c r="D5369" s="260" t="s">
        <v>7225</v>
      </c>
      <c r="E5369" s="260" t="s">
        <v>13161</v>
      </c>
      <c r="F5369" s="387">
        <v>1184</v>
      </c>
      <c r="G5369" s="445">
        <v>1997</v>
      </c>
      <c r="H5369" s="472" t="s">
        <v>5462</v>
      </c>
      <c r="I5369" s="470">
        <v>2884</v>
      </c>
      <c r="J5369" s="388">
        <v>101.6</v>
      </c>
      <c r="K5369" s="388">
        <v>75.3</v>
      </c>
      <c r="L5369" s="495">
        <f t="shared" si="63"/>
        <v>26.299999999999997</v>
      </c>
      <c r="M5369" s="337"/>
    </row>
    <row r="5370" spans="1:13" s="71" customFormat="1" ht="26.4" customHeight="1">
      <c r="A5370" s="282">
        <v>452</v>
      </c>
      <c r="B5370" s="537"/>
      <c r="C5370" s="444" t="s">
        <v>1154</v>
      </c>
      <c r="D5370" s="260" t="s">
        <v>7226</v>
      </c>
      <c r="E5370" s="260" t="s">
        <v>7227</v>
      </c>
      <c r="F5370" s="387">
        <v>1279</v>
      </c>
      <c r="G5370" s="445">
        <v>2001</v>
      </c>
      <c r="H5370" s="472" t="s">
        <v>5462</v>
      </c>
      <c r="I5370" s="470">
        <v>1</v>
      </c>
      <c r="J5370" s="496">
        <v>15.2</v>
      </c>
      <c r="K5370" s="496">
        <v>9.5</v>
      </c>
      <c r="L5370" s="495">
        <f t="shared" si="63"/>
        <v>5.6999999999999993</v>
      </c>
      <c r="M5370" s="337"/>
    </row>
    <row r="5371" spans="1:13" s="71" customFormat="1" ht="26.4" customHeight="1">
      <c r="A5371" s="282">
        <v>453</v>
      </c>
      <c r="B5371" s="537"/>
      <c r="C5371" s="444" t="s">
        <v>1154</v>
      </c>
      <c r="D5371" s="260" t="s">
        <v>6995</v>
      </c>
      <c r="E5371" s="260" t="s">
        <v>7228</v>
      </c>
      <c r="F5371" s="387">
        <v>1303</v>
      </c>
      <c r="G5371" s="445">
        <v>2002</v>
      </c>
      <c r="H5371" s="472" t="s">
        <v>5462</v>
      </c>
      <c r="I5371" s="470">
        <v>2339</v>
      </c>
      <c r="J5371" s="388">
        <v>451.5</v>
      </c>
      <c r="K5371" s="388">
        <v>282</v>
      </c>
      <c r="L5371" s="495">
        <f t="shared" si="63"/>
        <v>169.5</v>
      </c>
      <c r="M5371" s="337"/>
    </row>
    <row r="5372" spans="1:13" s="71" customFormat="1" ht="26.4" customHeight="1">
      <c r="A5372" s="282">
        <v>454</v>
      </c>
      <c r="B5372" s="537"/>
      <c r="C5372" s="444" t="s">
        <v>1154</v>
      </c>
      <c r="D5372" s="260" t="s">
        <v>6704</v>
      </c>
      <c r="E5372" s="260" t="s">
        <v>13160</v>
      </c>
      <c r="F5372" s="387">
        <v>1317</v>
      </c>
      <c r="G5372" s="445">
        <v>1967</v>
      </c>
      <c r="H5372" s="472" t="s">
        <v>1149</v>
      </c>
      <c r="I5372" s="470">
        <v>40.5</v>
      </c>
      <c r="J5372" s="388">
        <v>37.700000000000003</v>
      </c>
      <c r="K5372" s="388">
        <v>34.9</v>
      </c>
      <c r="L5372" s="495">
        <f t="shared" si="63"/>
        <v>2.8000000000000043</v>
      </c>
      <c r="M5372" s="337"/>
    </row>
    <row r="5373" spans="1:13" s="71" customFormat="1" ht="26.4" customHeight="1">
      <c r="A5373" s="282">
        <v>455</v>
      </c>
      <c r="B5373" s="537"/>
      <c r="C5373" s="444" t="s">
        <v>7229</v>
      </c>
      <c r="D5373" s="260" t="s">
        <v>3</v>
      </c>
      <c r="E5373" s="260" t="s">
        <v>7230</v>
      </c>
      <c r="F5373" s="387">
        <v>1318</v>
      </c>
      <c r="G5373" s="445">
        <v>1968</v>
      </c>
      <c r="H5373" s="472" t="s">
        <v>1136</v>
      </c>
      <c r="I5373" s="470">
        <v>200</v>
      </c>
      <c r="J5373" s="388">
        <v>26.1</v>
      </c>
      <c r="K5373" s="388">
        <v>23.6</v>
      </c>
      <c r="L5373" s="495">
        <f t="shared" si="63"/>
        <v>2.5</v>
      </c>
      <c r="M5373" s="337"/>
    </row>
    <row r="5374" spans="1:13" s="71" customFormat="1" ht="26.4" customHeight="1">
      <c r="A5374" s="282">
        <v>456</v>
      </c>
      <c r="B5374" s="537"/>
      <c r="C5374" s="444" t="s">
        <v>7229</v>
      </c>
      <c r="D5374" s="260" t="s">
        <v>3</v>
      </c>
      <c r="E5374" s="260" t="s">
        <v>7231</v>
      </c>
      <c r="F5374" s="387">
        <v>1320</v>
      </c>
      <c r="G5374" s="445">
        <v>2002</v>
      </c>
      <c r="H5374" s="472" t="s">
        <v>5462</v>
      </c>
      <c r="I5374" s="470">
        <v>22500</v>
      </c>
      <c r="J5374" s="388">
        <v>127.1</v>
      </c>
      <c r="K5374" s="388">
        <v>107.6</v>
      </c>
      <c r="L5374" s="495">
        <f t="shared" si="63"/>
        <v>19.5</v>
      </c>
      <c r="M5374" s="337"/>
    </row>
    <row r="5375" spans="1:13" s="71" customFormat="1" ht="26.4" customHeight="1">
      <c r="A5375" s="282">
        <v>457</v>
      </c>
      <c r="B5375" s="537"/>
      <c r="C5375" s="444" t="s">
        <v>1154</v>
      </c>
      <c r="D5375" s="260" t="s">
        <v>7232</v>
      </c>
      <c r="E5375" s="260" t="s">
        <v>7233</v>
      </c>
      <c r="F5375" s="387">
        <v>1321</v>
      </c>
      <c r="G5375" s="445">
        <v>2002</v>
      </c>
      <c r="H5375" s="472" t="s">
        <v>5462</v>
      </c>
      <c r="I5375" s="470">
        <v>1500</v>
      </c>
      <c r="J5375" s="388">
        <v>10.3</v>
      </c>
      <c r="K5375" s="388">
        <v>8.8000000000000007</v>
      </c>
      <c r="L5375" s="495">
        <f t="shared" si="63"/>
        <v>1.5</v>
      </c>
      <c r="M5375" s="337"/>
    </row>
    <row r="5376" spans="1:13" s="71" customFormat="1" ht="26.4" customHeight="1">
      <c r="A5376" s="282">
        <v>458</v>
      </c>
      <c r="B5376" s="537"/>
      <c r="C5376" s="444" t="s">
        <v>7234</v>
      </c>
      <c r="D5376" s="260" t="s">
        <v>3</v>
      </c>
      <c r="E5376" s="260" t="s">
        <v>7235</v>
      </c>
      <c r="F5376" s="387">
        <v>1488</v>
      </c>
      <c r="G5376" s="444">
        <v>1974</v>
      </c>
      <c r="H5376" s="472" t="s">
        <v>5462</v>
      </c>
      <c r="I5376" s="470">
        <v>1350</v>
      </c>
      <c r="J5376" s="388">
        <v>4.5999999999999996</v>
      </c>
      <c r="K5376" s="388">
        <v>3.8</v>
      </c>
      <c r="L5376" s="495">
        <f t="shared" si="63"/>
        <v>0.79999999999999982</v>
      </c>
      <c r="M5376" s="337"/>
    </row>
    <row r="5377" spans="1:13" s="71" customFormat="1" ht="26.4" customHeight="1">
      <c r="A5377" s="282">
        <v>459</v>
      </c>
      <c r="B5377" s="537"/>
      <c r="C5377" s="444" t="s">
        <v>7234</v>
      </c>
      <c r="D5377" s="260" t="s">
        <v>3</v>
      </c>
      <c r="E5377" s="260" t="s">
        <v>7235</v>
      </c>
      <c r="F5377" s="387">
        <v>1489</v>
      </c>
      <c r="G5377" s="445">
        <v>2002</v>
      </c>
      <c r="H5377" s="472" t="s">
        <v>5462</v>
      </c>
      <c r="I5377" s="470">
        <v>400</v>
      </c>
      <c r="J5377" s="388">
        <v>29.9</v>
      </c>
      <c r="K5377" s="388">
        <v>17.399999999999999</v>
      </c>
      <c r="L5377" s="495">
        <f t="shared" si="63"/>
        <v>12.5</v>
      </c>
      <c r="M5377" s="337"/>
    </row>
    <row r="5378" spans="1:13" s="71" customFormat="1" ht="26.4" customHeight="1">
      <c r="A5378" s="282">
        <v>460</v>
      </c>
      <c r="B5378" s="537"/>
      <c r="C5378" s="444" t="s">
        <v>7234</v>
      </c>
      <c r="D5378" s="260" t="s">
        <v>3</v>
      </c>
      <c r="E5378" s="260" t="s">
        <v>7235</v>
      </c>
      <c r="F5378" s="387">
        <v>1490</v>
      </c>
      <c r="G5378" s="445">
        <v>1979</v>
      </c>
      <c r="H5378" s="472" t="s">
        <v>5462</v>
      </c>
      <c r="I5378" s="470">
        <v>5650</v>
      </c>
      <c r="J5378" s="388">
        <v>14.9</v>
      </c>
      <c r="K5378" s="388">
        <v>12</v>
      </c>
      <c r="L5378" s="495">
        <f t="shared" si="63"/>
        <v>2.9000000000000004</v>
      </c>
      <c r="M5378" s="337"/>
    </row>
    <row r="5379" spans="1:13" s="71" customFormat="1" ht="26.4" customHeight="1">
      <c r="A5379" s="282">
        <v>461</v>
      </c>
      <c r="B5379" s="537"/>
      <c r="C5379" s="444" t="s">
        <v>7236</v>
      </c>
      <c r="D5379" s="260" t="s">
        <v>3</v>
      </c>
      <c r="E5379" s="260" t="s">
        <v>13162</v>
      </c>
      <c r="F5379" s="387">
        <v>1491</v>
      </c>
      <c r="G5379" s="445">
        <v>1963</v>
      </c>
      <c r="H5379" s="472" t="s">
        <v>5462</v>
      </c>
      <c r="I5379" s="470">
        <v>2900</v>
      </c>
      <c r="J5379" s="388">
        <v>7.6</v>
      </c>
      <c r="K5379" s="388">
        <v>7.1</v>
      </c>
      <c r="L5379" s="495">
        <f t="shared" si="63"/>
        <v>0.5</v>
      </c>
      <c r="M5379" s="337"/>
    </row>
    <row r="5380" spans="1:13" s="71" customFormat="1" ht="26.4" customHeight="1">
      <c r="A5380" s="282">
        <v>462</v>
      </c>
      <c r="B5380" s="537"/>
      <c r="C5380" s="444" t="s">
        <v>7237</v>
      </c>
      <c r="D5380" s="260" t="s">
        <v>3</v>
      </c>
      <c r="E5380" s="260" t="s">
        <v>7238</v>
      </c>
      <c r="F5380" s="387">
        <v>1492</v>
      </c>
      <c r="G5380" s="445">
        <v>1965</v>
      </c>
      <c r="H5380" s="472" t="s">
        <v>5462</v>
      </c>
      <c r="I5380" s="470">
        <v>1600</v>
      </c>
      <c r="J5380" s="388">
        <v>4.2</v>
      </c>
      <c r="K5380" s="388">
        <v>2.6</v>
      </c>
      <c r="L5380" s="495">
        <f t="shared" si="63"/>
        <v>1.6</v>
      </c>
      <c r="M5380" s="337"/>
    </row>
    <row r="5381" spans="1:13" s="71" customFormat="1" ht="52.8">
      <c r="A5381" s="282">
        <v>463</v>
      </c>
      <c r="B5381" s="537"/>
      <c r="C5381" s="444" t="s">
        <v>1154</v>
      </c>
      <c r="D5381" s="260" t="s">
        <v>12794</v>
      </c>
      <c r="E5381" s="260" t="s">
        <v>7239</v>
      </c>
      <c r="F5381" s="387">
        <v>1521</v>
      </c>
      <c r="G5381" s="445">
        <v>1967</v>
      </c>
      <c r="H5381" s="472" t="s">
        <v>5462</v>
      </c>
      <c r="I5381" s="470">
        <v>3540</v>
      </c>
      <c r="J5381" s="388">
        <v>183.6</v>
      </c>
      <c r="K5381" s="388">
        <v>174</v>
      </c>
      <c r="L5381" s="495">
        <f t="shared" si="63"/>
        <v>9.5999999999999943</v>
      </c>
      <c r="M5381" s="337"/>
    </row>
    <row r="5382" spans="1:13" s="71" customFormat="1" ht="39.6">
      <c r="A5382" s="282">
        <v>464</v>
      </c>
      <c r="B5382" s="537"/>
      <c r="C5382" s="444" t="s">
        <v>1154</v>
      </c>
      <c r="D5382" s="260" t="s">
        <v>7240</v>
      </c>
      <c r="E5382" s="260" t="s">
        <v>7241</v>
      </c>
      <c r="F5382" s="387">
        <v>1522</v>
      </c>
      <c r="G5382" s="445">
        <v>1967</v>
      </c>
      <c r="H5382" s="472" t="s">
        <v>5462</v>
      </c>
      <c r="I5382" s="470">
        <v>1435</v>
      </c>
      <c r="J5382" s="388">
        <v>74.400000000000006</v>
      </c>
      <c r="K5382" s="388">
        <v>72.5</v>
      </c>
      <c r="L5382" s="495">
        <f t="shared" si="63"/>
        <v>1.9000000000000057</v>
      </c>
      <c r="M5382" s="337"/>
    </row>
    <row r="5383" spans="1:13" s="71" customFormat="1" ht="26.4">
      <c r="A5383" s="282">
        <v>465</v>
      </c>
      <c r="B5383" s="537"/>
      <c r="C5383" s="444" t="s">
        <v>1154</v>
      </c>
      <c r="D5383" s="260" t="s">
        <v>7242</v>
      </c>
      <c r="E5383" s="260" t="s">
        <v>7243</v>
      </c>
      <c r="F5383" s="387">
        <v>1523</v>
      </c>
      <c r="G5383" s="445">
        <v>1967</v>
      </c>
      <c r="H5383" s="472" t="s">
        <v>5462</v>
      </c>
      <c r="I5383" s="470">
        <v>556</v>
      </c>
      <c r="J5383" s="388">
        <v>28.8</v>
      </c>
      <c r="K5383" s="388">
        <v>27.3</v>
      </c>
      <c r="L5383" s="495">
        <f t="shared" si="63"/>
        <v>1.5</v>
      </c>
      <c r="M5383" s="337"/>
    </row>
    <row r="5384" spans="1:13" s="71" customFormat="1" ht="26.4">
      <c r="A5384" s="282">
        <v>466</v>
      </c>
      <c r="B5384" s="537"/>
      <c r="C5384" s="444" t="s">
        <v>1154</v>
      </c>
      <c r="D5384" s="260" t="s">
        <v>12795</v>
      </c>
      <c r="E5384" s="260" t="s">
        <v>7244</v>
      </c>
      <c r="F5384" s="387">
        <v>1601</v>
      </c>
      <c r="G5384" s="445">
        <v>1977</v>
      </c>
      <c r="H5384" s="472" t="s">
        <v>5462</v>
      </c>
      <c r="I5384" s="470">
        <v>1381</v>
      </c>
      <c r="J5384" s="388">
        <v>115</v>
      </c>
      <c r="K5384" s="388">
        <v>108.9</v>
      </c>
      <c r="L5384" s="495">
        <f t="shared" si="63"/>
        <v>6.0999999999999943</v>
      </c>
      <c r="M5384" s="337"/>
    </row>
    <row r="5385" spans="1:13" s="71" customFormat="1" ht="26.4">
      <c r="A5385" s="282">
        <v>467</v>
      </c>
      <c r="B5385" s="537"/>
      <c r="C5385" s="444" t="s">
        <v>1154</v>
      </c>
      <c r="D5385" s="260" t="s">
        <v>12795</v>
      </c>
      <c r="E5385" s="260" t="s">
        <v>7245</v>
      </c>
      <c r="F5385" s="387">
        <v>1602</v>
      </c>
      <c r="G5385" s="445">
        <v>1977</v>
      </c>
      <c r="H5385" s="472" t="s">
        <v>5462</v>
      </c>
      <c r="I5385" s="470">
        <v>1018</v>
      </c>
      <c r="J5385" s="388">
        <v>84.9</v>
      </c>
      <c r="K5385" s="388">
        <v>78.8</v>
      </c>
      <c r="L5385" s="495">
        <f t="shared" si="63"/>
        <v>6.1000000000000085</v>
      </c>
      <c r="M5385" s="337"/>
    </row>
    <row r="5386" spans="1:13" s="71" customFormat="1" ht="26.4">
      <c r="A5386" s="282">
        <v>468</v>
      </c>
      <c r="B5386" s="537"/>
      <c r="C5386" s="444" t="s">
        <v>1154</v>
      </c>
      <c r="D5386" s="260" t="s">
        <v>12795</v>
      </c>
      <c r="E5386" s="260" t="s">
        <v>7246</v>
      </c>
      <c r="F5386" s="387">
        <v>1603</v>
      </c>
      <c r="G5386" s="445">
        <v>1977</v>
      </c>
      <c r="H5386" s="472" t="s">
        <v>5462</v>
      </c>
      <c r="I5386" s="470">
        <v>8448</v>
      </c>
      <c r="J5386" s="388">
        <v>213.9</v>
      </c>
      <c r="K5386" s="388">
        <v>200.7</v>
      </c>
      <c r="L5386" s="495">
        <f t="shared" si="63"/>
        <v>13.200000000000017</v>
      </c>
      <c r="M5386" s="337"/>
    </row>
    <row r="5387" spans="1:13" s="71" customFormat="1" ht="26.4" customHeight="1">
      <c r="A5387" s="282">
        <v>469</v>
      </c>
      <c r="B5387" s="537"/>
      <c r="C5387" s="444" t="s">
        <v>1154</v>
      </c>
      <c r="D5387" s="260" t="s">
        <v>6760</v>
      </c>
      <c r="E5387" s="260" t="s">
        <v>7247</v>
      </c>
      <c r="F5387" s="387">
        <v>1604</v>
      </c>
      <c r="G5387" s="445">
        <v>1977</v>
      </c>
      <c r="H5387" s="472" t="s">
        <v>5462</v>
      </c>
      <c r="I5387" s="470">
        <v>45</v>
      </c>
      <c r="J5387" s="388">
        <v>6.2</v>
      </c>
      <c r="K5387" s="388">
        <v>4.8</v>
      </c>
      <c r="L5387" s="495">
        <f t="shared" si="63"/>
        <v>1.4000000000000004</v>
      </c>
      <c r="M5387" s="337"/>
    </row>
    <row r="5388" spans="1:13" s="71" customFormat="1" ht="26.4" customHeight="1">
      <c r="A5388" s="282">
        <v>470</v>
      </c>
      <c r="B5388" s="537"/>
      <c r="C5388" s="444" t="s">
        <v>1154</v>
      </c>
      <c r="D5388" s="260" t="s">
        <v>7121</v>
      </c>
      <c r="E5388" s="260" t="s">
        <v>7248</v>
      </c>
      <c r="F5388" s="387">
        <v>1606</v>
      </c>
      <c r="G5388" s="445">
        <v>1982</v>
      </c>
      <c r="H5388" s="472" t="s">
        <v>5462</v>
      </c>
      <c r="I5388" s="470">
        <v>173</v>
      </c>
      <c r="J5388" s="388">
        <v>4.5999999999999996</v>
      </c>
      <c r="K5388" s="388">
        <v>3.6</v>
      </c>
      <c r="L5388" s="495">
        <f t="shared" si="63"/>
        <v>0.99999999999999956</v>
      </c>
      <c r="M5388" s="337"/>
    </row>
    <row r="5389" spans="1:13" s="71" customFormat="1" ht="26.4" customHeight="1">
      <c r="A5389" s="282">
        <v>471</v>
      </c>
      <c r="B5389" s="537"/>
      <c r="C5389" s="444" t="s">
        <v>1154</v>
      </c>
      <c r="D5389" s="260" t="s">
        <v>7249</v>
      </c>
      <c r="E5389" s="260" t="s">
        <v>1146</v>
      </c>
      <c r="F5389" s="387">
        <v>1607</v>
      </c>
      <c r="G5389" s="445">
        <v>1983</v>
      </c>
      <c r="H5389" s="472" t="s">
        <v>5462</v>
      </c>
      <c r="I5389" s="470">
        <v>870</v>
      </c>
      <c r="J5389" s="388">
        <v>20.5</v>
      </c>
      <c r="K5389" s="388">
        <v>17.2</v>
      </c>
      <c r="L5389" s="495">
        <f t="shared" si="63"/>
        <v>3.3000000000000007</v>
      </c>
      <c r="M5389" s="337"/>
    </row>
    <row r="5390" spans="1:13" s="71" customFormat="1" ht="26.4" customHeight="1">
      <c r="A5390" s="282">
        <v>472</v>
      </c>
      <c r="B5390" s="537"/>
      <c r="C5390" s="444" t="s">
        <v>1154</v>
      </c>
      <c r="D5390" s="260" t="s">
        <v>7249</v>
      </c>
      <c r="E5390" s="260" t="s">
        <v>7250</v>
      </c>
      <c r="F5390" s="387">
        <v>1608</v>
      </c>
      <c r="G5390" s="445">
        <v>1983</v>
      </c>
      <c r="H5390" s="472" t="s">
        <v>5462</v>
      </c>
      <c r="I5390" s="470">
        <v>342</v>
      </c>
      <c r="J5390" s="388">
        <v>3.7</v>
      </c>
      <c r="K5390" s="388">
        <v>2.9</v>
      </c>
      <c r="L5390" s="495">
        <f t="shared" si="63"/>
        <v>0.80000000000000027</v>
      </c>
      <c r="M5390" s="337"/>
    </row>
    <row r="5391" spans="1:13" s="71" customFormat="1" ht="26.4" customHeight="1">
      <c r="A5391" s="282">
        <v>473</v>
      </c>
      <c r="B5391" s="537"/>
      <c r="C5391" s="444" t="s">
        <v>1154</v>
      </c>
      <c r="D5391" s="260" t="s">
        <v>7249</v>
      </c>
      <c r="E5391" s="260" t="s">
        <v>7251</v>
      </c>
      <c r="F5391" s="387">
        <v>1609</v>
      </c>
      <c r="G5391" s="445">
        <v>1983</v>
      </c>
      <c r="H5391" s="472" t="s">
        <v>5462</v>
      </c>
      <c r="I5391" s="470">
        <v>182</v>
      </c>
      <c r="J5391" s="388">
        <v>1.8</v>
      </c>
      <c r="K5391" s="388">
        <v>1.4</v>
      </c>
      <c r="L5391" s="495">
        <f t="shared" si="63"/>
        <v>0.40000000000000013</v>
      </c>
      <c r="M5391" s="337"/>
    </row>
    <row r="5392" spans="1:13" s="71" customFormat="1" ht="26.4" customHeight="1">
      <c r="A5392" s="282">
        <v>474</v>
      </c>
      <c r="B5392" s="537"/>
      <c r="C5392" s="444" t="s">
        <v>1154</v>
      </c>
      <c r="D5392" s="260" t="s">
        <v>7249</v>
      </c>
      <c r="E5392" s="260" t="s">
        <v>7252</v>
      </c>
      <c r="F5392" s="387">
        <v>1610</v>
      </c>
      <c r="G5392" s="445">
        <v>1983</v>
      </c>
      <c r="H5392" s="472" t="s">
        <v>5462</v>
      </c>
      <c r="I5392" s="470">
        <v>82</v>
      </c>
      <c r="J5392" s="388">
        <v>2.7</v>
      </c>
      <c r="K5392" s="388">
        <v>2.1</v>
      </c>
      <c r="L5392" s="495">
        <f t="shared" si="63"/>
        <v>0.60000000000000009</v>
      </c>
      <c r="M5392" s="337"/>
    </row>
    <row r="5393" spans="1:13" s="71" customFormat="1" ht="26.4" customHeight="1">
      <c r="A5393" s="282">
        <v>475</v>
      </c>
      <c r="B5393" s="537"/>
      <c r="C5393" s="444" t="s">
        <v>1154</v>
      </c>
      <c r="D5393" s="260" t="s">
        <v>6704</v>
      </c>
      <c r="E5393" s="260" t="s">
        <v>7253</v>
      </c>
      <c r="F5393" s="387">
        <v>1712</v>
      </c>
      <c r="G5393" s="445">
        <v>2010</v>
      </c>
      <c r="H5393" s="472" t="s">
        <v>5462</v>
      </c>
      <c r="I5393" s="470">
        <v>1811</v>
      </c>
      <c r="J5393" s="388">
        <v>1639.4</v>
      </c>
      <c r="K5393" s="388">
        <v>394.2</v>
      </c>
      <c r="L5393" s="495">
        <f t="shared" si="63"/>
        <v>1245.2</v>
      </c>
      <c r="M5393" s="337"/>
    </row>
    <row r="5394" spans="1:13" s="71" customFormat="1" ht="26.4" customHeight="1">
      <c r="A5394" s="282">
        <v>476</v>
      </c>
      <c r="B5394" s="537"/>
      <c r="C5394" s="444" t="s">
        <v>1154</v>
      </c>
      <c r="D5394" s="260" t="s">
        <v>7194</v>
      </c>
      <c r="E5394" s="260" t="s">
        <v>7254</v>
      </c>
      <c r="F5394" s="387">
        <v>1713</v>
      </c>
      <c r="G5394" s="445">
        <v>2010</v>
      </c>
      <c r="H5394" s="472" t="s">
        <v>5462</v>
      </c>
      <c r="I5394" s="470">
        <v>266</v>
      </c>
      <c r="J5394" s="388">
        <v>3323.4</v>
      </c>
      <c r="K5394" s="388">
        <v>487.4</v>
      </c>
      <c r="L5394" s="495">
        <f t="shared" si="63"/>
        <v>2836</v>
      </c>
      <c r="M5394" s="337"/>
    </row>
    <row r="5395" spans="1:13" s="71" customFormat="1" ht="26.4" customHeight="1">
      <c r="A5395" s="282">
        <v>477</v>
      </c>
      <c r="B5395" s="537"/>
      <c r="C5395" s="444" t="s">
        <v>1154</v>
      </c>
      <c r="D5395" s="260" t="s">
        <v>7255</v>
      </c>
      <c r="E5395" s="260" t="s">
        <v>7256</v>
      </c>
      <c r="F5395" s="387">
        <v>1721</v>
      </c>
      <c r="G5395" s="445">
        <v>1987</v>
      </c>
      <c r="H5395" s="472" t="s">
        <v>5462</v>
      </c>
      <c r="I5395" s="470">
        <v>30</v>
      </c>
      <c r="J5395" s="388">
        <v>0.7</v>
      </c>
      <c r="K5395" s="388">
        <v>0.7</v>
      </c>
      <c r="L5395" s="495">
        <f t="shared" si="63"/>
        <v>0</v>
      </c>
      <c r="M5395" s="337"/>
    </row>
    <row r="5396" spans="1:13" s="71" customFormat="1" ht="26.4" customHeight="1">
      <c r="A5396" s="282">
        <v>478</v>
      </c>
      <c r="B5396" s="537"/>
      <c r="C5396" s="444" t="s">
        <v>1154</v>
      </c>
      <c r="D5396" s="260" t="s">
        <v>7255</v>
      </c>
      <c r="E5396" s="260" t="s">
        <v>7257</v>
      </c>
      <c r="F5396" s="387">
        <v>1722</v>
      </c>
      <c r="G5396" s="445">
        <v>1987</v>
      </c>
      <c r="H5396" s="472" t="s">
        <v>5462</v>
      </c>
      <c r="I5396" s="470">
        <v>102</v>
      </c>
      <c r="J5396" s="388">
        <v>1.9</v>
      </c>
      <c r="K5396" s="388">
        <v>1.8</v>
      </c>
      <c r="L5396" s="495">
        <f t="shared" si="63"/>
        <v>9.9999999999999867E-2</v>
      </c>
      <c r="M5396" s="337"/>
    </row>
    <row r="5397" spans="1:13" s="71" customFormat="1" ht="26.4" customHeight="1">
      <c r="A5397" s="282">
        <v>479</v>
      </c>
      <c r="B5397" s="537"/>
      <c r="C5397" s="444" t="s">
        <v>1154</v>
      </c>
      <c r="D5397" s="260" t="s">
        <v>7258</v>
      </c>
      <c r="E5397" s="260" t="s">
        <v>7259</v>
      </c>
      <c r="F5397" s="387">
        <v>4911</v>
      </c>
      <c r="G5397" s="445">
        <v>1982</v>
      </c>
      <c r="H5397" s="472" t="s">
        <v>5462</v>
      </c>
      <c r="I5397" s="470">
        <v>166</v>
      </c>
      <c r="J5397" s="388">
        <v>5.6</v>
      </c>
      <c r="K5397" s="388">
        <v>4.4000000000000004</v>
      </c>
      <c r="L5397" s="495">
        <f t="shared" si="63"/>
        <v>1.1999999999999993</v>
      </c>
      <c r="M5397" s="337"/>
    </row>
    <row r="5398" spans="1:13" s="71" customFormat="1" ht="39.6">
      <c r="A5398" s="282">
        <v>480</v>
      </c>
      <c r="B5398" s="537"/>
      <c r="C5398" s="444" t="s">
        <v>1154</v>
      </c>
      <c r="D5398" s="260" t="s">
        <v>6904</v>
      </c>
      <c r="E5398" s="260" t="s">
        <v>12796</v>
      </c>
      <c r="F5398" s="387">
        <v>10320</v>
      </c>
      <c r="G5398" s="445">
        <v>1992</v>
      </c>
      <c r="H5398" s="472" t="s">
        <v>5462</v>
      </c>
      <c r="I5398" s="470">
        <v>119</v>
      </c>
      <c r="J5398" s="388">
        <v>0.1</v>
      </c>
      <c r="K5398" s="388">
        <v>0.1</v>
      </c>
      <c r="L5398" s="495">
        <f t="shared" si="63"/>
        <v>0</v>
      </c>
      <c r="M5398" s="337"/>
    </row>
    <row r="5399" spans="1:13" s="71" customFormat="1" ht="26.4" customHeight="1">
      <c r="A5399" s="282">
        <v>481</v>
      </c>
      <c r="B5399" s="537"/>
      <c r="C5399" s="444" t="s">
        <v>1154</v>
      </c>
      <c r="D5399" s="260" t="s">
        <v>6904</v>
      </c>
      <c r="E5399" s="260" t="s">
        <v>7260</v>
      </c>
      <c r="F5399" s="387">
        <v>10850</v>
      </c>
      <c r="G5399" s="445">
        <v>1995</v>
      </c>
      <c r="H5399" s="472" t="s">
        <v>5462</v>
      </c>
      <c r="I5399" s="470">
        <v>311.5</v>
      </c>
      <c r="J5399" s="388">
        <v>199.7</v>
      </c>
      <c r="K5399" s="388">
        <v>187.1</v>
      </c>
      <c r="L5399" s="495">
        <f t="shared" si="63"/>
        <v>12.599999999999994</v>
      </c>
      <c r="M5399" s="337"/>
    </row>
    <row r="5400" spans="1:13" s="71" customFormat="1" ht="26.4" customHeight="1">
      <c r="A5400" s="282">
        <v>482</v>
      </c>
      <c r="B5400" s="537"/>
      <c r="C5400" s="444" t="s">
        <v>1154</v>
      </c>
      <c r="D5400" s="260" t="s">
        <v>7261</v>
      </c>
      <c r="E5400" s="260" t="s">
        <v>7262</v>
      </c>
      <c r="F5400" s="387">
        <v>10869</v>
      </c>
      <c r="G5400" s="445">
        <v>1995</v>
      </c>
      <c r="H5400" s="472" t="s">
        <v>1149</v>
      </c>
      <c r="I5400" s="470">
        <v>214</v>
      </c>
      <c r="J5400" s="388">
        <v>4.5</v>
      </c>
      <c r="K5400" s="388">
        <v>1</v>
      </c>
      <c r="L5400" s="495">
        <f t="shared" si="63"/>
        <v>3.5</v>
      </c>
      <c r="M5400" s="337"/>
    </row>
    <row r="5401" spans="1:13" s="71" customFormat="1" ht="26.4" customHeight="1">
      <c r="A5401" s="282">
        <v>483</v>
      </c>
      <c r="B5401" s="537"/>
      <c r="C5401" s="444" t="s">
        <v>1154</v>
      </c>
      <c r="D5401" s="260" t="s">
        <v>7263</v>
      </c>
      <c r="E5401" s="260" t="s">
        <v>7264</v>
      </c>
      <c r="F5401" s="387">
        <v>10860</v>
      </c>
      <c r="G5401" s="445">
        <v>1995</v>
      </c>
      <c r="H5401" s="472" t="s">
        <v>5462</v>
      </c>
      <c r="I5401" s="470">
        <v>58.5</v>
      </c>
      <c r="J5401" s="388">
        <v>25.6</v>
      </c>
      <c r="K5401" s="388">
        <v>20</v>
      </c>
      <c r="L5401" s="495">
        <f t="shared" si="63"/>
        <v>5.6000000000000014</v>
      </c>
      <c r="M5401" s="337"/>
    </row>
    <row r="5402" spans="1:13" s="71" customFormat="1" ht="26.4" customHeight="1">
      <c r="A5402" s="282">
        <v>484</v>
      </c>
      <c r="B5402" s="538"/>
      <c r="C5402" s="444" t="s">
        <v>7265</v>
      </c>
      <c r="D5402" s="444" t="s">
        <v>7266</v>
      </c>
      <c r="E5402" s="444" t="s">
        <v>7267</v>
      </c>
      <c r="F5402" s="387">
        <v>10879</v>
      </c>
      <c r="G5402" s="445">
        <v>1959</v>
      </c>
      <c r="H5402" s="472" t="s">
        <v>3243</v>
      </c>
      <c r="I5402" s="470" t="s">
        <v>3243</v>
      </c>
      <c r="J5402" s="388">
        <v>673.6</v>
      </c>
      <c r="K5402" s="388">
        <v>525.1</v>
      </c>
      <c r="L5402" s="495">
        <f t="shared" si="63"/>
        <v>148.5</v>
      </c>
      <c r="M5402" s="337"/>
    </row>
    <row r="5403" spans="1:13" s="71" customFormat="1" ht="26.4" customHeight="1">
      <c r="A5403" s="324" t="s">
        <v>3</v>
      </c>
      <c r="B5403" s="341" t="s">
        <v>4</v>
      </c>
      <c r="C5403" s="341" t="s">
        <v>3</v>
      </c>
      <c r="D5403" s="341" t="s">
        <v>3</v>
      </c>
      <c r="E5403" s="341" t="s">
        <v>3</v>
      </c>
      <c r="F5403" s="389" t="s">
        <v>3</v>
      </c>
      <c r="G5403" s="341" t="s">
        <v>3</v>
      </c>
      <c r="H5403" s="327" t="s">
        <v>3</v>
      </c>
      <c r="I5403" s="325" t="s">
        <v>3</v>
      </c>
      <c r="J5403" s="390">
        <f>SUM(J4919:J5402)</f>
        <v>30575.499999999982</v>
      </c>
      <c r="K5403" s="390">
        <f>SUM(K4919:K5402)</f>
        <v>21946.899999999998</v>
      </c>
      <c r="L5403" s="390">
        <f>SUM(L4919:L5402)</f>
        <v>8628.6000000000022</v>
      </c>
      <c r="M5403" s="337"/>
    </row>
    <row r="5404" spans="1:13" s="71" customFormat="1" ht="26.4" customHeight="1">
      <c r="A5404" s="445">
        <v>1</v>
      </c>
      <c r="B5404" s="535" t="s">
        <v>7268</v>
      </c>
      <c r="C5404" s="440" t="s">
        <v>404</v>
      </c>
      <c r="D5404" s="440" t="s">
        <v>7269</v>
      </c>
      <c r="E5404" s="440" t="s">
        <v>7270</v>
      </c>
      <c r="F5404" s="393">
        <v>66699</v>
      </c>
      <c r="G5404" s="371">
        <v>2004</v>
      </c>
      <c r="H5404" s="396" t="s">
        <v>1149</v>
      </c>
      <c r="I5404" s="470">
        <v>1439</v>
      </c>
      <c r="J5404" s="495">
        <v>3058.8</v>
      </c>
      <c r="K5404" s="495">
        <v>395.2</v>
      </c>
      <c r="L5404" s="495">
        <f t="shared" ref="L5404:L5467" si="64">J5404-K5404</f>
        <v>2663.6000000000004</v>
      </c>
      <c r="M5404" s="337"/>
    </row>
    <row r="5405" spans="1:13" s="71" customFormat="1" ht="26.4" customHeight="1">
      <c r="A5405" s="282">
        <v>2</v>
      </c>
      <c r="B5405" s="535"/>
      <c r="C5405" s="440" t="s">
        <v>404</v>
      </c>
      <c r="D5405" s="440" t="s">
        <v>7269</v>
      </c>
      <c r="E5405" s="440" t="s">
        <v>7271</v>
      </c>
      <c r="F5405" s="393">
        <v>568</v>
      </c>
      <c r="G5405" s="311">
        <v>1995</v>
      </c>
      <c r="H5405" s="396" t="s">
        <v>1149</v>
      </c>
      <c r="I5405" s="470">
        <v>305</v>
      </c>
      <c r="J5405" s="495">
        <v>11.1</v>
      </c>
      <c r="K5405" s="495">
        <v>6.4</v>
      </c>
      <c r="L5405" s="495">
        <f t="shared" si="64"/>
        <v>4.6999999999999993</v>
      </c>
      <c r="M5405" s="337"/>
    </row>
    <row r="5406" spans="1:13" s="71" customFormat="1" ht="26.4" customHeight="1">
      <c r="A5406" s="282">
        <v>3</v>
      </c>
      <c r="B5406" s="535"/>
      <c r="C5406" s="440" t="s">
        <v>404</v>
      </c>
      <c r="D5406" s="440" t="s">
        <v>7269</v>
      </c>
      <c r="E5406" s="440" t="s">
        <v>735</v>
      </c>
      <c r="F5406" s="393">
        <v>10022</v>
      </c>
      <c r="G5406" s="311">
        <v>1962</v>
      </c>
      <c r="H5406" s="396" t="s">
        <v>1149</v>
      </c>
      <c r="I5406" s="470">
        <v>48.02</v>
      </c>
      <c r="J5406" s="495">
        <v>106.7</v>
      </c>
      <c r="K5406" s="495">
        <v>106.2</v>
      </c>
      <c r="L5406" s="495">
        <f t="shared" si="64"/>
        <v>0.5</v>
      </c>
      <c r="M5406" s="337"/>
    </row>
    <row r="5407" spans="1:13" s="71" customFormat="1" ht="26.4" customHeight="1">
      <c r="A5407" s="282">
        <v>4</v>
      </c>
      <c r="B5407" s="535"/>
      <c r="C5407" s="440" t="s">
        <v>404</v>
      </c>
      <c r="D5407" s="440" t="s">
        <v>7269</v>
      </c>
      <c r="E5407" s="440" t="s">
        <v>7272</v>
      </c>
      <c r="F5407" s="393">
        <v>10024</v>
      </c>
      <c r="G5407" s="311">
        <v>1962</v>
      </c>
      <c r="H5407" s="396" t="s">
        <v>1149</v>
      </c>
      <c r="I5407" s="470">
        <v>204</v>
      </c>
      <c r="J5407" s="495">
        <v>8</v>
      </c>
      <c r="K5407" s="495">
        <v>0.3</v>
      </c>
      <c r="L5407" s="495">
        <f t="shared" si="64"/>
        <v>7.7</v>
      </c>
      <c r="M5407" s="337"/>
    </row>
    <row r="5408" spans="1:13" s="71" customFormat="1" ht="26.4" customHeight="1">
      <c r="A5408" s="282">
        <v>5</v>
      </c>
      <c r="B5408" s="535"/>
      <c r="C5408" s="440" t="s">
        <v>404</v>
      </c>
      <c r="D5408" s="440" t="s">
        <v>7269</v>
      </c>
      <c r="E5408" s="440" t="s">
        <v>7273</v>
      </c>
      <c r="F5408" s="393">
        <v>10025</v>
      </c>
      <c r="G5408" s="311">
        <v>1962</v>
      </c>
      <c r="H5408" s="396" t="s">
        <v>1149</v>
      </c>
      <c r="I5408" s="470">
        <v>1107</v>
      </c>
      <c r="J5408" s="495">
        <v>768.7</v>
      </c>
      <c r="K5408" s="495">
        <v>220.1</v>
      </c>
      <c r="L5408" s="495">
        <f t="shared" si="64"/>
        <v>548.6</v>
      </c>
      <c r="M5408" s="337"/>
    </row>
    <row r="5409" spans="1:13" s="71" customFormat="1" ht="26.4" customHeight="1">
      <c r="A5409" s="282">
        <v>6</v>
      </c>
      <c r="B5409" s="535"/>
      <c r="C5409" s="440" t="s">
        <v>404</v>
      </c>
      <c r="D5409" s="440" t="s">
        <v>7269</v>
      </c>
      <c r="E5409" s="440" t="s">
        <v>7274</v>
      </c>
      <c r="F5409" s="393">
        <v>10027</v>
      </c>
      <c r="G5409" s="311">
        <v>1960</v>
      </c>
      <c r="H5409" s="396" t="s">
        <v>1149</v>
      </c>
      <c r="I5409" s="470">
        <v>27.5</v>
      </c>
      <c r="J5409" s="495">
        <v>7.2</v>
      </c>
      <c r="K5409" s="495">
        <v>7</v>
      </c>
      <c r="L5409" s="495">
        <f t="shared" si="64"/>
        <v>0.20000000000000018</v>
      </c>
      <c r="M5409" s="337"/>
    </row>
    <row r="5410" spans="1:13" s="71" customFormat="1" ht="26.4" customHeight="1">
      <c r="A5410" s="282">
        <v>7</v>
      </c>
      <c r="B5410" s="535"/>
      <c r="C5410" s="440" t="s">
        <v>404</v>
      </c>
      <c r="D5410" s="440" t="s">
        <v>7269</v>
      </c>
      <c r="E5410" s="440" t="s">
        <v>7275</v>
      </c>
      <c r="F5410" s="393">
        <v>10028</v>
      </c>
      <c r="G5410" s="311">
        <v>1960</v>
      </c>
      <c r="H5410" s="396" t="s">
        <v>1149</v>
      </c>
      <c r="I5410" s="470">
        <v>230.5</v>
      </c>
      <c r="J5410" s="495">
        <v>45</v>
      </c>
      <c r="K5410" s="495">
        <v>42.5</v>
      </c>
      <c r="L5410" s="495">
        <f t="shared" si="64"/>
        <v>2.5</v>
      </c>
      <c r="M5410" s="337"/>
    </row>
    <row r="5411" spans="1:13" s="71" customFormat="1" ht="26.4" customHeight="1">
      <c r="A5411" s="282">
        <v>8</v>
      </c>
      <c r="B5411" s="535"/>
      <c r="C5411" s="440" t="s">
        <v>404</v>
      </c>
      <c r="D5411" s="440" t="s">
        <v>7269</v>
      </c>
      <c r="E5411" s="440" t="s">
        <v>7276</v>
      </c>
      <c r="F5411" s="393">
        <v>10029</v>
      </c>
      <c r="G5411" s="311">
        <v>1960</v>
      </c>
      <c r="H5411" s="396" t="s">
        <v>1149</v>
      </c>
      <c r="I5411" s="470">
        <v>350</v>
      </c>
      <c r="J5411" s="495">
        <v>4.8</v>
      </c>
      <c r="K5411" s="495">
        <v>4.8</v>
      </c>
      <c r="L5411" s="495">
        <f t="shared" si="64"/>
        <v>0</v>
      </c>
      <c r="M5411" s="337"/>
    </row>
    <row r="5412" spans="1:13" s="71" customFormat="1" ht="26.4" customHeight="1">
      <c r="A5412" s="282">
        <v>9</v>
      </c>
      <c r="B5412" s="535"/>
      <c r="C5412" s="440" t="s">
        <v>404</v>
      </c>
      <c r="D5412" s="440" t="s">
        <v>7269</v>
      </c>
      <c r="E5412" s="440" t="s">
        <v>7277</v>
      </c>
      <c r="F5412" s="393">
        <v>10032</v>
      </c>
      <c r="G5412" s="311">
        <v>1991</v>
      </c>
      <c r="H5412" s="396" t="s">
        <v>1149</v>
      </c>
      <c r="I5412" s="470">
        <v>192</v>
      </c>
      <c r="J5412" s="495">
        <v>169</v>
      </c>
      <c r="K5412" s="495">
        <v>109.1</v>
      </c>
      <c r="L5412" s="495">
        <f t="shared" si="64"/>
        <v>59.900000000000006</v>
      </c>
      <c r="M5412" s="337"/>
    </row>
    <row r="5413" spans="1:13" s="71" customFormat="1" ht="26.4" customHeight="1">
      <c r="A5413" s="282">
        <v>10</v>
      </c>
      <c r="B5413" s="535"/>
      <c r="C5413" s="440" t="s">
        <v>404</v>
      </c>
      <c r="D5413" s="440" t="s">
        <v>7269</v>
      </c>
      <c r="E5413" s="440" t="s">
        <v>7278</v>
      </c>
      <c r="F5413" s="393">
        <v>66366</v>
      </c>
      <c r="G5413" s="311">
        <v>2002</v>
      </c>
      <c r="H5413" s="396" t="s">
        <v>1149</v>
      </c>
      <c r="I5413" s="470">
        <v>42</v>
      </c>
      <c r="J5413" s="495">
        <v>7.5</v>
      </c>
      <c r="K5413" s="495">
        <v>6.5</v>
      </c>
      <c r="L5413" s="495">
        <f t="shared" si="64"/>
        <v>1</v>
      </c>
      <c r="M5413" s="337"/>
    </row>
    <row r="5414" spans="1:13" s="71" customFormat="1" ht="26.4" customHeight="1">
      <c r="A5414" s="282">
        <v>11</v>
      </c>
      <c r="B5414" s="535"/>
      <c r="C5414" s="440" t="s">
        <v>404</v>
      </c>
      <c r="D5414" s="440" t="s">
        <v>7269</v>
      </c>
      <c r="E5414" s="440" t="s">
        <v>7279</v>
      </c>
      <c r="F5414" s="393">
        <v>66367</v>
      </c>
      <c r="G5414" s="311">
        <v>2002</v>
      </c>
      <c r="H5414" s="396" t="s">
        <v>1149</v>
      </c>
      <c r="I5414" s="470">
        <v>21.2</v>
      </c>
      <c r="J5414" s="495">
        <v>4.0999999999999996</v>
      </c>
      <c r="K5414" s="495">
        <v>3.1</v>
      </c>
      <c r="L5414" s="495">
        <f t="shared" si="64"/>
        <v>0.99999999999999956</v>
      </c>
      <c r="M5414" s="337"/>
    </row>
    <row r="5415" spans="1:13" s="71" customFormat="1" ht="26.4" customHeight="1">
      <c r="A5415" s="282">
        <v>12</v>
      </c>
      <c r="B5415" s="535"/>
      <c r="C5415" s="440" t="s">
        <v>404</v>
      </c>
      <c r="D5415" s="440" t="s">
        <v>7269</v>
      </c>
      <c r="E5415" s="441" t="s">
        <v>7280</v>
      </c>
      <c r="F5415" s="393">
        <v>20050</v>
      </c>
      <c r="G5415" s="311">
        <v>1971</v>
      </c>
      <c r="H5415" s="396" t="s">
        <v>3</v>
      </c>
      <c r="I5415" s="470" t="s">
        <v>6689</v>
      </c>
      <c r="J5415" s="495">
        <v>2.7</v>
      </c>
      <c r="K5415" s="495">
        <v>2.5</v>
      </c>
      <c r="L5415" s="495">
        <f t="shared" si="64"/>
        <v>0.20000000000000018</v>
      </c>
      <c r="M5415" s="337"/>
    </row>
    <row r="5416" spans="1:13" s="71" customFormat="1" ht="26.4" customHeight="1">
      <c r="A5416" s="282">
        <v>13</v>
      </c>
      <c r="B5416" s="535"/>
      <c r="C5416" s="440" t="s">
        <v>404</v>
      </c>
      <c r="D5416" s="440" t="s">
        <v>7269</v>
      </c>
      <c r="E5416" s="440" t="s">
        <v>7281</v>
      </c>
      <c r="F5416" s="393">
        <v>66107</v>
      </c>
      <c r="G5416" s="311">
        <v>2001</v>
      </c>
      <c r="H5416" s="396" t="s">
        <v>3</v>
      </c>
      <c r="I5416" s="470" t="s">
        <v>6689</v>
      </c>
      <c r="J5416" s="495">
        <v>23.5</v>
      </c>
      <c r="K5416" s="495">
        <v>23.1</v>
      </c>
      <c r="L5416" s="495">
        <f t="shared" si="64"/>
        <v>0.39999999999999858</v>
      </c>
      <c r="M5416" s="337"/>
    </row>
    <row r="5417" spans="1:13" s="71" customFormat="1" ht="26.4" customHeight="1">
      <c r="A5417" s="282">
        <v>14</v>
      </c>
      <c r="B5417" s="535"/>
      <c r="C5417" s="440" t="s">
        <v>404</v>
      </c>
      <c r="D5417" s="440" t="s">
        <v>7269</v>
      </c>
      <c r="E5417" s="440" t="s">
        <v>7281</v>
      </c>
      <c r="F5417" s="393">
        <v>66108</v>
      </c>
      <c r="G5417" s="311">
        <v>2001</v>
      </c>
      <c r="H5417" s="396" t="s">
        <v>3</v>
      </c>
      <c r="I5417" s="470" t="s">
        <v>6689</v>
      </c>
      <c r="J5417" s="495">
        <v>20.5</v>
      </c>
      <c r="K5417" s="495">
        <v>20.5</v>
      </c>
      <c r="L5417" s="495">
        <f t="shared" si="64"/>
        <v>0</v>
      </c>
      <c r="M5417" s="337"/>
    </row>
    <row r="5418" spans="1:13" s="71" customFormat="1" ht="26.4" customHeight="1">
      <c r="A5418" s="282">
        <v>15</v>
      </c>
      <c r="B5418" s="535"/>
      <c r="C5418" s="440" t="s">
        <v>404</v>
      </c>
      <c r="D5418" s="440" t="s">
        <v>7269</v>
      </c>
      <c r="E5418" s="440" t="s">
        <v>7282</v>
      </c>
      <c r="F5418" s="393">
        <v>67320</v>
      </c>
      <c r="G5418" s="311">
        <v>2005</v>
      </c>
      <c r="H5418" s="396" t="s">
        <v>3</v>
      </c>
      <c r="I5418" s="470" t="s">
        <v>6689</v>
      </c>
      <c r="J5418" s="495">
        <v>395.8</v>
      </c>
      <c r="K5418" s="495">
        <v>395.8</v>
      </c>
      <c r="L5418" s="495">
        <f t="shared" si="64"/>
        <v>0</v>
      </c>
      <c r="M5418" s="337"/>
    </row>
    <row r="5419" spans="1:13" s="71" customFormat="1" ht="26.4" customHeight="1">
      <c r="A5419" s="282">
        <v>16</v>
      </c>
      <c r="B5419" s="535"/>
      <c r="C5419" s="440" t="s">
        <v>404</v>
      </c>
      <c r="D5419" s="440" t="s">
        <v>7283</v>
      </c>
      <c r="E5419" s="440" t="s">
        <v>7284</v>
      </c>
      <c r="F5419" s="393">
        <v>10030</v>
      </c>
      <c r="G5419" s="311">
        <v>1968</v>
      </c>
      <c r="H5419" s="396" t="s">
        <v>1149</v>
      </c>
      <c r="I5419" s="470">
        <v>137</v>
      </c>
      <c r="J5419" s="495">
        <v>215.8</v>
      </c>
      <c r="K5419" s="495">
        <v>120.2</v>
      </c>
      <c r="L5419" s="495">
        <f t="shared" si="64"/>
        <v>95.600000000000009</v>
      </c>
      <c r="M5419" s="337"/>
    </row>
    <row r="5420" spans="1:13" s="71" customFormat="1" ht="26.4" customHeight="1">
      <c r="A5420" s="282">
        <v>17</v>
      </c>
      <c r="B5420" s="535"/>
      <c r="C5420" s="440" t="s">
        <v>7285</v>
      </c>
      <c r="D5420" s="440" t="s">
        <v>7286</v>
      </c>
      <c r="E5420" s="440" t="s">
        <v>7287</v>
      </c>
      <c r="F5420" s="393">
        <v>10020</v>
      </c>
      <c r="G5420" s="311">
        <v>1968</v>
      </c>
      <c r="H5420" s="396" t="s">
        <v>1149</v>
      </c>
      <c r="I5420" s="470">
        <v>593.4</v>
      </c>
      <c r="J5420" s="495">
        <v>3671</v>
      </c>
      <c r="K5420" s="495">
        <v>2507.6</v>
      </c>
      <c r="L5420" s="495">
        <f t="shared" si="64"/>
        <v>1163.4000000000001</v>
      </c>
      <c r="M5420" s="337"/>
    </row>
    <row r="5421" spans="1:13" s="71" customFormat="1" ht="26.4" customHeight="1">
      <c r="A5421" s="282">
        <v>18</v>
      </c>
      <c r="B5421" s="535"/>
      <c r="C5421" s="440" t="s">
        <v>7285</v>
      </c>
      <c r="D5421" s="440" t="s">
        <v>7286</v>
      </c>
      <c r="E5421" s="440" t="s">
        <v>7288</v>
      </c>
      <c r="F5421" s="393">
        <v>10021</v>
      </c>
      <c r="G5421" s="311">
        <v>1958</v>
      </c>
      <c r="H5421" s="396" t="s">
        <v>1149</v>
      </c>
      <c r="I5421" s="470">
        <v>254.6</v>
      </c>
      <c r="J5421" s="495">
        <v>40.6</v>
      </c>
      <c r="K5421" s="495">
        <v>32.200000000000003</v>
      </c>
      <c r="L5421" s="495">
        <f t="shared" si="64"/>
        <v>8.3999999999999986</v>
      </c>
      <c r="M5421" s="337"/>
    </row>
    <row r="5422" spans="1:13" s="71" customFormat="1" ht="26.4" customHeight="1">
      <c r="A5422" s="282">
        <v>19</v>
      </c>
      <c r="B5422" s="535"/>
      <c r="C5422" s="440" t="s">
        <v>7285</v>
      </c>
      <c r="D5422" s="440" t="s">
        <v>7286</v>
      </c>
      <c r="E5422" s="440" t="s">
        <v>7289</v>
      </c>
      <c r="F5422" s="393">
        <v>10023</v>
      </c>
      <c r="G5422" s="311">
        <v>1960</v>
      </c>
      <c r="H5422" s="396" t="s">
        <v>1149</v>
      </c>
      <c r="I5422" s="470">
        <v>37</v>
      </c>
      <c r="J5422" s="495">
        <v>5.8</v>
      </c>
      <c r="K5422" s="495">
        <v>5.7</v>
      </c>
      <c r="L5422" s="495">
        <f t="shared" si="64"/>
        <v>9.9999999999999645E-2</v>
      </c>
      <c r="M5422" s="337"/>
    </row>
    <row r="5423" spans="1:13" s="71" customFormat="1" ht="26.4" customHeight="1">
      <c r="A5423" s="282">
        <v>20</v>
      </c>
      <c r="B5423" s="535"/>
      <c r="C5423" s="440" t="s">
        <v>7285</v>
      </c>
      <c r="D5423" s="440" t="s">
        <v>7286</v>
      </c>
      <c r="E5423" s="440" t="s">
        <v>2681</v>
      </c>
      <c r="F5423" s="393">
        <v>10031</v>
      </c>
      <c r="G5423" s="311">
        <v>1973</v>
      </c>
      <c r="H5423" s="396" t="s">
        <v>1149</v>
      </c>
      <c r="I5423" s="470">
        <v>460.2</v>
      </c>
      <c r="J5423" s="495">
        <v>67.599999999999994</v>
      </c>
      <c r="K5423" s="495">
        <v>65.8</v>
      </c>
      <c r="L5423" s="495">
        <f t="shared" si="64"/>
        <v>1.7999999999999972</v>
      </c>
      <c r="M5423" s="337"/>
    </row>
    <row r="5424" spans="1:13" s="71" customFormat="1" ht="26.4" customHeight="1">
      <c r="A5424" s="282">
        <v>21</v>
      </c>
      <c r="B5424" s="535"/>
      <c r="C5424" s="440" t="s">
        <v>7285</v>
      </c>
      <c r="D5424" s="440" t="s">
        <v>7286</v>
      </c>
      <c r="E5424" s="440" t="s">
        <v>7290</v>
      </c>
      <c r="F5424" s="393">
        <v>20025</v>
      </c>
      <c r="G5424" s="311">
        <v>1958</v>
      </c>
      <c r="H5424" s="396" t="s">
        <v>1149</v>
      </c>
      <c r="I5424" s="470">
        <v>800</v>
      </c>
      <c r="J5424" s="495">
        <v>240.9</v>
      </c>
      <c r="K5424" s="495">
        <v>240.7</v>
      </c>
      <c r="L5424" s="495">
        <f t="shared" si="64"/>
        <v>0.20000000000001705</v>
      </c>
      <c r="M5424" s="337"/>
    </row>
    <row r="5425" spans="1:13" s="71" customFormat="1" ht="26.4" customHeight="1">
      <c r="A5425" s="282">
        <v>22</v>
      </c>
      <c r="B5425" s="535"/>
      <c r="C5425" s="440" t="s">
        <v>7285</v>
      </c>
      <c r="D5425" s="440" t="s">
        <v>7286</v>
      </c>
      <c r="E5425" s="440" t="s">
        <v>7291</v>
      </c>
      <c r="F5425" s="393">
        <v>20026</v>
      </c>
      <c r="G5425" s="311">
        <v>1958</v>
      </c>
      <c r="H5425" s="396" t="s">
        <v>1149</v>
      </c>
      <c r="I5425" s="470">
        <v>2500</v>
      </c>
      <c r="J5425" s="495">
        <v>524.1</v>
      </c>
      <c r="K5425" s="495">
        <v>511.9</v>
      </c>
      <c r="L5425" s="495">
        <f t="shared" si="64"/>
        <v>12.200000000000045</v>
      </c>
      <c r="M5425" s="337"/>
    </row>
    <row r="5426" spans="1:13" s="71" customFormat="1" ht="26.4" customHeight="1">
      <c r="A5426" s="282">
        <v>23</v>
      </c>
      <c r="B5426" s="535"/>
      <c r="C5426" s="440" t="s">
        <v>7285</v>
      </c>
      <c r="D5426" s="440" t="s">
        <v>7286</v>
      </c>
      <c r="E5426" s="440" t="s">
        <v>7292</v>
      </c>
      <c r="F5426" s="393">
        <v>20027</v>
      </c>
      <c r="G5426" s="311">
        <v>1968</v>
      </c>
      <c r="H5426" s="396" t="s">
        <v>1149</v>
      </c>
      <c r="I5426" s="470">
        <v>800</v>
      </c>
      <c r="J5426" s="496">
        <v>462.5</v>
      </c>
      <c r="K5426" s="496">
        <v>411.5</v>
      </c>
      <c r="L5426" s="495">
        <f t="shared" si="64"/>
        <v>51</v>
      </c>
      <c r="M5426" s="337"/>
    </row>
    <row r="5427" spans="1:13" s="71" customFormat="1" ht="26.4" customHeight="1">
      <c r="A5427" s="282">
        <v>24</v>
      </c>
      <c r="B5427" s="535"/>
      <c r="C5427" s="440" t="s">
        <v>7285</v>
      </c>
      <c r="D5427" s="440" t="s">
        <v>7286</v>
      </c>
      <c r="E5427" s="440" t="s">
        <v>7293</v>
      </c>
      <c r="F5427" s="393">
        <v>20029</v>
      </c>
      <c r="G5427" s="311">
        <v>1959</v>
      </c>
      <c r="H5427" s="396" t="s">
        <v>3</v>
      </c>
      <c r="I5427" s="470" t="s">
        <v>3</v>
      </c>
      <c r="J5427" s="495">
        <v>105.1</v>
      </c>
      <c r="K5427" s="495">
        <v>103</v>
      </c>
      <c r="L5427" s="495">
        <f t="shared" si="64"/>
        <v>2.0999999999999943</v>
      </c>
      <c r="M5427" s="337"/>
    </row>
    <row r="5428" spans="1:13" s="71" customFormat="1" ht="26.4" customHeight="1">
      <c r="A5428" s="282">
        <v>25</v>
      </c>
      <c r="B5428" s="535"/>
      <c r="C5428" s="440" t="s">
        <v>7285</v>
      </c>
      <c r="D5428" s="440" t="s">
        <v>7286</v>
      </c>
      <c r="E5428" s="440" t="s">
        <v>7294</v>
      </c>
      <c r="F5428" s="393">
        <v>20031</v>
      </c>
      <c r="G5428" s="311">
        <v>1958</v>
      </c>
      <c r="H5428" s="396" t="s">
        <v>3</v>
      </c>
      <c r="I5428" s="470" t="s">
        <v>3</v>
      </c>
      <c r="J5428" s="495">
        <v>43.5</v>
      </c>
      <c r="K5428" s="495">
        <v>42.7</v>
      </c>
      <c r="L5428" s="495">
        <f t="shared" si="64"/>
        <v>0.79999999999999716</v>
      </c>
      <c r="M5428" s="337"/>
    </row>
    <row r="5429" spans="1:13" s="71" customFormat="1" ht="26.4" customHeight="1">
      <c r="A5429" s="282">
        <v>26</v>
      </c>
      <c r="B5429" s="535"/>
      <c r="C5429" s="440" t="s">
        <v>7285</v>
      </c>
      <c r="D5429" s="440" t="s">
        <v>7286</v>
      </c>
      <c r="E5429" s="440" t="s">
        <v>7295</v>
      </c>
      <c r="F5429" s="393">
        <v>20032</v>
      </c>
      <c r="G5429" s="311">
        <v>1987</v>
      </c>
      <c r="H5429" s="396" t="s">
        <v>1149</v>
      </c>
      <c r="I5429" s="470">
        <v>2500</v>
      </c>
      <c r="J5429" s="495">
        <v>628.4</v>
      </c>
      <c r="K5429" s="495">
        <v>596.6</v>
      </c>
      <c r="L5429" s="495">
        <f t="shared" si="64"/>
        <v>31.799999999999955</v>
      </c>
      <c r="M5429" s="337"/>
    </row>
    <row r="5430" spans="1:13" s="71" customFormat="1" ht="26.4" customHeight="1">
      <c r="A5430" s="282">
        <v>27</v>
      </c>
      <c r="B5430" s="535"/>
      <c r="C5430" s="440" t="s">
        <v>7285</v>
      </c>
      <c r="D5430" s="440" t="s">
        <v>7286</v>
      </c>
      <c r="E5430" s="440" t="s">
        <v>7296</v>
      </c>
      <c r="F5430" s="393">
        <v>20033</v>
      </c>
      <c r="G5430" s="311">
        <v>1987</v>
      </c>
      <c r="H5430" s="396" t="s">
        <v>1149</v>
      </c>
      <c r="I5430" s="470">
        <v>2500</v>
      </c>
      <c r="J5430" s="495">
        <v>705.7</v>
      </c>
      <c r="K5430" s="495">
        <v>647.6</v>
      </c>
      <c r="L5430" s="495">
        <f t="shared" si="64"/>
        <v>58.100000000000023</v>
      </c>
      <c r="M5430" s="337"/>
    </row>
    <row r="5431" spans="1:13" s="71" customFormat="1" ht="26.4" customHeight="1">
      <c r="A5431" s="282">
        <v>28</v>
      </c>
      <c r="B5431" s="535"/>
      <c r="C5431" s="440" t="s">
        <v>7285</v>
      </c>
      <c r="D5431" s="440" t="s">
        <v>7286</v>
      </c>
      <c r="E5431" s="440" t="s">
        <v>5343</v>
      </c>
      <c r="F5431" s="393">
        <v>66560</v>
      </c>
      <c r="G5431" s="311">
        <v>2003</v>
      </c>
      <c r="H5431" s="396" t="s">
        <v>1149</v>
      </c>
      <c r="I5431" s="470">
        <v>2.2999999999999998</v>
      </c>
      <c r="J5431" s="495">
        <v>1</v>
      </c>
      <c r="K5431" s="495">
        <v>1</v>
      </c>
      <c r="L5431" s="495">
        <f t="shared" si="64"/>
        <v>0</v>
      </c>
      <c r="M5431" s="337"/>
    </row>
    <row r="5432" spans="1:13" s="71" customFormat="1" ht="26.4" customHeight="1">
      <c r="A5432" s="282">
        <v>29</v>
      </c>
      <c r="B5432" s="535"/>
      <c r="C5432" s="440" t="s">
        <v>7285</v>
      </c>
      <c r="D5432" s="440" t="s">
        <v>7286</v>
      </c>
      <c r="E5432" s="440" t="s">
        <v>7297</v>
      </c>
      <c r="F5432" s="393">
        <v>66561</v>
      </c>
      <c r="G5432" s="311">
        <v>2003</v>
      </c>
      <c r="H5432" s="396" t="s">
        <v>1149</v>
      </c>
      <c r="I5432" s="470">
        <v>26.2</v>
      </c>
      <c r="J5432" s="495">
        <v>3.8</v>
      </c>
      <c r="K5432" s="495">
        <v>2.7</v>
      </c>
      <c r="L5432" s="495">
        <f t="shared" si="64"/>
        <v>1.0999999999999996</v>
      </c>
      <c r="M5432" s="337"/>
    </row>
    <row r="5433" spans="1:13" s="71" customFormat="1" ht="26.4" customHeight="1">
      <c r="A5433" s="282">
        <v>30</v>
      </c>
      <c r="B5433" s="535"/>
      <c r="C5433" s="440" t="s">
        <v>7285</v>
      </c>
      <c r="D5433" s="440" t="s">
        <v>7286</v>
      </c>
      <c r="E5433" s="440" t="s">
        <v>7274</v>
      </c>
      <c r="F5433" s="393">
        <v>66562</v>
      </c>
      <c r="G5433" s="311">
        <v>2003</v>
      </c>
      <c r="H5433" s="396" t="s">
        <v>1149</v>
      </c>
      <c r="I5433" s="470">
        <v>25.7</v>
      </c>
      <c r="J5433" s="495">
        <v>1.9</v>
      </c>
      <c r="K5433" s="495">
        <v>1.4</v>
      </c>
      <c r="L5433" s="495">
        <f t="shared" si="64"/>
        <v>0.5</v>
      </c>
      <c r="M5433" s="337"/>
    </row>
    <row r="5434" spans="1:13" s="71" customFormat="1" ht="26.4" customHeight="1">
      <c r="A5434" s="282">
        <v>31</v>
      </c>
      <c r="B5434" s="535"/>
      <c r="C5434" s="440" t="s">
        <v>7285</v>
      </c>
      <c r="D5434" s="440" t="s">
        <v>7286</v>
      </c>
      <c r="E5434" s="441" t="s">
        <v>7298</v>
      </c>
      <c r="F5434" s="393">
        <v>20051</v>
      </c>
      <c r="G5434" s="311">
        <v>1971</v>
      </c>
      <c r="H5434" s="396" t="s">
        <v>631</v>
      </c>
      <c r="I5434" s="470">
        <v>23</v>
      </c>
      <c r="J5434" s="495">
        <v>2.7</v>
      </c>
      <c r="K5434" s="495">
        <v>2.5</v>
      </c>
      <c r="L5434" s="495">
        <f t="shared" si="64"/>
        <v>0.20000000000000018</v>
      </c>
      <c r="M5434" s="337"/>
    </row>
    <row r="5435" spans="1:13" s="71" customFormat="1" ht="26.4" customHeight="1">
      <c r="A5435" s="282">
        <v>32</v>
      </c>
      <c r="B5435" s="535"/>
      <c r="C5435" s="440" t="s">
        <v>7285</v>
      </c>
      <c r="D5435" s="440" t="s">
        <v>7286</v>
      </c>
      <c r="E5435" s="440" t="s">
        <v>7299</v>
      </c>
      <c r="F5435" s="393">
        <v>20030</v>
      </c>
      <c r="G5435" s="311">
        <v>1960</v>
      </c>
      <c r="H5435" s="396" t="s">
        <v>631</v>
      </c>
      <c r="I5435" s="470">
        <v>516</v>
      </c>
      <c r="J5435" s="495">
        <v>45.1</v>
      </c>
      <c r="K5435" s="495">
        <v>45</v>
      </c>
      <c r="L5435" s="495">
        <f t="shared" si="64"/>
        <v>0.10000000000000142</v>
      </c>
      <c r="M5435" s="337"/>
    </row>
    <row r="5436" spans="1:13" s="71" customFormat="1" ht="26.4" customHeight="1">
      <c r="A5436" s="282">
        <v>33</v>
      </c>
      <c r="B5436" s="535"/>
      <c r="C5436" s="440" t="s">
        <v>7285</v>
      </c>
      <c r="D5436" s="440" t="s">
        <v>7286</v>
      </c>
      <c r="E5436" s="440" t="s">
        <v>1141</v>
      </c>
      <c r="F5436" s="393">
        <v>333786</v>
      </c>
      <c r="G5436" s="311">
        <v>2010</v>
      </c>
      <c r="H5436" s="396" t="s">
        <v>631</v>
      </c>
      <c r="I5436" s="470">
        <v>302</v>
      </c>
      <c r="J5436" s="495">
        <v>340.3</v>
      </c>
      <c r="K5436" s="495">
        <v>20.100000000000001</v>
      </c>
      <c r="L5436" s="495">
        <f t="shared" si="64"/>
        <v>320.2</v>
      </c>
      <c r="M5436" s="337"/>
    </row>
    <row r="5437" spans="1:13" s="71" customFormat="1" ht="26.4" customHeight="1">
      <c r="A5437" s="282">
        <v>34</v>
      </c>
      <c r="B5437" s="535"/>
      <c r="C5437" s="444" t="s">
        <v>7285</v>
      </c>
      <c r="D5437" s="444" t="s">
        <v>3</v>
      </c>
      <c r="E5437" s="440" t="s">
        <v>7300</v>
      </c>
      <c r="F5437" s="393">
        <v>30021</v>
      </c>
      <c r="G5437" s="311">
        <v>1958</v>
      </c>
      <c r="H5437" s="396" t="s">
        <v>631</v>
      </c>
      <c r="I5437" s="470">
        <v>2490</v>
      </c>
      <c r="J5437" s="495">
        <v>287.60000000000002</v>
      </c>
      <c r="K5437" s="495">
        <v>266.60000000000002</v>
      </c>
      <c r="L5437" s="495">
        <f t="shared" si="64"/>
        <v>21</v>
      </c>
      <c r="M5437" s="337"/>
    </row>
    <row r="5438" spans="1:13" s="71" customFormat="1" ht="39.6">
      <c r="A5438" s="282">
        <v>35</v>
      </c>
      <c r="B5438" s="535"/>
      <c r="C5438" s="450" t="s">
        <v>12874</v>
      </c>
      <c r="D5438" s="444" t="s">
        <v>3</v>
      </c>
      <c r="E5438" s="440" t="s">
        <v>13295</v>
      </c>
      <c r="F5438" s="393">
        <v>30022</v>
      </c>
      <c r="G5438" s="311">
        <v>1970</v>
      </c>
      <c r="H5438" s="396" t="s">
        <v>631</v>
      </c>
      <c r="I5438" s="470">
        <v>6340</v>
      </c>
      <c r="J5438" s="495">
        <v>1172.5</v>
      </c>
      <c r="K5438" s="495">
        <v>1141.5999999999999</v>
      </c>
      <c r="L5438" s="495">
        <f t="shared" si="64"/>
        <v>30.900000000000091</v>
      </c>
      <c r="M5438" s="337"/>
    </row>
    <row r="5439" spans="1:13" s="71" customFormat="1" ht="26.4" customHeight="1">
      <c r="A5439" s="282">
        <v>36</v>
      </c>
      <c r="B5439" s="535"/>
      <c r="C5439" s="440" t="s">
        <v>7285</v>
      </c>
      <c r="D5439" s="444" t="s">
        <v>7301</v>
      </c>
      <c r="E5439" s="440" t="s">
        <v>13296</v>
      </c>
      <c r="F5439" s="393">
        <v>30025</v>
      </c>
      <c r="G5439" s="311">
        <v>1958</v>
      </c>
      <c r="H5439" s="396" t="s">
        <v>631</v>
      </c>
      <c r="I5439" s="470">
        <v>38200</v>
      </c>
      <c r="J5439" s="495">
        <v>5180.8</v>
      </c>
      <c r="K5439" s="495">
        <v>5167</v>
      </c>
      <c r="L5439" s="495">
        <f t="shared" si="64"/>
        <v>13.800000000000182</v>
      </c>
      <c r="M5439" s="337"/>
    </row>
    <row r="5440" spans="1:13" s="71" customFormat="1" ht="26.4" customHeight="1">
      <c r="A5440" s="282">
        <v>37</v>
      </c>
      <c r="B5440" s="535"/>
      <c r="C5440" s="440" t="s">
        <v>7285</v>
      </c>
      <c r="D5440" s="444" t="s">
        <v>7286</v>
      </c>
      <c r="E5440" s="440" t="s">
        <v>13297</v>
      </c>
      <c r="F5440" s="393">
        <v>30026</v>
      </c>
      <c r="G5440" s="311">
        <v>1973</v>
      </c>
      <c r="H5440" s="396" t="s">
        <v>631</v>
      </c>
      <c r="I5440" s="470">
        <v>41000</v>
      </c>
      <c r="J5440" s="495">
        <v>4708.3</v>
      </c>
      <c r="K5440" s="495">
        <v>4705.8999999999996</v>
      </c>
      <c r="L5440" s="495">
        <f t="shared" si="64"/>
        <v>2.4000000000005457</v>
      </c>
      <c r="M5440" s="337"/>
    </row>
    <row r="5441" spans="1:13" s="71" customFormat="1" ht="26.4" customHeight="1">
      <c r="A5441" s="282">
        <v>38</v>
      </c>
      <c r="B5441" s="535"/>
      <c r="C5441" s="440" t="s">
        <v>7285</v>
      </c>
      <c r="D5441" s="444" t="s">
        <v>7286</v>
      </c>
      <c r="E5441" s="440" t="s">
        <v>7302</v>
      </c>
      <c r="F5441" s="393">
        <v>30027</v>
      </c>
      <c r="G5441" s="311">
        <v>1968</v>
      </c>
      <c r="H5441" s="396" t="s">
        <v>631</v>
      </c>
      <c r="I5441" s="470">
        <v>1671</v>
      </c>
      <c r="J5441" s="495">
        <v>176.2</v>
      </c>
      <c r="K5441" s="495">
        <v>155.6</v>
      </c>
      <c r="L5441" s="495">
        <f t="shared" si="64"/>
        <v>20.599999999999994</v>
      </c>
      <c r="M5441" s="337"/>
    </row>
    <row r="5442" spans="1:13" s="71" customFormat="1" ht="26.4" customHeight="1">
      <c r="A5442" s="282">
        <v>39</v>
      </c>
      <c r="B5442" s="535"/>
      <c r="C5442" s="440" t="s">
        <v>7285</v>
      </c>
      <c r="D5442" s="444" t="s">
        <v>7286</v>
      </c>
      <c r="E5442" s="440" t="s">
        <v>7303</v>
      </c>
      <c r="F5442" s="393">
        <v>30037</v>
      </c>
      <c r="G5442" s="311">
        <v>1986</v>
      </c>
      <c r="H5442" s="396" t="s">
        <v>631</v>
      </c>
      <c r="I5442" s="470">
        <v>32100</v>
      </c>
      <c r="J5442" s="495">
        <v>6507.2</v>
      </c>
      <c r="K5442" s="495">
        <v>6047.4</v>
      </c>
      <c r="L5442" s="495">
        <f t="shared" si="64"/>
        <v>459.80000000000018</v>
      </c>
      <c r="M5442" s="337"/>
    </row>
    <row r="5443" spans="1:13" s="71" customFormat="1" ht="26.4" customHeight="1">
      <c r="A5443" s="282">
        <v>40</v>
      </c>
      <c r="B5443" s="535"/>
      <c r="C5443" s="440" t="s">
        <v>7304</v>
      </c>
      <c r="D5443" s="440" t="s">
        <v>7305</v>
      </c>
      <c r="E5443" s="440" t="s">
        <v>7306</v>
      </c>
      <c r="F5443" s="393">
        <v>333773</v>
      </c>
      <c r="G5443" s="311">
        <v>2010</v>
      </c>
      <c r="H5443" s="396" t="s">
        <v>631</v>
      </c>
      <c r="I5443" s="470">
        <v>14800</v>
      </c>
      <c r="J5443" s="495">
        <v>19999.099999999999</v>
      </c>
      <c r="K5443" s="495">
        <v>2622.8</v>
      </c>
      <c r="L5443" s="495">
        <f t="shared" si="64"/>
        <v>17376.3</v>
      </c>
      <c r="M5443" s="337"/>
    </row>
    <row r="5444" spans="1:13" s="71" customFormat="1" ht="26.4" customHeight="1">
      <c r="A5444" s="282">
        <v>41</v>
      </c>
      <c r="B5444" s="535"/>
      <c r="C5444" s="440" t="s">
        <v>7304</v>
      </c>
      <c r="D5444" s="440" t="s">
        <v>7305</v>
      </c>
      <c r="E5444" s="440" t="s">
        <v>953</v>
      </c>
      <c r="F5444" s="393">
        <v>333774</v>
      </c>
      <c r="G5444" s="311">
        <v>2010</v>
      </c>
      <c r="H5444" s="396" t="s">
        <v>1149</v>
      </c>
      <c r="I5444" s="470">
        <v>36.700000000000003</v>
      </c>
      <c r="J5444" s="495">
        <v>267</v>
      </c>
      <c r="K5444" s="495">
        <v>16.899999999999999</v>
      </c>
      <c r="L5444" s="495">
        <f t="shared" si="64"/>
        <v>250.1</v>
      </c>
      <c r="M5444" s="337"/>
    </row>
    <row r="5445" spans="1:13" s="71" customFormat="1" ht="26.4" customHeight="1">
      <c r="A5445" s="282">
        <v>42</v>
      </c>
      <c r="B5445" s="535"/>
      <c r="C5445" s="440" t="s">
        <v>7304</v>
      </c>
      <c r="D5445" s="440" t="s">
        <v>7305</v>
      </c>
      <c r="E5445" s="440" t="s">
        <v>7307</v>
      </c>
      <c r="F5445" s="393">
        <v>333775</v>
      </c>
      <c r="G5445" s="311">
        <v>2010</v>
      </c>
      <c r="H5445" s="396" t="s">
        <v>3</v>
      </c>
      <c r="I5445" s="470" t="s">
        <v>6689</v>
      </c>
      <c r="J5445" s="495">
        <v>145.19999999999999</v>
      </c>
      <c r="K5445" s="495">
        <v>41.1</v>
      </c>
      <c r="L5445" s="495">
        <f t="shared" si="64"/>
        <v>104.1</v>
      </c>
      <c r="M5445" s="337"/>
    </row>
    <row r="5446" spans="1:13" s="71" customFormat="1" ht="26.4" customHeight="1">
      <c r="A5446" s="282">
        <v>43</v>
      </c>
      <c r="B5446" s="535"/>
      <c r="C5446" s="440" t="s">
        <v>7304</v>
      </c>
      <c r="D5446" s="440" t="s">
        <v>7305</v>
      </c>
      <c r="E5446" s="440" t="s">
        <v>7308</v>
      </c>
      <c r="F5446" s="393">
        <v>333776</v>
      </c>
      <c r="G5446" s="311">
        <v>2010</v>
      </c>
      <c r="H5446" s="396" t="s">
        <v>3</v>
      </c>
      <c r="I5446" s="470" t="s">
        <v>6689</v>
      </c>
      <c r="J5446" s="495">
        <v>224.4</v>
      </c>
      <c r="K5446" s="495">
        <v>35.700000000000003</v>
      </c>
      <c r="L5446" s="495">
        <f t="shared" si="64"/>
        <v>188.7</v>
      </c>
      <c r="M5446" s="337"/>
    </row>
    <row r="5447" spans="1:13" s="71" customFormat="1" ht="26.4" customHeight="1">
      <c r="A5447" s="282">
        <v>44</v>
      </c>
      <c r="B5447" s="535"/>
      <c r="C5447" s="440" t="s">
        <v>7304</v>
      </c>
      <c r="D5447" s="440" t="s">
        <v>7305</v>
      </c>
      <c r="E5447" s="440" t="s">
        <v>7309</v>
      </c>
      <c r="F5447" s="393">
        <v>333777</v>
      </c>
      <c r="G5447" s="311">
        <v>2010</v>
      </c>
      <c r="H5447" s="396" t="s">
        <v>3</v>
      </c>
      <c r="I5447" s="470" t="s">
        <v>6689</v>
      </c>
      <c r="J5447" s="495">
        <v>723.4</v>
      </c>
      <c r="K5447" s="495">
        <v>122.1</v>
      </c>
      <c r="L5447" s="495">
        <f t="shared" si="64"/>
        <v>601.29999999999995</v>
      </c>
      <c r="M5447" s="337"/>
    </row>
    <row r="5448" spans="1:13" s="71" customFormat="1" ht="26.4" customHeight="1">
      <c r="A5448" s="282">
        <v>45</v>
      </c>
      <c r="B5448" s="535"/>
      <c r="C5448" s="440" t="s">
        <v>7304</v>
      </c>
      <c r="D5448" s="440" t="s">
        <v>7305</v>
      </c>
      <c r="E5448" s="440" t="s">
        <v>7310</v>
      </c>
      <c r="F5448" s="393">
        <v>333778</v>
      </c>
      <c r="G5448" s="311">
        <v>2010</v>
      </c>
      <c r="H5448" s="396" t="s">
        <v>1149</v>
      </c>
      <c r="I5448" s="470">
        <v>160</v>
      </c>
      <c r="J5448" s="495">
        <v>2379.1999999999998</v>
      </c>
      <c r="K5448" s="495">
        <v>143.4</v>
      </c>
      <c r="L5448" s="495">
        <f t="shared" si="64"/>
        <v>2235.7999999999997</v>
      </c>
      <c r="M5448" s="337"/>
    </row>
    <row r="5449" spans="1:13" s="71" customFormat="1" ht="26.4" customHeight="1">
      <c r="A5449" s="282">
        <v>46</v>
      </c>
      <c r="B5449" s="535"/>
      <c r="C5449" s="440" t="s">
        <v>7304</v>
      </c>
      <c r="D5449" s="440" t="s">
        <v>7305</v>
      </c>
      <c r="E5449" s="440" t="s">
        <v>962</v>
      </c>
      <c r="F5449" s="393">
        <v>333779</v>
      </c>
      <c r="G5449" s="311">
        <v>2010</v>
      </c>
      <c r="H5449" s="396" t="s">
        <v>1149</v>
      </c>
      <c r="I5449" s="470">
        <v>34.5</v>
      </c>
      <c r="J5449" s="495">
        <v>1474.6</v>
      </c>
      <c r="K5449" s="495">
        <v>78</v>
      </c>
      <c r="L5449" s="495">
        <f t="shared" si="64"/>
        <v>1396.6</v>
      </c>
      <c r="M5449" s="337"/>
    </row>
    <row r="5450" spans="1:13" s="71" customFormat="1" ht="26.4" customHeight="1">
      <c r="A5450" s="282">
        <v>47</v>
      </c>
      <c r="B5450" s="535"/>
      <c r="C5450" s="440" t="s">
        <v>7304</v>
      </c>
      <c r="D5450" s="440" t="s">
        <v>7305</v>
      </c>
      <c r="E5450" s="440" t="s">
        <v>7311</v>
      </c>
      <c r="F5450" s="393">
        <v>333780</v>
      </c>
      <c r="G5450" s="311">
        <v>2010</v>
      </c>
      <c r="H5450" s="396" t="s">
        <v>1149</v>
      </c>
      <c r="I5450" s="470">
        <v>200</v>
      </c>
      <c r="J5450" s="495">
        <v>1425</v>
      </c>
      <c r="K5450" s="495">
        <v>100.5</v>
      </c>
      <c r="L5450" s="495">
        <f t="shared" si="64"/>
        <v>1324.5</v>
      </c>
      <c r="M5450" s="337"/>
    </row>
    <row r="5451" spans="1:13" s="71" customFormat="1" ht="26.4" customHeight="1">
      <c r="A5451" s="282">
        <v>48</v>
      </c>
      <c r="B5451" s="535"/>
      <c r="C5451" s="440" t="s">
        <v>7304</v>
      </c>
      <c r="D5451" s="440" t="s">
        <v>7305</v>
      </c>
      <c r="E5451" s="440" t="s">
        <v>7312</v>
      </c>
      <c r="F5451" s="393">
        <v>333781</v>
      </c>
      <c r="G5451" s="311">
        <v>2010</v>
      </c>
      <c r="H5451" s="396" t="s">
        <v>1149</v>
      </c>
      <c r="I5451" s="470">
        <v>54</v>
      </c>
      <c r="J5451" s="495">
        <v>466.6</v>
      </c>
      <c r="K5451" s="495">
        <v>33</v>
      </c>
      <c r="L5451" s="495">
        <f t="shared" si="64"/>
        <v>433.6</v>
      </c>
      <c r="M5451" s="337"/>
    </row>
    <row r="5452" spans="1:13" s="71" customFormat="1" ht="26.4" customHeight="1">
      <c r="A5452" s="282">
        <v>49</v>
      </c>
      <c r="B5452" s="535"/>
      <c r="C5452" s="440" t="s">
        <v>7304</v>
      </c>
      <c r="D5452" s="440" t="s">
        <v>7305</v>
      </c>
      <c r="E5452" s="440" t="s">
        <v>7313</v>
      </c>
      <c r="F5452" s="393">
        <v>333782</v>
      </c>
      <c r="G5452" s="311">
        <v>2010</v>
      </c>
      <c r="H5452" s="396" t="s">
        <v>1149</v>
      </c>
      <c r="I5452" s="470">
        <v>43</v>
      </c>
      <c r="J5452" s="495">
        <v>115.5</v>
      </c>
      <c r="K5452" s="495">
        <v>101.5</v>
      </c>
      <c r="L5452" s="495">
        <f t="shared" si="64"/>
        <v>14</v>
      </c>
      <c r="M5452" s="337"/>
    </row>
    <row r="5453" spans="1:13" s="71" customFormat="1" ht="26.4" customHeight="1">
      <c r="A5453" s="282">
        <v>50</v>
      </c>
      <c r="B5453" s="535"/>
      <c r="C5453" s="440" t="s">
        <v>7304</v>
      </c>
      <c r="D5453" s="440" t="s">
        <v>7305</v>
      </c>
      <c r="E5453" s="440" t="s">
        <v>2872</v>
      </c>
      <c r="F5453" s="393">
        <v>333783</v>
      </c>
      <c r="G5453" s="311">
        <v>2010</v>
      </c>
      <c r="H5453" s="396" t="s">
        <v>3</v>
      </c>
      <c r="I5453" s="470" t="s">
        <v>6689</v>
      </c>
      <c r="J5453" s="495">
        <v>1337.5</v>
      </c>
      <c r="K5453" s="495">
        <v>329</v>
      </c>
      <c r="L5453" s="495">
        <f t="shared" si="64"/>
        <v>1008.5</v>
      </c>
      <c r="M5453" s="337"/>
    </row>
    <row r="5454" spans="1:13" s="71" customFormat="1" ht="26.4" customHeight="1">
      <c r="A5454" s="282">
        <v>51</v>
      </c>
      <c r="B5454" s="535"/>
      <c r="C5454" s="440" t="s">
        <v>7304</v>
      </c>
      <c r="D5454" s="440" t="s">
        <v>7305</v>
      </c>
      <c r="E5454" s="440" t="s">
        <v>3071</v>
      </c>
      <c r="F5454" s="393">
        <v>333784</v>
      </c>
      <c r="G5454" s="311">
        <v>2010</v>
      </c>
      <c r="H5454" s="396" t="s">
        <v>3</v>
      </c>
      <c r="I5454" s="470" t="s">
        <v>6689</v>
      </c>
      <c r="J5454" s="495">
        <v>66.599999999999994</v>
      </c>
      <c r="K5454" s="495">
        <v>12.8</v>
      </c>
      <c r="L5454" s="495">
        <f t="shared" si="64"/>
        <v>53.8</v>
      </c>
      <c r="M5454" s="337"/>
    </row>
    <row r="5455" spans="1:13" s="71" customFormat="1" ht="26.4" customHeight="1">
      <c r="A5455" s="282">
        <v>52</v>
      </c>
      <c r="B5455" s="535"/>
      <c r="C5455" s="440" t="s">
        <v>7304</v>
      </c>
      <c r="D5455" s="440" t="s">
        <v>7305</v>
      </c>
      <c r="E5455" s="440" t="s">
        <v>7314</v>
      </c>
      <c r="F5455" s="393">
        <v>30128</v>
      </c>
      <c r="G5455" s="311">
        <v>1973</v>
      </c>
      <c r="H5455" s="396" t="s">
        <v>631</v>
      </c>
      <c r="I5455" s="470">
        <v>2000</v>
      </c>
      <c r="J5455" s="495">
        <v>41.7</v>
      </c>
      <c r="K5455" s="495">
        <v>39.700000000000003</v>
      </c>
      <c r="L5455" s="495">
        <f t="shared" si="64"/>
        <v>2</v>
      </c>
      <c r="M5455" s="337"/>
    </row>
    <row r="5456" spans="1:13" s="71" customFormat="1" ht="26.4" customHeight="1">
      <c r="A5456" s="282">
        <v>53</v>
      </c>
      <c r="B5456" s="535"/>
      <c r="C5456" s="440" t="s">
        <v>7304</v>
      </c>
      <c r="D5456" s="440" t="s">
        <v>7305</v>
      </c>
      <c r="E5456" s="440" t="s">
        <v>7315</v>
      </c>
      <c r="F5456" s="393">
        <v>30129</v>
      </c>
      <c r="G5456" s="311">
        <v>1973</v>
      </c>
      <c r="H5456" s="396" t="s">
        <v>631</v>
      </c>
      <c r="I5456" s="470">
        <v>2000</v>
      </c>
      <c r="J5456" s="495">
        <v>27.1</v>
      </c>
      <c r="K5456" s="495">
        <v>25.1</v>
      </c>
      <c r="L5456" s="495">
        <f t="shared" si="64"/>
        <v>2</v>
      </c>
      <c r="M5456" s="337"/>
    </row>
    <row r="5457" spans="1:13" s="71" customFormat="1" ht="26.4" customHeight="1">
      <c r="A5457" s="282">
        <v>54</v>
      </c>
      <c r="B5457" s="535"/>
      <c r="C5457" s="440" t="s">
        <v>7304</v>
      </c>
      <c r="D5457" s="444" t="s">
        <v>7316</v>
      </c>
      <c r="E5457" s="444" t="s">
        <v>7317</v>
      </c>
      <c r="F5457" s="393">
        <v>30131</v>
      </c>
      <c r="G5457" s="311">
        <v>1973</v>
      </c>
      <c r="H5457" s="396" t="s">
        <v>631</v>
      </c>
      <c r="I5457" s="470">
        <v>41000</v>
      </c>
      <c r="J5457" s="495">
        <v>538.6</v>
      </c>
      <c r="K5457" s="495">
        <v>515.70000000000005</v>
      </c>
      <c r="L5457" s="495">
        <f t="shared" si="64"/>
        <v>22.899999999999977</v>
      </c>
      <c r="M5457" s="337"/>
    </row>
    <row r="5458" spans="1:13" s="71" customFormat="1" ht="26.4" customHeight="1">
      <c r="A5458" s="282">
        <v>55</v>
      </c>
      <c r="B5458" s="535"/>
      <c r="C5458" s="440" t="s">
        <v>7304</v>
      </c>
      <c r="D5458" s="444" t="s">
        <v>7316</v>
      </c>
      <c r="E5458" s="440" t="s">
        <v>7318</v>
      </c>
      <c r="F5458" s="393">
        <v>30133</v>
      </c>
      <c r="G5458" s="311">
        <v>1973</v>
      </c>
      <c r="H5458" s="396" t="s">
        <v>631</v>
      </c>
      <c r="I5458" s="470">
        <v>3000</v>
      </c>
      <c r="J5458" s="495">
        <v>48.4</v>
      </c>
      <c r="K5458" s="495">
        <v>46.4</v>
      </c>
      <c r="L5458" s="495">
        <f t="shared" si="64"/>
        <v>2</v>
      </c>
      <c r="M5458" s="337"/>
    </row>
    <row r="5459" spans="1:13" s="71" customFormat="1" ht="26.4" customHeight="1">
      <c r="A5459" s="282">
        <v>56</v>
      </c>
      <c r="B5459" s="535"/>
      <c r="C5459" s="440" t="s">
        <v>7304</v>
      </c>
      <c r="D5459" s="444" t="s">
        <v>7316</v>
      </c>
      <c r="E5459" s="440" t="s">
        <v>7319</v>
      </c>
      <c r="F5459" s="393">
        <v>30134</v>
      </c>
      <c r="G5459" s="311">
        <v>1978</v>
      </c>
      <c r="H5459" s="396" t="s">
        <v>631</v>
      </c>
      <c r="I5459" s="470">
        <v>19000</v>
      </c>
      <c r="J5459" s="495">
        <v>110.8</v>
      </c>
      <c r="K5459" s="495">
        <v>107.1</v>
      </c>
      <c r="L5459" s="495">
        <f t="shared" si="64"/>
        <v>3.7000000000000028</v>
      </c>
      <c r="M5459" s="337"/>
    </row>
    <row r="5460" spans="1:13" s="71" customFormat="1" ht="26.4" customHeight="1">
      <c r="A5460" s="282">
        <v>57</v>
      </c>
      <c r="B5460" s="535"/>
      <c r="C5460" s="440" t="s">
        <v>7304</v>
      </c>
      <c r="D5460" s="444" t="s">
        <v>7316</v>
      </c>
      <c r="E5460" s="440" t="s">
        <v>7320</v>
      </c>
      <c r="F5460" s="393">
        <v>30135</v>
      </c>
      <c r="G5460" s="311">
        <v>1982</v>
      </c>
      <c r="H5460" s="396" t="s">
        <v>722</v>
      </c>
      <c r="I5460" s="470">
        <v>5.2</v>
      </c>
      <c r="J5460" s="495">
        <v>22.3</v>
      </c>
      <c r="K5460" s="495">
        <v>18.7</v>
      </c>
      <c r="L5460" s="495">
        <f t="shared" si="64"/>
        <v>3.6000000000000014</v>
      </c>
      <c r="M5460" s="337"/>
    </row>
    <row r="5461" spans="1:13" s="71" customFormat="1" ht="26.4" customHeight="1">
      <c r="A5461" s="282">
        <v>58</v>
      </c>
      <c r="B5461" s="535"/>
      <c r="C5461" s="440" t="s">
        <v>7304</v>
      </c>
      <c r="D5461" s="444" t="s">
        <v>7316</v>
      </c>
      <c r="E5461" s="440" t="s">
        <v>7321</v>
      </c>
      <c r="F5461" s="393">
        <v>30136</v>
      </c>
      <c r="G5461" s="311">
        <v>1983</v>
      </c>
      <c r="H5461" s="396" t="s">
        <v>631</v>
      </c>
      <c r="I5461" s="470">
        <v>45800</v>
      </c>
      <c r="J5461" s="495">
        <v>138.5</v>
      </c>
      <c r="K5461" s="495">
        <v>118.5</v>
      </c>
      <c r="L5461" s="495">
        <f t="shared" si="64"/>
        <v>20</v>
      </c>
      <c r="M5461" s="337"/>
    </row>
    <row r="5462" spans="1:13" s="71" customFormat="1" ht="26.4" customHeight="1">
      <c r="A5462" s="282">
        <v>59</v>
      </c>
      <c r="B5462" s="535"/>
      <c r="C5462" s="440" t="s">
        <v>7304</v>
      </c>
      <c r="D5462" s="444" t="s">
        <v>7316</v>
      </c>
      <c r="E5462" s="440" t="s">
        <v>13249</v>
      </c>
      <c r="F5462" s="393">
        <v>41520</v>
      </c>
      <c r="G5462" s="311">
        <v>1973</v>
      </c>
      <c r="H5462" s="396" t="s">
        <v>3</v>
      </c>
      <c r="I5462" s="470" t="s">
        <v>6689</v>
      </c>
      <c r="J5462" s="495">
        <v>99.1</v>
      </c>
      <c r="K5462" s="495">
        <v>91.1</v>
      </c>
      <c r="L5462" s="495">
        <f t="shared" si="64"/>
        <v>8</v>
      </c>
      <c r="M5462" s="337"/>
    </row>
    <row r="5463" spans="1:13" s="71" customFormat="1" ht="26.4" customHeight="1">
      <c r="A5463" s="282">
        <v>60</v>
      </c>
      <c r="B5463" s="535"/>
      <c r="C5463" s="440" t="s">
        <v>7304</v>
      </c>
      <c r="D5463" s="444" t="s">
        <v>7316</v>
      </c>
      <c r="E5463" s="440" t="s">
        <v>7322</v>
      </c>
      <c r="F5463" s="393">
        <v>41521</v>
      </c>
      <c r="G5463" s="311">
        <v>1973</v>
      </c>
      <c r="H5463" s="396" t="s">
        <v>3</v>
      </c>
      <c r="I5463" s="470" t="s">
        <v>6689</v>
      </c>
      <c r="J5463" s="495">
        <v>113.3</v>
      </c>
      <c r="K5463" s="495">
        <v>103.3</v>
      </c>
      <c r="L5463" s="495">
        <f t="shared" si="64"/>
        <v>10</v>
      </c>
      <c r="M5463" s="337"/>
    </row>
    <row r="5464" spans="1:13" s="71" customFormat="1" ht="26.4" customHeight="1">
      <c r="A5464" s="282">
        <v>61</v>
      </c>
      <c r="B5464" s="535"/>
      <c r="C5464" s="440" t="s">
        <v>7304</v>
      </c>
      <c r="D5464" s="444" t="s">
        <v>7316</v>
      </c>
      <c r="E5464" s="440" t="s">
        <v>2729</v>
      </c>
      <c r="F5464" s="393">
        <v>10042</v>
      </c>
      <c r="G5464" s="311">
        <v>1972</v>
      </c>
      <c r="H5464" s="396" t="s">
        <v>1149</v>
      </c>
      <c r="I5464" s="470">
        <v>358.6</v>
      </c>
      <c r="J5464" s="495">
        <v>288.89999999999998</v>
      </c>
      <c r="K5464" s="495">
        <v>246.5</v>
      </c>
      <c r="L5464" s="495">
        <f t="shared" si="64"/>
        <v>42.399999999999977</v>
      </c>
      <c r="M5464" s="337"/>
    </row>
    <row r="5465" spans="1:13" s="71" customFormat="1" ht="26.4" customHeight="1">
      <c r="A5465" s="282">
        <v>62</v>
      </c>
      <c r="B5465" s="535"/>
      <c r="C5465" s="440" t="s">
        <v>13331</v>
      </c>
      <c r="D5465" s="440" t="s">
        <v>7323</v>
      </c>
      <c r="E5465" s="440" t="s">
        <v>7324</v>
      </c>
      <c r="F5465" s="393">
        <v>10043</v>
      </c>
      <c r="G5465" s="311">
        <v>1969</v>
      </c>
      <c r="H5465" s="396" t="s">
        <v>1149</v>
      </c>
      <c r="I5465" s="470">
        <v>235.3</v>
      </c>
      <c r="J5465" s="495">
        <v>36.799999999999997</v>
      </c>
      <c r="K5465" s="495">
        <v>32.1</v>
      </c>
      <c r="L5465" s="495">
        <f t="shared" si="64"/>
        <v>4.6999999999999957</v>
      </c>
      <c r="M5465" s="337"/>
    </row>
    <row r="5466" spans="1:13" s="71" customFormat="1" ht="26.4" customHeight="1">
      <c r="A5466" s="282">
        <v>63</v>
      </c>
      <c r="B5466" s="535"/>
      <c r="C5466" s="440" t="s">
        <v>13331</v>
      </c>
      <c r="D5466" s="440" t="s">
        <v>7323</v>
      </c>
      <c r="E5466" s="440" t="s">
        <v>7274</v>
      </c>
      <c r="F5466" s="393">
        <v>10044</v>
      </c>
      <c r="G5466" s="311">
        <v>1958</v>
      </c>
      <c r="H5466" s="396" t="s">
        <v>1149</v>
      </c>
      <c r="I5466" s="470">
        <v>33</v>
      </c>
      <c r="J5466" s="495">
        <v>8.6</v>
      </c>
      <c r="K5466" s="495">
        <v>5.5</v>
      </c>
      <c r="L5466" s="495">
        <f t="shared" si="64"/>
        <v>3.0999999999999996</v>
      </c>
      <c r="M5466" s="337"/>
    </row>
    <row r="5467" spans="1:13" s="71" customFormat="1" ht="26.4" customHeight="1">
      <c r="A5467" s="282">
        <v>64</v>
      </c>
      <c r="B5467" s="535"/>
      <c r="C5467" s="440" t="s">
        <v>13331</v>
      </c>
      <c r="D5467" s="440" t="s">
        <v>7323</v>
      </c>
      <c r="E5467" s="440" t="s">
        <v>7325</v>
      </c>
      <c r="F5467" s="393">
        <v>20042</v>
      </c>
      <c r="G5467" s="311">
        <v>1952</v>
      </c>
      <c r="H5467" s="396" t="s">
        <v>1149</v>
      </c>
      <c r="I5467" s="470">
        <v>2000</v>
      </c>
      <c r="J5467" s="495">
        <v>452.4</v>
      </c>
      <c r="K5467" s="495">
        <v>422.1</v>
      </c>
      <c r="L5467" s="495">
        <f t="shared" si="64"/>
        <v>30.299999999999955</v>
      </c>
      <c r="M5467" s="337"/>
    </row>
    <row r="5468" spans="1:13" s="71" customFormat="1" ht="26.4" customHeight="1">
      <c r="A5468" s="282">
        <v>65</v>
      </c>
      <c r="B5468" s="535"/>
      <c r="C5468" s="440" t="s">
        <v>13331</v>
      </c>
      <c r="D5468" s="440" t="s">
        <v>7323</v>
      </c>
      <c r="E5468" s="440" t="s">
        <v>7326</v>
      </c>
      <c r="F5468" s="393">
        <v>20043</v>
      </c>
      <c r="G5468" s="311">
        <v>1958</v>
      </c>
      <c r="H5468" s="396" t="s">
        <v>1149</v>
      </c>
      <c r="I5468" s="470">
        <v>3</v>
      </c>
      <c r="J5468" s="495">
        <v>2.8</v>
      </c>
      <c r="K5468" s="495">
        <v>1.7</v>
      </c>
      <c r="L5468" s="495">
        <f t="shared" ref="L5468:L5531" si="65">J5468-K5468</f>
        <v>1.0999999999999999</v>
      </c>
      <c r="M5468" s="337"/>
    </row>
    <row r="5469" spans="1:13" s="71" customFormat="1" ht="26.4" customHeight="1">
      <c r="A5469" s="282">
        <v>66</v>
      </c>
      <c r="B5469" s="535"/>
      <c r="C5469" s="440" t="s">
        <v>13331</v>
      </c>
      <c r="D5469" s="440" t="s">
        <v>7323</v>
      </c>
      <c r="E5469" s="440" t="s">
        <v>7294</v>
      </c>
      <c r="F5469" s="393">
        <v>20044</v>
      </c>
      <c r="G5469" s="311">
        <v>1972</v>
      </c>
      <c r="H5469" s="396" t="s">
        <v>631</v>
      </c>
      <c r="I5469" s="470">
        <v>516</v>
      </c>
      <c r="J5469" s="495">
        <v>78.5</v>
      </c>
      <c r="K5469" s="495">
        <v>72.099999999999994</v>
      </c>
      <c r="L5469" s="495">
        <f t="shared" si="65"/>
        <v>6.4000000000000057</v>
      </c>
      <c r="M5469" s="337"/>
    </row>
    <row r="5470" spans="1:13" s="71" customFormat="1" ht="26.4" customHeight="1">
      <c r="A5470" s="282">
        <v>67</v>
      </c>
      <c r="B5470" s="535"/>
      <c r="C5470" s="440" t="s">
        <v>13331</v>
      </c>
      <c r="D5470" s="440" t="s">
        <v>7323</v>
      </c>
      <c r="E5470" s="440" t="s">
        <v>4483</v>
      </c>
      <c r="F5470" s="393">
        <v>20045</v>
      </c>
      <c r="G5470" s="311">
        <v>1972</v>
      </c>
      <c r="H5470" s="396" t="s">
        <v>631</v>
      </c>
      <c r="I5470" s="470">
        <v>740</v>
      </c>
      <c r="J5470" s="495">
        <v>250.2</v>
      </c>
      <c r="K5470" s="495">
        <v>217.3</v>
      </c>
      <c r="L5470" s="495">
        <f t="shared" si="65"/>
        <v>32.899999999999977</v>
      </c>
      <c r="M5470" s="337"/>
    </row>
    <row r="5471" spans="1:13" s="71" customFormat="1" ht="26.4" customHeight="1">
      <c r="A5471" s="282">
        <v>68</v>
      </c>
      <c r="B5471" s="535"/>
      <c r="C5471" s="440" t="s">
        <v>13331</v>
      </c>
      <c r="D5471" s="440" t="s">
        <v>7323</v>
      </c>
      <c r="E5471" s="440" t="s">
        <v>5343</v>
      </c>
      <c r="F5471" s="393">
        <v>20046</v>
      </c>
      <c r="G5471" s="311">
        <v>1958</v>
      </c>
      <c r="H5471" s="507" t="s">
        <v>1149</v>
      </c>
      <c r="I5471" s="456">
        <v>3</v>
      </c>
      <c r="J5471" s="508">
        <v>2.1</v>
      </c>
      <c r="K5471" s="508">
        <v>2.1</v>
      </c>
      <c r="L5471" s="508">
        <f t="shared" si="65"/>
        <v>0</v>
      </c>
      <c r="M5471" s="337"/>
    </row>
    <row r="5472" spans="1:13" s="71" customFormat="1" ht="26.4" customHeight="1">
      <c r="A5472" s="282">
        <v>69</v>
      </c>
      <c r="B5472" s="535"/>
      <c r="C5472" s="440" t="s">
        <v>13331</v>
      </c>
      <c r="D5472" s="440" t="s">
        <v>7323</v>
      </c>
      <c r="E5472" s="440" t="s">
        <v>7327</v>
      </c>
      <c r="F5472" s="393">
        <v>30033</v>
      </c>
      <c r="G5472" s="311">
        <v>1958</v>
      </c>
      <c r="H5472" s="396" t="s">
        <v>3</v>
      </c>
      <c r="I5472" s="470" t="s">
        <v>6689</v>
      </c>
      <c r="J5472" s="495">
        <v>6</v>
      </c>
      <c r="K5472" s="495">
        <v>5.9</v>
      </c>
      <c r="L5472" s="495">
        <f t="shared" si="65"/>
        <v>9.9999999999999645E-2</v>
      </c>
      <c r="M5472" s="337"/>
    </row>
    <row r="5473" spans="1:13" s="71" customFormat="1" ht="26.4" customHeight="1">
      <c r="A5473" s="282">
        <v>70</v>
      </c>
      <c r="B5473" s="535"/>
      <c r="C5473" s="440" t="s">
        <v>13331</v>
      </c>
      <c r="D5473" s="440" t="s">
        <v>7323</v>
      </c>
      <c r="E5473" s="440" t="s">
        <v>7328</v>
      </c>
      <c r="F5473" s="393">
        <v>66523</v>
      </c>
      <c r="G5473" s="311">
        <v>2002</v>
      </c>
      <c r="H5473" s="396" t="s">
        <v>1149</v>
      </c>
      <c r="I5473" s="470">
        <v>250.6</v>
      </c>
      <c r="J5473" s="495">
        <v>331.3</v>
      </c>
      <c r="K5473" s="495">
        <v>236</v>
      </c>
      <c r="L5473" s="495">
        <f t="shared" si="65"/>
        <v>95.300000000000011</v>
      </c>
      <c r="M5473" s="337"/>
    </row>
    <row r="5474" spans="1:13" s="71" customFormat="1" ht="26.4" customHeight="1">
      <c r="A5474" s="282">
        <v>71</v>
      </c>
      <c r="B5474" s="535"/>
      <c r="C5474" s="440" t="s">
        <v>13331</v>
      </c>
      <c r="D5474" s="440" t="s">
        <v>7323</v>
      </c>
      <c r="E5474" s="440" t="s">
        <v>7329</v>
      </c>
      <c r="F5474" s="393">
        <v>30036</v>
      </c>
      <c r="G5474" s="311">
        <v>1958</v>
      </c>
      <c r="H5474" s="396" t="s">
        <v>631</v>
      </c>
      <c r="I5474" s="470">
        <v>17320</v>
      </c>
      <c r="J5474" s="495">
        <v>1360.6</v>
      </c>
      <c r="K5474" s="495">
        <v>1102.7</v>
      </c>
      <c r="L5474" s="495">
        <f t="shared" si="65"/>
        <v>257.89999999999986</v>
      </c>
      <c r="M5474" s="337"/>
    </row>
    <row r="5475" spans="1:13" s="71" customFormat="1" ht="26.4" customHeight="1">
      <c r="A5475" s="282">
        <v>72</v>
      </c>
      <c r="B5475" s="535"/>
      <c r="C5475" s="440" t="s">
        <v>13331</v>
      </c>
      <c r="D5475" s="440" t="s">
        <v>7323</v>
      </c>
      <c r="E5475" s="440" t="s">
        <v>7330</v>
      </c>
      <c r="F5475" s="393">
        <v>507</v>
      </c>
      <c r="G5475" s="311">
        <v>1995</v>
      </c>
      <c r="H5475" s="396" t="s">
        <v>631</v>
      </c>
      <c r="I5475" s="470">
        <v>13300</v>
      </c>
      <c r="J5475" s="495">
        <v>5272.1</v>
      </c>
      <c r="K5475" s="495">
        <v>3339.9</v>
      </c>
      <c r="L5475" s="495">
        <f t="shared" si="65"/>
        <v>1932.2000000000003</v>
      </c>
      <c r="M5475" s="337"/>
    </row>
    <row r="5476" spans="1:13" s="71" customFormat="1" ht="26.4" customHeight="1">
      <c r="A5476" s="282">
        <v>73</v>
      </c>
      <c r="B5476" s="535"/>
      <c r="C5476" s="440" t="s">
        <v>13331</v>
      </c>
      <c r="D5476" s="440" t="s">
        <v>7323</v>
      </c>
      <c r="E5476" s="440" t="s">
        <v>7331</v>
      </c>
      <c r="F5476" s="393">
        <v>593</v>
      </c>
      <c r="G5476" s="311">
        <v>1996</v>
      </c>
      <c r="H5476" s="396" t="s">
        <v>631</v>
      </c>
      <c r="I5476" s="470">
        <v>7200</v>
      </c>
      <c r="J5476" s="495">
        <v>149.80000000000001</v>
      </c>
      <c r="K5476" s="495">
        <v>139.80000000000001</v>
      </c>
      <c r="L5476" s="495">
        <f t="shared" si="65"/>
        <v>10</v>
      </c>
      <c r="M5476" s="337"/>
    </row>
    <row r="5477" spans="1:13" s="71" customFormat="1" ht="26.4" customHeight="1">
      <c r="A5477" s="282">
        <v>74</v>
      </c>
      <c r="B5477" s="535"/>
      <c r="C5477" s="440" t="s">
        <v>13331</v>
      </c>
      <c r="D5477" s="440" t="s">
        <v>7323</v>
      </c>
      <c r="E5477" s="440" t="s">
        <v>7332</v>
      </c>
      <c r="F5477" s="393">
        <v>594</v>
      </c>
      <c r="G5477" s="311">
        <v>1996</v>
      </c>
      <c r="H5477" s="396" t="s">
        <v>631</v>
      </c>
      <c r="I5477" s="470">
        <v>2530</v>
      </c>
      <c r="J5477" s="495">
        <v>142.19999999999999</v>
      </c>
      <c r="K5477" s="495">
        <v>127.6</v>
      </c>
      <c r="L5477" s="495">
        <f t="shared" si="65"/>
        <v>14.599999999999994</v>
      </c>
      <c r="M5477" s="337"/>
    </row>
    <row r="5478" spans="1:13" s="71" customFormat="1" ht="26.4" customHeight="1">
      <c r="A5478" s="282">
        <v>75</v>
      </c>
      <c r="B5478" s="535"/>
      <c r="C5478" s="440" t="s">
        <v>7333</v>
      </c>
      <c r="D5478" s="440" t="s">
        <v>7334</v>
      </c>
      <c r="E5478" s="440" t="s">
        <v>7335</v>
      </c>
      <c r="F5478" s="393">
        <v>10001</v>
      </c>
      <c r="G5478" s="311">
        <v>1962</v>
      </c>
      <c r="H5478" s="396" t="s">
        <v>1149</v>
      </c>
      <c r="I5478" s="470">
        <v>2579.9</v>
      </c>
      <c r="J5478" s="495">
        <v>558</v>
      </c>
      <c r="K5478" s="495">
        <v>548.4</v>
      </c>
      <c r="L5478" s="495">
        <f t="shared" si="65"/>
        <v>9.6000000000000227</v>
      </c>
      <c r="M5478" s="337"/>
    </row>
    <row r="5479" spans="1:13" s="71" customFormat="1" ht="26.4" customHeight="1">
      <c r="A5479" s="282">
        <v>76</v>
      </c>
      <c r="B5479" s="535"/>
      <c r="C5479" s="440" t="s">
        <v>7333</v>
      </c>
      <c r="D5479" s="440" t="s">
        <v>7334</v>
      </c>
      <c r="E5479" s="440" t="s">
        <v>7336</v>
      </c>
      <c r="F5479" s="393">
        <v>10003</v>
      </c>
      <c r="G5479" s="311">
        <v>1962</v>
      </c>
      <c r="H5479" s="396" t="s">
        <v>1149</v>
      </c>
      <c r="I5479" s="470">
        <v>948.6</v>
      </c>
      <c r="J5479" s="495">
        <v>1470.2</v>
      </c>
      <c r="K5479" s="495">
        <v>1346</v>
      </c>
      <c r="L5479" s="495">
        <f t="shared" si="65"/>
        <v>124.20000000000005</v>
      </c>
      <c r="M5479" s="337"/>
    </row>
    <row r="5480" spans="1:13" s="71" customFormat="1" ht="26.4" customHeight="1">
      <c r="A5480" s="282">
        <v>77</v>
      </c>
      <c r="B5480" s="535"/>
      <c r="C5480" s="440" t="s">
        <v>7333</v>
      </c>
      <c r="D5480" s="440" t="s">
        <v>7334</v>
      </c>
      <c r="E5480" s="440" t="s">
        <v>7337</v>
      </c>
      <c r="F5480" s="393">
        <v>10004</v>
      </c>
      <c r="G5480" s="311">
        <v>1972</v>
      </c>
      <c r="H5480" s="396" t="s">
        <v>1149</v>
      </c>
      <c r="I5480" s="470">
        <v>48</v>
      </c>
      <c r="J5480" s="495">
        <v>663.1</v>
      </c>
      <c r="K5480" s="495">
        <v>593</v>
      </c>
      <c r="L5480" s="495">
        <f t="shared" si="65"/>
        <v>70.100000000000023</v>
      </c>
      <c r="M5480" s="337"/>
    </row>
    <row r="5481" spans="1:13" s="71" customFormat="1" ht="26.4" customHeight="1">
      <c r="A5481" s="282">
        <v>78</v>
      </c>
      <c r="B5481" s="535"/>
      <c r="C5481" s="440" t="s">
        <v>7333</v>
      </c>
      <c r="D5481" s="440" t="s">
        <v>7334</v>
      </c>
      <c r="E5481" s="440" t="s">
        <v>7338</v>
      </c>
      <c r="F5481" s="393">
        <v>10005</v>
      </c>
      <c r="G5481" s="311">
        <v>1962</v>
      </c>
      <c r="H5481" s="396" t="s">
        <v>1149</v>
      </c>
      <c r="I5481" s="470">
        <v>899</v>
      </c>
      <c r="J5481" s="495">
        <v>361.8</v>
      </c>
      <c r="K5481" s="495">
        <v>335.6</v>
      </c>
      <c r="L5481" s="495">
        <f t="shared" si="65"/>
        <v>26.199999999999989</v>
      </c>
      <c r="M5481" s="337"/>
    </row>
    <row r="5482" spans="1:13" s="71" customFormat="1" ht="26.4" customHeight="1">
      <c r="A5482" s="282">
        <v>79</v>
      </c>
      <c r="B5482" s="535"/>
      <c r="C5482" s="440" t="s">
        <v>7333</v>
      </c>
      <c r="D5482" s="440" t="s">
        <v>7334</v>
      </c>
      <c r="E5482" s="440" t="s">
        <v>7339</v>
      </c>
      <c r="F5482" s="393">
        <v>10006</v>
      </c>
      <c r="G5482" s="311">
        <v>1962</v>
      </c>
      <c r="H5482" s="396" t="s">
        <v>1149</v>
      </c>
      <c r="I5482" s="470">
        <v>107.9</v>
      </c>
      <c r="J5482" s="495">
        <v>40.5</v>
      </c>
      <c r="K5482" s="495">
        <v>35.299999999999997</v>
      </c>
      <c r="L5482" s="495">
        <f t="shared" si="65"/>
        <v>5.2000000000000028</v>
      </c>
      <c r="M5482" s="337"/>
    </row>
    <row r="5483" spans="1:13" s="71" customFormat="1" ht="26.4" customHeight="1">
      <c r="A5483" s="282">
        <v>80</v>
      </c>
      <c r="B5483" s="535"/>
      <c r="C5483" s="440" t="s">
        <v>7333</v>
      </c>
      <c r="D5483" s="440" t="s">
        <v>7334</v>
      </c>
      <c r="E5483" s="440" t="s">
        <v>2674</v>
      </c>
      <c r="F5483" s="393">
        <v>10007</v>
      </c>
      <c r="G5483" s="311">
        <v>1962</v>
      </c>
      <c r="H5483" s="396" t="s">
        <v>1149</v>
      </c>
      <c r="I5483" s="470">
        <v>203.2</v>
      </c>
      <c r="J5483" s="495">
        <v>133.19999999999999</v>
      </c>
      <c r="K5483" s="495">
        <v>126.5</v>
      </c>
      <c r="L5483" s="495">
        <f t="shared" si="65"/>
        <v>6.6999999999999886</v>
      </c>
      <c r="M5483" s="337"/>
    </row>
    <row r="5484" spans="1:13" s="71" customFormat="1" ht="26.4" customHeight="1">
      <c r="A5484" s="282">
        <v>81</v>
      </c>
      <c r="B5484" s="535"/>
      <c r="C5484" s="440" t="s">
        <v>7333</v>
      </c>
      <c r="D5484" s="440" t="s">
        <v>7334</v>
      </c>
      <c r="E5484" s="440" t="s">
        <v>7340</v>
      </c>
      <c r="F5484" s="393">
        <v>10008</v>
      </c>
      <c r="G5484" s="311">
        <v>1962</v>
      </c>
      <c r="H5484" s="396" t="s">
        <v>1149</v>
      </c>
      <c r="I5484" s="470">
        <v>324.5</v>
      </c>
      <c r="J5484" s="495">
        <v>48</v>
      </c>
      <c r="K5484" s="495">
        <v>42.3</v>
      </c>
      <c r="L5484" s="495">
        <f t="shared" si="65"/>
        <v>5.7000000000000028</v>
      </c>
      <c r="M5484" s="337"/>
    </row>
    <row r="5485" spans="1:13" s="71" customFormat="1" ht="26.4" customHeight="1">
      <c r="A5485" s="282">
        <v>82</v>
      </c>
      <c r="B5485" s="535"/>
      <c r="C5485" s="440" t="s">
        <v>7333</v>
      </c>
      <c r="D5485" s="440" t="s">
        <v>7334</v>
      </c>
      <c r="E5485" s="440" t="s">
        <v>7341</v>
      </c>
      <c r="F5485" s="393">
        <v>10014</v>
      </c>
      <c r="G5485" s="311">
        <v>1962</v>
      </c>
      <c r="H5485" s="396" t="s">
        <v>1149</v>
      </c>
      <c r="I5485" s="470">
        <v>15.1</v>
      </c>
      <c r="J5485" s="495">
        <v>4.9000000000000004</v>
      </c>
      <c r="K5485" s="495">
        <v>4.7</v>
      </c>
      <c r="L5485" s="495">
        <f t="shared" si="65"/>
        <v>0.20000000000000018</v>
      </c>
      <c r="M5485" s="337"/>
    </row>
    <row r="5486" spans="1:13" s="71" customFormat="1" ht="26.4" customHeight="1">
      <c r="A5486" s="282">
        <v>83</v>
      </c>
      <c r="B5486" s="535"/>
      <c r="C5486" s="440" t="s">
        <v>7333</v>
      </c>
      <c r="D5486" s="440" t="s">
        <v>7334</v>
      </c>
      <c r="E5486" s="440" t="s">
        <v>7342</v>
      </c>
      <c r="F5486" s="393">
        <v>20001</v>
      </c>
      <c r="G5486" s="311">
        <v>1962</v>
      </c>
      <c r="H5486" s="396" t="s">
        <v>1149</v>
      </c>
      <c r="I5486" s="470">
        <v>5880</v>
      </c>
      <c r="J5486" s="495">
        <v>6621.7</v>
      </c>
      <c r="K5486" s="495">
        <v>4708.3</v>
      </c>
      <c r="L5486" s="495">
        <f t="shared" si="65"/>
        <v>1913.3999999999996</v>
      </c>
      <c r="M5486" s="337"/>
    </row>
    <row r="5487" spans="1:13" s="71" customFormat="1" ht="26.4" customHeight="1">
      <c r="A5487" s="282">
        <v>84</v>
      </c>
      <c r="B5487" s="535"/>
      <c r="C5487" s="440" t="s">
        <v>7333</v>
      </c>
      <c r="D5487" s="440" t="s">
        <v>7334</v>
      </c>
      <c r="E5487" s="440" t="s">
        <v>7343</v>
      </c>
      <c r="F5487" s="393">
        <v>20004</v>
      </c>
      <c r="G5487" s="311">
        <v>1962</v>
      </c>
      <c r="H5487" s="396" t="s">
        <v>1149</v>
      </c>
      <c r="I5487" s="470">
        <v>1200</v>
      </c>
      <c r="J5487" s="495">
        <v>294.7</v>
      </c>
      <c r="K5487" s="495">
        <v>292.2</v>
      </c>
      <c r="L5487" s="495">
        <f t="shared" si="65"/>
        <v>2.5</v>
      </c>
      <c r="M5487" s="337"/>
    </row>
    <row r="5488" spans="1:13" s="71" customFormat="1" ht="26.4" customHeight="1">
      <c r="A5488" s="282">
        <v>85</v>
      </c>
      <c r="B5488" s="535"/>
      <c r="C5488" s="440" t="s">
        <v>7333</v>
      </c>
      <c r="D5488" s="440" t="s">
        <v>7334</v>
      </c>
      <c r="E5488" s="440" t="s">
        <v>7344</v>
      </c>
      <c r="F5488" s="393">
        <v>20005</v>
      </c>
      <c r="G5488" s="311">
        <v>1962</v>
      </c>
      <c r="H5488" s="396" t="s">
        <v>1149</v>
      </c>
      <c r="I5488" s="470">
        <v>1200</v>
      </c>
      <c r="J5488" s="495">
        <v>294.7</v>
      </c>
      <c r="K5488" s="495">
        <v>292.2</v>
      </c>
      <c r="L5488" s="495">
        <f t="shared" si="65"/>
        <v>2.5</v>
      </c>
      <c r="M5488" s="337"/>
    </row>
    <row r="5489" spans="1:13" s="71" customFormat="1" ht="26.4" customHeight="1">
      <c r="A5489" s="282">
        <v>86</v>
      </c>
      <c r="B5489" s="535"/>
      <c r="C5489" s="440" t="s">
        <v>7333</v>
      </c>
      <c r="D5489" s="440" t="s">
        <v>7334</v>
      </c>
      <c r="E5489" s="440" t="s">
        <v>7345</v>
      </c>
      <c r="F5489" s="393">
        <v>20011</v>
      </c>
      <c r="G5489" s="311">
        <v>1962</v>
      </c>
      <c r="H5489" s="396" t="s">
        <v>631</v>
      </c>
      <c r="I5489" s="470">
        <v>890</v>
      </c>
      <c r="J5489" s="495">
        <v>83.4</v>
      </c>
      <c r="K5489" s="495">
        <v>80.8</v>
      </c>
      <c r="L5489" s="495">
        <f t="shared" si="65"/>
        <v>2.6000000000000085</v>
      </c>
      <c r="M5489" s="337"/>
    </row>
    <row r="5490" spans="1:13" s="71" customFormat="1" ht="26.4" customHeight="1">
      <c r="A5490" s="282">
        <v>87</v>
      </c>
      <c r="B5490" s="535"/>
      <c r="C5490" s="440" t="s">
        <v>7333</v>
      </c>
      <c r="D5490" s="440" t="s">
        <v>7334</v>
      </c>
      <c r="E5490" s="440" t="s">
        <v>7346</v>
      </c>
      <c r="F5490" s="393">
        <v>20012</v>
      </c>
      <c r="G5490" s="311">
        <v>1962</v>
      </c>
      <c r="H5490" s="396" t="s">
        <v>631</v>
      </c>
      <c r="I5490" s="470">
        <v>1400</v>
      </c>
      <c r="J5490" s="495">
        <v>218.6</v>
      </c>
      <c r="K5490" s="495">
        <v>218.4</v>
      </c>
      <c r="L5490" s="495">
        <f t="shared" si="65"/>
        <v>0.19999999999998863</v>
      </c>
      <c r="M5490" s="337"/>
    </row>
    <row r="5491" spans="1:13" s="71" customFormat="1" ht="26.4" customHeight="1">
      <c r="A5491" s="282">
        <v>88</v>
      </c>
      <c r="B5491" s="535"/>
      <c r="C5491" s="440" t="s">
        <v>7333</v>
      </c>
      <c r="D5491" s="440" t="s">
        <v>7334</v>
      </c>
      <c r="E5491" s="440" t="s">
        <v>7347</v>
      </c>
      <c r="F5491" s="393">
        <v>20018</v>
      </c>
      <c r="G5491" s="311">
        <v>1975</v>
      </c>
      <c r="H5491" s="396" t="s">
        <v>1149</v>
      </c>
      <c r="I5491" s="470">
        <v>4686</v>
      </c>
      <c r="J5491" s="495">
        <v>892.6</v>
      </c>
      <c r="K5491" s="495">
        <v>741.5</v>
      </c>
      <c r="L5491" s="495">
        <f t="shared" si="65"/>
        <v>151.10000000000002</v>
      </c>
      <c r="M5491" s="337"/>
    </row>
    <row r="5492" spans="1:13" s="71" customFormat="1" ht="26.4" customHeight="1">
      <c r="A5492" s="282">
        <v>89</v>
      </c>
      <c r="B5492" s="535"/>
      <c r="C5492" s="440" t="s">
        <v>7333</v>
      </c>
      <c r="D5492" s="440" t="s">
        <v>7334</v>
      </c>
      <c r="E5492" s="440" t="s">
        <v>7348</v>
      </c>
      <c r="F5492" s="393">
        <v>20022</v>
      </c>
      <c r="G5492" s="311">
        <v>1982</v>
      </c>
      <c r="H5492" s="396" t="s">
        <v>1149</v>
      </c>
      <c r="I5492" s="470">
        <v>400</v>
      </c>
      <c r="J5492" s="495">
        <v>120.6</v>
      </c>
      <c r="K5492" s="495">
        <v>99.6</v>
      </c>
      <c r="L5492" s="495">
        <f t="shared" si="65"/>
        <v>21</v>
      </c>
      <c r="M5492" s="337"/>
    </row>
    <row r="5493" spans="1:13" s="71" customFormat="1" ht="26.4" customHeight="1">
      <c r="A5493" s="282">
        <v>90</v>
      </c>
      <c r="B5493" s="535"/>
      <c r="C5493" s="440" t="s">
        <v>7333</v>
      </c>
      <c r="D5493" s="440" t="s">
        <v>7334</v>
      </c>
      <c r="E5493" s="440" t="s">
        <v>7349</v>
      </c>
      <c r="F5493" s="393">
        <v>66563</v>
      </c>
      <c r="G5493" s="311">
        <v>2003</v>
      </c>
      <c r="H5493" s="396" t="s">
        <v>1149</v>
      </c>
      <c r="I5493" s="470">
        <v>131.69999999999999</v>
      </c>
      <c r="J5493" s="495">
        <v>1.6</v>
      </c>
      <c r="K5493" s="495">
        <v>1.6</v>
      </c>
      <c r="L5493" s="495">
        <f t="shared" si="65"/>
        <v>0</v>
      </c>
      <c r="M5493" s="337"/>
    </row>
    <row r="5494" spans="1:13" s="71" customFormat="1" ht="26.4" customHeight="1">
      <c r="A5494" s="282">
        <v>91</v>
      </c>
      <c r="B5494" s="535"/>
      <c r="C5494" s="440" t="s">
        <v>7333</v>
      </c>
      <c r="D5494" s="440" t="s">
        <v>7334</v>
      </c>
      <c r="E5494" s="440" t="s">
        <v>7350</v>
      </c>
      <c r="F5494" s="393">
        <v>30001</v>
      </c>
      <c r="G5494" s="311">
        <v>1962</v>
      </c>
      <c r="H5494" s="396" t="s">
        <v>631</v>
      </c>
      <c r="I5494" s="470">
        <v>848</v>
      </c>
      <c r="J5494" s="495">
        <v>1505.7</v>
      </c>
      <c r="K5494" s="495">
        <v>1133.0999999999999</v>
      </c>
      <c r="L5494" s="495">
        <f t="shared" si="65"/>
        <v>372.60000000000014</v>
      </c>
      <c r="M5494" s="337"/>
    </row>
    <row r="5495" spans="1:13" s="71" customFormat="1" ht="26.4" customHeight="1">
      <c r="A5495" s="282">
        <v>92</v>
      </c>
      <c r="B5495" s="535"/>
      <c r="C5495" s="440" t="s">
        <v>7333</v>
      </c>
      <c r="D5495" s="440" t="s">
        <v>7334</v>
      </c>
      <c r="E5495" s="440" t="s">
        <v>7351</v>
      </c>
      <c r="F5495" s="393">
        <v>41504</v>
      </c>
      <c r="G5495" s="311">
        <v>1971</v>
      </c>
      <c r="H5495" s="396" t="s">
        <v>3</v>
      </c>
      <c r="I5495" s="470" t="s">
        <v>6689</v>
      </c>
      <c r="J5495" s="495">
        <v>24.8</v>
      </c>
      <c r="K5495" s="495">
        <v>24.7</v>
      </c>
      <c r="L5495" s="495">
        <f t="shared" si="65"/>
        <v>0.10000000000000142</v>
      </c>
      <c r="M5495" s="337"/>
    </row>
    <row r="5496" spans="1:13" s="71" customFormat="1" ht="26.4" customHeight="1">
      <c r="A5496" s="282">
        <v>93</v>
      </c>
      <c r="B5496" s="535"/>
      <c r="C5496" s="440" t="s">
        <v>7333</v>
      </c>
      <c r="D5496" s="440" t="s">
        <v>7334</v>
      </c>
      <c r="E5496" s="440" t="s">
        <v>7352</v>
      </c>
      <c r="F5496" s="393">
        <v>30011</v>
      </c>
      <c r="G5496" s="311">
        <v>1962</v>
      </c>
      <c r="H5496" s="396" t="s">
        <v>631</v>
      </c>
      <c r="I5496" s="470">
        <v>2585</v>
      </c>
      <c r="J5496" s="495">
        <v>85.5</v>
      </c>
      <c r="K5496" s="495">
        <v>82.7</v>
      </c>
      <c r="L5496" s="495">
        <f t="shared" si="65"/>
        <v>2.7999999999999972</v>
      </c>
      <c r="M5496" s="337"/>
    </row>
    <row r="5497" spans="1:13" s="71" customFormat="1" ht="26.4" customHeight="1">
      <c r="A5497" s="282">
        <v>94</v>
      </c>
      <c r="B5497" s="535"/>
      <c r="C5497" s="440" t="s">
        <v>7333</v>
      </c>
      <c r="D5497" s="440" t="s">
        <v>7334</v>
      </c>
      <c r="E5497" s="440" t="s">
        <v>7353</v>
      </c>
      <c r="F5497" s="393">
        <v>30012</v>
      </c>
      <c r="G5497" s="311">
        <v>1962</v>
      </c>
      <c r="H5497" s="396" t="s">
        <v>631</v>
      </c>
      <c r="I5497" s="470">
        <v>1000</v>
      </c>
      <c r="J5497" s="495">
        <v>122.6</v>
      </c>
      <c r="K5497" s="495">
        <v>121.6</v>
      </c>
      <c r="L5497" s="495">
        <f t="shared" si="65"/>
        <v>1</v>
      </c>
      <c r="M5497" s="337"/>
    </row>
    <row r="5498" spans="1:13" s="71" customFormat="1" ht="26.4" customHeight="1">
      <c r="A5498" s="282">
        <v>95</v>
      </c>
      <c r="B5498" s="535"/>
      <c r="C5498" s="440" t="s">
        <v>7333</v>
      </c>
      <c r="D5498" s="440" t="s">
        <v>7334</v>
      </c>
      <c r="E5498" s="440" t="s">
        <v>7354</v>
      </c>
      <c r="F5498" s="393">
        <v>30013</v>
      </c>
      <c r="G5498" s="311">
        <v>1962</v>
      </c>
      <c r="H5498" s="396" t="s">
        <v>631</v>
      </c>
      <c r="I5498" s="470">
        <v>1774</v>
      </c>
      <c r="J5498" s="495">
        <v>302.89999999999998</v>
      </c>
      <c r="K5498" s="495">
        <v>300.60000000000002</v>
      </c>
      <c r="L5498" s="495">
        <f t="shared" si="65"/>
        <v>2.2999999999999545</v>
      </c>
      <c r="M5498" s="337"/>
    </row>
    <row r="5499" spans="1:13" s="71" customFormat="1" ht="26.4" customHeight="1">
      <c r="A5499" s="282">
        <v>96</v>
      </c>
      <c r="B5499" s="535"/>
      <c r="C5499" s="440" t="s">
        <v>7333</v>
      </c>
      <c r="D5499" s="440" t="s">
        <v>7334</v>
      </c>
      <c r="E5499" s="440" t="s">
        <v>7355</v>
      </c>
      <c r="F5499" s="393">
        <v>30014</v>
      </c>
      <c r="G5499" s="311">
        <v>1962</v>
      </c>
      <c r="H5499" s="396" t="s">
        <v>631</v>
      </c>
      <c r="I5499" s="470">
        <v>900</v>
      </c>
      <c r="J5499" s="495">
        <v>223.7</v>
      </c>
      <c r="K5499" s="495">
        <v>212.8</v>
      </c>
      <c r="L5499" s="495">
        <f t="shared" si="65"/>
        <v>10.899999999999977</v>
      </c>
      <c r="M5499" s="337"/>
    </row>
    <row r="5500" spans="1:13" s="71" customFormat="1" ht="26.4" customHeight="1">
      <c r="A5500" s="282">
        <v>97</v>
      </c>
      <c r="B5500" s="535"/>
      <c r="C5500" s="440" t="s">
        <v>7333</v>
      </c>
      <c r="D5500" s="440" t="s">
        <v>7334</v>
      </c>
      <c r="E5500" s="440" t="s">
        <v>7356</v>
      </c>
      <c r="F5500" s="393">
        <v>66587</v>
      </c>
      <c r="G5500" s="311">
        <v>2003</v>
      </c>
      <c r="H5500" s="396" t="s">
        <v>1149</v>
      </c>
      <c r="I5500" s="470">
        <v>375</v>
      </c>
      <c r="J5500" s="495">
        <v>57.3</v>
      </c>
      <c r="K5500" s="495">
        <v>32.6</v>
      </c>
      <c r="L5500" s="495">
        <f t="shared" si="65"/>
        <v>24.699999999999996</v>
      </c>
      <c r="M5500" s="337"/>
    </row>
    <row r="5501" spans="1:13" s="71" customFormat="1" ht="26.4" customHeight="1">
      <c r="A5501" s="282">
        <v>98</v>
      </c>
      <c r="B5501" s="535"/>
      <c r="C5501" s="440" t="s">
        <v>7333</v>
      </c>
      <c r="D5501" s="440" t="s">
        <v>7334</v>
      </c>
      <c r="E5501" s="440" t="s">
        <v>5343</v>
      </c>
      <c r="F5501" s="393">
        <v>67439</v>
      </c>
      <c r="G5501" s="311">
        <v>2007</v>
      </c>
      <c r="H5501" s="396" t="s">
        <v>1149</v>
      </c>
      <c r="I5501" s="470">
        <v>1.2</v>
      </c>
      <c r="J5501" s="495">
        <v>1.5</v>
      </c>
      <c r="K5501" s="495">
        <v>1</v>
      </c>
      <c r="L5501" s="495">
        <f t="shared" si="65"/>
        <v>0.5</v>
      </c>
      <c r="M5501" s="337"/>
    </row>
    <row r="5502" spans="1:13" s="71" customFormat="1" ht="26.4" customHeight="1">
      <c r="A5502" s="282">
        <v>99</v>
      </c>
      <c r="B5502" s="535"/>
      <c r="C5502" s="440" t="s">
        <v>7333</v>
      </c>
      <c r="D5502" s="440" t="s">
        <v>7334</v>
      </c>
      <c r="E5502" s="440" t="s">
        <v>7357</v>
      </c>
      <c r="F5502" s="393">
        <v>333865</v>
      </c>
      <c r="G5502" s="311">
        <v>2012</v>
      </c>
      <c r="H5502" s="396" t="s">
        <v>631</v>
      </c>
      <c r="I5502" s="470">
        <v>1400</v>
      </c>
      <c r="J5502" s="495">
        <v>13</v>
      </c>
      <c r="K5502" s="495">
        <v>6.5</v>
      </c>
      <c r="L5502" s="495">
        <f t="shared" si="65"/>
        <v>6.5</v>
      </c>
      <c r="M5502" s="337"/>
    </row>
    <row r="5503" spans="1:13" s="71" customFormat="1" ht="26.4" customHeight="1">
      <c r="A5503" s="282">
        <v>100</v>
      </c>
      <c r="B5503" s="535"/>
      <c r="C5503" s="450" t="s">
        <v>7358</v>
      </c>
      <c r="D5503" s="444" t="s">
        <v>3</v>
      </c>
      <c r="E5503" s="440" t="s">
        <v>7359</v>
      </c>
      <c r="F5503" s="393">
        <v>30003</v>
      </c>
      <c r="G5503" s="311">
        <v>1962</v>
      </c>
      <c r="H5503" s="396" t="s">
        <v>631</v>
      </c>
      <c r="I5503" s="470">
        <v>6560</v>
      </c>
      <c r="J5503" s="495">
        <v>619</v>
      </c>
      <c r="K5503" s="495">
        <v>613.79999999999995</v>
      </c>
      <c r="L5503" s="495">
        <f t="shared" si="65"/>
        <v>5.2000000000000455</v>
      </c>
      <c r="M5503" s="337"/>
    </row>
    <row r="5504" spans="1:13" s="71" customFormat="1" ht="26.4" customHeight="1">
      <c r="A5504" s="282">
        <v>101</v>
      </c>
      <c r="B5504" s="535"/>
      <c r="C5504" s="440" t="s">
        <v>7333</v>
      </c>
      <c r="D5504" s="440" t="s">
        <v>7334</v>
      </c>
      <c r="E5504" s="440" t="s">
        <v>7360</v>
      </c>
      <c r="F5504" s="393">
        <v>30004</v>
      </c>
      <c r="G5504" s="311">
        <v>1965</v>
      </c>
      <c r="H5504" s="396" t="s">
        <v>631</v>
      </c>
      <c r="I5504" s="470">
        <v>16760</v>
      </c>
      <c r="J5504" s="495">
        <v>3277.2</v>
      </c>
      <c r="K5504" s="495">
        <v>3239.6</v>
      </c>
      <c r="L5504" s="495">
        <f t="shared" si="65"/>
        <v>37.599999999999909</v>
      </c>
      <c r="M5504" s="337"/>
    </row>
    <row r="5505" spans="1:13" s="71" customFormat="1" ht="26.4" customHeight="1">
      <c r="A5505" s="282">
        <v>102</v>
      </c>
      <c r="B5505" s="535"/>
      <c r="C5505" s="440" t="s">
        <v>7333</v>
      </c>
      <c r="D5505" s="440" t="s">
        <v>7334</v>
      </c>
      <c r="E5505" s="440" t="s">
        <v>7361</v>
      </c>
      <c r="F5505" s="393">
        <v>30006</v>
      </c>
      <c r="G5505" s="311">
        <v>1967</v>
      </c>
      <c r="H5505" s="396" t="s">
        <v>631</v>
      </c>
      <c r="I5505" s="470">
        <v>14700</v>
      </c>
      <c r="J5505" s="495">
        <v>4074.2</v>
      </c>
      <c r="K5505" s="495">
        <v>4027.3</v>
      </c>
      <c r="L5505" s="495">
        <f t="shared" si="65"/>
        <v>46.899999999999636</v>
      </c>
      <c r="M5505" s="337"/>
    </row>
    <row r="5506" spans="1:13" s="71" customFormat="1" ht="26.4" customHeight="1">
      <c r="A5506" s="282">
        <v>103</v>
      </c>
      <c r="B5506" s="535"/>
      <c r="C5506" s="440" t="s">
        <v>7333</v>
      </c>
      <c r="D5506" s="440" t="s">
        <v>7334</v>
      </c>
      <c r="E5506" s="440" t="s">
        <v>7362</v>
      </c>
      <c r="F5506" s="393">
        <v>30009</v>
      </c>
      <c r="G5506" s="311">
        <v>1962</v>
      </c>
      <c r="H5506" s="396" t="s">
        <v>631</v>
      </c>
      <c r="I5506" s="470">
        <v>4000</v>
      </c>
      <c r="J5506" s="495">
        <v>563</v>
      </c>
      <c r="K5506" s="495">
        <v>479.5</v>
      </c>
      <c r="L5506" s="495">
        <f t="shared" si="65"/>
        <v>83.5</v>
      </c>
      <c r="M5506" s="337"/>
    </row>
    <row r="5507" spans="1:13" s="71" customFormat="1" ht="26.4" customHeight="1">
      <c r="A5507" s="282">
        <v>104</v>
      </c>
      <c r="B5507" s="535"/>
      <c r="C5507" s="440" t="s">
        <v>7333</v>
      </c>
      <c r="D5507" s="440" t="s">
        <v>7334</v>
      </c>
      <c r="E5507" s="440" t="s">
        <v>7363</v>
      </c>
      <c r="F5507" s="393">
        <v>30018</v>
      </c>
      <c r="G5507" s="311">
        <v>1983</v>
      </c>
      <c r="H5507" s="396" t="s">
        <v>631</v>
      </c>
      <c r="I5507" s="470">
        <v>8905</v>
      </c>
      <c r="J5507" s="495">
        <v>3621.1</v>
      </c>
      <c r="K5507" s="495">
        <v>3461.8</v>
      </c>
      <c r="L5507" s="495">
        <f t="shared" si="65"/>
        <v>159.29999999999973</v>
      </c>
      <c r="M5507" s="337"/>
    </row>
    <row r="5508" spans="1:13" s="71" customFormat="1" ht="26.4" customHeight="1">
      <c r="A5508" s="282">
        <v>105</v>
      </c>
      <c r="B5508" s="535"/>
      <c r="C5508" s="440" t="s">
        <v>7333</v>
      </c>
      <c r="D5508" s="440" t="s">
        <v>7334</v>
      </c>
      <c r="E5508" s="440" t="s">
        <v>7364</v>
      </c>
      <c r="F5508" s="393">
        <v>30019</v>
      </c>
      <c r="G5508" s="311">
        <v>1990</v>
      </c>
      <c r="H5508" s="396" t="s">
        <v>631</v>
      </c>
      <c r="I5508" s="470">
        <v>7400</v>
      </c>
      <c r="J5508" s="495">
        <v>2353.1</v>
      </c>
      <c r="K5508" s="495">
        <v>2110.6</v>
      </c>
      <c r="L5508" s="495">
        <f t="shared" si="65"/>
        <v>242.5</v>
      </c>
      <c r="M5508" s="337"/>
    </row>
    <row r="5509" spans="1:13" s="71" customFormat="1" ht="26.4" customHeight="1">
      <c r="A5509" s="282">
        <v>106</v>
      </c>
      <c r="B5509" s="535"/>
      <c r="C5509" s="440" t="s">
        <v>7333</v>
      </c>
      <c r="D5509" s="440" t="s">
        <v>7334</v>
      </c>
      <c r="E5509" s="440" t="s">
        <v>7365</v>
      </c>
      <c r="F5509" s="393">
        <v>30020</v>
      </c>
      <c r="G5509" s="311">
        <v>1990</v>
      </c>
      <c r="H5509" s="396" t="s">
        <v>631</v>
      </c>
      <c r="I5509" s="470">
        <v>7982</v>
      </c>
      <c r="J5509" s="495">
        <v>2044.1</v>
      </c>
      <c r="K5509" s="495">
        <v>1844.3</v>
      </c>
      <c r="L5509" s="495">
        <f t="shared" si="65"/>
        <v>199.79999999999995</v>
      </c>
      <c r="M5509" s="337"/>
    </row>
    <row r="5510" spans="1:13" s="71" customFormat="1" ht="26.4" customHeight="1">
      <c r="A5510" s="282">
        <v>107</v>
      </c>
      <c r="B5510" s="535"/>
      <c r="C5510" s="440" t="s">
        <v>7333</v>
      </c>
      <c r="D5510" s="440" t="s">
        <v>7334</v>
      </c>
      <c r="E5510" s="440" t="s">
        <v>7366</v>
      </c>
      <c r="F5510" s="393">
        <v>30023</v>
      </c>
      <c r="G5510" s="311">
        <v>1970</v>
      </c>
      <c r="H5510" s="396" t="s">
        <v>631</v>
      </c>
      <c r="I5510" s="470">
        <v>14900</v>
      </c>
      <c r="J5510" s="495">
        <v>525.20000000000005</v>
      </c>
      <c r="K5510" s="495">
        <v>505.2</v>
      </c>
      <c r="L5510" s="495">
        <f t="shared" si="65"/>
        <v>20.000000000000057</v>
      </c>
      <c r="M5510" s="337"/>
    </row>
    <row r="5511" spans="1:13" s="71" customFormat="1" ht="26.4" customHeight="1">
      <c r="A5511" s="282">
        <v>108</v>
      </c>
      <c r="B5511" s="535"/>
      <c r="C5511" s="440" t="s">
        <v>7333</v>
      </c>
      <c r="D5511" s="440" t="s">
        <v>7334</v>
      </c>
      <c r="E5511" s="440" t="s">
        <v>7367</v>
      </c>
      <c r="F5511" s="393">
        <v>66348</v>
      </c>
      <c r="G5511" s="311">
        <v>1971</v>
      </c>
      <c r="H5511" s="396" t="s">
        <v>631</v>
      </c>
      <c r="I5511" s="470">
        <v>14394</v>
      </c>
      <c r="J5511" s="495">
        <v>3483.5</v>
      </c>
      <c r="K5511" s="495">
        <v>3480.9</v>
      </c>
      <c r="L5511" s="495">
        <f t="shared" si="65"/>
        <v>2.5999999999999091</v>
      </c>
      <c r="M5511" s="337"/>
    </row>
    <row r="5512" spans="1:13" s="71" customFormat="1" ht="26.4" customHeight="1">
      <c r="A5512" s="282">
        <v>109</v>
      </c>
      <c r="B5512" s="535"/>
      <c r="C5512" s="440" t="s">
        <v>7333</v>
      </c>
      <c r="D5512" s="440" t="s">
        <v>7334</v>
      </c>
      <c r="E5512" s="440" t="s">
        <v>7368</v>
      </c>
      <c r="F5512" s="393">
        <v>66349</v>
      </c>
      <c r="G5512" s="311">
        <v>1975</v>
      </c>
      <c r="H5512" s="396" t="s">
        <v>631</v>
      </c>
      <c r="I5512" s="470">
        <v>15012</v>
      </c>
      <c r="J5512" s="495">
        <v>4359.5</v>
      </c>
      <c r="K5512" s="495">
        <v>4358</v>
      </c>
      <c r="L5512" s="495">
        <f t="shared" si="65"/>
        <v>1.5</v>
      </c>
      <c r="M5512" s="337"/>
    </row>
    <row r="5513" spans="1:13" s="71" customFormat="1" ht="26.4" customHeight="1">
      <c r="A5513" s="282">
        <v>110</v>
      </c>
      <c r="B5513" s="535"/>
      <c r="C5513" s="440" t="s">
        <v>7333</v>
      </c>
      <c r="D5513" s="440" t="s">
        <v>7334</v>
      </c>
      <c r="E5513" s="440" t="s">
        <v>7369</v>
      </c>
      <c r="F5513" s="393">
        <v>66350</v>
      </c>
      <c r="G5513" s="311">
        <v>1991</v>
      </c>
      <c r="H5513" s="396" t="s">
        <v>631</v>
      </c>
      <c r="I5513" s="470">
        <v>13330</v>
      </c>
      <c r="J5513" s="495">
        <v>6894.3</v>
      </c>
      <c r="K5513" s="495">
        <v>4941.5</v>
      </c>
      <c r="L5513" s="495">
        <f t="shared" si="65"/>
        <v>1952.8000000000002</v>
      </c>
      <c r="M5513" s="337"/>
    </row>
    <row r="5514" spans="1:13" s="71" customFormat="1" ht="26.4" customHeight="1">
      <c r="A5514" s="282">
        <v>111</v>
      </c>
      <c r="B5514" s="535"/>
      <c r="C5514" s="440" t="s">
        <v>7333</v>
      </c>
      <c r="D5514" s="440" t="s">
        <v>7370</v>
      </c>
      <c r="E5514" s="440" t="s">
        <v>7371</v>
      </c>
      <c r="F5514" s="393">
        <v>66353</v>
      </c>
      <c r="G5514" s="311">
        <v>2001</v>
      </c>
      <c r="H5514" s="396" t="s">
        <v>1149</v>
      </c>
      <c r="I5514" s="470">
        <v>78.099999999999994</v>
      </c>
      <c r="J5514" s="495">
        <v>2373.1999999999998</v>
      </c>
      <c r="K5514" s="495">
        <v>182.5</v>
      </c>
      <c r="L5514" s="495">
        <f t="shared" si="65"/>
        <v>2190.6999999999998</v>
      </c>
      <c r="M5514" s="337"/>
    </row>
    <row r="5515" spans="1:13" s="71" customFormat="1" ht="26.4" customHeight="1">
      <c r="A5515" s="282">
        <v>112</v>
      </c>
      <c r="B5515" s="535"/>
      <c r="C5515" s="440" t="s">
        <v>7333</v>
      </c>
      <c r="D5515" s="440" t="s">
        <v>7370</v>
      </c>
      <c r="E5515" s="440" t="s">
        <v>7372</v>
      </c>
      <c r="F5515" s="393">
        <v>67319</v>
      </c>
      <c r="G5515" s="311">
        <v>2005</v>
      </c>
      <c r="H5515" s="396" t="s">
        <v>1149</v>
      </c>
      <c r="I5515" s="470">
        <v>9</v>
      </c>
      <c r="J5515" s="495">
        <v>218.8</v>
      </c>
      <c r="K5515" s="495">
        <v>8.6999999999999993</v>
      </c>
      <c r="L5515" s="495">
        <f t="shared" si="65"/>
        <v>210.10000000000002</v>
      </c>
      <c r="M5515" s="337"/>
    </row>
    <row r="5516" spans="1:13" s="71" customFormat="1" ht="26.4" customHeight="1">
      <c r="A5516" s="282">
        <v>113</v>
      </c>
      <c r="B5516" s="535"/>
      <c r="C5516" s="440" t="s">
        <v>7333</v>
      </c>
      <c r="D5516" s="440" t="s">
        <v>7370</v>
      </c>
      <c r="E5516" s="440" t="s">
        <v>7278</v>
      </c>
      <c r="F5516" s="393">
        <v>333866</v>
      </c>
      <c r="G5516" s="311">
        <v>2012</v>
      </c>
      <c r="H5516" s="396" t="s">
        <v>1149</v>
      </c>
      <c r="I5516" s="470">
        <v>3.6</v>
      </c>
      <c r="J5516" s="495">
        <v>1.2</v>
      </c>
      <c r="K5516" s="495">
        <v>0.3</v>
      </c>
      <c r="L5516" s="495">
        <f t="shared" si="65"/>
        <v>0.89999999999999991</v>
      </c>
      <c r="M5516" s="337"/>
    </row>
    <row r="5517" spans="1:13" s="71" customFormat="1" ht="26.4" customHeight="1">
      <c r="A5517" s="282">
        <v>114</v>
      </c>
      <c r="B5517" s="535"/>
      <c r="C5517" s="440" t="s">
        <v>7333</v>
      </c>
      <c r="D5517" s="440" t="s">
        <v>7370</v>
      </c>
      <c r="E5517" s="440" t="s">
        <v>7373</v>
      </c>
      <c r="F5517" s="393">
        <v>333869</v>
      </c>
      <c r="G5517" s="311">
        <v>2013</v>
      </c>
      <c r="H5517" s="396" t="s">
        <v>1149</v>
      </c>
      <c r="I5517" s="470">
        <v>15</v>
      </c>
      <c r="J5517" s="495">
        <v>148.19999999999999</v>
      </c>
      <c r="K5517" s="495">
        <v>14.2</v>
      </c>
      <c r="L5517" s="495">
        <f t="shared" si="65"/>
        <v>134</v>
      </c>
      <c r="M5517" s="337"/>
    </row>
    <row r="5518" spans="1:13" s="71" customFormat="1" ht="26.4" customHeight="1">
      <c r="A5518" s="282">
        <v>115</v>
      </c>
      <c r="B5518" s="535"/>
      <c r="C5518" s="440" t="s">
        <v>7333</v>
      </c>
      <c r="D5518" s="444" t="s">
        <v>7374</v>
      </c>
      <c r="E5518" s="440" t="s">
        <v>7375</v>
      </c>
      <c r="F5518" s="393">
        <v>10002</v>
      </c>
      <c r="G5518" s="311">
        <v>1931</v>
      </c>
      <c r="H5518" s="396" t="s">
        <v>1149</v>
      </c>
      <c r="I5518" s="473">
        <v>366</v>
      </c>
      <c r="J5518" s="495">
        <v>590.1</v>
      </c>
      <c r="K5518" s="495">
        <v>590.1</v>
      </c>
      <c r="L5518" s="495">
        <f t="shared" si="65"/>
        <v>0</v>
      </c>
      <c r="M5518" s="337"/>
    </row>
    <row r="5519" spans="1:13" s="71" customFormat="1" ht="26.4" customHeight="1">
      <c r="A5519" s="282">
        <v>116</v>
      </c>
      <c r="B5519" s="535"/>
      <c r="C5519" s="440" t="s">
        <v>7333</v>
      </c>
      <c r="D5519" s="444" t="s">
        <v>7374</v>
      </c>
      <c r="E5519" s="440" t="s">
        <v>7376</v>
      </c>
      <c r="F5519" s="393">
        <v>612</v>
      </c>
      <c r="G5519" s="311">
        <v>1996</v>
      </c>
      <c r="H5519" s="396" t="s">
        <v>1149</v>
      </c>
      <c r="I5519" s="470">
        <v>200</v>
      </c>
      <c r="J5519" s="495">
        <v>113.8</v>
      </c>
      <c r="K5519" s="495">
        <v>109.3</v>
      </c>
      <c r="L5519" s="495">
        <f t="shared" si="65"/>
        <v>4.5</v>
      </c>
      <c r="M5519" s="337"/>
    </row>
    <row r="5520" spans="1:13" s="71" customFormat="1" ht="26.4" customHeight="1">
      <c r="A5520" s="282">
        <v>117</v>
      </c>
      <c r="B5520" s="535"/>
      <c r="C5520" s="440" t="s">
        <v>7333</v>
      </c>
      <c r="D5520" s="444" t="s">
        <v>7374</v>
      </c>
      <c r="E5520" s="440" t="s">
        <v>7377</v>
      </c>
      <c r="F5520" s="393">
        <v>20002</v>
      </c>
      <c r="G5520" s="311">
        <v>1932</v>
      </c>
      <c r="H5520" s="396" t="s">
        <v>1136</v>
      </c>
      <c r="I5520" s="470">
        <v>127000</v>
      </c>
      <c r="J5520" s="495">
        <v>1542.6</v>
      </c>
      <c r="K5520" s="495">
        <v>1534</v>
      </c>
      <c r="L5520" s="495">
        <f t="shared" si="65"/>
        <v>8.5999999999999091</v>
      </c>
      <c r="M5520" s="337"/>
    </row>
    <row r="5521" spans="1:13" s="71" customFormat="1" ht="26.4" customHeight="1">
      <c r="A5521" s="282">
        <v>118</v>
      </c>
      <c r="B5521" s="535"/>
      <c r="C5521" s="440" t="s">
        <v>7333</v>
      </c>
      <c r="D5521" s="444" t="s">
        <v>7374</v>
      </c>
      <c r="E5521" s="440" t="s">
        <v>7378</v>
      </c>
      <c r="F5521" s="393">
        <v>20015</v>
      </c>
      <c r="G5521" s="311">
        <v>1962</v>
      </c>
      <c r="H5521" s="396" t="s">
        <v>3</v>
      </c>
      <c r="I5521" s="470" t="s">
        <v>6689</v>
      </c>
      <c r="J5521" s="495">
        <v>427.6</v>
      </c>
      <c r="K5521" s="495">
        <v>419.7</v>
      </c>
      <c r="L5521" s="495">
        <f t="shared" si="65"/>
        <v>7.9000000000000341</v>
      </c>
      <c r="M5521" s="337"/>
    </row>
    <row r="5522" spans="1:13" s="71" customFormat="1" ht="26.4" customHeight="1">
      <c r="A5522" s="282">
        <v>119</v>
      </c>
      <c r="B5522" s="535"/>
      <c r="C5522" s="440" t="s">
        <v>7379</v>
      </c>
      <c r="D5522" s="440" t="s">
        <v>7380</v>
      </c>
      <c r="E5522" s="440" t="s">
        <v>7381</v>
      </c>
      <c r="F5522" s="393">
        <v>506</v>
      </c>
      <c r="G5522" s="311">
        <v>1995</v>
      </c>
      <c r="H5522" s="396" t="s">
        <v>631</v>
      </c>
      <c r="I5522" s="470">
        <v>16640</v>
      </c>
      <c r="J5522" s="495">
        <v>25999.8</v>
      </c>
      <c r="K5522" s="495">
        <v>15003.6</v>
      </c>
      <c r="L5522" s="495">
        <f t="shared" si="65"/>
        <v>10996.199999999999</v>
      </c>
      <c r="M5522" s="337"/>
    </row>
    <row r="5523" spans="1:13" s="71" customFormat="1" ht="26.4" customHeight="1">
      <c r="A5523" s="282">
        <v>120</v>
      </c>
      <c r="B5523" s="535"/>
      <c r="C5523" s="440" t="s">
        <v>7379</v>
      </c>
      <c r="D5523" s="440" t="s">
        <v>7380</v>
      </c>
      <c r="E5523" s="440" t="s">
        <v>7382</v>
      </c>
      <c r="F5523" s="393">
        <v>617</v>
      </c>
      <c r="G5523" s="311">
        <v>1997</v>
      </c>
      <c r="H5523" s="396" t="s">
        <v>8329</v>
      </c>
      <c r="I5523" s="470">
        <v>16650</v>
      </c>
      <c r="J5523" s="495">
        <v>5914.9</v>
      </c>
      <c r="K5523" s="495">
        <v>5193.3999999999996</v>
      </c>
      <c r="L5523" s="495">
        <f t="shared" si="65"/>
        <v>721.5</v>
      </c>
      <c r="M5523" s="337"/>
    </row>
    <row r="5524" spans="1:13" s="71" customFormat="1" ht="26.4" customHeight="1">
      <c r="A5524" s="282">
        <v>121</v>
      </c>
      <c r="B5524" s="535"/>
      <c r="C5524" s="440" t="s">
        <v>7379</v>
      </c>
      <c r="D5524" s="440" t="s">
        <v>7380</v>
      </c>
      <c r="E5524" s="440" t="s">
        <v>7383</v>
      </c>
      <c r="F5524" s="393">
        <v>10047</v>
      </c>
      <c r="G5524" s="311">
        <v>1973</v>
      </c>
      <c r="H5524" s="396" t="s">
        <v>1149</v>
      </c>
      <c r="I5524" s="470">
        <v>1512</v>
      </c>
      <c r="J5524" s="495">
        <v>1569</v>
      </c>
      <c r="K5524" s="495">
        <v>1056.5</v>
      </c>
      <c r="L5524" s="495">
        <f t="shared" si="65"/>
        <v>512.5</v>
      </c>
      <c r="M5524" s="337"/>
    </row>
    <row r="5525" spans="1:13" s="71" customFormat="1" ht="26.4" customHeight="1">
      <c r="A5525" s="282">
        <v>122</v>
      </c>
      <c r="B5525" s="535"/>
      <c r="C5525" s="440" t="s">
        <v>7379</v>
      </c>
      <c r="D5525" s="440" t="s">
        <v>7380</v>
      </c>
      <c r="E5525" s="440" t="s">
        <v>7384</v>
      </c>
      <c r="F5525" s="393">
        <v>10048</v>
      </c>
      <c r="G5525" s="311">
        <v>1973</v>
      </c>
      <c r="H5525" s="396" t="s">
        <v>1149</v>
      </c>
      <c r="I5525" s="470">
        <v>2618</v>
      </c>
      <c r="J5525" s="495">
        <v>1748.3</v>
      </c>
      <c r="K5525" s="495">
        <v>1322.7</v>
      </c>
      <c r="L5525" s="495">
        <f t="shared" si="65"/>
        <v>425.59999999999991</v>
      </c>
      <c r="M5525" s="337"/>
    </row>
    <row r="5526" spans="1:13" s="71" customFormat="1" ht="26.4" customHeight="1">
      <c r="A5526" s="282">
        <v>123</v>
      </c>
      <c r="B5526" s="535"/>
      <c r="C5526" s="440" t="s">
        <v>7379</v>
      </c>
      <c r="D5526" s="440" t="s">
        <v>7380</v>
      </c>
      <c r="E5526" s="440" t="s">
        <v>7385</v>
      </c>
      <c r="F5526" s="393">
        <v>10049</v>
      </c>
      <c r="G5526" s="311">
        <v>1973</v>
      </c>
      <c r="H5526" s="396" t="s">
        <v>1149</v>
      </c>
      <c r="I5526" s="470">
        <v>1024</v>
      </c>
      <c r="J5526" s="495">
        <v>246.6</v>
      </c>
      <c r="K5526" s="495">
        <v>243.8</v>
      </c>
      <c r="L5526" s="495">
        <f t="shared" si="65"/>
        <v>2.7999999999999829</v>
      </c>
      <c r="M5526" s="337"/>
    </row>
    <row r="5527" spans="1:13" s="71" customFormat="1" ht="26.4" customHeight="1">
      <c r="A5527" s="282">
        <v>124</v>
      </c>
      <c r="B5527" s="535"/>
      <c r="C5527" s="440" t="s">
        <v>7379</v>
      </c>
      <c r="D5527" s="440" t="s">
        <v>7380</v>
      </c>
      <c r="E5527" s="440" t="s">
        <v>7386</v>
      </c>
      <c r="F5527" s="393">
        <v>10050</v>
      </c>
      <c r="G5527" s="311">
        <v>1973</v>
      </c>
      <c r="H5527" s="396" t="s">
        <v>1149</v>
      </c>
      <c r="I5527" s="470">
        <v>126</v>
      </c>
      <c r="J5527" s="495">
        <v>137.9</v>
      </c>
      <c r="K5527" s="495">
        <v>136</v>
      </c>
      <c r="L5527" s="495">
        <f t="shared" si="65"/>
        <v>1.9000000000000057</v>
      </c>
      <c r="M5527" s="337"/>
    </row>
    <row r="5528" spans="1:13" s="71" customFormat="1" ht="26.4" customHeight="1">
      <c r="A5528" s="282">
        <v>125</v>
      </c>
      <c r="B5528" s="535"/>
      <c r="C5528" s="440" t="s">
        <v>7379</v>
      </c>
      <c r="D5528" s="440" t="s">
        <v>7380</v>
      </c>
      <c r="E5528" s="440" t="s">
        <v>7387</v>
      </c>
      <c r="F5528" s="393">
        <v>10051</v>
      </c>
      <c r="G5528" s="311">
        <v>1974</v>
      </c>
      <c r="H5528" s="396" t="s">
        <v>1149</v>
      </c>
      <c r="I5528" s="470">
        <v>801</v>
      </c>
      <c r="J5528" s="495">
        <v>96.2</v>
      </c>
      <c r="K5528" s="495">
        <v>93</v>
      </c>
      <c r="L5528" s="495">
        <f t="shared" si="65"/>
        <v>3.2000000000000028</v>
      </c>
      <c r="M5528" s="337"/>
    </row>
    <row r="5529" spans="1:13" s="71" customFormat="1" ht="26.4" customHeight="1">
      <c r="A5529" s="282">
        <v>126</v>
      </c>
      <c r="B5529" s="535"/>
      <c r="C5529" s="440" t="s">
        <v>7379</v>
      </c>
      <c r="D5529" s="440" t="s">
        <v>7380</v>
      </c>
      <c r="E5529" s="440" t="s">
        <v>7388</v>
      </c>
      <c r="F5529" s="393">
        <v>10052</v>
      </c>
      <c r="G5529" s="311">
        <v>1974</v>
      </c>
      <c r="H5529" s="396" t="s">
        <v>1149</v>
      </c>
      <c r="I5529" s="470">
        <v>42</v>
      </c>
      <c r="J5529" s="495">
        <v>6.2</v>
      </c>
      <c r="K5529" s="495">
        <v>6</v>
      </c>
      <c r="L5529" s="495">
        <f t="shared" si="65"/>
        <v>0.20000000000000018</v>
      </c>
      <c r="M5529" s="337"/>
    </row>
    <row r="5530" spans="1:13" s="71" customFormat="1" ht="26.4" customHeight="1">
      <c r="A5530" s="282">
        <v>127</v>
      </c>
      <c r="B5530" s="535"/>
      <c r="C5530" s="440" t="s">
        <v>7379</v>
      </c>
      <c r="D5530" s="440" t="s">
        <v>7380</v>
      </c>
      <c r="E5530" s="440" t="s">
        <v>7389</v>
      </c>
      <c r="F5530" s="393">
        <v>10053</v>
      </c>
      <c r="G5530" s="311">
        <v>1975</v>
      </c>
      <c r="H5530" s="396" t="s">
        <v>1149</v>
      </c>
      <c r="I5530" s="470">
        <v>552</v>
      </c>
      <c r="J5530" s="495">
        <v>43.2</v>
      </c>
      <c r="K5530" s="495">
        <v>37.5</v>
      </c>
      <c r="L5530" s="495">
        <f t="shared" si="65"/>
        <v>5.7000000000000028</v>
      </c>
      <c r="M5530" s="337"/>
    </row>
    <row r="5531" spans="1:13" s="71" customFormat="1" ht="26.4" customHeight="1">
      <c r="A5531" s="282">
        <v>128</v>
      </c>
      <c r="B5531" s="535"/>
      <c r="C5531" s="440" t="s">
        <v>7379</v>
      </c>
      <c r="D5531" s="440" t="s">
        <v>7380</v>
      </c>
      <c r="E5531" s="440" t="s">
        <v>7342</v>
      </c>
      <c r="F5531" s="393">
        <v>20056</v>
      </c>
      <c r="G5531" s="311">
        <v>1973</v>
      </c>
      <c r="H5531" s="396" t="s">
        <v>1149</v>
      </c>
      <c r="I5531" s="470">
        <v>8936</v>
      </c>
      <c r="J5531" s="495">
        <v>8165.5</v>
      </c>
      <c r="K5531" s="495">
        <v>5699</v>
      </c>
      <c r="L5531" s="495">
        <f t="shared" si="65"/>
        <v>2466.5</v>
      </c>
      <c r="M5531" s="337"/>
    </row>
    <row r="5532" spans="1:13" s="71" customFormat="1" ht="26.4" customHeight="1">
      <c r="A5532" s="282">
        <v>129</v>
      </c>
      <c r="B5532" s="535"/>
      <c r="C5532" s="440" t="s">
        <v>7379</v>
      </c>
      <c r="D5532" s="440" t="s">
        <v>7380</v>
      </c>
      <c r="E5532" s="440" t="s">
        <v>1143</v>
      </c>
      <c r="F5532" s="393">
        <v>20057</v>
      </c>
      <c r="G5532" s="311">
        <v>1973</v>
      </c>
      <c r="H5532" s="396" t="s">
        <v>1149</v>
      </c>
      <c r="I5532" s="470">
        <v>1200</v>
      </c>
      <c r="J5532" s="495">
        <v>339.3</v>
      </c>
      <c r="K5532" s="495">
        <v>335.9</v>
      </c>
      <c r="L5532" s="495">
        <f t="shared" ref="L5532:L5591" si="66">J5532-K5532</f>
        <v>3.4000000000000341</v>
      </c>
      <c r="M5532" s="337"/>
    </row>
    <row r="5533" spans="1:13" s="71" customFormat="1" ht="26.4" customHeight="1">
      <c r="A5533" s="282">
        <v>130</v>
      </c>
      <c r="B5533" s="535"/>
      <c r="C5533" s="440" t="s">
        <v>7379</v>
      </c>
      <c r="D5533" s="440" t="s">
        <v>7380</v>
      </c>
      <c r="E5533" s="440" t="s">
        <v>7390</v>
      </c>
      <c r="F5533" s="393">
        <v>20058</v>
      </c>
      <c r="G5533" s="311">
        <v>1973</v>
      </c>
      <c r="H5533" s="396" t="s">
        <v>1149</v>
      </c>
      <c r="I5533" s="470">
        <v>2000</v>
      </c>
      <c r="J5533" s="495">
        <v>805.7</v>
      </c>
      <c r="K5533" s="495">
        <v>797.6</v>
      </c>
      <c r="L5533" s="495">
        <f t="shared" si="66"/>
        <v>8.1000000000000227</v>
      </c>
      <c r="M5533" s="337"/>
    </row>
    <row r="5534" spans="1:13" s="71" customFormat="1" ht="26.4" customHeight="1">
      <c r="A5534" s="282">
        <v>131</v>
      </c>
      <c r="B5534" s="535"/>
      <c r="C5534" s="440" t="s">
        <v>7379</v>
      </c>
      <c r="D5534" s="440" t="s">
        <v>7380</v>
      </c>
      <c r="E5534" s="440" t="s">
        <v>7391</v>
      </c>
      <c r="F5534" s="393">
        <v>20060</v>
      </c>
      <c r="G5534" s="311">
        <v>1973</v>
      </c>
      <c r="H5534" s="396" t="s">
        <v>8329</v>
      </c>
      <c r="I5534" s="470">
        <v>1848.8</v>
      </c>
      <c r="J5534" s="495">
        <v>463.7</v>
      </c>
      <c r="K5534" s="495">
        <v>387.5</v>
      </c>
      <c r="L5534" s="495">
        <f t="shared" si="66"/>
        <v>76.199999999999989</v>
      </c>
      <c r="M5534" s="337"/>
    </row>
    <row r="5535" spans="1:13" s="71" customFormat="1" ht="26.4" customHeight="1">
      <c r="A5535" s="282">
        <v>132</v>
      </c>
      <c r="B5535" s="535"/>
      <c r="C5535" s="440" t="s">
        <v>7379</v>
      </c>
      <c r="D5535" s="440" t="s">
        <v>7380</v>
      </c>
      <c r="E5535" s="440" t="s">
        <v>7392</v>
      </c>
      <c r="F5535" s="393">
        <v>20062</v>
      </c>
      <c r="G5535" s="311">
        <v>1975</v>
      </c>
      <c r="H5535" s="396" t="s">
        <v>3</v>
      </c>
      <c r="I5535" s="470" t="s">
        <v>3</v>
      </c>
      <c r="J5535" s="495">
        <v>156.19999999999999</v>
      </c>
      <c r="K5535" s="495">
        <v>135.80000000000001</v>
      </c>
      <c r="L5535" s="495">
        <f t="shared" si="66"/>
        <v>20.399999999999977</v>
      </c>
      <c r="M5535" s="337"/>
    </row>
    <row r="5536" spans="1:13" s="71" customFormat="1" ht="26.4" customHeight="1">
      <c r="A5536" s="282">
        <v>133</v>
      </c>
      <c r="B5536" s="535"/>
      <c r="C5536" s="440" t="s">
        <v>7379</v>
      </c>
      <c r="D5536" s="440" t="s">
        <v>7380</v>
      </c>
      <c r="E5536" s="440" t="s">
        <v>7393</v>
      </c>
      <c r="F5536" s="393">
        <v>20063</v>
      </c>
      <c r="G5536" s="311">
        <v>1977</v>
      </c>
      <c r="H5536" s="396" t="s">
        <v>1149</v>
      </c>
      <c r="I5536" s="470">
        <v>432</v>
      </c>
      <c r="J5536" s="495">
        <v>282</v>
      </c>
      <c r="K5536" s="495">
        <v>280.10000000000002</v>
      </c>
      <c r="L5536" s="495">
        <f t="shared" si="66"/>
        <v>1.8999999999999773</v>
      </c>
      <c r="M5536" s="337"/>
    </row>
    <row r="5537" spans="1:13" s="71" customFormat="1" ht="26.4" customHeight="1">
      <c r="A5537" s="282">
        <v>134</v>
      </c>
      <c r="B5537" s="535"/>
      <c r="C5537" s="440" t="s">
        <v>7379</v>
      </c>
      <c r="D5537" s="440" t="s">
        <v>7380</v>
      </c>
      <c r="E5537" s="440" t="s">
        <v>7394</v>
      </c>
      <c r="F5537" s="393">
        <v>20065</v>
      </c>
      <c r="G5537" s="311">
        <v>1979</v>
      </c>
      <c r="H5537" s="396" t="s">
        <v>1149</v>
      </c>
      <c r="I5537" s="470">
        <v>3072</v>
      </c>
      <c r="J5537" s="495">
        <v>38.799999999999997</v>
      </c>
      <c r="K5537" s="495">
        <v>38.5</v>
      </c>
      <c r="L5537" s="495">
        <f t="shared" si="66"/>
        <v>0.29999999999999716</v>
      </c>
      <c r="M5537" s="337"/>
    </row>
    <row r="5538" spans="1:13" s="71" customFormat="1" ht="26.4" customHeight="1">
      <c r="A5538" s="282">
        <v>135</v>
      </c>
      <c r="B5538" s="535"/>
      <c r="C5538" s="440" t="s">
        <v>7379</v>
      </c>
      <c r="D5538" s="440" t="s">
        <v>7380</v>
      </c>
      <c r="E5538" s="440" t="s">
        <v>7395</v>
      </c>
      <c r="F5538" s="393">
        <v>20066</v>
      </c>
      <c r="G5538" s="311">
        <v>1989</v>
      </c>
      <c r="H5538" s="396" t="s">
        <v>1149</v>
      </c>
      <c r="I5538" s="470">
        <v>72</v>
      </c>
      <c r="J5538" s="495">
        <v>36.6</v>
      </c>
      <c r="K5538" s="495">
        <v>36.5</v>
      </c>
      <c r="L5538" s="495">
        <f t="shared" si="66"/>
        <v>0.10000000000000142</v>
      </c>
      <c r="M5538" s="337"/>
    </row>
    <row r="5539" spans="1:13" s="71" customFormat="1" ht="26.4" customHeight="1">
      <c r="A5539" s="282">
        <v>136</v>
      </c>
      <c r="B5539" s="535"/>
      <c r="C5539" s="440" t="s">
        <v>7379</v>
      </c>
      <c r="D5539" s="440" t="s">
        <v>7380</v>
      </c>
      <c r="E5539" s="440" t="s">
        <v>7396</v>
      </c>
      <c r="F5539" s="393">
        <v>66467</v>
      </c>
      <c r="G5539" s="311">
        <v>2002</v>
      </c>
      <c r="H5539" s="396" t="s">
        <v>1149</v>
      </c>
      <c r="I5539" s="470">
        <v>360</v>
      </c>
      <c r="J5539" s="495">
        <v>180.4</v>
      </c>
      <c r="K5539" s="495">
        <v>112.7</v>
      </c>
      <c r="L5539" s="495">
        <f t="shared" si="66"/>
        <v>67.7</v>
      </c>
      <c r="M5539" s="337"/>
    </row>
    <row r="5540" spans="1:13" s="71" customFormat="1" ht="26.4" customHeight="1">
      <c r="A5540" s="282">
        <v>137</v>
      </c>
      <c r="B5540" s="535"/>
      <c r="C5540" s="440" t="s">
        <v>7379</v>
      </c>
      <c r="D5540" s="440" t="s">
        <v>7380</v>
      </c>
      <c r="E5540" s="440" t="s">
        <v>7397</v>
      </c>
      <c r="F5540" s="393">
        <v>66515</v>
      </c>
      <c r="G5540" s="311">
        <v>2002</v>
      </c>
      <c r="H5540" s="396" t="s">
        <v>3</v>
      </c>
      <c r="I5540" s="470" t="s">
        <v>6689</v>
      </c>
      <c r="J5540" s="495">
        <v>5</v>
      </c>
      <c r="K5540" s="495">
        <v>4.9000000000000004</v>
      </c>
      <c r="L5540" s="495">
        <f t="shared" si="66"/>
        <v>9.9999999999999645E-2</v>
      </c>
      <c r="M5540" s="337"/>
    </row>
    <row r="5541" spans="1:13" s="71" customFormat="1" ht="26.4" customHeight="1">
      <c r="A5541" s="282">
        <v>138</v>
      </c>
      <c r="B5541" s="535"/>
      <c r="C5541" s="440" t="s">
        <v>7379</v>
      </c>
      <c r="D5541" s="440" t="s">
        <v>7380</v>
      </c>
      <c r="E5541" s="440" t="s">
        <v>7398</v>
      </c>
      <c r="F5541" s="393">
        <v>66588</v>
      </c>
      <c r="G5541" s="311">
        <v>2003</v>
      </c>
      <c r="H5541" s="396" t="s">
        <v>1149</v>
      </c>
      <c r="I5541" s="470">
        <v>6180</v>
      </c>
      <c r="J5541" s="495">
        <v>9.1999999999999993</v>
      </c>
      <c r="K5541" s="495">
        <v>6.5</v>
      </c>
      <c r="L5541" s="495">
        <f t="shared" si="66"/>
        <v>2.6999999999999993</v>
      </c>
      <c r="M5541" s="337"/>
    </row>
    <row r="5542" spans="1:13" s="71" customFormat="1" ht="26.4" customHeight="1">
      <c r="A5542" s="282">
        <v>139</v>
      </c>
      <c r="B5542" s="535"/>
      <c r="C5542" s="440" t="s">
        <v>7379</v>
      </c>
      <c r="D5542" s="440" t="s">
        <v>7380</v>
      </c>
      <c r="E5542" s="440" t="s">
        <v>7399</v>
      </c>
      <c r="F5542" s="393">
        <v>66700</v>
      </c>
      <c r="G5542" s="311">
        <v>2004</v>
      </c>
      <c r="H5542" s="396" t="s">
        <v>1149</v>
      </c>
      <c r="I5542" s="470">
        <v>1512</v>
      </c>
      <c r="J5542" s="495">
        <v>96.6</v>
      </c>
      <c r="K5542" s="495">
        <v>58.5</v>
      </c>
      <c r="L5542" s="495">
        <f t="shared" si="66"/>
        <v>38.099999999999994</v>
      </c>
      <c r="M5542" s="337"/>
    </row>
    <row r="5543" spans="1:13" s="71" customFormat="1" ht="26.4" customHeight="1">
      <c r="A5543" s="282">
        <v>140</v>
      </c>
      <c r="B5543" s="535"/>
      <c r="C5543" s="440" t="s">
        <v>7379</v>
      </c>
      <c r="D5543" s="440" t="s">
        <v>7380</v>
      </c>
      <c r="E5543" s="440" t="s">
        <v>7400</v>
      </c>
      <c r="F5543" s="393">
        <v>66702</v>
      </c>
      <c r="G5543" s="311">
        <v>2004</v>
      </c>
      <c r="H5543" s="396" t="s">
        <v>1149</v>
      </c>
      <c r="I5543" s="470">
        <v>360</v>
      </c>
      <c r="J5543" s="495">
        <v>1210.0999999999999</v>
      </c>
      <c r="K5543" s="495">
        <v>629.20000000000005</v>
      </c>
      <c r="L5543" s="495">
        <f t="shared" si="66"/>
        <v>580.89999999999986</v>
      </c>
      <c r="M5543" s="337"/>
    </row>
    <row r="5544" spans="1:13" s="71" customFormat="1" ht="26.4" customHeight="1">
      <c r="A5544" s="282">
        <v>141</v>
      </c>
      <c r="B5544" s="535"/>
      <c r="C5544" s="440" t="s">
        <v>7379</v>
      </c>
      <c r="D5544" s="440" t="s">
        <v>7380</v>
      </c>
      <c r="E5544" s="440" t="s">
        <v>7401</v>
      </c>
      <c r="F5544" s="393">
        <v>30054</v>
      </c>
      <c r="G5544" s="311">
        <v>1971</v>
      </c>
      <c r="H5544" s="396" t="s">
        <v>8329</v>
      </c>
      <c r="I5544" s="470">
        <v>800</v>
      </c>
      <c r="J5544" s="495">
        <v>270.10000000000002</v>
      </c>
      <c r="K5544" s="495">
        <v>269.60000000000002</v>
      </c>
      <c r="L5544" s="495">
        <f t="shared" si="66"/>
        <v>0.5</v>
      </c>
      <c r="M5544" s="337"/>
    </row>
    <row r="5545" spans="1:13" s="71" customFormat="1" ht="26.4" customHeight="1">
      <c r="A5545" s="282">
        <v>142</v>
      </c>
      <c r="B5545" s="535"/>
      <c r="C5545" s="440" t="s">
        <v>7379</v>
      </c>
      <c r="D5545" s="440" t="s">
        <v>7380</v>
      </c>
      <c r="E5545" s="440" t="s">
        <v>7402</v>
      </c>
      <c r="F5545" s="393">
        <v>30055</v>
      </c>
      <c r="G5545" s="311">
        <v>1971</v>
      </c>
      <c r="H5545" s="396" t="s">
        <v>8329</v>
      </c>
      <c r="I5545" s="470">
        <v>1411</v>
      </c>
      <c r="J5545" s="495">
        <v>147.19999999999999</v>
      </c>
      <c r="K5545" s="495">
        <v>147</v>
      </c>
      <c r="L5545" s="495">
        <f t="shared" si="66"/>
        <v>0.19999999999998863</v>
      </c>
      <c r="M5545" s="337"/>
    </row>
    <row r="5546" spans="1:13" s="71" customFormat="1" ht="26.4" customHeight="1">
      <c r="A5546" s="282">
        <v>143</v>
      </c>
      <c r="B5546" s="535"/>
      <c r="C5546" s="440" t="s">
        <v>7379</v>
      </c>
      <c r="D5546" s="440" t="s">
        <v>7380</v>
      </c>
      <c r="E5546" s="440" t="s">
        <v>7403</v>
      </c>
      <c r="F5546" s="393">
        <v>30057</v>
      </c>
      <c r="G5546" s="311">
        <v>1973</v>
      </c>
      <c r="H5546" s="396" t="s">
        <v>8329</v>
      </c>
      <c r="I5546" s="470">
        <v>2500</v>
      </c>
      <c r="J5546" s="495">
        <v>276.60000000000002</v>
      </c>
      <c r="K5546" s="495">
        <v>275.7</v>
      </c>
      <c r="L5546" s="495">
        <f t="shared" si="66"/>
        <v>0.90000000000003411</v>
      </c>
      <c r="M5546" s="337"/>
    </row>
    <row r="5547" spans="1:13" s="71" customFormat="1" ht="26.4" customHeight="1">
      <c r="A5547" s="282">
        <v>144</v>
      </c>
      <c r="B5547" s="535"/>
      <c r="C5547" s="440" t="s">
        <v>7379</v>
      </c>
      <c r="D5547" s="440" t="s">
        <v>7380</v>
      </c>
      <c r="E5547" s="440" t="s">
        <v>7404</v>
      </c>
      <c r="F5547" s="393">
        <v>30058</v>
      </c>
      <c r="G5547" s="311">
        <v>1973</v>
      </c>
      <c r="H5547" s="396" t="s">
        <v>3</v>
      </c>
      <c r="I5547" s="470" t="s">
        <v>6689</v>
      </c>
      <c r="J5547" s="495">
        <v>84.8</v>
      </c>
      <c r="K5547" s="495">
        <v>82</v>
      </c>
      <c r="L5547" s="495">
        <f t="shared" si="66"/>
        <v>2.7999999999999972</v>
      </c>
      <c r="M5547" s="337"/>
    </row>
    <row r="5548" spans="1:13" s="71" customFormat="1" ht="26.4" customHeight="1">
      <c r="A5548" s="282">
        <v>145</v>
      </c>
      <c r="B5548" s="535"/>
      <c r="C5548" s="440" t="s">
        <v>7379</v>
      </c>
      <c r="D5548" s="440" t="s">
        <v>7380</v>
      </c>
      <c r="E5548" s="440" t="s">
        <v>7405</v>
      </c>
      <c r="F5548" s="393">
        <v>30059</v>
      </c>
      <c r="G5548" s="311">
        <v>1973</v>
      </c>
      <c r="H5548" s="396" t="s">
        <v>8329</v>
      </c>
      <c r="I5548" s="470">
        <v>1500</v>
      </c>
      <c r="J5548" s="495">
        <v>276.2</v>
      </c>
      <c r="K5548" s="495">
        <v>275.10000000000002</v>
      </c>
      <c r="L5548" s="495">
        <f t="shared" si="66"/>
        <v>1.0999999999999659</v>
      </c>
      <c r="M5548" s="337"/>
    </row>
    <row r="5549" spans="1:13" s="71" customFormat="1" ht="26.4" customHeight="1">
      <c r="A5549" s="282">
        <v>146</v>
      </c>
      <c r="B5549" s="535"/>
      <c r="C5549" s="440" t="s">
        <v>7379</v>
      </c>
      <c r="D5549" s="440" t="s">
        <v>7380</v>
      </c>
      <c r="E5549" s="440" t="s">
        <v>7406</v>
      </c>
      <c r="F5549" s="393">
        <v>30060</v>
      </c>
      <c r="G5549" s="311">
        <v>1973</v>
      </c>
      <c r="H5549" s="396" t="s">
        <v>8329</v>
      </c>
      <c r="I5549" s="470">
        <v>1500</v>
      </c>
      <c r="J5549" s="495">
        <v>913.3</v>
      </c>
      <c r="K5549" s="495">
        <v>910.6</v>
      </c>
      <c r="L5549" s="495">
        <f t="shared" si="66"/>
        <v>2.6999999999999318</v>
      </c>
      <c r="M5549" s="337"/>
    </row>
    <row r="5550" spans="1:13" s="71" customFormat="1" ht="26.4" customHeight="1">
      <c r="A5550" s="282">
        <v>147</v>
      </c>
      <c r="B5550" s="535"/>
      <c r="C5550" s="440" t="s">
        <v>7379</v>
      </c>
      <c r="D5550" s="440" t="s">
        <v>7380</v>
      </c>
      <c r="E5550" s="440" t="s">
        <v>7407</v>
      </c>
      <c r="F5550" s="393">
        <v>30062</v>
      </c>
      <c r="G5550" s="311">
        <v>1973</v>
      </c>
      <c r="H5550" s="396" t="s">
        <v>3</v>
      </c>
      <c r="I5550" s="470" t="s">
        <v>6689</v>
      </c>
      <c r="J5550" s="495">
        <v>1649</v>
      </c>
      <c r="K5550" s="495">
        <v>1646.2</v>
      </c>
      <c r="L5550" s="495">
        <f t="shared" si="66"/>
        <v>2.7999999999999545</v>
      </c>
      <c r="M5550" s="337"/>
    </row>
    <row r="5551" spans="1:13" s="71" customFormat="1" ht="26.4" customHeight="1">
      <c r="A5551" s="282">
        <v>148</v>
      </c>
      <c r="B5551" s="535"/>
      <c r="C5551" s="440" t="s">
        <v>7379</v>
      </c>
      <c r="D5551" s="440" t="s">
        <v>7380</v>
      </c>
      <c r="E5551" s="440" t="s">
        <v>7408</v>
      </c>
      <c r="F5551" s="393">
        <v>30064</v>
      </c>
      <c r="G5551" s="311">
        <v>1975</v>
      </c>
      <c r="H5551" s="396" t="s">
        <v>3</v>
      </c>
      <c r="I5551" s="470" t="s">
        <v>6689</v>
      </c>
      <c r="J5551" s="495">
        <v>383.6</v>
      </c>
      <c r="K5551" s="495">
        <v>383.4</v>
      </c>
      <c r="L5551" s="495">
        <f t="shared" si="66"/>
        <v>0.20000000000004547</v>
      </c>
      <c r="M5551" s="337"/>
    </row>
    <row r="5552" spans="1:13" s="71" customFormat="1" ht="26.4" customHeight="1">
      <c r="A5552" s="282">
        <v>149</v>
      </c>
      <c r="B5552" s="535"/>
      <c r="C5552" s="440" t="s">
        <v>7379</v>
      </c>
      <c r="D5552" s="440" t="s">
        <v>7380</v>
      </c>
      <c r="E5552" s="440" t="s">
        <v>7409</v>
      </c>
      <c r="F5552" s="393">
        <v>30065</v>
      </c>
      <c r="G5552" s="311">
        <v>1975</v>
      </c>
      <c r="H5552" s="396" t="s">
        <v>3</v>
      </c>
      <c r="I5552" s="470" t="s">
        <v>6689</v>
      </c>
      <c r="J5552" s="495">
        <v>1311</v>
      </c>
      <c r="K5552" s="495">
        <v>1287.5</v>
      </c>
      <c r="L5552" s="495">
        <f t="shared" si="66"/>
        <v>23.5</v>
      </c>
      <c r="M5552" s="337"/>
    </row>
    <row r="5553" spans="1:13" s="71" customFormat="1" ht="26.4" customHeight="1">
      <c r="A5553" s="282">
        <v>150</v>
      </c>
      <c r="B5553" s="535"/>
      <c r="C5553" s="440" t="s">
        <v>7379</v>
      </c>
      <c r="D5553" s="440" t="s">
        <v>7380</v>
      </c>
      <c r="E5553" s="440" t="s">
        <v>7410</v>
      </c>
      <c r="F5553" s="393">
        <v>30066</v>
      </c>
      <c r="G5553" s="311">
        <v>1976</v>
      </c>
      <c r="H5553" s="396" t="s">
        <v>8329</v>
      </c>
      <c r="I5553" s="470">
        <v>1800</v>
      </c>
      <c r="J5553" s="495">
        <v>123.8</v>
      </c>
      <c r="K5553" s="495">
        <v>118.1</v>
      </c>
      <c r="L5553" s="495">
        <f t="shared" si="66"/>
        <v>5.7000000000000028</v>
      </c>
      <c r="M5553" s="337"/>
    </row>
    <row r="5554" spans="1:13" s="71" customFormat="1" ht="26.4" customHeight="1">
      <c r="A5554" s="282">
        <v>151</v>
      </c>
      <c r="B5554" s="535"/>
      <c r="C5554" s="440" t="s">
        <v>7379</v>
      </c>
      <c r="D5554" s="444" t="s">
        <v>7411</v>
      </c>
      <c r="E5554" s="440" t="s">
        <v>7412</v>
      </c>
      <c r="F5554" s="393">
        <v>20061</v>
      </c>
      <c r="G5554" s="311">
        <v>1973</v>
      </c>
      <c r="H5554" s="396" t="s">
        <v>8329</v>
      </c>
      <c r="I5554" s="470">
        <v>544</v>
      </c>
      <c r="J5554" s="495">
        <v>588.70000000000005</v>
      </c>
      <c r="K5554" s="495">
        <v>581.70000000000005</v>
      </c>
      <c r="L5554" s="495">
        <f t="shared" si="66"/>
        <v>7</v>
      </c>
      <c r="M5554" s="337"/>
    </row>
    <row r="5555" spans="1:13" s="71" customFormat="1" ht="26.4" customHeight="1">
      <c r="A5555" s="282">
        <v>152</v>
      </c>
      <c r="B5555" s="535"/>
      <c r="C5555" s="440" t="s">
        <v>7379</v>
      </c>
      <c r="D5555" s="440" t="s">
        <v>7380</v>
      </c>
      <c r="E5555" s="440" t="s">
        <v>7413</v>
      </c>
      <c r="F5555" s="393">
        <v>30051</v>
      </c>
      <c r="G5555" s="311">
        <v>1971</v>
      </c>
      <c r="H5555" s="396" t="s">
        <v>8329</v>
      </c>
      <c r="I5555" s="470">
        <v>24882</v>
      </c>
      <c r="J5555" s="495">
        <v>6077.4</v>
      </c>
      <c r="K5555" s="495">
        <v>6034.9</v>
      </c>
      <c r="L5555" s="495">
        <f t="shared" si="66"/>
        <v>42.5</v>
      </c>
      <c r="M5555" s="337"/>
    </row>
    <row r="5556" spans="1:13" s="71" customFormat="1" ht="26.4" customHeight="1">
      <c r="A5556" s="282">
        <v>153</v>
      </c>
      <c r="B5556" s="535"/>
      <c r="C5556" s="440" t="s">
        <v>7379</v>
      </c>
      <c r="D5556" s="440" t="s">
        <v>7380</v>
      </c>
      <c r="E5556" s="440" t="s">
        <v>13163</v>
      </c>
      <c r="F5556" s="393">
        <v>30052</v>
      </c>
      <c r="G5556" s="311">
        <v>1971</v>
      </c>
      <c r="H5556" s="396" t="s">
        <v>8329</v>
      </c>
      <c r="I5556" s="470">
        <v>16716</v>
      </c>
      <c r="J5556" s="495">
        <v>5460.5</v>
      </c>
      <c r="K5556" s="495">
        <v>5150.8</v>
      </c>
      <c r="L5556" s="495">
        <f t="shared" si="66"/>
        <v>309.69999999999982</v>
      </c>
      <c r="M5556" s="337"/>
    </row>
    <row r="5557" spans="1:13" s="71" customFormat="1" ht="26.4" customHeight="1">
      <c r="A5557" s="282">
        <v>154</v>
      </c>
      <c r="B5557" s="535"/>
      <c r="C5557" s="440" t="s">
        <v>7379</v>
      </c>
      <c r="D5557" s="440" t="s">
        <v>7380</v>
      </c>
      <c r="E5557" s="440" t="s">
        <v>7414</v>
      </c>
      <c r="F5557" s="393">
        <v>30056</v>
      </c>
      <c r="G5557" s="311">
        <v>1973</v>
      </c>
      <c r="H5557" s="396" t="s">
        <v>8329</v>
      </c>
      <c r="I5557" s="470">
        <v>24254</v>
      </c>
      <c r="J5557" s="495">
        <v>2549.8000000000002</v>
      </c>
      <c r="K5557" s="495">
        <v>2548.5</v>
      </c>
      <c r="L5557" s="495">
        <f t="shared" si="66"/>
        <v>1.3000000000001819</v>
      </c>
      <c r="M5557" s="337"/>
    </row>
    <row r="5558" spans="1:13" s="71" customFormat="1" ht="26.4" customHeight="1">
      <c r="A5558" s="282">
        <v>155</v>
      </c>
      <c r="B5558" s="535"/>
      <c r="C5558" s="440" t="s">
        <v>7379</v>
      </c>
      <c r="D5558" s="440" t="s">
        <v>7380</v>
      </c>
      <c r="E5558" s="440" t="s">
        <v>7415</v>
      </c>
      <c r="F5558" s="393">
        <v>30061</v>
      </c>
      <c r="G5558" s="311">
        <v>1974</v>
      </c>
      <c r="H5558" s="396" t="s">
        <v>8329</v>
      </c>
      <c r="I5558" s="470">
        <v>16839</v>
      </c>
      <c r="J5558" s="495">
        <v>4779.1000000000004</v>
      </c>
      <c r="K5558" s="495">
        <v>4771.3999999999996</v>
      </c>
      <c r="L5558" s="495">
        <f t="shared" si="66"/>
        <v>7.7000000000007276</v>
      </c>
      <c r="M5558" s="337"/>
    </row>
    <row r="5559" spans="1:13" s="71" customFormat="1" ht="26.4" customHeight="1">
      <c r="A5559" s="282">
        <v>156</v>
      </c>
      <c r="B5559" s="535"/>
      <c r="C5559" s="440" t="s">
        <v>7379</v>
      </c>
      <c r="D5559" s="440" t="s">
        <v>7380</v>
      </c>
      <c r="E5559" s="440" t="s">
        <v>7416</v>
      </c>
      <c r="F5559" s="393">
        <v>30063</v>
      </c>
      <c r="G5559" s="311">
        <v>1975</v>
      </c>
      <c r="H5559" s="396" t="s">
        <v>8329</v>
      </c>
      <c r="I5559" s="470">
        <v>24968</v>
      </c>
      <c r="J5559" s="495">
        <v>7240.9</v>
      </c>
      <c r="K5559" s="495">
        <v>7022.2</v>
      </c>
      <c r="L5559" s="495">
        <f t="shared" si="66"/>
        <v>218.69999999999982</v>
      </c>
      <c r="M5559" s="337"/>
    </row>
    <row r="5560" spans="1:13" s="71" customFormat="1" ht="26.4" customHeight="1">
      <c r="A5560" s="282">
        <v>157</v>
      </c>
      <c r="B5560" s="535"/>
      <c r="C5560" s="440" t="s">
        <v>7379</v>
      </c>
      <c r="D5560" s="440" t="s">
        <v>7380</v>
      </c>
      <c r="E5560" s="440" t="s">
        <v>7417</v>
      </c>
      <c r="F5560" s="393">
        <v>30067</v>
      </c>
      <c r="G5560" s="311">
        <v>1991</v>
      </c>
      <c r="H5560" s="396" t="s">
        <v>8329</v>
      </c>
      <c r="I5560" s="470">
        <v>25323</v>
      </c>
      <c r="J5560" s="495">
        <v>13114.7</v>
      </c>
      <c r="K5560" s="495">
        <v>9394</v>
      </c>
      <c r="L5560" s="495">
        <f t="shared" si="66"/>
        <v>3720.7000000000007</v>
      </c>
      <c r="M5560" s="337"/>
    </row>
    <row r="5561" spans="1:13" s="71" customFormat="1" ht="26.4" customHeight="1">
      <c r="A5561" s="282">
        <v>158</v>
      </c>
      <c r="B5561" s="535"/>
      <c r="C5561" s="440" t="s">
        <v>7379</v>
      </c>
      <c r="D5561" s="440" t="s">
        <v>7380</v>
      </c>
      <c r="E5561" s="440" t="s">
        <v>7418</v>
      </c>
      <c r="F5561" s="393">
        <v>66701</v>
      </c>
      <c r="G5561" s="311">
        <v>2004</v>
      </c>
      <c r="H5561" s="396" t="s">
        <v>8329</v>
      </c>
      <c r="I5561" s="470">
        <v>400</v>
      </c>
      <c r="J5561" s="495">
        <v>48.3</v>
      </c>
      <c r="K5561" s="495">
        <v>25.1</v>
      </c>
      <c r="L5561" s="495">
        <f t="shared" si="66"/>
        <v>23.199999999999996</v>
      </c>
      <c r="M5561" s="337"/>
    </row>
    <row r="5562" spans="1:13" s="71" customFormat="1" ht="26.4" customHeight="1">
      <c r="A5562" s="282">
        <v>159</v>
      </c>
      <c r="B5562" s="535"/>
      <c r="C5562" s="440" t="s">
        <v>7379</v>
      </c>
      <c r="D5562" s="440" t="s">
        <v>7380</v>
      </c>
      <c r="E5562" s="440" t="s">
        <v>7419</v>
      </c>
      <c r="F5562" s="393">
        <v>333821</v>
      </c>
      <c r="G5562" s="311">
        <v>2011</v>
      </c>
      <c r="H5562" s="396" t="s">
        <v>3</v>
      </c>
      <c r="I5562" s="470" t="s">
        <v>6689</v>
      </c>
      <c r="J5562" s="495">
        <v>2115.4</v>
      </c>
      <c r="K5562" s="495">
        <v>555.29999999999995</v>
      </c>
      <c r="L5562" s="495">
        <f t="shared" si="66"/>
        <v>1560.1000000000001</v>
      </c>
      <c r="M5562" s="337"/>
    </row>
    <row r="5563" spans="1:13" s="71" customFormat="1" ht="26.4" customHeight="1">
      <c r="A5563" s="282">
        <v>160</v>
      </c>
      <c r="B5563" s="535"/>
      <c r="C5563" s="440" t="s">
        <v>7420</v>
      </c>
      <c r="D5563" s="440" t="s">
        <v>7421</v>
      </c>
      <c r="E5563" s="440" t="s">
        <v>7422</v>
      </c>
      <c r="F5563" s="393">
        <v>636</v>
      </c>
      <c r="G5563" s="311">
        <v>1997</v>
      </c>
      <c r="H5563" s="396" t="s">
        <v>3</v>
      </c>
      <c r="I5563" s="470" t="s">
        <v>6689</v>
      </c>
      <c r="J5563" s="495">
        <v>31.5</v>
      </c>
      <c r="K5563" s="495">
        <v>31.5</v>
      </c>
      <c r="L5563" s="495">
        <f t="shared" si="66"/>
        <v>0</v>
      </c>
      <c r="M5563" s="337"/>
    </row>
    <row r="5564" spans="1:13" s="71" customFormat="1" ht="26.4" customHeight="1">
      <c r="A5564" s="282">
        <v>161</v>
      </c>
      <c r="B5564" s="535"/>
      <c r="C5564" s="440" t="s">
        <v>7420</v>
      </c>
      <c r="D5564" s="440" t="s">
        <v>7421</v>
      </c>
      <c r="E5564" s="440" t="s">
        <v>5343</v>
      </c>
      <c r="F5564" s="393">
        <v>637</v>
      </c>
      <c r="G5564" s="311">
        <v>1997</v>
      </c>
      <c r="H5564" s="396" t="s">
        <v>1149</v>
      </c>
      <c r="I5564" s="470">
        <v>10</v>
      </c>
      <c r="J5564" s="495">
        <v>7.3</v>
      </c>
      <c r="K5564" s="495">
        <v>0.1</v>
      </c>
      <c r="L5564" s="495">
        <f t="shared" si="66"/>
        <v>7.2</v>
      </c>
      <c r="M5564" s="337"/>
    </row>
    <row r="5565" spans="1:13" s="71" customFormat="1" ht="26.4" customHeight="1">
      <c r="A5565" s="282">
        <v>162</v>
      </c>
      <c r="B5565" s="535"/>
      <c r="C5565" s="440" t="s">
        <v>7420</v>
      </c>
      <c r="D5565" s="440" t="s">
        <v>7421</v>
      </c>
      <c r="E5565" s="440" t="s">
        <v>7423</v>
      </c>
      <c r="F5565" s="393">
        <v>640</v>
      </c>
      <c r="G5565" s="311">
        <v>1997</v>
      </c>
      <c r="H5565" s="396" t="s">
        <v>1149</v>
      </c>
      <c r="I5565" s="470">
        <v>263.7</v>
      </c>
      <c r="J5565" s="495">
        <v>2477.4</v>
      </c>
      <c r="K5565" s="495">
        <v>425.5</v>
      </c>
      <c r="L5565" s="495">
        <f t="shared" si="66"/>
        <v>2051.9</v>
      </c>
      <c r="M5565" s="337"/>
    </row>
    <row r="5566" spans="1:13" s="71" customFormat="1" ht="26.4" customHeight="1">
      <c r="A5566" s="282">
        <v>163</v>
      </c>
      <c r="B5566" s="535"/>
      <c r="C5566" s="440" t="s">
        <v>7420</v>
      </c>
      <c r="D5566" s="440" t="s">
        <v>7421</v>
      </c>
      <c r="E5566" s="444" t="s">
        <v>7424</v>
      </c>
      <c r="F5566" s="393">
        <v>641</v>
      </c>
      <c r="G5566" s="311">
        <v>1997</v>
      </c>
      <c r="H5566" s="396" t="s">
        <v>1149</v>
      </c>
      <c r="I5566" s="470">
        <v>102.5</v>
      </c>
      <c r="J5566" s="495">
        <v>245</v>
      </c>
      <c r="K5566" s="495">
        <v>227.2</v>
      </c>
      <c r="L5566" s="495">
        <f t="shared" si="66"/>
        <v>17.800000000000011</v>
      </c>
      <c r="M5566" s="337"/>
    </row>
    <row r="5567" spans="1:13" s="71" customFormat="1" ht="26.4" customHeight="1">
      <c r="A5567" s="282">
        <v>164</v>
      </c>
      <c r="B5567" s="535"/>
      <c r="C5567" s="440" t="s">
        <v>7420</v>
      </c>
      <c r="D5567" s="440" t="s">
        <v>7421</v>
      </c>
      <c r="E5567" s="440" t="s">
        <v>7423</v>
      </c>
      <c r="F5567" s="393">
        <v>642</v>
      </c>
      <c r="G5567" s="311">
        <v>1997</v>
      </c>
      <c r="H5567" s="396" t="s">
        <v>1149</v>
      </c>
      <c r="I5567" s="470">
        <v>198.2</v>
      </c>
      <c r="J5567" s="495">
        <v>427.5</v>
      </c>
      <c r="K5567" s="495">
        <v>60.9</v>
      </c>
      <c r="L5567" s="495">
        <f t="shared" si="66"/>
        <v>366.6</v>
      </c>
      <c r="M5567" s="337"/>
    </row>
    <row r="5568" spans="1:13" s="71" customFormat="1" ht="26.4" customHeight="1">
      <c r="A5568" s="282">
        <v>165</v>
      </c>
      <c r="B5568" s="535"/>
      <c r="C5568" s="440" t="s">
        <v>7420</v>
      </c>
      <c r="D5568" s="440" t="s">
        <v>7421</v>
      </c>
      <c r="E5568" s="440" t="s">
        <v>7423</v>
      </c>
      <c r="F5568" s="393">
        <v>643</v>
      </c>
      <c r="G5568" s="311">
        <v>1997</v>
      </c>
      <c r="H5568" s="396" t="s">
        <v>1149</v>
      </c>
      <c r="I5568" s="470">
        <v>195.3</v>
      </c>
      <c r="J5568" s="495">
        <v>427.2</v>
      </c>
      <c r="K5568" s="495">
        <v>43.5</v>
      </c>
      <c r="L5568" s="495">
        <f t="shared" si="66"/>
        <v>383.7</v>
      </c>
      <c r="M5568" s="337"/>
    </row>
    <row r="5569" spans="1:13" s="71" customFormat="1" ht="26.4" customHeight="1">
      <c r="A5569" s="282">
        <v>166</v>
      </c>
      <c r="B5569" s="535"/>
      <c r="C5569" s="440" t="s">
        <v>7420</v>
      </c>
      <c r="D5569" s="440" t="s">
        <v>7421</v>
      </c>
      <c r="E5569" s="440" t="s">
        <v>7423</v>
      </c>
      <c r="F5569" s="393">
        <v>644</v>
      </c>
      <c r="G5569" s="311">
        <v>1997</v>
      </c>
      <c r="H5569" s="396" t="s">
        <v>1149</v>
      </c>
      <c r="I5569" s="470">
        <v>200.6</v>
      </c>
      <c r="J5569" s="495">
        <v>386.1</v>
      </c>
      <c r="K5569" s="495">
        <v>55.5</v>
      </c>
      <c r="L5569" s="495">
        <f t="shared" si="66"/>
        <v>330.6</v>
      </c>
      <c r="M5569" s="337"/>
    </row>
    <row r="5570" spans="1:13" s="71" customFormat="1" ht="26.4" customHeight="1">
      <c r="A5570" s="282">
        <v>167</v>
      </c>
      <c r="B5570" s="535"/>
      <c r="C5570" s="440" t="s">
        <v>7420</v>
      </c>
      <c r="D5570" s="440" t="s">
        <v>7421</v>
      </c>
      <c r="E5570" s="440" t="s">
        <v>7423</v>
      </c>
      <c r="F5570" s="393">
        <v>645</v>
      </c>
      <c r="G5570" s="311">
        <v>1997</v>
      </c>
      <c r="H5570" s="396" t="s">
        <v>1149</v>
      </c>
      <c r="I5570" s="470">
        <v>197.6</v>
      </c>
      <c r="J5570" s="495">
        <v>403.6</v>
      </c>
      <c r="K5570" s="495">
        <v>57</v>
      </c>
      <c r="L5570" s="495">
        <f t="shared" si="66"/>
        <v>346.6</v>
      </c>
      <c r="M5570" s="337"/>
    </row>
    <row r="5571" spans="1:13" s="71" customFormat="1" ht="26.4" customHeight="1">
      <c r="A5571" s="282">
        <v>168</v>
      </c>
      <c r="B5571" s="535"/>
      <c r="C5571" s="440" t="s">
        <v>7420</v>
      </c>
      <c r="D5571" s="440" t="s">
        <v>7421</v>
      </c>
      <c r="E5571" s="440" t="s">
        <v>7423</v>
      </c>
      <c r="F5571" s="393">
        <v>646</v>
      </c>
      <c r="G5571" s="311">
        <v>1997</v>
      </c>
      <c r="H5571" s="396" t="s">
        <v>1149</v>
      </c>
      <c r="I5571" s="470">
        <v>204.2</v>
      </c>
      <c r="J5571" s="495">
        <v>418.8</v>
      </c>
      <c r="K5571" s="495">
        <v>58.1</v>
      </c>
      <c r="L5571" s="495">
        <f t="shared" si="66"/>
        <v>360.7</v>
      </c>
      <c r="M5571" s="337"/>
    </row>
    <row r="5572" spans="1:13" s="71" customFormat="1" ht="26.4" customHeight="1">
      <c r="A5572" s="282">
        <v>169</v>
      </c>
      <c r="B5572" s="535"/>
      <c r="C5572" s="440" t="s">
        <v>7420</v>
      </c>
      <c r="D5572" s="440" t="s">
        <v>7421</v>
      </c>
      <c r="E5572" s="440" t="s">
        <v>7425</v>
      </c>
      <c r="F5572" s="393">
        <v>778</v>
      </c>
      <c r="G5572" s="311">
        <v>1998</v>
      </c>
      <c r="H5572" s="396" t="s">
        <v>1149</v>
      </c>
      <c r="I5572" s="470">
        <v>150.6</v>
      </c>
      <c r="J5572" s="495">
        <v>230</v>
      </c>
      <c r="K5572" s="495">
        <v>24.1</v>
      </c>
      <c r="L5572" s="495">
        <f t="shared" si="66"/>
        <v>205.9</v>
      </c>
      <c r="M5572" s="337"/>
    </row>
    <row r="5573" spans="1:13" s="71" customFormat="1" ht="26.4" customHeight="1">
      <c r="A5573" s="282">
        <v>170</v>
      </c>
      <c r="B5573" s="535"/>
      <c r="C5573" s="440" t="s">
        <v>7420</v>
      </c>
      <c r="D5573" s="440" t="s">
        <v>7421</v>
      </c>
      <c r="E5573" s="440" t="s">
        <v>7426</v>
      </c>
      <c r="F5573" s="393">
        <v>66033</v>
      </c>
      <c r="G5573" s="311">
        <v>2000</v>
      </c>
      <c r="H5573" s="396" t="s">
        <v>1149</v>
      </c>
      <c r="I5573" s="470">
        <v>129.19999999999999</v>
      </c>
      <c r="J5573" s="495">
        <v>259.89999999999998</v>
      </c>
      <c r="K5573" s="495">
        <v>38.5</v>
      </c>
      <c r="L5573" s="495">
        <f t="shared" si="66"/>
        <v>221.39999999999998</v>
      </c>
      <c r="M5573" s="337"/>
    </row>
    <row r="5574" spans="1:13" s="71" customFormat="1" ht="26.4" customHeight="1">
      <c r="A5574" s="282">
        <v>171</v>
      </c>
      <c r="B5574" s="535"/>
      <c r="C5574" s="440" t="s">
        <v>7420</v>
      </c>
      <c r="D5574" s="440" t="s">
        <v>7421</v>
      </c>
      <c r="E5574" s="440" t="s">
        <v>953</v>
      </c>
      <c r="F5574" s="393">
        <v>66415</v>
      </c>
      <c r="G5574" s="311">
        <v>2002</v>
      </c>
      <c r="H5574" s="396" t="s">
        <v>1149</v>
      </c>
      <c r="I5574" s="470">
        <v>27.5</v>
      </c>
      <c r="J5574" s="495">
        <v>171.3</v>
      </c>
      <c r="K5574" s="495">
        <v>58.5</v>
      </c>
      <c r="L5574" s="495">
        <f t="shared" si="66"/>
        <v>112.80000000000001</v>
      </c>
      <c r="M5574" s="337"/>
    </row>
    <row r="5575" spans="1:13" s="71" customFormat="1" ht="26.4" customHeight="1">
      <c r="A5575" s="282">
        <v>172</v>
      </c>
      <c r="B5575" s="535"/>
      <c r="C5575" s="440" t="s">
        <v>7420</v>
      </c>
      <c r="D5575" s="440" t="s">
        <v>7421</v>
      </c>
      <c r="E5575" s="440" t="s">
        <v>7427</v>
      </c>
      <c r="F5575" s="393">
        <v>66557</v>
      </c>
      <c r="G5575" s="311">
        <v>2003</v>
      </c>
      <c r="H5575" s="396" t="s">
        <v>3</v>
      </c>
      <c r="I5575" s="470" t="s">
        <v>6689</v>
      </c>
      <c r="J5575" s="495">
        <v>150.9</v>
      </c>
      <c r="K5575" s="495">
        <v>150.80000000000001</v>
      </c>
      <c r="L5575" s="495">
        <f t="shared" si="66"/>
        <v>9.9999999999994316E-2</v>
      </c>
      <c r="M5575" s="337"/>
    </row>
    <row r="5576" spans="1:13" s="71" customFormat="1" ht="26.4" customHeight="1">
      <c r="A5576" s="282">
        <v>173</v>
      </c>
      <c r="B5576" s="535"/>
      <c r="C5576" s="440" t="s">
        <v>7420</v>
      </c>
      <c r="D5576" s="440" t="s">
        <v>7421</v>
      </c>
      <c r="E5576" s="440" t="s">
        <v>7428</v>
      </c>
      <c r="F5576" s="393">
        <v>333656</v>
      </c>
      <c r="G5576" s="311">
        <v>2009</v>
      </c>
      <c r="H5576" s="396" t="s">
        <v>3</v>
      </c>
      <c r="I5576" s="470" t="s">
        <v>6689</v>
      </c>
      <c r="J5576" s="495">
        <v>9.6</v>
      </c>
      <c r="K5576" s="495">
        <v>4.0999999999999996</v>
      </c>
      <c r="L5576" s="495">
        <f t="shared" si="66"/>
        <v>5.5</v>
      </c>
      <c r="M5576" s="337"/>
    </row>
    <row r="5577" spans="1:13" s="71" customFormat="1" ht="26.4" customHeight="1">
      <c r="A5577" s="282">
        <v>174</v>
      </c>
      <c r="B5577" s="535"/>
      <c r="C5577" s="440" t="s">
        <v>7429</v>
      </c>
      <c r="D5577" s="440" t="s">
        <v>7430</v>
      </c>
      <c r="E5577" s="440" t="s">
        <v>7431</v>
      </c>
      <c r="F5577" s="393">
        <v>10045</v>
      </c>
      <c r="G5577" s="311">
        <v>1971</v>
      </c>
      <c r="H5577" s="396" t="s">
        <v>1149</v>
      </c>
      <c r="I5577" s="470">
        <v>1620</v>
      </c>
      <c r="J5577" s="495">
        <v>934.5</v>
      </c>
      <c r="K5577" s="495">
        <v>910</v>
      </c>
      <c r="L5577" s="495">
        <f t="shared" si="66"/>
        <v>24.5</v>
      </c>
      <c r="M5577" s="337"/>
    </row>
    <row r="5578" spans="1:13" s="71" customFormat="1" ht="26.4" customHeight="1">
      <c r="A5578" s="282">
        <v>175</v>
      </c>
      <c r="B5578" s="535"/>
      <c r="C5578" s="440" t="s">
        <v>7429</v>
      </c>
      <c r="D5578" s="440" t="s">
        <v>7430</v>
      </c>
      <c r="E5578" s="440" t="s">
        <v>7274</v>
      </c>
      <c r="F5578" s="393">
        <v>10046</v>
      </c>
      <c r="G5578" s="311">
        <v>1971</v>
      </c>
      <c r="H5578" s="396" t="s">
        <v>1149</v>
      </c>
      <c r="I5578" s="470">
        <v>21.6</v>
      </c>
      <c r="J5578" s="495">
        <v>4.7</v>
      </c>
      <c r="K5578" s="495">
        <v>4.4000000000000004</v>
      </c>
      <c r="L5578" s="495">
        <f t="shared" si="66"/>
        <v>0.29999999999999982</v>
      </c>
      <c r="M5578" s="337"/>
    </row>
    <row r="5579" spans="1:13" s="71" customFormat="1" ht="26.4" customHeight="1">
      <c r="A5579" s="282">
        <v>176</v>
      </c>
      <c r="B5579" s="535"/>
      <c r="C5579" s="440" t="s">
        <v>7429</v>
      </c>
      <c r="D5579" s="440" t="s">
        <v>7430</v>
      </c>
      <c r="E5579" s="440" t="s">
        <v>1143</v>
      </c>
      <c r="F5579" s="393">
        <v>20055</v>
      </c>
      <c r="G5579" s="311">
        <v>1971</v>
      </c>
      <c r="H5579" s="396" t="s">
        <v>1149</v>
      </c>
      <c r="I5579" s="470">
        <v>2000</v>
      </c>
      <c r="J5579" s="495">
        <v>429.7</v>
      </c>
      <c r="K5579" s="495">
        <v>429.7</v>
      </c>
      <c r="L5579" s="495">
        <f t="shared" si="66"/>
        <v>0</v>
      </c>
      <c r="M5579" s="337"/>
    </row>
    <row r="5580" spans="1:13" s="71" customFormat="1" ht="26.4" customHeight="1">
      <c r="A5580" s="282">
        <v>177</v>
      </c>
      <c r="B5580" s="535"/>
      <c r="C5580" s="440" t="s">
        <v>7429</v>
      </c>
      <c r="D5580" s="440" t="s">
        <v>7430</v>
      </c>
      <c r="E5580" s="440" t="s">
        <v>7432</v>
      </c>
      <c r="F5580" s="393">
        <v>20059</v>
      </c>
      <c r="G5580" s="311">
        <v>1973</v>
      </c>
      <c r="H5580" s="396" t="s">
        <v>8329</v>
      </c>
      <c r="I5580" s="470">
        <v>3000</v>
      </c>
      <c r="J5580" s="495">
        <v>777.5</v>
      </c>
      <c r="K5580" s="495">
        <v>769.2</v>
      </c>
      <c r="L5580" s="495">
        <f t="shared" si="66"/>
        <v>8.2999999999999545</v>
      </c>
      <c r="M5580" s="337"/>
    </row>
    <row r="5581" spans="1:13" s="71" customFormat="1" ht="26.4" customHeight="1">
      <c r="A5581" s="282">
        <v>178</v>
      </c>
      <c r="B5581" s="535"/>
      <c r="C5581" s="440" t="s">
        <v>7429</v>
      </c>
      <c r="D5581" s="440" t="s">
        <v>7430</v>
      </c>
      <c r="E5581" s="440" t="s">
        <v>7433</v>
      </c>
      <c r="F5581" s="393">
        <v>20064</v>
      </c>
      <c r="G5581" s="311">
        <v>1977</v>
      </c>
      <c r="H5581" s="396" t="s">
        <v>1149</v>
      </c>
      <c r="I5581" s="470">
        <v>24</v>
      </c>
      <c r="J5581" s="495">
        <v>22.3</v>
      </c>
      <c r="K5581" s="495">
        <v>22.1</v>
      </c>
      <c r="L5581" s="495">
        <f t="shared" si="66"/>
        <v>0.19999999999999929</v>
      </c>
      <c r="M5581" s="337"/>
    </row>
    <row r="5582" spans="1:13" s="71" customFormat="1" ht="26.4" customHeight="1">
      <c r="A5582" s="282">
        <v>179</v>
      </c>
      <c r="B5582" s="535"/>
      <c r="C5582" s="440" t="s">
        <v>7429</v>
      </c>
      <c r="D5582" s="440" t="s">
        <v>7430</v>
      </c>
      <c r="E5582" s="440" t="s">
        <v>7434</v>
      </c>
      <c r="F5582" s="393">
        <v>333864</v>
      </c>
      <c r="G5582" s="311">
        <v>2012</v>
      </c>
      <c r="H5582" s="396" t="s">
        <v>3</v>
      </c>
      <c r="I5582" s="470" t="s">
        <v>3</v>
      </c>
      <c r="J5582" s="495">
        <v>28.4</v>
      </c>
      <c r="K5582" s="495">
        <v>14.2</v>
      </c>
      <c r="L5582" s="495">
        <f t="shared" si="66"/>
        <v>14.2</v>
      </c>
      <c r="M5582" s="337"/>
    </row>
    <row r="5583" spans="1:13" s="71" customFormat="1" ht="26.4" customHeight="1">
      <c r="A5583" s="282">
        <v>180</v>
      </c>
      <c r="B5583" s="535"/>
      <c r="C5583" s="450" t="s">
        <v>7285</v>
      </c>
      <c r="D5583" s="440" t="s">
        <v>7286</v>
      </c>
      <c r="E5583" s="440" t="s">
        <v>7435</v>
      </c>
      <c r="F5583" s="393">
        <v>30091</v>
      </c>
      <c r="G5583" s="311">
        <v>1958</v>
      </c>
      <c r="H5583" s="396" t="s">
        <v>3</v>
      </c>
      <c r="I5583" s="470" t="s">
        <v>6689</v>
      </c>
      <c r="J5583" s="495">
        <v>11.9</v>
      </c>
      <c r="K5583" s="495">
        <v>11.8</v>
      </c>
      <c r="L5583" s="495">
        <f t="shared" si="66"/>
        <v>9.9999999999999645E-2</v>
      </c>
      <c r="M5583" s="337"/>
    </row>
    <row r="5584" spans="1:13" s="71" customFormat="1" ht="26.4" customHeight="1">
      <c r="A5584" s="282">
        <v>181</v>
      </c>
      <c r="B5584" s="535"/>
      <c r="C5584" s="450" t="s">
        <v>7436</v>
      </c>
      <c r="D5584" s="440" t="s">
        <v>7286</v>
      </c>
      <c r="E5584" s="440" t="s">
        <v>7437</v>
      </c>
      <c r="F5584" s="393">
        <v>30093</v>
      </c>
      <c r="G5584" s="311">
        <v>1958</v>
      </c>
      <c r="H5584" s="396" t="s">
        <v>3</v>
      </c>
      <c r="I5584" s="470" t="s">
        <v>6689</v>
      </c>
      <c r="J5584" s="495">
        <v>31.2</v>
      </c>
      <c r="K5584" s="495">
        <v>30.6</v>
      </c>
      <c r="L5584" s="495">
        <f t="shared" si="66"/>
        <v>0.59999999999999787</v>
      </c>
      <c r="M5584" s="337"/>
    </row>
    <row r="5585" spans="1:13" s="71" customFormat="1" ht="26.4" customHeight="1">
      <c r="A5585" s="282">
        <v>182</v>
      </c>
      <c r="B5585" s="535"/>
      <c r="C5585" s="450" t="s">
        <v>7438</v>
      </c>
      <c r="D5585" s="440" t="s">
        <v>7439</v>
      </c>
      <c r="E5585" s="440" t="s">
        <v>7440</v>
      </c>
      <c r="F5585" s="393">
        <v>30094</v>
      </c>
      <c r="G5585" s="311">
        <v>1961</v>
      </c>
      <c r="H5585" s="396" t="s">
        <v>3</v>
      </c>
      <c r="I5585" s="470" t="s">
        <v>6689</v>
      </c>
      <c r="J5585" s="495">
        <v>44.3</v>
      </c>
      <c r="K5585" s="495">
        <v>44.3</v>
      </c>
      <c r="L5585" s="495">
        <f t="shared" si="66"/>
        <v>0</v>
      </c>
      <c r="M5585" s="337"/>
    </row>
    <row r="5586" spans="1:13" s="71" customFormat="1" ht="26.4" customHeight="1">
      <c r="A5586" s="282">
        <v>183</v>
      </c>
      <c r="B5586" s="535"/>
      <c r="C5586" s="450" t="s">
        <v>7438</v>
      </c>
      <c r="D5586" s="440" t="s">
        <v>7439</v>
      </c>
      <c r="E5586" s="440" t="s">
        <v>7441</v>
      </c>
      <c r="F5586" s="393">
        <v>30101</v>
      </c>
      <c r="G5586" s="311">
        <v>1958</v>
      </c>
      <c r="H5586" s="396" t="s">
        <v>3</v>
      </c>
      <c r="I5586" s="470" t="s">
        <v>6689</v>
      </c>
      <c r="J5586" s="495">
        <v>29.7</v>
      </c>
      <c r="K5586" s="495">
        <v>28.7</v>
      </c>
      <c r="L5586" s="495">
        <f t="shared" si="66"/>
        <v>1</v>
      </c>
      <c r="M5586" s="337"/>
    </row>
    <row r="5587" spans="1:13" s="71" customFormat="1" ht="26.4" customHeight="1">
      <c r="A5587" s="282">
        <v>184</v>
      </c>
      <c r="B5587" s="535"/>
      <c r="C5587" s="450" t="s">
        <v>7438</v>
      </c>
      <c r="D5587" s="440" t="s">
        <v>7439</v>
      </c>
      <c r="E5587" s="440" t="s">
        <v>7442</v>
      </c>
      <c r="F5587" s="393">
        <v>30102</v>
      </c>
      <c r="G5587" s="311">
        <v>1973</v>
      </c>
      <c r="H5587" s="396" t="s">
        <v>3</v>
      </c>
      <c r="I5587" s="470" t="s">
        <v>6689</v>
      </c>
      <c r="J5587" s="495">
        <v>167.6</v>
      </c>
      <c r="K5587" s="495">
        <v>163.1</v>
      </c>
      <c r="L5587" s="495">
        <f t="shared" si="66"/>
        <v>4.5</v>
      </c>
      <c r="M5587" s="337"/>
    </row>
    <row r="5588" spans="1:13" s="71" customFormat="1" ht="26.4" customHeight="1">
      <c r="A5588" s="282">
        <v>185</v>
      </c>
      <c r="B5588" s="535"/>
      <c r="C5588" s="450" t="s">
        <v>7438</v>
      </c>
      <c r="D5588" s="440" t="s">
        <v>7439</v>
      </c>
      <c r="E5588" s="440" t="s">
        <v>7443</v>
      </c>
      <c r="F5588" s="393">
        <v>30082</v>
      </c>
      <c r="G5588" s="311">
        <v>1961</v>
      </c>
      <c r="H5588" s="396" t="s">
        <v>3</v>
      </c>
      <c r="I5588" s="470" t="s">
        <v>6689</v>
      </c>
      <c r="J5588" s="495">
        <v>19.100000000000001</v>
      </c>
      <c r="K5588" s="495">
        <v>10.7</v>
      </c>
      <c r="L5588" s="495">
        <f t="shared" si="66"/>
        <v>8.4000000000000021</v>
      </c>
      <c r="M5588" s="337"/>
    </row>
    <row r="5589" spans="1:13" s="71" customFormat="1" ht="26.4" customHeight="1">
      <c r="A5589" s="282">
        <v>186</v>
      </c>
      <c r="B5589" s="535"/>
      <c r="C5589" s="450" t="s">
        <v>7438</v>
      </c>
      <c r="D5589" s="440" t="s">
        <v>7439</v>
      </c>
      <c r="E5589" s="440" t="s">
        <v>7444</v>
      </c>
      <c r="F5589" s="393">
        <v>30085</v>
      </c>
      <c r="G5589" s="311">
        <v>1962</v>
      </c>
      <c r="H5589" s="396" t="s">
        <v>3</v>
      </c>
      <c r="I5589" s="470" t="s">
        <v>6689</v>
      </c>
      <c r="J5589" s="495">
        <v>47.5</v>
      </c>
      <c r="K5589" s="495">
        <v>45.8</v>
      </c>
      <c r="L5589" s="495">
        <f t="shared" si="66"/>
        <v>1.7000000000000028</v>
      </c>
      <c r="M5589" s="337"/>
    </row>
    <row r="5590" spans="1:13" s="71" customFormat="1" ht="26.4" customHeight="1">
      <c r="A5590" s="282">
        <v>187</v>
      </c>
      <c r="B5590" s="535"/>
      <c r="C5590" s="450" t="s">
        <v>7438</v>
      </c>
      <c r="D5590" s="440" t="s">
        <v>7439</v>
      </c>
      <c r="E5590" s="440" t="s">
        <v>7445</v>
      </c>
      <c r="F5590" s="393">
        <v>30086</v>
      </c>
      <c r="G5590" s="311">
        <v>1967</v>
      </c>
      <c r="H5590" s="396" t="s">
        <v>3</v>
      </c>
      <c r="I5590" s="470" t="s">
        <v>6689</v>
      </c>
      <c r="J5590" s="495">
        <v>34.700000000000003</v>
      </c>
      <c r="K5590" s="495">
        <v>30.5</v>
      </c>
      <c r="L5590" s="495">
        <f t="shared" si="66"/>
        <v>4.2000000000000028</v>
      </c>
      <c r="M5590" s="337"/>
    </row>
    <row r="5591" spans="1:13" s="71" customFormat="1" ht="26.4" customHeight="1">
      <c r="A5591" s="397">
        <v>188</v>
      </c>
      <c r="B5591" s="535"/>
      <c r="C5591" s="450" t="s">
        <v>7438</v>
      </c>
      <c r="D5591" s="440" t="s">
        <v>7439</v>
      </c>
      <c r="E5591" s="440" t="s">
        <v>7446</v>
      </c>
      <c r="F5591" s="398" t="s">
        <v>7447</v>
      </c>
      <c r="G5591" s="399">
        <v>1973</v>
      </c>
      <c r="H5591" s="452" t="s">
        <v>3</v>
      </c>
      <c r="I5591" s="487" t="s">
        <v>6689</v>
      </c>
      <c r="J5591" s="498">
        <v>437</v>
      </c>
      <c r="K5591" s="498">
        <v>370.3</v>
      </c>
      <c r="L5591" s="498">
        <f t="shared" si="66"/>
        <v>66.699999999999989</v>
      </c>
      <c r="M5591" s="337"/>
    </row>
    <row r="5592" spans="1:13" s="71" customFormat="1" ht="26.4" customHeight="1">
      <c r="A5592" s="324" t="s">
        <v>3</v>
      </c>
      <c r="B5592" s="341" t="s">
        <v>4</v>
      </c>
      <c r="C5592" s="341"/>
      <c r="D5592" s="341"/>
      <c r="E5592" s="341"/>
      <c r="F5592" s="341"/>
      <c r="G5592" s="341"/>
      <c r="H5592" s="325"/>
      <c r="I5592" s="325"/>
      <c r="J5592" s="390">
        <f>SUM(J5404:J5591)</f>
        <v>222920.10000000009</v>
      </c>
      <c r="K5592" s="390">
        <f>SUM(K5404:K5591)</f>
        <v>155357.40000000005</v>
      </c>
      <c r="L5592" s="390">
        <f>SUM(L5404:L5591)</f>
        <v>67562.699999999953</v>
      </c>
      <c r="M5592" s="337"/>
    </row>
    <row r="5593" spans="1:13" s="71" customFormat="1" ht="26.4" customHeight="1">
      <c r="A5593" s="282">
        <v>1</v>
      </c>
      <c r="B5593" s="534" t="s">
        <v>7448</v>
      </c>
      <c r="C5593" s="307" t="s">
        <v>16</v>
      </c>
      <c r="D5593" s="307" t="s">
        <v>7449</v>
      </c>
      <c r="E5593" s="444" t="s">
        <v>7450</v>
      </c>
      <c r="F5593" s="310">
        <v>706727</v>
      </c>
      <c r="G5593" s="311">
        <v>1972</v>
      </c>
      <c r="H5593" s="329" t="s">
        <v>3</v>
      </c>
      <c r="I5593" s="313" t="s">
        <v>3</v>
      </c>
      <c r="J5593" s="314">
        <v>5.3</v>
      </c>
      <c r="K5593" s="314">
        <v>5.3</v>
      </c>
      <c r="L5593" s="314">
        <f t="shared" ref="L5593:L5656" si="67">J5593-K5593</f>
        <v>0</v>
      </c>
      <c r="M5593" s="337"/>
    </row>
    <row r="5594" spans="1:13" s="71" customFormat="1" ht="26.4" customHeight="1">
      <c r="A5594" s="282">
        <v>2</v>
      </c>
      <c r="B5594" s="534"/>
      <c r="C5594" s="307" t="s">
        <v>16</v>
      </c>
      <c r="D5594" s="307" t="s">
        <v>7449</v>
      </c>
      <c r="E5594" s="444" t="s">
        <v>7451</v>
      </c>
      <c r="F5594" s="310">
        <v>70402</v>
      </c>
      <c r="G5594" s="311">
        <v>1972</v>
      </c>
      <c r="H5594" s="329" t="s">
        <v>3</v>
      </c>
      <c r="I5594" s="313" t="s">
        <v>3</v>
      </c>
      <c r="J5594" s="314">
        <v>31.2</v>
      </c>
      <c r="K5594" s="314">
        <v>16.899999999999999</v>
      </c>
      <c r="L5594" s="314">
        <f t="shared" si="67"/>
        <v>14.3</v>
      </c>
      <c r="M5594" s="337"/>
    </row>
    <row r="5595" spans="1:13" s="71" customFormat="1" ht="26.4" customHeight="1">
      <c r="A5595" s="282">
        <v>3</v>
      </c>
      <c r="B5595" s="534"/>
      <c r="C5595" s="307" t="s">
        <v>16</v>
      </c>
      <c r="D5595" s="307" t="s">
        <v>7449</v>
      </c>
      <c r="E5595" s="444" t="s">
        <v>7451</v>
      </c>
      <c r="F5595" s="310">
        <v>70403</v>
      </c>
      <c r="G5595" s="311">
        <v>1972</v>
      </c>
      <c r="H5595" s="329" t="s">
        <v>3</v>
      </c>
      <c r="I5595" s="313" t="s">
        <v>3</v>
      </c>
      <c r="J5595" s="314">
        <v>36.1</v>
      </c>
      <c r="K5595" s="314">
        <v>23.8</v>
      </c>
      <c r="L5595" s="314">
        <f t="shared" si="67"/>
        <v>12.3</v>
      </c>
      <c r="M5595" s="337"/>
    </row>
    <row r="5596" spans="1:13" s="71" customFormat="1" ht="26.4" customHeight="1">
      <c r="A5596" s="282">
        <v>4</v>
      </c>
      <c r="B5596" s="534"/>
      <c r="C5596" s="307" t="s">
        <v>16</v>
      </c>
      <c r="D5596" s="307" t="s">
        <v>7449</v>
      </c>
      <c r="E5596" s="444" t="s">
        <v>7452</v>
      </c>
      <c r="F5596" s="310">
        <v>70468</v>
      </c>
      <c r="G5596" s="311">
        <v>1997</v>
      </c>
      <c r="H5596" s="329" t="s">
        <v>3</v>
      </c>
      <c r="I5596" s="313" t="s">
        <v>3</v>
      </c>
      <c r="J5596" s="314">
        <v>5</v>
      </c>
      <c r="K5596" s="314">
        <v>4.7</v>
      </c>
      <c r="L5596" s="314">
        <f t="shared" si="67"/>
        <v>0.29999999999999982</v>
      </c>
      <c r="M5596" s="337"/>
    </row>
    <row r="5597" spans="1:13" s="71" customFormat="1" ht="26.4" customHeight="1">
      <c r="A5597" s="282">
        <v>5</v>
      </c>
      <c r="B5597" s="534"/>
      <c r="C5597" s="307" t="s">
        <v>16</v>
      </c>
      <c r="D5597" s="307" t="s">
        <v>7449</v>
      </c>
      <c r="E5597" s="444" t="s">
        <v>13164</v>
      </c>
      <c r="F5597" s="310">
        <v>70471</v>
      </c>
      <c r="G5597" s="311">
        <v>1997</v>
      </c>
      <c r="H5597" s="329" t="s">
        <v>3</v>
      </c>
      <c r="I5597" s="313" t="s">
        <v>3</v>
      </c>
      <c r="J5597" s="314">
        <v>3.2</v>
      </c>
      <c r="K5597" s="314">
        <v>3</v>
      </c>
      <c r="L5597" s="314">
        <f t="shared" si="67"/>
        <v>0.20000000000000018</v>
      </c>
      <c r="M5597" s="337"/>
    </row>
    <row r="5598" spans="1:13" s="71" customFormat="1" ht="26.4" customHeight="1">
      <c r="A5598" s="282">
        <v>6</v>
      </c>
      <c r="B5598" s="534"/>
      <c r="C5598" s="307" t="s">
        <v>16</v>
      </c>
      <c r="D5598" s="307" t="s">
        <v>7449</v>
      </c>
      <c r="E5598" s="444" t="s">
        <v>13165</v>
      </c>
      <c r="F5598" s="310">
        <v>70472</v>
      </c>
      <c r="G5598" s="311">
        <v>1997</v>
      </c>
      <c r="H5598" s="329" t="s">
        <v>3</v>
      </c>
      <c r="I5598" s="313" t="s">
        <v>3</v>
      </c>
      <c r="J5598" s="314">
        <v>3.2</v>
      </c>
      <c r="K5598" s="314">
        <v>3</v>
      </c>
      <c r="L5598" s="314">
        <f t="shared" si="67"/>
        <v>0.20000000000000018</v>
      </c>
      <c r="M5598" s="337"/>
    </row>
    <row r="5599" spans="1:13" s="71" customFormat="1" ht="26.4" customHeight="1">
      <c r="A5599" s="282">
        <v>7</v>
      </c>
      <c r="B5599" s="534"/>
      <c r="C5599" s="307" t="s">
        <v>16</v>
      </c>
      <c r="D5599" s="307" t="s">
        <v>7449</v>
      </c>
      <c r="E5599" s="444" t="s">
        <v>7453</v>
      </c>
      <c r="F5599" s="310">
        <v>70475</v>
      </c>
      <c r="G5599" s="311">
        <v>1997</v>
      </c>
      <c r="H5599" s="329" t="s">
        <v>3</v>
      </c>
      <c r="I5599" s="313" t="s">
        <v>3</v>
      </c>
      <c r="J5599" s="314">
        <v>6.8</v>
      </c>
      <c r="K5599" s="314">
        <v>6.4</v>
      </c>
      <c r="L5599" s="314">
        <f t="shared" si="67"/>
        <v>0.39999999999999947</v>
      </c>
      <c r="M5599" s="337"/>
    </row>
    <row r="5600" spans="1:13" s="71" customFormat="1" ht="26.4" customHeight="1">
      <c r="A5600" s="282">
        <v>8</v>
      </c>
      <c r="B5600" s="534"/>
      <c r="C5600" s="307" t="s">
        <v>16</v>
      </c>
      <c r="D5600" s="307" t="s">
        <v>7454</v>
      </c>
      <c r="E5600" s="444" t="s">
        <v>7455</v>
      </c>
      <c r="F5600" s="310">
        <v>70508</v>
      </c>
      <c r="G5600" s="311">
        <v>1993</v>
      </c>
      <c r="H5600" s="329" t="s">
        <v>3</v>
      </c>
      <c r="I5600" s="313" t="s">
        <v>3</v>
      </c>
      <c r="J5600" s="314">
        <v>11.7</v>
      </c>
      <c r="K5600" s="314">
        <v>7.7</v>
      </c>
      <c r="L5600" s="314">
        <f t="shared" si="67"/>
        <v>3.9999999999999991</v>
      </c>
      <c r="M5600" s="337"/>
    </row>
    <row r="5601" spans="1:13" s="71" customFormat="1" ht="26.4" customHeight="1">
      <c r="A5601" s="282">
        <v>9</v>
      </c>
      <c r="B5601" s="534"/>
      <c r="C5601" s="307" t="s">
        <v>16</v>
      </c>
      <c r="D5601" s="307" t="s">
        <v>7454</v>
      </c>
      <c r="E5601" s="444" t="s">
        <v>7456</v>
      </c>
      <c r="F5601" s="310">
        <v>70509</v>
      </c>
      <c r="G5601" s="311">
        <v>1935</v>
      </c>
      <c r="H5601" s="329" t="s">
        <v>3</v>
      </c>
      <c r="I5601" s="313" t="s">
        <v>3</v>
      </c>
      <c r="J5601" s="314">
        <v>9.6999999999999993</v>
      </c>
      <c r="K5601" s="314">
        <v>9.5</v>
      </c>
      <c r="L5601" s="314">
        <f t="shared" si="67"/>
        <v>0.19999999999999929</v>
      </c>
      <c r="M5601" s="337"/>
    </row>
    <row r="5602" spans="1:13" s="71" customFormat="1" ht="26.4" customHeight="1">
      <c r="A5602" s="282">
        <v>10</v>
      </c>
      <c r="B5602" s="534"/>
      <c r="C5602" s="307" t="s">
        <v>16</v>
      </c>
      <c r="D5602" s="307" t="s">
        <v>7449</v>
      </c>
      <c r="E5602" s="444" t="s">
        <v>7457</v>
      </c>
      <c r="F5602" s="310">
        <v>70477</v>
      </c>
      <c r="G5602" s="311">
        <v>1997</v>
      </c>
      <c r="H5602" s="329" t="s">
        <v>3</v>
      </c>
      <c r="I5602" s="313" t="s">
        <v>3</v>
      </c>
      <c r="J5602" s="314">
        <v>5</v>
      </c>
      <c r="K5602" s="314">
        <v>4.7</v>
      </c>
      <c r="L5602" s="314">
        <f t="shared" si="67"/>
        <v>0.29999999999999982</v>
      </c>
      <c r="M5602" s="337"/>
    </row>
    <row r="5603" spans="1:13" s="71" customFormat="1" ht="26.4" customHeight="1">
      <c r="A5603" s="282">
        <v>11</v>
      </c>
      <c r="B5603" s="534"/>
      <c r="C5603" s="307" t="s">
        <v>16</v>
      </c>
      <c r="D5603" s="307" t="s">
        <v>7449</v>
      </c>
      <c r="E5603" s="444" t="s">
        <v>7458</v>
      </c>
      <c r="F5603" s="310">
        <v>70684</v>
      </c>
      <c r="G5603" s="311">
        <v>1994</v>
      </c>
      <c r="H5603" s="329" t="s">
        <v>3</v>
      </c>
      <c r="I5603" s="313" t="s">
        <v>3</v>
      </c>
      <c r="J5603" s="314">
        <v>7.4</v>
      </c>
      <c r="K5603" s="314">
        <v>7</v>
      </c>
      <c r="L5603" s="314">
        <f t="shared" si="67"/>
        <v>0.40000000000000036</v>
      </c>
      <c r="M5603" s="337"/>
    </row>
    <row r="5604" spans="1:13" s="71" customFormat="1" ht="26.4" customHeight="1">
      <c r="A5604" s="282">
        <v>12</v>
      </c>
      <c r="B5604" s="534"/>
      <c r="C5604" s="307" t="s">
        <v>16</v>
      </c>
      <c r="D5604" s="307" t="s">
        <v>7459</v>
      </c>
      <c r="E5604" s="444" t="s">
        <v>7460</v>
      </c>
      <c r="F5604" s="310">
        <v>70780</v>
      </c>
      <c r="G5604" s="311">
        <v>1988</v>
      </c>
      <c r="H5604" s="329" t="s">
        <v>1149</v>
      </c>
      <c r="I5604" s="313">
        <v>316.8</v>
      </c>
      <c r="J5604" s="314">
        <v>632.1</v>
      </c>
      <c r="K5604" s="314">
        <v>349.7</v>
      </c>
      <c r="L5604" s="314">
        <f t="shared" si="67"/>
        <v>282.40000000000003</v>
      </c>
      <c r="M5604" s="337"/>
    </row>
    <row r="5605" spans="1:13" s="71" customFormat="1" ht="26.4" customHeight="1">
      <c r="A5605" s="282">
        <v>13</v>
      </c>
      <c r="B5605" s="534"/>
      <c r="C5605" s="307" t="s">
        <v>16</v>
      </c>
      <c r="D5605" s="307" t="s">
        <v>7459</v>
      </c>
      <c r="E5605" s="444" t="s">
        <v>7461</v>
      </c>
      <c r="F5605" s="310">
        <v>70781</v>
      </c>
      <c r="G5605" s="311">
        <v>1988</v>
      </c>
      <c r="H5605" s="329" t="s">
        <v>1149</v>
      </c>
      <c r="I5605" s="313">
        <v>172</v>
      </c>
      <c r="J5605" s="314">
        <v>632.1</v>
      </c>
      <c r="K5605" s="314">
        <v>349.7</v>
      </c>
      <c r="L5605" s="314">
        <f t="shared" si="67"/>
        <v>282.40000000000003</v>
      </c>
      <c r="M5605" s="337"/>
    </row>
    <row r="5606" spans="1:13" s="71" customFormat="1" ht="26.4" customHeight="1">
      <c r="A5606" s="282">
        <v>14</v>
      </c>
      <c r="B5606" s="534"/>
      <c r="C5606" s="307" t="s">
        <v>16</v>
      </c>
      <c r="D5606" s="307" t="s">
        <v>7459</v>
      </c>
      <c r="E5606" s="444" t="s">
        <v>7462</v>
      </c>
      <c r="F5606" s="310">
        <v>610021</v>
      </c>
      <c r="G5606" s="311">
        <v>1988</v>
      </c>
      <c r="H5606" s="329" t="s">
        <v>1149</v>
      </c>
      <c r="I5606" s="313">
        <v>121.8</v>
      </c>
      <c r="J5606" s="314">
        <v>171.5</v>
      </c>
      <c r="K5606" s="314">
        <v>128.69999999999999</v>
      </c>
      <c r="L5606" s="314">
        <f t="shared" si="67"/>
        <v>42.800000000000011</v>
      </c>
      <c r="M5606" s="337"/>
    </row>
    <row r="5607" spans="1:13" s="71" customFormat="1" ht="26.4" customHeight="1">
      <c r="A5607" s="282">
        <v>15</v>
      </c>
      <c r="B5607" s="534"/>
      <c r="C5607" s="307" t="s">
        <v>16</v>
      </c>
      <c r="D5607" s="307" t="s">
        <v>7459</v>
      </c>
      <c r="E5607" s="444" t="s">
        <v>7463</v>
      </c>
      <c r="F5607" s="310">
        <v>70740</v>
      </c>
      <c r="G5607" s="311">
        <v>1988</v>
      </c>
      <c r="H5607" s="329" t="s">
        <v>1149</v>
      </c>
      <c r="I5607" s="313">
        <v>329.3</v>
      </c>
      <c r="J5607" s="314">
        <v>365.2</v>
      </c>
      <c r="K5607" s="314">
        <v>164.3</v>
      </c>
      <c r="L5607" s="314">
        <f t="shared" si="67"/>
        <v>200.89999999999998</v>
      </c>
      <c r="M5607" s="337"/>
    </row>
    <row r="5608" spans="1:13" s="71" customFormat="1" ht="26.4" customHeight="1">
      <c r="A5608" s="282">
        <v>16</v>
      </c>
      <c r="B5608" s="534"/>
      <c r="C5608" s="307" t="s">
        <v>16</v>
      </c>
      <c r="D5608" s="307" t="s">
        <v>7459</v>
      </c>
      <c r="E5608" s="444" t="s">
        <v>7464</v>
      </c>
      <c r="F5608" s="310">
        <v>610025</v>
      </c>
      <c r="G5608" s="311">
        <v>1988</v>
      </c>
      <c r="H5608" s="329" t="s">
        <v>1149</v>
      </c>
      <c r="I5608" s="313">
        <v>586</v>
      </c>
      <c r="J5608" s="314">
        <v>177.2</v>
      </c>
      <c r="K5608" s="314">
        <v>110.8</v>
      </c>
      <c r="L5608" s="314">
        <f t="shared" si="67"/>
        <v>66.399999999999991</v>
      </c>
      <c r="M5608" s="337"/>
    </row>
    <row r="5609" spans="1:13" s="71" customFormat="1" ht="26.4" customHeight="1">
      <c r="A5609" s="282">
        <v>17</v>
      </c>
      <c r="B5609" s="534"/>
      <c r="C5609" s="307" t="s">
        <v>16</v>
      </c>
      <c r="D5609" s="307" t="s">
        <v>7459</v>
      </c>
      <c r="E5609" s="444" t="s">
        <v>7465</v>
      </c>
      <c r="F5609" s="310">
        <v>70695</v>
      </c>
      <c r="G5609" s="311">
        <v>1988</v>
      </c>
      <c r="H5609" s="329" t="s">
        <v>1149</v>
      </c>
      <c r="I5609" s="313">
        <v>84.9</v>
      </c>
      <c r="J5609" s="314">
        <v>160.30000000000001</v>
      </c>
      <c r="K5609" s="314">
        <v>54.7</v>
      </c>
      <c r="L5609" s="314">
        <f t="shared" si="67"/>
        <v>105.60000000000001</v>
      </c>
      <c r="M5609" s="337"/>
    </row>
    <row r="5610" spans="1:13" s="71" customFormat="1" ht="26.4" customHeight="1">
      <c r="A5610" s="282">
        <v>18</v>
      </c>
      <c r="B5610" s="534"/>
      <c r="C5610" s="307" t="s">
        <v>16</v>
      </c>
      <c r="D5610" s="307" t="s">
        <v>7459</v>
      </c>
      <c r="E5610" s="444" t="s">
        <v>7466</v>
      </c>
      <c r="F5610" s="310">
        <v>70712</v>
      </c>
      <c r="G5610" s="311">
        <v>2001</v>
      </c>
      <c r="H5610" s="329" t="s">
        <v>1149</v>
      </c>
      <c r="I5610" s="313">
        <v>15.5</v>
      </c>
      <c r="J5610" s="314">
        <v>16.600000000000001</v>
      </c>
      <c r="K5610" s="314">
        <v>9</v>
      </c>
      <c r="L5610" s="314">
        <f t="shared" si="67"/>
        <v>7.6000000000000014</v>
      </c>
      <c r="M5610" s="337"/>
    </row>
    <row r="5611" spans="1:13" s="71" customFormat="1" ht="26.4" customHeight="1">
      <c r="A5611" s="282">
        <v>19</v>
      </c>
      <c r="B5611" s="534"/>
      <c r="C5611" s="307" t="s">
        <v>16</v>
      </c>
      <c r="D5611" s="307" t="s">
        <v>7459</v>
      </c>
      <c r="E5611" s="444" t="s">
        <v>7467</v>
      </c>
      <c r="F5611" s="310">
        <v>70908</v>
      </c>
      <c r="G5611" s="311">
        <v>1988</v>
      </c>
      <c r="H5611" s="329" t="s">
        <v>1149</v>
      </c>
      <c r="I5611" s="313">
        <v>1066.9000000000001</v>
      </c>
      <c r="J5611" s="314">
        <v>1576.9</v>
      </c>
      <c r="K5611" s="314">
        <v>1395.6</v>
      </c>
      <c r="L5611" s="314">
        <f t="shared" si="67"/>
        <v>181.30000000000018</v>
      </c>
      <c r="M5611" s="337"/>
    </row>
    <row r="5612" spans="1:13" s="71" customFormat="1" ht="26.4" customHeight="1">
      <c r="A5612" s="282">
        <v>20</v>
      </c>
      <c r="B5612" s="534"/>
      <c r="C5612" s="307" t="s">
        <v>16</v>
      </c>
      <c r="D5612" s="307" t="s">
        <v>7459</v>
      </c>
      <c r="E5612" s="444" t="s">
        <v>7468</v>
      </c>
      <c r="F5612" s="310">
        <v>705600</v>
      </c>
      <c r="G5612" s="311">
        <v>1974</v>
      </c>
      <c r="H5612" s="329" t="s">
        <v>1149</v>
      </c>
      <c r="I5612" s="313">
        <v>155.80000000000001</v>
      </c>
      <c r="J5612" s="314">
        <v>176.5</v>
      </c>
      <c r="K5612" s="314">
        <v>130</v>
      </c>
      <c r="L5612" s="314">
        <f t="shared" si="67"/>
        <v>46.5</v>
      </c>
      <c r="M5612" s="337"/>
    </row>
    <row r="5613" spans="1:13" s="71" customFormat="1" ht="26.4" customHeight="1">
      <c r="A5613" s="282">
        <v>21</v>
      </c>
      <c r="B5613" s="534"/>
      <c r="C5613" s="307" t="s">
        <v>16</v>
      </c>
      <c r="D5613" s="307" t="s">
        <v>7459</v>
      </c>
      <c r="E5613" s="444" t="s">
        <v>7469</v>
      </c>
      <c r="F5613" s="310">
        <v>610001</v>
      </c>
      <c r="G5613" s="311">
        <v>1972</v>
      </c>
      <c r="H5613" s="329" t="s">
        <v>3</v>
      </c>
      <c r="I5613" s="313" t="s">
        <v>3</v>
      </c>
      <c r="J5613" s="314">
        <v>22.8</v>
      </c>
      <c r="K5613" s="314">
        <v>22</v>
      </c>
      <c r="L5613" s="314">
        <f t="shared" si="67"/>
        <v>0.80000000000000071</v>
      </c>
      <c r="M5613" s="337"/>
    </row>
    <row r="5614" spans="1:13" s="71" customFormat="1" ht="26.4" customHeight="1">
      <c r="A5614" s="282">
        <v>22</v>
      </c>
      <c r="B5614" s="534"/>
      <c r="C5614" s="307" t="s">
        <v>16</v>
      </c>
      <c r="D5614" s="307" t="s">
        <v>7470</v>
      </c>
      <c r="E5614" s="444" t="s">
        <v>7471</v>
      </c>
      <c r="F5614" s="310">
        <v>70512</v>
      </c>
      <c r="G5614" s="311">
        <v>1991</v>
      </c>
      <c r="H5614" s="329" t="s">
        <v>1149</v>
      </c>
      <c r="I5614" s="313">
        <v>22.1</v>
      </c>
      <c r="J5614" s="314">
        <v>11.6</v>
      </c>
      <c r="K5614" s="314">
        <v>6.3</v>
      </c>
      <c r="L5614" s="314">
        <f t="shared" si="67"/>
        <v>5.3</v>
      </c>
      <c r="M5614" s="337"/>
    </row>
    <row r="5615" spans="1:13" s="71" customFormat="1" ht="26.4" customHeight="1">
      <c r="A5615" s="282">
        <v>23</v>
      </c>
      <c r="B5615" s="534"/>
      <c r="C5615" s="307" t="s">
        <v>16</v>
      </c>
      <c r="D5615" s="307" t="s">
        <v>7472</v>
      </c>
      <c r="E5615" s="444" t="s">
        <v>7473</v>
      </c>
      <c r="F5615" s="310">
        <v>70520</v>
      </c>
      <c r="G5615" s="311">
        <v>1956</v>
      </c>
      <c r="H5615" s="329" t="s">
        <v>1149</v>
      </c>
      <c r="I5615" s="313">
        <v>41.6</v>
      </c>
      <c r="J5615" s="314">
        <v>10.5</v>
      </c>
      <c r="K5615" s="314">
        <v>6</v>
      </c>
      <c r="L5615" s="314">
        <f t="shared" si="67"/>
        <v>4.5</v>
      </c>
      <c r="M5615" s="337"/>
    </row>
    <row r="5616" spans="1:13" s="71" customFormat="1" ht="26.4" customHeight="1">
      <c r="A5616" s="282">
        <v>24</v>
      </c>
      <c r="B5616" s="534"/>
      <c r="C5616" s="307" t="s">
        <v>16</v>
      </c>
      <c r="D5616" s="307" t="s">
        <v>7474</v>
      </c>
      <c r="E5616" s="444" t="s">
        <v>7475</v>
      </c>
      <c r="F5616" s="310">
        <v>70544</v>
      </c>
      <c r="G5616" s="311">
        <v>1976</v>
      </c>
      <c r="H5616" s="329" t="s">
        <v>1149</v>
      </c>
      <c r="I5616" s="313">
        <v>22.1</v>
      </c>
      <c r="J5616" s="314">
        <v>3.3</v>
      </c>
      <c r="K5616" s="314">
        <v>2.2999999999999998</v>
      </c>
      <c r="L5616" s="314">
        <f t="shared" si="67"/>
        <v>1</v>
      </c>
      <c r="M5616" s="337"/>
    </row>
    <row r="5617" spans="1:13" s="71" customFormat="1" ht="26.4" customHeight="1">
      <c r="A5617" s="282">
        <v>25</v>
      </c>
      <c r="B5617" s="534"/>
      <c r="C5617" s="307" t="s">
        <v>16</v>
      </c>
      <c r="D5617" s="307" t="s">
        <v>7476</v>
      </c>
      <c r="E5617" s="444" t="s">
        <v>7477</v>
      </c>
      <c r="F5617" s="310">
        <v>70516</v>
      </c>
      <c r="G5617" s="311">
        <v>1991</v>
      </c>
      <c r="H5617" s="329" t="s">
        <v>1149</v>
      </c>
      <c r="I5617" s="313">
        <v>24.8</v>
      </c>
      <c r="J5617" s="314">
        <v>165.6</v>
      </c>
      <c r="K5617" s="314">
        <v>93</v>
      </c>
      <c r="L5617" s="314">
        <f t="shared" si="67"/>
        <v>72.599999999999994</v>
      </c>
      <c r="M5617" s="337"/>
    </row>
    <row r="5618" spans="1:13" s="71" customFormat="1" ht="26.4" customHeight="1">
      <c r="A5618" s="282">
        <v>26</v>
      </c>
      <c r="B5618" s="534"/>
      <c r="C5618" s="307" t="s">
        <v>16</v>
      </c>
      <c r="D5618" s="307" t="s">
        <v>7478</v>
      </c>
      <c r="E5618" s="444" t="s">
        <v>7479</v>
      </c>
      <c r="F5618" s="310">
        <v>70527</v>
      </c>
      <c r="G5618" s="311">
        <v>1993</v>
      </c>
      <c r="H5618" s="329" t="s">
        <v>1149</v>
      </c>
      <c r="I5618" s="313">
        <v>15.9</v>
      </c>
      <c r="J5618" s="314">
        <v>34.700000000000003</v>
      </c>
      <c r="K5618" s="314">
        <v>19.100000000000001</v>
      </c>
      <c r="L5618" s="314">
        <f t="shared" si="67"/>
        <v>15.600000000000001</v>
      </c>
      <c r="M5618" s="337"/>
    </row>
    <row r="5619" spans="1:13" s="71" customFormat="1" ht="26.4" customHeight="1">
      <c r="A5619" s="282">
        <v>27</v>
      </c>
      <c r="B5619" s="534"/>
      <c r="C5619" s="307" t="s">
        <v>16</v>
      </c>
      <c r="D5619" s="307" t="s">
        <v>7480</v>
      </c>
      <c r="E5619" s="444" t="s">
        <v>7481</v>
      </c>
      <c r="F5619" s="310">
        <v>70533</v>
      </c>
      <c r="G5619" s="311">
        <v>1971</v>
      </c>
      <c r="H5619" s="329" t="s">
        <v>1149</v>
      </c>
      <c r="I5619" s="313">
        <v>25.2</v>
      </c>
      <c r="J5619" s="314">
        <v>27</v>
      </c>
      <c r="K5619" s="314">
        <v>20.9</v>
      </c>
      <c r="L5619" s="314">
        <f t="shared" si="67"/>
        <v>6.1000000000000014</v>
      </c>
      <c r="M5619" s="337"/>
    </row>
    <row r="5620" spans="1:13" s="71" customFormat="1" ht="26.4" customHeight="1">
      <c r="A5620" s="282">
        <v>28</v>
      </c>
      <c r="B5620" s="534"/>
      <c r="C5620" s="307" t="s">
        <v>16</v>
      </c>
      <c r="D5620" s="307" t="s">
        <v>7482</v>
      </c>
      <c r="E5620" s="444" t="s">
        <v>7483</v>
      </c>
      <c r="F5620" s="310">
        <v>70547</v>
      </c>
      <c r="G5620" s="311">
        <v>1982</v>
      </c>
      <c r="H5620" s="329" t="s">
        <v>1149</v>
      </c>
      <c r="I5620" s="313">
        <v>74.400000000000006</v>
      </c>
      <c r="J5620" s="314">
        <v>399.6</v>
      </c>
      <c r="K5620" s="314">
        <v>97.4</v>
      </c>
      <c r="L5620" s="314">
        <f t="shared" si="67"/>
        <v>302.20000000000005</v>
      </c>
      <c r="M5620" s="337"/>
    </row>
    <row r="5621" spans="1:13" s="71" customFormat="1" ht="26.4" customHeight="1">
      <c r="A5621" s="282">
        <v>29</v>
      </c>
      <c r="B5621" s="534"/>
      <c r="C5621" s="307" t="s">
        <v>16</v>
      </c>
      <c r="D5621" s="307" t="s">
        <v>7484</v>
      </c>
      <c r="E5621" s="444" t="s">
        <v>7485</v>
      </c>
      <c r="F5621" s="310">
        <v>70536</v>
      </c>
      <c r="G5621" s="311">
        <v>2004</v>
      </c>
      <c r="H5621" s="329" t="s">
        <v>3</v>
      </c>
      <c r="I5621" s="313">
        <v>0</v>
      </c>
      <c r="J5621" s="314">
        <v>79.400000000000006</v>
      </c>
      <c r="K5621" s="314">
        <v>53.4</v>
      </c>
      <c r="L5621" s="314">
        <f t="shared" si="67"/>
        <v>26.000000000000007</v>
      </c>
      <c r="M5621" s="337"/>
    </row>
    <row r="5622" spans="1:13" s="71" customFormat="1" ht="26.4" customHeight="1">
      <c r="A5622" s="282">
        <v>30</v>
      </c>
      <c r="B5622" s="534"/>
      <c r="C5622" s="307" t="s">
        <v>16</v>
      </c>
      <c r="D5622" s="307" t="s">
        <v>7482</v>
      </c>
      <c r="E5622" s="444" t="s">
        <v>7486</v>
      </c>
      <c r="F5622" s="310">
        <v>610004</v>
      </c>
      <c r="G5622" s="311">
        <v>2005</v>
      </c>
      <c r="H5622" s="329" t="s">
        <v>1149</v>
      </c>
      <c r="I5622" s="313">
        <v>75</v>
      </c>
      <c r="J5622" s="314">
        <v>35.9</v>
      </c>
      <c r="K5622" s="314">
        <v>35.9</v>
      </c>
      <c r="L5622" s="314">
        <f t="shared" si="67"/>
        <v>0</v>
      </c>
      <c r="M5622" s="337"/>
    </row>
    <row r="5623" spans="1:13" s="71" customFormat="1" ht="26.4" customHeight="1">
      <c r="A5623" s="282">
        <v>31</v>
      </c>
      <c r="B5623" s="534"/>
      <c r="C5623" s="307" t="s">
        <v>16</v>
      </c>
      <c r="D5623" s="307" t="s">
        <v>7487</v>
      </c>
      <c r="E5623" s="444" t="s">
        <v>7488</v>
      </c>
      <c r="F5623" s="310">
        <v>70624</v>
      </c>
      <c r="G5623" s="311">
        <v>2002</v>
      </c>
      <c r="H5623" s="329" t="s">
        <v>1149</v>
      </c>
      <c r="I5623" s="313">
        <v>252.2</v>
      </c>
      <c r="J5623" s="314">
        <v>16.3</v>
      </c>
      <c r="K5623" s="314">
        <v>6.7</v>
      </c>
      <c r="L5623" s="314">
        <f t="shared" si="67"/>
        <v>9.6000000000000014</v>
      </c>
      <c r="M5623" s="337"/>
    </row>
    <row r="5624" spans="1:13" s="71" customFormat="1" ht="26.4" customHeight="1">
      <c r="A5624" s="282">
        <v>32</v>
      </c>
      <c r="B5624" s="534"/>
      <c r="C5624" s="307" t="s">
        <v>16</v>
      </c>
      <c r="D5624" s="307" t="s">
        <v>7487</v>
      </c>
      <c r="E5624" s="444" t="s">
        <v>7489</v>
      </c>
      <c r="F5624" s="310">
        <v>70559</v>
      </c>
      <c r="G5624" s="311">
        <v>1995</v>
      </c>
      <c r="H5624" s="329" t="s">
        <v>1149</v>
      </c>
      <c r="I5624" s="313">
        <v>999.8</v>
      </c>
      <c r="J5624" s="314">
        <v>390</v>
      </c>
      <c r="K5624" s="314">
        <v>375.2</v>
      </c>
      <c r="L5624" s="314">
        <f t="shared" si="67"/>
        <v>14.800000000000011</v>
      </c>
      <c r="M5624" s="337"/>
    </row>
    <row r="5625" spans="1:13" s="71" customFormat="1" ht="26.4" customHeight="1">
      <c r="A5625" s="282">
        <v>33</v>
      </c>
      <c r="B5625" s="534"/>
      <c r="C5625" s="307" t="s">
        <v>16</v>
      </c>
      <c r="D5625" s="307" t="s">
        <v>7487</v>
      </c>
      <c r="E5625" s="444" t="s">
        <v>7490</v>
      </c>
      <c r="F5625" s="310">
        <v>70560</v>
      </c>
      <c r="G5625" s="311">
        <v>1995</v>
      </c>
      <c r="H5625" s="329" t="s">
        <v>1149</v>
      </c>
      <c r="I5625" s="313">
        <v>90</v>
      </c>
      <c r="J5625" s="314">
        <v>65.8</v>
      </c>
      <c r="K5625" s="314">
        <v>28.9</v>
      </c>
      <c r="L5625" s="314">
        <f t="shared" si="67"/>
        <v>36.9</v>
      </c>
      <c r="M5625" s="337"/>
    </row>
    <row r="5626" spans="1:13" s="71" customFormat="1" ht="26.4" customHeight="1">
      <c r="A5626" s="282">
        <v>34</v>
      </c>
      <c r="B5626" s="534"/>
      <c r="C5626" s="307" t="s">
        <v>16</v>
      </c>
      <c r="D5626" s="307" t="s">
        <v>7491</v>
      </c>
      <c r="E5626" s="444" t="s">
        <v>7492</v>
      </c>
      <c r="F5626" s="310">
        <v>70596</v>
      </c>
      <c r="G5626" s="311">
        <v>1969</v>
      </c>
      <c r="H5626" s="329" t="s">
        <v>3</v>
      </c>
      <c r="I5626" s="313" t="s">
        <v>3</v>
      </c>
      <c r="J5626" s="314">
        <v>165.1</v>
      </c>
      <c r="K5626" s="314">
        <v>103.4</v>
      </c>
      <c r="L5626" s="314">
        <f t="shared" si="67"/>
        <v>61.699999999999989</v>
      </c>
      <c r="M5626" s="337"/>
    </row>
    <row r="5627" spans="1:13" s="71" customFormat="1" ht="26.4" customHeight="1">
      <c r="A5627" s="282">
        <v>35</v>
      </c>
      <c r="B5627" s="534"/>
      <c r="C5627" s="307" t="s">
        <v>16</v>
      </c>
      <c r="D5627" s="307" t="s">
        <v>7487</v>
      </c>
      <c r="E5627" s="444" t="s">
        <v>7493</v>
      </c>
      <c r="F5627" s="310">
        <v>70561</v>
      </c>
      <c r="G5627" s="311">
        <v>1995</v>
      </c>
      <c r="H5627" s="329" t="s">
        <v>1149</v>
      </c>
      <c r="I5627" s="313">
        <v>441</v>
      </c>
      <c r="J5627" s="314">
        <v>174.7</v>
      </c>
      <c r="K5627" s="314">
        <v>105.7</v>
      </c>
      <c r="L5627" s="314">
        <f t="shared" si="67"/>
        <v>68.999999999999986</v>
      </c>
      <c r="M5627" s="337"/>
    </row>
    <row r="5628" spans="1:13" s="71" customFormat="1" ht="26.4" customHeight="1">
      <c r="A5628" s="282">
        <v>36</v>
      </c>
      <c r="B5628" s="534"/>
      <c r="C5628" s="307" t="s">
        <v>16</v>
      </c>
      <c r="D5628" s="307" t="s">
        <v>7487</v>
      </c>
      <c r="E5628" s="444" t="s">
        <v>7494</v>
      </c>
      <c r="F5628" s="310">
        <v>70562</v>
      </c>
      <c r="G5628" s="311">
        <v>1995</v>
      </c>
      <c r="H5628" s="329" t="s">
        <v>3</v>
      </c>
      <c r="I5628" s="313" t="s">
        <v>3</v>
      </c>
      <c r="J5628" s="314">
        <v>365</v>
      </c>
      <c r="K5628" s="314">
        <v>167.3</v>
      </c>
      <c r="L5628" s="314">
        <f t="shared" si="67"/>
        <v>197.7</v>
      </c>
      <c r="M5628" s="337"/>
    </row>
    <row r="5629" spans="1:13" s="71" customFormat="1" ht="26.4" customHeight="1">
      <c r="A5629" s="282">
        <v>37</v>
      </c>
      <c r="B5629" s="534"/>
      <c r="C5629" s="307" t="s">
        <v>7495</v>
      </c>
      <c r="D5629" s="307" t="s">
        <v>7496</v>
      </c>
      <c r="E5629" s="444" t="s">
        <v>7497</v>
      </c>
      <c r="F5629" s="310">
        <v>70597</v>
      </c>
      <c r="G5629" s="311">
        <v>1991</v>
      </c>
      <c r="H5629" s="329" t="s">
        <v>1149</v>
      </c>
      <c r="I5629" s="313">
        <v>12.4</v>
      </c>
      <c r="J5629" s="314">
        <v>90</v>
      </c>
      <c r="K5629" s="314">
        <v>61</v>
      </c>
      <c r="L5629" s="314">
        <f t="shared" si="67"/>
        <v>29</v>
      </c>
      <c r="M5629" s="337"/>
    </row>
    <row r="5630" spans="1:13" s="71" customFormat="1" ht="26.4" customHeight="1">
      <c r="A5630" s="282">
        <v>38</v>
      </c>
      <c r="B5630" s="534"/>
      <c r="C5630" s="307" t="s">
        <v>7495</v>
      </c>
      <c r="D5630" s="307" t="s">
        <v>7496</v>
      </c>
      <c r="E5630" s="444" t="s">
        <v>7498</v>
      </c>
      <c r="F5630" s="310">
        <v>70554</v>
      </c>
      <c r="G5630" s="311">
        <v>1969</v>
      </c>
      <c r="H5630" s="329" t="s">
        <v>3</v>
      </c>
      <c r="I5630" s="313" t="s">
        <v>3</v>
      </c>
      <c r="J5630" s="314">
        <v>60</v>
      </c>
      <c r="K5630" s="314">
        <v>41.7</v>
      </c>
      <c r="L5630" s="314">
        <f t="shared" si="67"/>
        <v>18.299999999999997</v>
      </c>
      <c r="M5630" s="337"/>
    </row>
    <row r="5631" spans="1:13" s="71" customFormat="1" ht="26.4" customHeight="1">
      <c r="A5631" s="282">
        <v>39</v>
      </c>
      <c r="B5631" s="534"/>
      <c r="C5631" s="307" t="s">
        <v>7495</v>
      </c>
      <c r="D5631" s="307" t="s">
        <v>7496</v>
      </c>
      <c r="E5631" s="444" t="s">
        <v>7499</v>
      </c>
      <c r="F5631" s="310">
        <v>70680</v>
      </c>
      <c r="G5631" s="311">
        <v>1970</v>
      </c>
      <c r="H5631" s="329" t="s">
        <v>1149</v>
      </c>
      <c r="I5631" s="313">
        <v>55.7</v>
      </c>
      <c r="J5631" s="314">
        <v>248.6</v>
      </c>
      <c r="K5631" s="314">
        <v>164.8</v>
      </c>
      <c r="L5631" s="314">
        <f t="shared" si="67"/>
        <v>83.799999999999983</v>
      </c>
      <c r="M5631" s="337"/>
    </row>
    <row r="5632" spans="1:13" s="71" customFormat="1" ht="26.4" customHeight="1">
      <c r="A5632" s="282">
        <v>40</v>
      </c>
      <c r="B5632" s="534"/>
      <c r="C5632" s="307" t="s">
        <v>7495</v>
      </c>
      <c r="D5632" s="307" t="s">
        <v>7496</v>
      </c>
      <c r="E5632" s="444" t="s">
        <v>7500</v>
      </c>
      <c r="F5632" s="310">
        <v>70681</v>
      </c>
      <c r="G5632" s="311">
        <v>1977</v>
      </c>
      <c r="H5632" s="329" t="s">
        <v>3</v>
      </c>
      <c r="I5632" s="313" t="s">
        <v>3</v>
      </c>
      <c r="J5632" s="314">
        <v>22.5</v>
      </c>
      <c r="K5632" s="314">
        <v>15</v>
      </c>
      <c r="L5632" s="314">
        <f t="shared" si="67"/>
        <v>7.5</v>
      </c>
      <c r="M5632" s="337"/>
    </row>
    <row r="5633" spans="1:13" s="71" customFormat="1" ht="26.4" customHeight="1">
      <c r="A5633" s="282">
        <v>41</v>
      </c>
      <c r="B5633" s="534"/>
      <c r="C5633" s="307" t="s">
        <v>7501</v>
      </c>
      <c r="D5633" s="307" t="s">
        <v>7459</v>
      </c>
      <c r="E5633" s="444" t="s">
        <v>7502</v>
      </c>
      <c r="F5633" s="310">
        <v>70718</v>
      </c>
      <c r="G5633" s="311">
        <v>1995</v>
      </c>
      <c r="H5633" s="329" t="s">
        <v>3</v>
      </c>
      <c r="I5633" s="313" t="s">
        <v>3</v>
      </c>
      <c r="J5633" s="314">
        <v>4.9000000000000004</v>
      </c>
      <c r="K5633" s="314">
        <v>2.8</v>
      </c>
      <c r="L5633" s="314">
        <f t="shared" si="67"/>
        <v>2.1000000000000005</v>
      </c>
      <c r="M5633" s="337"/>
    </row>
    <row r="5634" spans="1:13" s="71" customFormat="1" ht="26.4" customHeight="1">
      <c r="A5634" s="282">
        <v>42</v>
      </c>
      <c r="B5634" s="534"/>
      <c r="C5634" s="307" t="s">
        <v>7501</v>
      </c>
      <c r="D5634" s="307" t="s">
        <v>7487</v>
      </c>
      <c r="E5634" s="444" t="s">
        <v>7503</v>
      </c>
      <c r="F5634" s="310">
        <v>70615</v>
      </c>
      <c r="G5634" s="311">
        <v>1974</v>
      </c>
      <c r="H5634" s="329" t="s">
        <v>1149</v>
      </c>
      <c r="I5634" s="313">
        <v>107.7</v>
      </c>
      <c r="J5634" s="314">
        <v>74.8</v>
      </c>
      <c r="K5634" s="314">
        <v>43</v>
      </c>
      <c r="L5634" s="314">
        <f t="shared" si="67"/>
        <v>31.799999999999997</v>
      </c>
      <c r="M5634" s="337"/>
    </row>
    <row r="5635" spans="1:13" s="71" customFormat="1" ht="26.4" customHeight="1">
      <c r="A5635" s="282">
        <v>43</v>
      </c>
      <c r="B5635" s="534"/>
      <c r="C5635" s="307" t="s">
        <v>7501</v>
      </c>
      <c r="D5635" s="307" t="s">
        <v>7487</v>
      </c>
      <c r="E5635" s="444" t="s">
        <v>7504</v>
      </c>
      <c r="F5635" s="310">
        <v>70395</v>
      </c>
      <c r="G5635" s="311">
        <v>1995</v>
      </c>
      <c r="H5635" s="329" t="s">
        <v>3</v>
      </c>
      <c r="I5635" s="313" t="s">
        <v>3</v>
      </c>
      <c r="J5635" s="314">
        <v>8.4</v>
      </c>
      <c r="K5635" s="314">
        <v>5.4</v>
      </c>
      <c r="L5635" s="314">
        <f t="shared" si="67"/>
        <v>3</v>
      </c>
      <c r="M5635" s="337"/>
    </row>
    <row r="5636" spans="1:13" s="71" customFormat="1" ht="26.4" customHeight="1">
      <c r="A5636" s="282">
        <v>44</v>
      </c>
      <c r="B5636" s="534"/>
      <c r="C5636" s="307" t="s">
        <v>7501</v>
      </c>
      <c r="D5636" s="307" t="s">
        <v>7505</v>
      </c>
      <c r="E5636" s="444" t="s">
        <v>7506</v>
      </c>
      <c r="F5636" s="310">
        <v>70565</v>
      </c>
      <c r="G5636" s="311">
        <v>1977</v>
      </c>
      <c r="H5636" s="329" t="s">
        <v>3</v>
      </c>
      <c r="I5636" s="313" t="s">
        <v>3</v>
      </c>
      <c r="J5636" s="314">
        <v>8.1</v>
      </c>
      <c r="K5636" s="314">
        <v>5.4</v>
      </c>
      <c r="L5636" s="314">
        <f t="shared" si="67"/>
        <v>2.6999999999999993</v>
      </c>
      <c r="M5636" s="337"/>
    </row>
    <row r="5637" spans="1:13" s="71" customFormat="1" ht="26.4" customHeight="1">
      <c r="A5637" s="282">
        <v>45</v>
      </c>
      <c r="B5637" s="534"/>
      <c r="C5637" s="307" t="s">
        <v>7501</v>
      </c>
      <c r="D5637" s="307" t="s">
        <v>7487</v>
      </c>
      <c r="E5637" s="444" t="s">
        <v>7507</v>
      </c>
      <c r="F5637" s="310">
        <v>70564</v>
      </c>
      <c r="G5637" s="311">
        <v>1995</v>
      </c>
      <c r="H5637" s="329" t="s">
        <v>1149</v>
      </c>
      <c r="I5637" s="313">
        <v>28.1</v>
      </c>
      <c r="J5637" s="314">
        <v>10</v>
      </c>
      <c r="K5637" s="314">
        <v>5.9</v>
      </c>
      <c r="L5637" s="314">
        <f t="shared" si="67"/>
        <v>4.0999999999999996</v>
      </c>
      <c r="M5637" s="337"/>
    </row>
    <row r="5638" spans="1:13" s="71" customFormat="1" ht="26.4" customHeight="1">
      <c r="A5638" s="282">
        <v>46</v>
      </c>
      <c r="B5638" s="534"/>
      <c r="C5638" s="307" t="s">
        <v>7501</v>
      </c>
      <c r="D5638" s="307" t="s">
        <v>7508</v>
      </c>
      <c r="E5638" s="444" t="s">
        <v>7509</v>
      </c>
      <c r="F5638" s="310">
        <v>70661</v>
      </c>
      <c r="G5638" s="311">
        <v>1999</v>
      </c>
      <c r="H5638" s="329" t="s">
        <v>1149</v>
      </c>
      <c r="I5638" s="313">
        <v>8.1999999999999993</v>
      </c>
      <c r="J5638" s="314">
        <v>4.4000000000000004</v>
      </c>
      <c r="K5638" s="314">
        <v>2.2999999999999998</v>
      </c>
      <c r="L5638" s="314">
        <f t="shared" si="67"/>
        <v>2.1000000000000005</v>
      </c>
      <c r="M5638" s="337"/>
    </row>
    <row r="5639" spans="1:13" s="71" customFormat="1" ht="26.4" customHeight="1">
      <c r="A5639" s="282">
        <v>47</v>
      </c>
      <c r="B5639" s="534"/>
      <c r="C5639" s="307" t="s">
        <v>7501</v>
      </c>
      <c r="D5639" s="307" t="s">
        <v>7510</v>
      </c>
      <c r="E5639" s="444" t="s">
        <v>7511</v>
      </c>
      <c r="F5639" s="310">
        <v>70665</v>
      </c>
      <c r="G5639" s="311">
        <v>1999</v>
      </c>
      <c r="H5639" s="329" t="s">
        <v>1149</v>
      </c>
      <c r="I5639" s="313">
        <v>8.1</v>
      </c>
      <c r="J5639" s="314">
        <v>4.4000000000000004</v>
      </c>
      <c r="K5639" s="314">
        <v>2.2999999999999998</v>
      </c>
      <c r="L5639" s="314">
        <f t="shared" si="67"/>
        <v>2.1000000000000005</v>
      </c>
      <c r="M5639" s="337"/>
    </row>
    <row r="5640" spans="1:13" s="71" customFormat="1" ht="26.4" customHeight="1">
      <c r="A5640" s="282">
        <v>48</v>
      </c>
      <c r="B5640" s="534"/>
      <c r="C5640" s="307" t="s">
        <v>7495</v>
      </c>
      <c r="D5640" s="307" t="s">
        <v>7496</v>
      </c>
      <c r="E5640" s="444" t="s">
        <v>7512</v>
      </c>
      <c r="F5640" s="310">
        <v>70692</v>
      </c>
      <c r="G5640" s="311">
        <v>1977</v>
      </c>
      <c r="H5640" s="329" t="s">
        <v>1149</v>
      </c>
      <c r="I5640" s="313">
        <v>19.600000000000001</v>
      </c>
      <c r="J5640" s="314">
        <v>3</v>
      </c>
      <c r="K5640" s="314">
        <v>1.3</v>
      </c>
      <c r="L5640" s="314">
        <f t="shared" si="67"/>
        <v>1.7</v>
      </c>
      <c r="M5640" s="337"/>
    </row>
    <row r="5641" spans="1:13" s="71" customFormat="1" ht="26.4" customHeight="1">
      <c r="A5641" s="282">
        <v>49</v>
      </c>
      <c r="B5641" s="534"/>
      <c r="C5641" s="307" t="s">
        <v>7513</v>
      </c>
      <c r="D5641" s="307" t="s">
        <v>7514</v>
      </c>
      <c r="E5641" s="444" t="s">
        <v>7515</v>
      </c>
      <c r="F5641" s="310">
        <v>70674</v>
      </c>
      <c r="G5641" s="311">
        <v>2008</v>
      </c>
      <c r="H5641" s="329" t="s">
        <v>3</v>
      </c>
      <c r="I5641" s="313" t="s">
        <v>3</v>
      </c>
      <c r="J5641" s="314">
        <v>20</v>
      </c>
      <c r="K5641" s="314">
        <v>8.8000000000000007</v>
      </c>
      <c r="L5641" s="314">
        <f t="shared" si="67"/>
        <v>11.2</v>
      </c>
      <c r="M5641" s="337"/>
    </row>
    <row r="5642" spans="1:13" s="71" customFormat="1" ht="26.4" customHeight="1">
      <c r="A5642" s="282">
        <v>50</v>
      </c>
      <c r="B5642" s="534"/>
      <c r="C5642" s="307" t="s">
        <v>7513</v>
      </c>
      <c r="D5642" s="307" t="s">
        <v>7514</v>
      </c>
      <c r="E5642" s="444" t="s">
        <v>7516</v>
      </c>
      <c r="F5642" s="310">
        <v>70677</v>
      </c>
      <c r="G5642" s="311">
        <v>2008</v>
      </c>
      <c r="H5642" s="329" t="s">
        <v>3</v>
      </c>
      <c r="I5642" s="313" t="s">
        <v>3</v>
      </c>
      <c r="J5642" s="314">
        <v>20</v>
      </c>
      <c r="K5642" s="314">
        <v>8.8000000000000007</v>
      </c>
      <c r="L5642" s="314">
        <f t="shared" si="67"/>
        <v>11.2</v>
      </c>
      <c r="M5642" s="337"/>
    </row>
    <row r="5643" spans="1:13" s="71" customFormat="1" ht="26.4" customHeight="1">
      <c r="A5643" s="282">
        <v>51</v>
      </c>
      <c r="B5643" s="534"/>
      <c r="C5643" s="307" t="s">
        <v>7513</v>
      </c>
      <c r="D5643" s="307" t="s">
        <v>7514</v>
      </c>
      <c r="E5643" s="444" t="s">
        <v>7517</v>
      </c>
      <c r="F5643" s="310">
        <v>70567</v>
      </c>
      <c r="G5643" s="311">
        <v>2008</v>
      </c>
      <c r="H5643" s="329" t="s">
        <v>1149</v>
      </c>
      <c r="I5643" s="313">
        <v>10.6</v>
      </c>
      <c r="J5643" s="314">
        <v>7.4</v>
      </c>
      <c r="K5643" s="314">
        <v>5</v>
      </c>
      <c r="L5643" s="314">
        <f t="shared" si="67"/>
        <v>2.4000000000000004</v>
      </c>
      <c r="M5643" s="337"/>
    </row>
    <row r="5644" spans="1:13" s="71" customFormat="1" ht="26.4" customHeight="1">
      <c r="A5644" s="282">
        <v>52</v>
      </c>
      <c r="B5644" s="534"/>
      <c r="C5644" s="307" t="s">
        <v>7513</v>
      </c>
      <c r="D5644" s="307" t="s">
        <v>7514</v>
      </c>
      <c r="E5644" s="444" t="s">
        <v>7518</v>
      </c>
      <c r="F5644" s="310">
        <v>70674</v>
      </c>
      <c r="G5644" s="311">
        <v>1969</v>
      </c>
      <c r="H5644" s="329" t="s">
        <v>3</v>
      </c>
      <c r="I5644" s="313" t="s">
        <v>3</v>
      </c>
      <c r="J5644" s="314">
        <v>324.60000000000002</v>
      </c>
      <c r="K5644" s="314">
        <v>302.39999999999998</v>
      </c>
      <c r="L5644" s="314">
        <f t="shared" si="67"/>
        <v>22.200000000000045</v>
      </c>
      <c r="M5644" s="337"/>
    </row>
    <row r="5645" spans="1:13" s="71" customFormat="1" ht="26.4" customHeight="1">
      <c r="A5645" s="282">
        <v>53</v>
      </c>
      <c r="B5645" s="534"/>
      <c r="C5645" s="307" t="s">
        <v>16</v>
      </c>
      <c r="D5645" s="307" t="s">
        <v>7519</v>
      </c>
      <c r="E5645" s="444" t="s">
        <v>7520</v>
      </c>
      <c r="F5645" s="310">
        <v>70669</v>
      </c>
      <c r="G5645" s="311">
        <v>2007</v>
      </c>
      <c r="H5645" s="329" t="s">
        <v>1149</v>
      </c>
      <c r="I5645" s="313">
        <v>4.0999999999999996</v>
      </c>
      <c r="J5645" s="314">
        <v>7.9</v>
      </c>
      <c r="K5645" s="314">
        <v>3.6</v>
      </c>
      <c r="L5645" s="314">
        <f t="shared" si="67"/>
        <v>4.3000000000000007</v>
      </c>
      <c r="M5645" s="337"/>
    </row>
    <row r="5646" spans="1:13" s="71" customFormat="1" ht="26.4" customHeight="1">
      <c r="A5646" s="282">
        <v>54</v>
      </c>
      <c r="B5646" s="534"/>
      <c r="C5646" s="307" t="s">
        <v>16</v>
      </c>
      <c r="D5646" s="307" t="s">
        <v>7521</v>
      </c>
      <c r="E5646" s="444" t="s">
        <v>7522</v>
      </c>
      <c r="F5646" s="310">
        <v>70650</v>
      </c>
      <c r="G5646" s="311">
        <v>1999</v>
      </c>
      <c r="H5646" s="329" t="s">
        <v>1149</v>
      </c>
      <c r="I5646" s="313">
        <v>23.6</v>
      </c>
      <c r="J5646" s="314">
        <v>57.3</v>
      </c>
      <c r="K5646" s="314">
        <v>5.4</v>
      </c>
      <c r="L5646" s="314">
        <f t="shared" si="67"/>
        <v>51.9</v>
      </c>
      <c r="M5646" s="337"/>
    </row>
    <row r="5647" spans="1:13" s="71" customFormat="1" ht="26.4" customHeight="1">
      <c r="A5647" s="282">
        <v>55</v>
      </c>
      <c r="B5647" s="534"/>
      <c r="C5647" s="307" t="s">
        <v>16</v>
      </c>
      <c r="D5647" s="307" t="s">
        <v>7523</v>
      </c>
      <c r="E5647" s="444" t="s">
        <v>7524</v>
      </c>
      <c r="F5647" s="310">
        <v>70641</v>
      </c>
      <c r="G5647" s="311">
        <v>1995</v>
      </c>
      <c r="H5647" s="329" t="s">
        <v>3</v>
      </c>
      <c r="I5647" s="313" t="s">
        <v>3</v>
      </c>
      <c r="J5647" s="314">
        <v>2.2999999999999998</v>
      </c>
      <c r="K5647" s="314">
        <v>1</v>
      </c>
      <c r="L5647" s="314">
        <f t="shared" si="67"/>
        <v>1.2999999999999998</v>
      </c>
      <c r="M5647" s="337"/>
    </row>
    <row r="5648" spans="1:13" s="71" customFormat="1" ht="26.4" customHeight="1">
      <c r="A5648" s="282">
        <v>56</v>
      </c>
      <c r="B5648" s="534"/>
      <c r="C5648" s="307" t="s">
        <v>16</v>
      </c>
      <c r="D5648" s="307" t="s">
        <v>7487</v>
      </c>
      <c r="E5648" s="444" t="s">
        <v>7525</v>
      </c>
      <c r="F5648" s="310">
        <v>70613</v>
      </c>
      <c r="G5648" s="311">
        <v>1996</v>
      </c>
      <c r="H5648" s="329" t="s">
        <v>1149</v>
      </c>
      <c r="I5648" s="313">
        <v>47.8</v>
      </c>
      <c r="J5648" s="314">
        <v>30.4</v>
      </c>
      <c r="K5648" s="314">
        <v>7.7</v>
      </c>
      <c r="L5648" s="314">
        <f t="shared" si="67"/>
        <v>22.7</v>
      </c>
      <c r="M5648" s="337"/>
    </row>
    <row r="5649" spans="1:13" s="71" customFormat="1" ht="26.4" customHeight="1">
      <c r="A5649" s="282">
        <v>57</v>
      </c>
      <c r="B5649" s="534"/>
      <c r="C5649" s="307" t="s">
        <v>16</v>
      </c>
      <c r="D5649" s="307" t="s">
        <v>7526</v>
      </c>
      <c r="E5649" s="444" t="s">
        <v>7527</v>
      </c>
      <c r="F5649" s="310">
        <v>70644</v>
      </c>
      <c r="G5649" s="311">
        <v>2007</v>
      </c>
      <c r="H5649" s="329" t="s">
        <v>1149</v>
      </c>
      <c r="I5649" s="313">
        <v>86.2</v>
      </c>
      <c r="J5649" s="314">
        <v>55</v>
      </c>
      <c r="K5649" s="314">
        <v>18.7</v>
      </c>
      <c r="L5649" s="314">
        <f t="shared" si="67"/>
        <v>36.299999999999997</v>
      </c>
      <c r="M5649" s="337"/>
    </row>
    <row r="5650" spans="1:13" s="71" customFormat="1" ht="26.4" customHeight="1">
      <c r="A5650" s="282">
        <v>58</v>
      </c>
      <c r="B5650" s="534"/>
      <c r="C5650" s="307" t="s">
        <v>16</v>
      </c>
      <c r="D5650" s="307" t="s">
        <v>7528</v>
      </c>
      <c r="E5650" s="444" t="s">
        <v>7529</v>
      </c>
      <c r="F5650" s="310">
        <v>70994</v>
      </c>
      <c r="G5650" s="311">
        <v>2007</v>
      </c>
      <c r="H5650" s="329" t="s">
        <v>1149</v>
      </c>
      <c r="I5650" s="313">
        <v>19.5</v>
      </c>
      <c r="J5650" s="314">
        <v>1.5</v>
      </c>
      <c r="K5650" s="314">
        <v>1.4</v>
      </c>
      <c r="L5650" s="314">
        <f t="shared" si="67"/>
        <v>0.10000000000000009</v>
      </c>
      <c r="M5650" s="337"/>
    </row>
    <row r="5651" spans="1:13" s="71" customFormat="1" ht="26.4" customHeight="1">
      <c r="A5651" s="282">
        <v>59</v>
      </c>
      <c r="B5651" s="534"/>
      <c r="C5651" s="307" t="s">
        <v>16</v>
      </c>
      <c r="D5651" s="307" t="s">
        <v>7528</v>
      </c>
      <c r="E5651" s="444" t="s">
        <v>7530</v>
      </c>
      <c r="F5651" s="310">
        <v>70995</v>
      </c>
      <c r="G5651" s="311">
        <v>2007</v>
      </c>
      <c r="H5651" s="329" t="s">
        <v>1149</v>
      </c>
      <c r="I5651" s="313">
        <v>69.16</v>
      </c>
      <c r="J5651" s="314">
        <v>1.5</v>
      </c>
      <c r="K5651" s="314">
        <v>1.4</v>
      </c>
      <c r="L5651" s="314">
        <f t="shared" si="67"/>
        <v>0.10000000000000009</v>
      </c>
      <c r="M5651" s="337"/>
    </row>
    <row r="5652" spans="1:13" s="71" customFormat="1" ht="26.4" customHeight="1">
      <c r="A5652" s="282">
        <v>60</v>
      </c>
      <c r="B5652" s="534"/>
      <c r="C5652" s="307" t="s">
        <v>16</v>
      </c>
      <c r="D5652" s="307" t="s">
        <v>7528</v>
      </c>
      <c r="E5652" s="444" t="s">
        <v>7531</v>
      </c>
      <c r="F5652" s="310">
        <v>70996</v>
      </c>
      <c r="G5652" s="311">
        <v>2007</v>
      </c>
      <c r="H5652" s="329" t="s">
        <v>1149</v>
      </c>
      <c r="I5652" s="313">
        <v>3.06</v>
      </c>
      <c r="J5652" s="314">
        <v>1.5</v>
      </c>
      <c r="K5652" s="314">
        <v>1.4</v>
      </c>
      <c r="L5652" s="314">
        <f t="shared" si="67"/>
        <v>0.10000000000000009</v>
      </c>
      <c r="M5652" s="337"/>
    </row>
    <row r="5653" spans="1:13" s="71" customFormat="1" ht="26.4" customHeight="1">
      <c r="A5653" s="282">
        <v>61</v>
      </c>
      <c r="B5653" s="534"/>
      <c r="C5653" s="307" t="s">
        <v>16</v>
      </c>
      <c r="D5653" s="307" t="s">
        <v>7532</v>
      </c>
      <c r="E5653" s="444" t="s">
        <v>7533</v>
      </c>
      <c r="F5653" s="310">
        <v>70481</v>
      </c>
      <c r="G5653" s="311">
        <v>1994</v>
      </c>
      <c r="H5653" s="329" t="s">
        <v>3</v>
      </c>
      <c r="I5653" s="313" t="s">
        <v>3</v>
      </c>
      <c r="J5653" s="314">
        <v>5.2</v>
      </c>
      <c r="K5653" s="314">
        <v>2.2999999999999998</v>
      </c>
      <c r="L5653" s="314">
        <f t="shared" si="67"/>
        <v>2.9000000000000004</v>
      </c>
      <c r="M5653" s="337"/>
    </row>
    <row r="5654" spans="1:13" s="71" customFormat="1" ht="26.4" customHeight="1">
      <c r="A5654" s="282">
        <v>62</v>
      </c>
      <c r="B5654" s="534"/>
      <c r="C5654" s="307" t="s">
        <v>16</v>
      </c>
      <c r="D5654" s="307" t="s">
        <v>7532</v>
      </c>
      <c r="E5654" s="444" t="s">
        <v>7534</v>
      </c>
      <c r="F5654" s="310">
        <v>70484</v>
      </c>
      <c r="G5654" s="311">
        <v>1994</v>
      </c>
      <c r="H5654" s="329" t="s">
        <v>3</v>
      </c>
      <c r="I5654" s="313" t="s">
        <v>3</v>
      </c>
      <c r="J5654" s="314">
        <v>5.2</v>
      </c>
      <c r="K5654" s="314">
        <v>5.2</v>
      </c>
      <c r="L5654" s="314">
        <f t="shared" si="67"/>
        <v>0</v>
      </c>
      <c r="M5654" s="337"/>
    </row>
    <row r="5655" spans="1:13" s="71" customFormat="1" ht="26.4" customHeight="1">
      <c r="A5655" s="282">
        <v>63</v>
      </c>
      <c r="B5655" s="534"/>
      <c r="C5655" s="307" t="s">
        <v>16</v>
      </c>
      <c r="D5655" s="307" t="s">
        <v>7532</v>
      </c>
      <c r="E5655" s="444" t="s">
        <v>7535</v>
      </c>
      <c r="F5655" s="310">
        <v>70487</v>
      </c>
      <c r="G5655" s="311">
        <v>1994</v>
      </c>
      <c r="H5655" s="329" t="s">
        <v>3</v>
      </c>
      <c r="I5655" s="313" t="s">
        <v>3</v>
      </c>
      <c r="J5655" s="314">
        <v>5.2</v>
      </c>
      <c r="K5655" s="314">
        <v>5.2</v>
      </c>
      <c r="L5655" s="314">
        <f t="shared" si="67"/>
        <v>0</v>
      </c>
      <c r="M5655" s="337"/>
    </row>
    <row r="5656" spans="1:13" s="71" customFormat="1" ht="26.4" customHeight="1">
      <c r="A5656" s="282">
        <v>64</v>
      </c>
      <c r="B5656" s="534"/>
      <c r="C5656" s="307" t="s">
        <v>16</v>
      </c>
      <c r="D5656" s="307" t="s">
        <v>7532</v>
      </c>
      <c r="E5656" s="444" t="s">
        <v>7536</v>
      </c>
      <c r="F5656" s="310">
        <v>70604</v>
      </c>
      <c r="G5656" s="311">
        <v>2007</v>
      </c>
      <c r="H5656" s="329" t="s">
        <v>3</v>
      </c>
      <c r="I5656" s="313" t="s">
        <v>3</v>
      </c>
      <c r="J5656" s="314">
        <v>165.1</v>
      </c>
      <c r="K5656" s="314">
        <v>115.8</v>
      </c>
      <c r="L5656" s="314">
        <f t="shared" si="67"/>
        <v>49.3</v>
      </c>
      <c r="M5656" s="337"/>
    </row>
    <row r="5657" spans="1:13" s="71" customFormat="1" ht="26.4" customHeight="1">
      <c r="A5657" s="282">
        <v>65</v>
      </c>
      <c r="B5657" s="534"/>
      <c r="C5657" s="307" t="s">
        <v>16</v>
      </c>
      <c r="D5657" s="307" t="s">
        <v>7532</v>
      </c>
      <c r="E5657" s="260" t="s">
        <v>7537</v>
      </c>
      <c r="F5657" s="310">
        <v>70607</v>
      </c>
      <c r="G5657" s="311">
        <v>2007</v>
      </c>
      <c r="H5657" s="329" t="s">
        <v>3</v>
      </c>
      <c r="I5657" s="313" t="s">
        <v>3</v>
      </c>
      <c r="J5657" s="314">
        <v>165.1</v>
      </c>
      <c r="K5657" s="314">
        <v>115.8</v>
      </c>
      <c r="L5657" s="314">
        <f t="shared" ref="L5657:L5720" si="68">J5657-K5657</f>
        <v>49.3</v>
      </c>
      <c r="M5657" s="337"/>
    </row>
    <row r="5658" spans="1:13" s="71" customFormat="1" ht="26.4" customHeight="1">
      <c r="A5658" s="282">
        <v>66</v>
      </c>
      <c r="B5658" s="534"/>
      <c r="C5658" s="307" t="s">
        <v>16</v>
      </c>
      <c r="D5658" s="307" t="s">
        <v>7532</v>
      </c>
      <c r="E5658" s="444" t="s">
        <v>7538</v>
      </c>
      <c r="F5658" s="310">
        <v>70510</v>
      </c>
      <c r="G5658" s="311">
        <v>1935</v>
      </c>
      <c r="H5658" s="329" t="s">
        <v>3</v>
      </c>
      <c r="I5658" s="320" t="s">
        <v>3</v>
      </c>
      <c r="J5658" s="314">
        <v>9.6999999999999993</v>
      </c>
      <c r="K5658" s="314">
        <v>9.4</v>
      </c>
      <c r="L5658" s="314">
        <f t="shared" si="68"/>
        <v>0.29999999999999893</v>
      </c>
      <c r="M5658" s="337"/>
    </row>
    <row r="5659" spans="1:13" s="71" customFormat="1" ht="26.4" customHeight="1">
      <c r="A5659" s="282">
        <v>67</v>
      </c>
      <c r="B5659" s="534"/>
      <c r="C5659" s="307" t="s">
        <v>7495</v>
      </c>
      <c r="D5659" s="307" t="s">
        <v>7496</v>
      </c>
      <c r="E5659" s="260" t="s">
        <v>7539</v>
      </c>
      <c r="F5659" s="310">
        <v>70682</v>
      </c>
      <c r="G5659" s="311">
        <v>1977</v>
      </c>
      <c r="H5659" s="329" t="s">
        <v>3</v>
      </c>
      <c r="I5659" s="313" t="s">
        <v>3</v>
      </c>
      <c r="J5659" s="314">
        <v>11.3</v>
      </c>
      <c r="K5659" s="314">
        <v>7.4</v>
      </c>
      <c r="L5659" s="314">
        <f t="shared" si="68"/>
        <v>3.9000000000000004</v>
      </c>
      <c r="M5659" s="337"/>
    </row>
    <row r="5660" spans="1:13" s="71" customFormat="1" ht="26.4" customHeight="1">
      <c r="A5660" s="282">
        <v>68</v>
      </c>
      <c r="B5660" s="534"/>
      <c r="C5660" s="307" t="s">
        <v>7495</v>
      </c>
      <c r="D5660" s="307" t="s">
        <v>7496</v>
      </c>
      <c r="E5660" s="444" t="s">
        <v>7540</v>
      </c>
      <c r="F5660" s="310">
        <v>70683</v>
      </c>
      <c r="G5660" s="311">
        <v>1977</v>
      </c>
      <c r="H5660" s="329" t="s">
        <v>3</v>
      </c>
      <c r="I5660" s="313" t="s">
        <v>3</v>
      </c>
      <c r="J5660" s="314">
        <v>11.3</v>
      </c>
      <c r="K5660" s="314">
        <v>7.4</v>
      </c>
      <c r="L5660" s="314">
        <f t="shared" si="68"/>
        <v>3.9000000000000004</v>
      </c>
      <c r="M5660" s="337"/>
    </row>
    <row r="5661" spans="1:13" s="71" customFormat="1" ht="26.4" customHeight="1">
      <c r="A5661" s="282">
        <v>69</v>
      </c>
      <c r="B5661" s="534"/>
      <c r="C5661" s="307" t="s">
        <v>16</v>
      </c>
      <c r="D5661" s="307" t="s">
        <v>7487</v>
      </c>
      <c r="E5661" s="444" t="s">
        <v>7506</v>
      </c>
      <c r="F5661" s="310">
        <v>70566</v>
      </c>
      <c r="G5661" s="311">
        <v>1995</v>
      </c>
      <c r="H5661" s="329" t="s">
        <v>1149</v>
      </c>
      <c r="I5661" s="313">
        <v>56</v>
      </c>
      <c r="J5661" s="314">
        <v>8.1</v>
      </c>
      <c r="K5661" s="314">
        <v>5.4</v>
      </c>
      <c r="L5661" s="314">
        <f t="shared" si="68"/>
        <v>2.6999999999999993</v>
      </c>
      <c r="M5661" s="337"/>
    </row>
    <row r="5662" spans="1:13" s="71" customFormat="1" ht="26.4" customHeight="1">
      <c r="A5662" s="282">
        <v>70</v>
      </c>
      <c r="B5662" s="534"/>
      <c r="C5662" s="307" t="s">
        <v>16</v>
      </c>
      <c r="D5662" s="307" t="s">
        <v>7487</v>
      </c>
      <c r="E5662" s="444" t="s">
        <v>7541</v>
      </c>
      <c r="F5662" s="310">
        <v>70563</v>
      </c>
      <c r="G5662" s="311">
        <v>1995</v>
      </c>
      <c r="H5662" s="329" t="s">
        <v>3</v>
      </c>
      <c r="I5662" s="313" t="s">
        <v>3</v>
      </c>
      <c r="J5662" s="314">
        <v>365</v>
      </c>
      <c r="K5662" s="314">
        <v>169.1</v>
      </c>
      <c r="L5662" s="314">
        <f t="shared" si="68"/>
        <v>195.9</v>
      </c>
      <c r="M5662" s="337"/>
    </row>
    <row r="5663" spans="1:13" s="71" customFormat="1" ht="26.4" customHeight="1">
      <c r="A5663" s="282">
        <v>71</v>
      </c>
      <c r="B5663" s="534"/>
      <c r="C5663" s="307" t="s">
        <v>16</v>
      </c>
      <c r="D5663" s="307" t="s">
        <v>7449</v>
      </c>
      <c r="E5663" s="444" t="s">
        <v>13166</v>
      </c>
      <c r="F5663" s="310">
        <v>71121</v>
      </c>
      <c r="G5663" s="311">
        <v>2008</v>
      </c>
      <c r="H5663" s="329" t="s">
        <v>1149</v>
      </c>
      <c r="I5663" s="313">
        <v>4.0999999999999996</v>
      </c>
      <c r="J5663" s="314">
        <v>35.299999999999997</v>
      </c>
      <c r="K5663" s="314">
        <v>7.2</v>
      </c>
      <c r="L5663" s="314">
        <f t="shared" si="68"/>
        <v>28.099999999999998</v>
      </c>
      <c r="M5663" s="337"/>
    </row>
    <row r="5664" spans="1:13" s="71" customFormat="1" ht="26.4" customHeight="1">
      <c r="A5664" s="282">
        <v>72</v>
      </c>
      <c r="B5664" s="534"/>
      <c r="C5664" s="307" t="s">
        <v>16</v>
      </c>
      <c r="D5664" s="307" t="s">
        <v>7449</v>
      </c>
      <c r="E5664" s="444" t="s">
        <v>13167</v>
      </c>
      <c r="F5664" s="310">
        <v>71122</v>
      </c>
      <c r="G5664" s="311">
        <v>2008</v>
      </c>
      <c r="H5664" s="329" t="s">
        <v>1149</v>
      </c>
      <c r="I5664" s="313">
        <v>4.0999999999999996</v>
      </c>
      <c r="J5664" s="314">
        <v>35.299999999999997</v>
      </c>
      <c r="K5664" s="314">
        <v>7.2</v>
      </c>
      <c r="L5664" s="314">
        <f t="shared" si="68"/>
        <v>28.099999999999998</v>
      </c>
      <c r="M5664" s="337"/>
    </row>
    <row r="5665" spans="1:13" s="71" customFormat="1" ht="26.4" customHeight="1">
      <c r="A5665" s="282">
        <v>73</v>
      </c>
      <c r="B5665" s="534"/>
      <c r="C5665" s="307" t="s">
        <v>16</v>
      </c>
      <c r="D5665" s="307" t="s">
        <v>7487</v>
      </c>
      <c r="E5665" s="444" t="s">
        <v>7542</v>
      </c>
      <c r="F5665" s="310">
        <v>70588</v>
      </c>
      <c r="G5665" s="311">
        <v>1998</v>
      </c>
      <c r="H5665" s="329" t="s">
        <v>3</v>
      </c>
      <c r="I5665" s="313" t="s">
        <v>3</v>
      </c>
      <c r="J5665" s="314">
        <v>20.399999999999999</v>
      </c>
      <c r="K5665" s="314">
        <v>17.3</v>
      </c>
      <c r="L5665" s="314">
        <f t="shared" si="68"/>
        <v>3.0999999999999979</v>
      </c>
      <c r="M5665" s="337"/>
    </row>
    <row r="5666" spans="1:13" s="71" customFormat="1" ht="26.4" customHeight="1">
      <c r="A5666" s="282">
        <v>74</v>
      </c>
      <c r="B5666" s="534"/>
      <c r="C5666" s="307" t="s">
        <v>16</v>
      </c>
      <c r="D5666" s="307" t="s">
        <v>7528</v>
      </c>
      <c r="E5666" s="444" t="s">
        <v>7543</v>
      </c>
      <c r="F5666" s="310">
        <v>70400</v>
      </c>
      <c r="G5666" s="311">
        <v>1947</v>
      </c>
      <c r="H5666" s="329" t="s">
        <v>3</v>
      </c>
      <c r="I5666" s="313">
        <v>216.8</v>
      </c>
      <c r="J5666" s="314">
        <v>39.1</v>
      </c>
      <c r="K5666" s="314">
        <v>29.9</v>
      </c>
      <c r="L5666" s="314">
        <f t="shared" si="68"/>
        <v>9.2000000000000028</v>
      </c>
      <c r="M5666" s="337"/>
    </row>
    <row r="5667" spans="1:13" s="71" customFormat="1" ht="26.4" customHeight="1">
      <c r="A5667" s="282">
        <v>75</v>
      </c>
      <c r="B5667" s="534"/>
      <c r="C5667" s="307" t="s">
        <v>16</v>
      </c>
      <c r="D5667" s="307" t="s">
        <v>7449</v>
      </c>
      <c r="E5667" s="444" t="s">
        <v>7544</v>
      </c>
      <c r="F5667" s="310">
        <v>70397</v>
      </c>
      <c r="G5667" s="311">
        <v>1995</v>
      </c>
      <c r="H5667" s="329" t="s">
        <v>3</v>
      </c>
      <c r="I5667" s="313" t="s">
        <v>3</v>
      </c>
      <c r="J5667" s="314">
        <v>5</v>
      </c>
      <c r="K5667" s="314">
        <v>5</v>
      </c>
      <c r="L5667" s="314">
        <f t="shared" si="68"/>
        <v>0</v>
      </c>
      <c r="M5667" s="337"/>
    </row>
    <row r="5668" spans="1:13" s="71" customFormat="1" ht="26.4" customHeight="1">
      <c r="A5668" s="282">
        <v>76</v>
      </c>
      <c r="B5668" s="534"/>
      <c r="C5668" s="307" t="s">
        <v>16</v>
      </c>
      <c r="D5668" s="307" t="s">
        <v>7487</v>
      </c>
      <c r="E5668" s="444" t="s">
        <v>13168</v>
      </c>
      <c r="F5668" s="310">
        <v>71002</v>
      </c>
      <c r="G5668" s="311">
        <v>1995</v>
      </c>
      <c r="H5668" s="329" t="s">
        <v>1149</v>
      </c>
      <c r="I5668" s="313">
        <v>26.8</v>
      </c>
      <c r="J5668" s="314">
        <v>13.2</v>
      </c>
      <c r="K5668" s="314">
        <v>7.1</v>
      </c>
      <c r="L5668" s="314">
        <f t="shared" si="68"/>
        <v>6.1</v>
      </c>
      <c r="M5668" s="337"/>
    </row>
    <row r="5669" spans="1:13" s="71" customFormat="1" ht="26.4" customHeight="1">
      <c r="A5669" s="282">
        <v>77</v>
      </c>
      <c r="B5669" s="534"/>
      <c r="C5669" s="307" t="s">
        <v>16</v>
      </c>
      <c r="D5669" s="307" t="s">
        <v>7482</v>
      </c>
      <c r="E5669" s="444" t="s">
        <v>7545</v>
      </c>
      <c r="F5669" s="310">
        <v>70670</v>
      </c>
      <c r="G5669" s="311">
        <v>2007</v>
      </c>
      <c r="H5669" s="329" t="s">
        <v>3</v>
      </c>
      <c r="I5669" s="313" t="s">
        <v>3</v>
      </c>
      <c r="J5669" s="314">
        <v>1.2</v>
      </c>
      <c r="K5669" s="314">
        <v>1.1000000000000001</v>
      </c>
      <c r="L5669" s="314">
        <f t="shared" si="68"/>
        <v>9.9999999999999867E-2</v>
      </c>
      <c r="M5669" s="337"/>
    </row>
    <row r="5670" spans="1:13" s="71" customFormat="1" ht="26.4" customHeight="1">
      <c r="A5670" s="282">
        <v>78</v>
      </c>
      <c r="B5670" s="534"/>
      <c r="C5670" s="307" t="s">
        <v>16</v>
      </c>
      <c r="D5670" s="307" t="s">
        <v>7449</v>
      </c>
      <c r="E5670" s="444" t="s">
        <v>7546</v>
      </c>
      <c r="F5670" s="310">
        <v>70610</v>
      </c>
      <c r="G5670" s="311">
        <v>2006</v>
      </c>
      <c r="H5670" s="329" t="s">
        <v>3</v>
      </c>
      <c r="I5670" s="313" t="s">
        <v>3</v>
      </c>
      <c r="J5670" s="314">
        <v>41.9</v>
      </c>
      <c r="K5670" s="314">
        <v>18.8</v>
      </c>
      <c r="L5670" s="314">
        <f t="shared" si="68"/>
        <v>23.099999999999998</v>
      </c>
      <c r="M5670" s="337"/>
    </row>
    <row r="5671" spans="1:13" s="71" customFormat="1" ht="26.4" customHeight="1">
      <c r="A5671" s="282">
        <v>79</v>
      </c>
      <c r="B5671" s="534"/>
      <c r="C5671" s="307" t="s">
        <v>7547</v>
      </c>
      <c r="D5671" s="307" t="s">
        <v>7548</v>
      </c>
      <c r="E5671" s="444" t="s">
        <v>7549</v>
      </c>
      <c r="F5671" s="310">
        <v>243588</v>
      </c>
      <c r="G5671" s="311">
        <v>2015</v>
      </c>
      <c r="H5671" s="329" t="s">
        <v>1149</v>
      </c>
      <c r="I5671" s="313">
        <v>219.4</v>
      </c>
      <c r="J5671" s="314">
        <v>175.9</v>
      </c>
      <c r="K5671" s="314">
        <v>59.9</v>
      </c>
      <c r="L5671" s="314">
        <f t="shared" si="68"/>
        <v>116</v>
      </c>
      <c r="M5671" s="337"/>
    </row>
    <row r="5672" spans="1:13" s="71" customFormat="1" ht="26.4" customHeight="1">
      <c r="A5672" s="282">
        <v>80</v>
      </c>
      <c r="B5672" s="534"/>
      <c r="C5672" s="307" t="s">
        <v>7547</v>
      </c>
      <c r="D5672" s="307" t="s">
        <v>7548</v>
      </c>
      <c r="E5672" s="444" t="s">
        <v>7550</v>
      </c>
      <c r="F5672" s="310">
        <v>243589</v>
      </c>
      <c r="G5672" s="311">
        <v>2015</v>
      </c>
      <c r="H5672" s="329" t="s">
        <v>1149</v>
      </c>
      <c r="I5672" s="313">
        <v>228.7</v>
      </c>
      <c r="J5672" s="314">
        <v>350.9</v>
      </c>
      <c r="K5672" s="314">
        <v>89.4</v>
      </c>
      <c r="L5672" s="314">
        <f t="shared" si="68"/>
        <v>261.5</v>
      </c>
      <c r="M5672" s="337"/>
    </row>
    <row r="5673" spans="1:13" s="71" customFormat="1" ht="26.4" customHeight="1">
      <c r="A5673" s="282">
        <v>81</v>
      </c>
      <c r="B5673" s="534"/>
      <c r="C5673" s="307" t="s">
        <v>7547</v>
      </c>
      <c r="D5673" s="307" t="s">
        <v>7548</v>
      </c>
      <c r="E5673" s="444" t="s">
        <v>7551</v>
      </c>
      <c r="F5673" s="310">
        <v>243590</v>
      </c>
      <c r="G5673" s="311">
        <v>2015</v>
      </c>
      <c r="H5673" s="329" t="s">
        <v>1149</v>
      </c>
      <c r="I5673" s="313">
        <v>235.8</v>
      </c>
      <c r="J5673" s="314">
        <v>444.1</v>
      </c>
      <c r="K5673" s="314">
        <v>112.9</v>
      </c>
      <c r="L5673" s="314">
        <f t="shared" si="68"/>
        <v>331.20000000000005</v>
      </c>
      <c r="M5673" s="337"/>
    </row>
    <row r="5674" spans="1:13" s="71" customFormat="1" ht="26.4" customHeight="1">
      <c r="A5674" s="282">
        <v>82</v>
      </c>
      <c r="B5674" s="534"/>
      <c r="C5674" s="307" t="s">
        <v>7547</v>
      </c>
      <c r="D5674" s="307" t="s">
        <v>7548</v>
      </c>
      <c r="E5674" s="444" t="s">
        <v>7552</v>
      </c>
      <c r="F5674" s="310">
        <v>243591</v>
      </c>
      <c r="G5674" s="311">
        <v>2015</v>
      </c>
      <c r="H5674" s="329" t="s">
        <v>1149</v>
      </c>
      <c r="I5674" s="313">
        <v>229.1</v>
      </c>
      <c r="J5674" s="314">
        <v>586.9</v>
      </c>
      <c r="K5674" s="314">
        <v>144.80000000000001</v>
      </c>
      <c r="L5674" s="314">
        <f t="shared" si="68"/>
        <v>442.09999999999997</v>
      </c>
      <c r="M5674" s="337"/>
    </row>
    <row r="5675" spans="1:13" s="71" customFormat="1" ht="26.4" customHeight="1">
      <c r="A5675" s="282">
        <v>83</v>
      </c>
      <c r="B5675" s="534"/>
      <c r="C5675" s="307" t="s">
        <v>7547</v>
      </c>
      <c r="D5675" s="307" t="s">
        <v>7548</v>
      </c>
      <c r="E5675" s="444" t="s">
        <v>7553</v>
      </c>
      <c r="F5675" s="310">
        <v>243592</v>
      </c>
      <c r="G5675" s="311">
        <v>2015</v>
      </c>
      <c r="H5675" s="329" t="s">
        <v>1149</v>
      </c>
      <c r="I5675" s="313">
        <v>219.5</v>
      </c>
      <c r="J5675" s="314">
        <v>173.7</v>
      </c>
      <c r="K5675" s="314">
        <v>65.400000000000006</v>
      </c>
      <c r="L5675" s="314">
        <f t="shared" si="68"/>
        <v>108.29999999999998</v>
      </c>
      <c r="M5675" s="337"/>
    </row>
    <row r="5676" spans="1:13" s="71" customFormat="1" ht="26.4" customHeight="1">
      <c r="A5676" s="282">
        <v>84</v>
      </c>
      <c r="B5676" s="534"/>
      <c r="C5676" s="307" t="s">
        <v>7547</v>
      </c>
      <c r="D5676" s="307" t="s">
        <v>7548</v>
      </c>
      <c r="E5676" s="444" t="s">
        <v>7554</v>
      </c>
      <c r="F5676" s="310">
        <v>243593</v>
      </c>
      <c r="G5676" s="311">
        <v>2015</v>
      </c>
      <c r="H5676" s="329" t="s">
        <v>1149</v>
      </c>
      <c r="I5676" s="313">
        <v>219.5</v>
      </c>
      <c r="J5676" s="314">
        <v>341.3</v>
      </c>
      <c r="K5676" s="314">
        <v>79.400000000000006</v>
      </c>
      <c r="L5676" s="314">
        <f t="shared" si="68"/>
        <v>261.89999999999998</v>
      </c>
      <c r="M5676" s="337"/>
    </row>
    <row r="5677" spans="1:13" s="71" customFormat="1" ht="26.4" customHeight="1">
      <c r="A5677" s="282">
        <v>85</v>
      </c>
      <c r="B5677" s="534"/>
      <c r="C5677" s="307" t="s">
        <v>7547</v>
      </c>
      <c r="D5677" s="307" t="s">
        <v>7548</v>
      </c>
      <c r="E5677" s="444" t="s">
        <v>7555</v>
      </c>
      <c r="F5677" s="310">
        <v>243594</v>
      </c>
      <c r="G5677" s="311">
        <v>2015</v>
      </c>
      <c r="H5677" s="329" t="s">
        <v>1149</v>
      </c>
      <c r="I5677" s="313">
        <v>103.9</v>
      </c>
      <c r="J5677" s="314">
        <v>36</v>
      </c>
      <c r="K5677" s="314">
        <v>11.6</v>
      </c>
      <c r="L5677" s="314">
        <f t="shared" si="68"/>
        <v>24.4</v>
      </c>
      <c r="M5677" s="337"/>
    </row>
    <row r="5678" spans="1:13" s="71" customFormat="1" ht="26.4" customHeight="1">
      <c r="A5678" s="282">
        <v>86</v>
      </c>
      <c r="B5678" s="534"/>
      <c r="C5678" s="307" t="s">
        <v>7547</v>
      </c>
      <c r="D5678" s="307" t="s">
        <v>7548</v>
      </c>
      <c r="E5678" s="444" t="s">
        <v>5343</v>
      </c>
      <c r="F5678" s="310">
        <v>243595</v>
      </c>
      <c r="G5678" s="311">
        <v>2015</v>
      </c>
      <c r="H5678" s="329" t="s">
        <v>1149</v>
      </c>
      <c r="I5678" s="313">
        <v>13.5</v>
      </c>
      <c r="J5678" s="314">
        <v>0.1</v>
      </c>
      <c r="K5678" s="314">
        <v>0.1</v>
      </c>
      <c r="L5678" s="314">
        <f t="shared" si="68"/>
        <v>0</v>
      </c>
      <c r="M5678" s="337"/>
    </row>
    <row r="5679" spans="1:13" s="71" customFormat="1" ht="26.4" customHeight="1">
      <c r="A5679" s="282">
        <v>87</v>
      </c>
      <c r="B5679" s="534"/>
      <c r="C5679" s="307" t="s">
        <v>7547</v>
      </c>
      <c r="D5679" s="307" t="s">
        <v>7548</v>
      </c>
      <c r="E5679" s="444" t="s">
        <v>5343</v>
      </c>
      <c r="F5679" s="310">
        <v>243596</v>
      </c>
      <c r="G5679" s="311">
        <v>2015</v>
      </c>
      <c r="H5679" s="329" t="s">
        <v>1149</v>
      </c>
      <c r="I5679" s="313">
        <v>13.8</v>
      </c>
      <c r="J5679" s="314">
        <v>0.1</v>
      </c>
      <c r="K5679" s="314">
        <v>0.1</v>
      </c>
      <c r="L5679" s="314">
        <f t="shared" si="68"/>
        <v>0</v>
      </c>
      <c r="M5679" s="337"/>
    </row>
    <row r="5680" spans="1:13" s="71" customFormat="1" ht="26.4" customHeight="1">
      <c r="A5680" s="282">
        <v>88</v>
      </c>
      <c r="B5680" s="534"/>
      <c r="C5680" s="307" t="s">
        <v>7547</v>
      </c>
      <c r="D5680" s="307" t="s">
        <v>7548</v>
      </c>
      <c r="E5680" s="444" t="s">
        <v>5343</v>
      </c>
      <c r="F5680" s="310">
        <v>243597</v>
      </c>
      <c r="G5680" s="311">
        <v>2015</v>
      </c>
      <c r="H5680" s="329" t="s">
        <v>1149</v>
      </c>
      <c r="I5680" s="313">
        <v>13</v>
      </c>
      <c r="J5680" s="314">
        <v>0.1</v>
      </c>
      <c r="K5680" s="314">
        <v>0.1</v>
      </c>
      <c r="L5680" s="314">
        <f t="shared" si="68"/>
        <v>0</v>
      </c>
      <c r="M5680" s="337"/>
    </row>
    <row r="5681" spans="1:13" s="71" customFormat="1" ht="26.4" customHeight="1">
      <c r="A5681" s="282">
        <v>89</v>
      </c>
      <c r="B5681" s="534"/>
      <c r="C5681" s="307" t="s">
        <v>7547</v>
      </c>
      <c r="D5681" s="307" t="s">
        <v>7548</v>
      </c>
      <c r="E5681" s="444" t="s">
        <v>7556</v>
      </c>
      <c r="F5681" s="310">
        <v>243598</v>
      </c>
      <c r="G5681" s="311">
        <v>2015</v>
      </c>
      <c r="H5681" s="329" t="s">
        <v>1149</v>
      </c>
      <c r="I5681" s="313">
        <v>11.9</v>
      </c>
      <c r="J5681" s="314">
        <v>117.8</v>
      </c>
      <c r="K5681" s="314">
        <v>44.3</v>
      </c>
      <c r="L5681" s="314">
        <f t="shared" si="68"/>
        <v>73.5</v>
      </c>
      <c r="M5681" s="337"/>
    </row>
    <row r="5682" spans="1:13" s="71" customFormat="1" ht="26.4" customHeight="1">
      <c r="A5682" s="282">
        <v>90</v>
      </c>
      <c r="B5682" s="534"/>
      <c r="C5682" s="307" t="s">
        <v>7547</v>
      </c>
      <c r="D5682" s="307" t="s">
        <v>7548</v>
      </c>
      <c r="E5682" s="444" t="s">
        <v>7557</v>
      </c>
      <c r="F5682" s="310">
        <v>243599</v>
      </c>
      <c r="G5682" s="311">
        <v>2015</v>
      </c>
      <c r="H5682" s="329" t="s">
        <v>1149</v>
      </c>
      <c r="I5682" s="313">
        <v>420</v>
      </c>
      <c r="J5682" s="314">
        <v>33.4</v>
      </c>
      <c r="K5682" s="314">
        <v>33</v>
      </c>
      <c r="L5682" s="314">
        <f t="shared" si="68"/>
        <v>0.39999999999999858</v>
      </c>
      <c r="M5682" s="337"/>
    </row>
    <row r="5683" spans="1:13" s="71" customFormat="1" ht="26.4" customHeight="1">
      <c r="A5683" s="282">
        <v>91</v>
      </c>
      <c r="B5683" s="534"/>
      <c r="C5683" s="307" t="s">
        <v>7547</v>
      </c>
      <c r="D5683" s="307" t="s">
        <v>7548</v>
      </c>
      <c r="E5683" s="444" t="s">
        <v>7558</v>
      </c>
      <c r="F5683" s="310">
        <v>7007215</v>
      </c>
      <c r="G5683" s="311">
        <v>2015</v>
      </c>
      <c r="H5683" s="329" t="s">
        <v>3</v>
      </c>
      <c r="I5683" s="313" t="s">
        <v>3</v>
      </c>
      <c r="J5683" s="314">
        <v>13.4</v>
      </c>
      <c r="K5683" s="314">
        <v>3.6</v>
      </c>
      <c r="L5683" s="314">
        <f t="shared" si="68"/>
        <v>9.8000000000000007</v>
      </c>
      <c r="M5683" s="337"/>
    </row>
    <row r="5684" spans="1:13" s="71" customFormat="1" ht="26.4" customHeight="1">
      <c r="A5684" s="282">
        <v>92</v>
      </c>
      <c r="B5684" s="534"/>
      <c r="C5684" s="307" t="s">
        <v>7547</v>
      </c>
      <c r="D5684" s="307" t="s">
        <v>7548</v>
      </c>
      <c r="E5684" s="444" t="s">
        <v>7559</v>
      </c>
      <c r="F5684" s="310">
        <v>243602</v>
      </c>
      <c r="G5684" s="311">
        <v>2015</v>
      </c>
      <c r="H5684" s="329" t="s">
        <v>1149</v>
      </c>
      <c r="I5684" s="313">
        <v>145</v>
      </c>
      <c r="J5684" s="314">
        <v>62.5</v>
      </c>
      <c r="K5684" s="314">
        <v>40.299999999999997</v>
      </c>
      <c r="L5684" s="314">
        <f t="shared" si="68"/>
        <v>22.200000000000003</v>
      </c>
      <c r="M5684" s="337"/>
    </row>
    <row r="5685" spans="1:13" s="71" customFormat="1" ht="26.4" customHeight="1">
      <c r="A5685" s="282">
        <v>93</v>
      </c>
      <c r="B5685" s="534"/>
      <c r="C5685" s="307" t="s">
        <v>7547</v>
      </c>
      <c r="D5685" s="307" t="s">
        <v>7548</v>
      </c>
      <c r="E5685" s="444" t="s">
        <v>7560</v>
      </c>
      <c r="F5685" s="310">
        <v>243603</v>
      </c>
      <c r="G5685" s="311">
        <v>2015</v>
      </c>
      <c r="H5685" s="329" t="s">
        <v>1149</v>
      </c>
      <c r="I5685" s="313">
        <v>110.1</v>
      </c>
      <c r="J5685" s="314">
        <v>8.8000000000000007</v>
      </c>
      <c r="K5685" s="314">
        <v>3.9</v>
      </c>
      <c r="L5685" s="314">
        <f t="shared" si="68"/>
        <v>4.9000000000000004</v>
      </c>
      <c r="M5685" s="337"/>
    </row>
    <row r="5686" spans="1:13" s="71" customFormat="1" ht="26.4" customHeight="1">
      <c r="A5686" s="282">
        <v>94</v>
      </c>
      <c r="B5686" s="534"/>
      <c r="C5686" s="307" t="s">
        <v>7547</v>
      </c>
      <c r="D5686" s="307" t="s">
        <v>7548</v>
      </c>
      <c r="E5686" s="444" t="s">
        <v>7561</v>
      </c>
      <c r="F5686" s="310">
        <v>243606</v>
      </c>
      <c r="G5686" s="311">
        <v>2015</v>
      </c>
      <c r="H5686" s="329" t="s">
        <v>3</v>
      </c>
      <c r="I5686" s="313" t="s">
        <v>3</v>
      </c>
      <c r="J5686" s="314">
        <v>1.1000000000000001</v>
      </c>
      <c r="K5686" s="314">
        <v>1.1000000000000001</v>
      </c>
      <c r="L5686" s="314">
        <f t="shared" si="68"/>
        <v>0</v>
      </c>
      <c r="M5686" s="337"/>
    </row>
    <row r="5687" spans="1:13" s="71" customFormat="1" ht="26.4" customHeight="1">
      <c r="A5687" s="282">
        <v>95</v>
      </c>
      <c r="B5687" s="534"/>
      <c r="C5687" s="307" t="s">
        <v>7547</v>
      </c>
      <c r="D5687" s="307" t="s">
        <v>7548</v>
      </c>
      <c r="E5687" s="444" t="s">
        <v>7562</v>
      </c>
      <c r="F5687" s="310">
        <v>243600</v>
      </c>
      <c r="G5687" s="311">
        <v>2015</v>
      </c>
      <c r="H5687" s="329" t="s">
        <v>1149</v>
      </c>
      <c r="I5687" s="313">
        <v>7.7</v>
      </c>
      <c r="J5687" s="314">
        <v>0.9</v>
      </c>
      <c r="K5687" s="314">
        <v>0.9</v>
      </c>
      <c r="L5687" s="314">
        <f t="shared" si="68"/>
        <v>0</v>
      </c>
      <c r="M5687" s="337"/>
    </row>
    <row r="5688" spans="1:13" s="71" customFormat="1" ht="26.4" customHeight="1">
      <c r="A5688" s="282">
        <v>96</v>
      </c>
      <c r="B5688" s="534"/>
      <c r="C5688" s="307" t="s">
        <v>7547</v>
      </c>
      <c r="D5688" s="307" t="s">
        <v>7548</v>
      </c>
      <c r="E5688" s="444" t="s">
        <v>7563</v>
      </c>
      <c r="F5688" s="310">
        <v>243762</v>
      </c>
      <c r="G5688" s="311">
        <v>2015</v>
      </c>
      <c r="H5688" s="329" t="s">
        <v>1149</v>
      </c>
      <c r="I5688" s="313">
        <v>32</v>
      </c>
      <c r="J5688" s="314">
        <v>9.3000000000000007</v>
      </c>
      <c r="K5688" s="314">
        <v>9.3000000000000007</v>
      </c>
      <c r="L5688" s="314">
        <f t="shared" si="68"/>
        <v>0</v>
      </c>
      <c r="M5688" s="337"/>
    </row>
    <row r="5689" spans="1:13" s="71" customFormat="1" ht="26.4" customHeight="1">
      <c r="A5689" s="282">
        <v>97</v>
      </c>
      <c r="B5689" s="534"/>
      <c r="C5689" s="307" t="s">
        <v>7547</v>
      </c>
      <c r="D5689" s="307" t="s">
        <v>7548</v>
      </c>
      <c r="E5689" s="444" t="s">
        <v>7564</v>
      </c>
      <c r="F5689" s="310">
        <v>243763</v>
      </c>
      <c r="G5689" s="311">
        <v>2015</v>
      </c>
      <c r="H5689" s="329" t="s">
        <v>1149</v>
      </c>
      <c r="I5689" s="313">
        <v>80.400000000000006</v>
      </c>
      <c r="J5689" s="314">
        <v>29.2</v>
      </c>
      <c r="K5689" s="314">
        <v>25</v>
      </c>
      <c r="L5689" s="314">
        <f t="shared" si="68"/>
        <v>4.1999999999999993</v>
      </c>
      <c r="M5689" s="337"/>
    </row>
    <row r="5690" spans="1:13" s="71" customFormat="1" ht="26.4" customHeight="1">
      <c r="A5690" s="282">
        <v>98</v>
      </c>
      <c r="B5690" s="534"/>
      <c r="C5690" s="307" t="s">
        <v>7501</v>
      </c>
      <c r="D5690" s="307" t="s">
        <v>7449</v>
      </c>
      <c r="E5690" s="444" t="s">
        <v>7565</v>
      </c>
      <c r="F5690" s="310">
        <v>703971</v>
      </c>
      <c r="G5690" s="311">
        <v>2013</v>
      </c>
      <c r="H5690" s="329" t="s">
        <v>3</v>
      </c>
      <c r="I5690" s="313" t="s">
        <v>3</v>
      </c>
      <c r="J5690" s="314">
        <v>5</v>
      </c>
      <c r="K5690" s="314">
        <v>5</v>
      </c>
      <c r="L5690" s="314">
        <f t="shared" si="68"/>
        <v>0</v>
      </c>
      <c r="M5690" s="337"/>
    </row>
    <row r="5691" spans="1:13" s="71" customFormat="1" ht="26.4" customHeight="1">
      <c r="A5691" s="282">
        <v>99</v>
      </c>
      <c r="B5691" s="534"/>
      <c r="C5691" s="307" t="s">
        <v>7501</v>
      </c>
      <c r="D5691" s="307" t="s">
        <v>7449</v>
      </c>
      <c r="E5691" s="444" t="s">
        <v>7566</v>
      </c>
      <c r="F5691" s="310">
        <v>705591</v>
      </c>
      <c r="G5691" s="311">
        <v>2013</v>
      </c>
      <c r="H5691" s="329" t="s">
        <v>3</v>
      </c>
      <c r="I5691" s="313" t="s">
        <v>3</v>
      </c>
      <c r="J5691" s="314">
        <v>162</v>
      </c>
      <c r="K5691" s="314">
        <v>162</v>
      </c>
      <c r="L5691" s="314">
        <f t="shared" si="68"/>
        <v>0</v>
      </c>
      <c r="M5691" s="337"/>
    </row>
    <row r="5692" spans="1:13" s="71" customFormat="1" ht="26.4" customHeight="1">
      <c r="A5692" s="282">
        <v>100</v>
      </c>
      <c r="B5692" s="534"/>
      <c r="C5692" s="307" t="s">
        <v>7501</v>
      </c>
      <c r="D5692" s="307" t="s">
        <v>7567</v>
      </c>
      <c r="E5692" s="444" t="s">
        <v>7568</v>
      </c>
      <c r="F5692" s="310">
        <v>710303</v>
      </c>
      <c r="G5692" s="311">
        <v>2014</v>
      </c>
      <c r="H5692" s="329" t="s">
        <v>7569</v>
      </c>
      <c r="I5692" s="313" t="s">
        <v>7570</v>
      </c>
      <c r="J5692" s="314">
        <v>78.8</v>
      </c>
      <c r="K5692" s="314">
        <v>6.6</v>
      </c>
      <c r="L5692" s="314">
        <f t="shared" si="68"/>
        <v>72.2</v>
      </c>
      <c r="M5692" s="337"/>
    </row>
    <row r="5693" spans="1:13" s="71" customFormat="1" ht="26.4" customHeight="1">
      <c r="A5693" s="282">
        <v>101</v>
      </c>
      <c r="B5693" s="534"/>
      <c r="C5693" s="307" t="s">
        <v>7547</v>
      </c>
      <c r="D5693" s="307" t="s">
        <v>7548</v>
      </c>
      <c r="E5693" s="444" t="s">
        <v>7571</v>
      </c>
      <c r="F5693" s="310">
        <v>710317</v>
      </c>
      <c r="G5693" s="311">
        <v>2015</v>
      </c>
      <c r="H5693" s="329" t="s">
        <v>3</v>
      </c>
      <c r="I5693" s="313" t="s">
        <v>3</v>
      </c>
      <c r="J5693" s="314">
        <v>51.9</v>
      </c>
      <c r="K5693" s="314">
        <v>0</v>
      </c>
      <c r="L5693" s="314">
        <f t="shared" si="68"/>
        <v>51.9</v>
      </c>
      <c r="M5693" s="337"/>
    </row>
    <row r="5694" spans="1:13" s="71" customFormat="1" ht="26.4" customHeight="1">
      <c r="A5694" s="282">
        <v>102</v>
      </c>
      <c r="B5694" s="534"/>
      <c r="C5694" s="307" t="s">
        <v>16</v>
      </c>
      <c r="D5694" s="307" t="s">
        <v>7523</v>
      </c>
      <c r="E5694" s="440" t="s">
        <v>7572</v>
      </c>
      <c r="F5694" s="310">
        <v>70641000</v>
      </c>
      <c r="G5694" s="311">
        <v>2016</v>
      </c>
      <c r="H5694" s="329" t="s">
        <v>3</v>
      </c>
      <c r="I5694" s="313" t="s">
        <v>3</v>
      </c>
      <c r="J5694" s="314">
        <v>3864.6</v>
      </c>
      <c r="K5694" s="314">
        <v>148.1</v>
      </c>
      <c r="L5694" s="314">
        <f t="shared" si="68"/>
        <v>3716.5</v>
      </c>
      <c r="M5694" s="337"/>
    </row>
    <row r="5695" spans="1:13" s="71" customFormat="1" ht="26.4" customHeight="1">
      <c r="A5695" s="282">
        <v>103</v>
      </c>
      <c r="B5695" s="534"/>
      <c r="C5695" s="307" t="s">
        <v>16</v>
      </c>
      <c r="D5695" s="307" t="s">
        <v>7487</v>
      </c>
      <c r="E5695" s="440" t="s">
        <v>7573</v>
      </c>
      <c r="F5695" s="310">
        <v>710291</v>
      </c>
      <c r="G5695" s="311">
        <v>1955</v>
      </c>
      <c r="H5695" s="329" t="s">
        <v>3</v>
      </c>
      <c r="I5695" s="313" t="s">
        <v>3</v>
      </c>
      <c r="J5695" s="314">
        <v>1.6</v>
      </c>
      <c r="K5695" s="314">
        <v>1.6</v>
      </c>
      <c r="L5695" s="314">
        <f t="shared" si="68"/>
        <v>0</v>
      </c>
      <c r="M5695" s="337"/>
    </row>
    <row r="5696" spans="1:13" s="71" customFormat="1" ht="26.4" customHeight="1">
      <c r="A5696" s="282">
        <v>104</v>
      </c>
      <c r="B5696" s="534"/>
      <c r="C5696" s="307" t="s">
        <v>16</v>
      </c>
      <c r="D5696" s="448" t="s">
        <v>7574</v>
      </c>
      <c r="E5696" s="444" t="s">
        <v>7575</v>
      </c>
      <c r="F5696" s="310">
        <v>630206</v>
      </c>
      <c r="G5696" s="311">
        <v>1977</v>
      </c>
      <c r="H5696" s="329" t="s">
        <v>3</v>
      </c>
      <c r="I5696" s="313" t="s">
        <v>3</v>
      </c>
      <c r="J5696" s="314">
        <v>2.6</v>
      </c>
      <c r="K5696" s="314">
        <v>1.9</v>
      </c>
      <c r="L5696" s="314">
        <f t="shared" si="68"/>
        <v>0.70000000000000018</v>
      </c>
      <c r="M5696" s="337"/>
    </row>
    <row r="5697" spans="1:13" s="71" customFormat="1" ht="26.4" customHeight="1">
      <c r="A5697" s="282">
        <v>105</v>
      </c>
      <c r="B5697" s="534"/>
      <c r="C5697" s="307" t="s">
        <v>16</v>
      </c>
      <c r="D5697" s="307" t="s">
        <v>7576</v>
      </c>
      <c r="E5697" s="444" t="s">
        <v>7577</v>
      </c>
      <c r="F5697" s="310">
        <v>30292</v>
      </c>
      <c r="G5697" s="311">
        <v>1993</v>
      </c>
      <c r="H5697" s="329" t="s">
        <v>3</v>
      </c>
      <c r="I5697" s="313" t="s">
        <v>3</v>
      </c>
      <c r="J5697" s="314">
        <v>2.7</v>
      </c>
      <c r="K5697" s="314">
        <v>2.2000000000000002</v>
      </c>
      <c r="L5697" s="314">
        <f t="shared" si="68"/>
        <v>0.5</v>
      </c>
      <c r="M5697" s="337"/>
    </row>
    <row r="5698" spans="1:13" s="71" customFormat="1" ht="39.6">
      <c r="A5698" s="282">
        <v>106</v>
      </c>
      <c r="B5698" s="534"/>
      <c r="C5698" s="307" t="s">
        <v>16</v>
      </c>
      <c r="D5698" s="307" t="s">
        <v>7576</v>
      </c>
      <c r="E5698" s="444" t="s">
        <v>13169</v>
      </c>
      <c r="F5698" s="310">
        <v>630254</v>
      </c>
      <c r="G5698" s="311">
        <v>1993</v>
      </c>
      <c r="H5698" s="329" t="s">
        <v>3</v>
      </c>
      <c r="I5698" s="313" t="s">
        <v>3</v>
      </c>
      <c r="J5698" s="314">
        <v>2.4</v>
      </c>
      <c r="K5698" s="314">
        <v>1.4</v>
      </c>
      <c r="L5698" s="314">
        <f t="shared" si="68"/>
        <v>1</v>
      </c>
      <c r="M5698" s="337"/>
    </row>
    <row r="5699" spans="1:13" s="71" customFormat="1" ht="26.4" customHeight="1">
      <c r="A5699" s="282">
        <v>107</v>
      </c>
      <c r="B5699" s="534"/>
      <c r="C5699" s="307" t="s">
        <v>16</v>
      </c>
      <c r="D5699" s="307" t="s">
        <v>7574</v>
      </c>
      <c r="E5699" s="444" t="s">
        <v>7578</v>
      </c>
      <c r="F5699" s="310">
        <v>630257</v>
      </c>
      <c r="G5699" s="311">
        <v>1993</v>
      </c>
      <c r="H5699" s="329" t="s">
        <v>3</v>
      </c>
      <c r="I5699" s="313" t="s">
        <v>3</v>
      </c>
      <c r="J5699" s="314">
        <v>2.5</v>
      </c>
      <c r="K5699" s="314">
        <v>1.5</v>
      </c>
      <c r="L5699" s="314">
        <f t="shared" si="68"/>
        <v>1</v>
      </c>
      <c r="M5699" s="337"/>
    </row>
    <row r="5700" spans="1:13" s="71" customFormat="1" ht="26.4" customHeight="1">
      <c r="A5700" s="282">
        <v>108</v>
      </c>
      <c r="B5700" s="534"/>
      <c r="C5700" s="307" t="s">
        <v>16</v>
      </c>
      <c r="D5700" s="307" t="s">
        <v>7579</v>
      </c>
      <c r="E5700" s="444" t="s">
        <v>7580</v>
      </c>
      <c r="F5700" s="310">
        <v>30024</v>
      </c>
      <c r="G5700" s="311">
        <v>1968</v>
      </c>
      <c r="H5700" s="329" t="s">
        <v>3</v>
      </c>
      <c r="I5700" s="313" t="s">
        <v>3</v>
      </c>
      <c r="J5700" s="314">
        <v>3.7</v>
      </c>
      <c r="K5700" s="314">
        <v>3.5</v>
      </c>
      <c r="L5700" s="314">
        <f t="shared" si="68"/>
        <v>0.20000000000000018</v>
      </c>
      <c r="M5700" s="337"/>
    </row>
    <row r="5701" spans="1:13" s="71" customFormat="1" ht="26.4" customHeight="1">
      <c r="A5701" s="282">
        <v>109</v>
      </c>
      <c r="B5701" s="534"/>
      <c r="C5701" s="307" t="s">
        <v>16</v>
      </c>
      <c r="D5701" s="307" t="s">
        <v>7581</v>
      </c>
      <c r="E5701" s="444" t="s">
        <v>7582</v>
      </c>
      <c r="F5701" s="310">
        <v>30025</v>
      </c>
      <c r="G5701" s="311">
        <v>1968</v>
      </c>
      <c r="H5701" s="329" t="s">
        <v>3</v>
      </c>
      <c r="I5701" s="313" t="s">
        <v>3</v>
      </c>
      <c r="J5701" s="314">
        <v>1.9</v>
      </c>
      <c r="K5701" s="314">
        <v>1.8</v>
      </c>
      <c r="L5701" s="314">
        <f t="shared" si="68"/>
        <v>9.9999999999999867E-2</v>
      </c>
      <c r="M5701" s="337"/>
    </row>
    <row r="5702" spans="1:13" s="71" customFormat="1" ht="26.4" customHeight="1">
      <c r="A5702" s="282">
        <v>110</v>
      </c>
      <c r="B5702" s="534"/>
      <c r="C5702" s="307" t="s">
        <v>16</v>
      </c>
      <c r="D5702" s="307" t="s">
        <v>7574</v>
      </c>
      <c r="E5702" s="444" t="s">
        <v>7583</v>
      </c>
      <c r="F5702" s="310">
        <v>30023</v>
      </c>
      <c r="G5702" s="311">
        <v>1993</v>
      </c>
      <c r="H5702" s="329" t="s">
        <v>3</v>
      </c>
      <c r="I5702" s="313" t="s">
        <v>3</v>
      </c>
      <c r="J5702" s="314">
        <v>3.1</v>
      </c>
      <c r="K5702" s="314">
        <v>2.2999999999999998</v>
      </c>
      <c r="L5702" s="314">
        <f t="shared" si="68"/>
        <v>0.80000000000000027</v>
      </c>
      <c r="M5702" s="337"/>
    </row>
    <row r="5703" spans="1:13" s="71" customFormat="1" ht="26.4" customHeight="1">
      <c r="A5703" s="282">
        <v>111</v>
      </c>
      <c r="B5703" s="534"/>
      <c r="C5703" s="307" t="s">
        <v>16</v>
      </c>
      <c r="D5703" s="448" t="s">
        <v>7584</v>
      </c>
      <c r="E5703" s="444" t="s">
        <v>13170</v>
      </c>
      <c r="F5703" s="310">
        <v>30101</v>
      </c>
      <c r="G5703" s="311">
        <v>1991</v>
      </c>
      <c r="H5703" s="329" t="s">
        <v>3</v>
      </c>
      <c r="I5703" s="313" t="s">
        <v>3</v>
      </c>
      <c r="J5703" s="314">
        <v>22.8</v>
      </c>
      <c r="K5703" s="314">
        <v>17.899999999999999</v>
      </c>
      <c r="L5703" s="314">
        <f t="shared" si="68"/>
        <v>4.9000000000000021</v>
      </c>
      <c r="M5703" s="337"/>
    </row>
    <row r="5704" spans="1:13" s="71" customFormat="1" ht="26.4" customHeight="1">
      <c r="A5704" s="282">
        <v>112</v>
      </c>
      <c r="B5704" s="534"/>
      <c r="C5704" s="307" t="s">
        <v>16</v>
      </c>
      <c r="D5704" s="448" t="s">
        <v>7585</v>
      </c>
      <c r="E5704" s="444" t="s">
        <v>7586</v>
      </c>
      <c r="F5704" s="310">
        <v>30151</v>
      </c>
      <c r="G5704" s="311">
        <v>1992</v>
      </c>
      <c r="H5704" s="329" t="s">
        <v>3</v>
      </c>
      <c r="I5704" s="313" t="s">
        <v>3</v>
      </c>
      <c r="J5704" s="314">
        <v>2.5</v>
      </c>
      <c r="K5704" s="314">
        <v>2</v>
      </c>
      <c r="L5704" s="314">
        <f t="shared" si="68"/>
        <v>0.5</v>
      </c>
      <c r="M5704" s="337"/>
    </row>
    <row r="5705" spans="1:13" s="71" customFormat="1" ht="26.4" customHeight="1">
      <c r="A5705" s="282">
        <v>113</v>
      </c>
      <c r="B5705" s="534"/>
      <c r="C5705" s="307" t="s">
        <v>16</v>
      </c>
      <c r="D5705" s="307" t="s">
        <v>7587</v>
      </c>
      <c r="E5705" s="444" t="s">
        <v>13171</v>
      </c>
      <c r="F5705" s="310">
        <v>30219</v>
      </c>
      <c r="G5705" s="311">
        <v>1990</v>
      </c>
      <c r="H5705" s="329" t="s">
        <v>3</v>
      </c>
      <c r="I5705" s="313" t="s">
        <v>3</v>
      </c>
      <c r="J5705" s="314">
        <v>2.4</v>
      </c>
      <c r="K5705" s="314">
        <v>1.9</v>
      </c>
      <c r="L5705" s="314">
        <f t="shared" si="68"/>
        <v>0.5</v>
      </c>
      <c r="M5705" s="337"/>
    </row>
    <row r="5706" spans="1:13" s="71" customFormat="1" ht="26.4" customHeight="1">
      <c r="A5706" s="282">
        <v>114</v>
      </c>
      <c r="B5706" s="534"/>
      <c r="C5706" s="307" t="s">
        <v>16</v>
      </c>
      <c r="D5706" s="307" t="s">
        <v>7588</v>
      </c>
      <c r="E5706" s="444" t="s">
        <v>7589</v>
      </c>
      <c r="F5706" s="310">
        <v>30242</v>
      </c>
      <c r="G5706" s="311">
        <v>1998</v>
      </c>
      <c r="H5706" s="329" t="s">
        <v>3</v>
      </c>
      <c r="I5706" s="313" t="s">
        <v>3</v>
      </c>
      <c r="J5706" s="314">
        <v>9.6999999999999993</v>
      </c>
      <c r="K5706" s="314">
        <v>7.3</v>
      </c>
      <c r="L5706" s="314">
        <f t="shared" si="68"/>
        <v>2.3999999999999995</v>
      </c>
      <c r="M5706" s="337"/>
    </row>
    <row r="5707" spans="1:13" s="71" customFormat="1" ht="26.4" customHeight="1">
      <c r="A5707" s="282">
        <v>115</v>
      </c>
      <c r="B5707" s="534"/>
      <c r="C5707" s="307" t="s">
        <v>16</v>
      </c>
      <c r="D5707" s="307" t="s">
        <v>7588</v>
      </c>
      <c r="E5707" s="444" t="s">
        <v>7590</v>
      </c>
      <c r="F5707" s="310">
        <v>30243</v>
      </c>
      <c r="G5707" s="311">
        <v>1995</v>
      </c>
      <c r="H5707" s="329" t="s">
        <v>3</v>
      </c>
      <c r="I5707" s="313" t="s">
        <v>3</v>
      </c>
      <c r="J5707" s="314">
        <v>2.9</v>
      </c>
      <c r="K5707" s="314">
        <v>2.2000000000000002</v>
      </c>
      <c r="L5707" s="314">
        <f t="shared" si="68"/>
        <v>0.69999999999999973</v>
      </c>
      <c r="M5707" s="337"/>
    </row>
    <row r="5708" spans="1:13" s="71" customFormat="1" ht="26.4" customHeight="1">
      <c r="A5708" s="282">
        <v>116</v>
      </c>
      <c r="B5708" s="534"/>
      <c r="C5708" s="307" t="s">
        <v>16</v>
      </c>
      <c r="D5708" s="307" t="s">
        <v>7588</v>
      </c>
      <c r="E5708" s="444" t="s">
        <v>7591</v>
      </c>
      <c r="F5708" s="310">
        <v>30301</v>
      </c>
      <c r="G5708" s="311">
        <v>1995</v>
      </c>
      <c r="H5708" s="329" t="s">
        <v>3</v>
      </c>
      <c r="I5708" s="313" t="s">
        <v>3</v>
      </c>
      <c r="J5708" s="314">
        <v>3.7</v>
      </c>
      <c r="K5708" s="314">
        <v>2.2999999999999998</v>
      </c>
      <c r="L5708" s="314">
        <f t="shared" si="68"/>
        <v>1.4000000000000004</v>
      </c>
      <c r="M5708" s="337"/>
    </row>
    <row r="5709" spans="1:13" s="71" customFormat="1" ht="26.4" customHeight="1">
      <c r="A5709" s="282">
        <v>117</v>
      </c>
      <c r="B5709" s="534"/>
      <c r="C5709" s="307" t="s">
        <v>16</v>
      </c>
      <c r="D5709" s="453" t="s">
        <v>7592</v>
      </c>
      <c r="E5709" s="444" t="s">
        <v>7593</v>
      </c>
      <c r="F5709" s="310">
        <v>30304</v>
      </c>
      <c r="G5709" s="311">
        <v>1979</v>
      </c>
      <c r="H5709" s="329" t="s">
        <v>3</v>
      </c>
      <c r="I5709" s="313" t="s">
        <v>3</v>
      </c>
      <c r="J5709" s="314">
        <v>5.5</v>
      </c>
      <c r="K5709" s="314">
        <v>3.9</v>
      </c>
      <c r="L5709" s="314">
        <f t="shared" si="68"/>
        <v>1.6</v>
      </c>
      <c r="M5709" s="337"/>
    </row>
    <row r="5710" spans="1:13" s="71" customFormat="1" ht="26.4" customHeight="1">
      <c r="A5710" s="282">
        <v>118</v>
      </c>
      <c r="B5710" s="534"/>
      <c r="C5710" s="307" t="s">
        <v>16</v>
      </c>
      <c r="D5710" s="453" t="s">
        <v>7594</v>
      </c>
      <c r="E5710" s="444" t="s">
        <v>7595</v>
      </c>
      <c r="F5710" s="310">
        <v>30305</v>
      </c>
      <c r="G5710" s="311">
        <v>1979</v>
      </c>
      <c r="H5710" s="329" t="s">
        <v>3</v>
      </c>
      <c r="I5710" s="313" t="s">
        <v>3</v>
      </c>
      <c r="J5710" s="314">
        <v>10.8</v>
      </c>
      <c r="K5710" s="314">
        <v>7.6</v>
      </c>
      <c r="L5710" s="314">
        <f t="shared" si="68"/>
        <v>3.2000000000000011</v>
      </c>
      <c r="M5710" s="337"/>
    </row>
    <row r="5711" spans="1:13" s="71" customFormat="1" ht="26.4" customHeight="1">
      <c r="A5711" s="282">
        <v>119</v>
      </c>
      <c r="B5711" s="534"/>
      <c r="C5711" s="307" t="s">
        <v>16</v>
      </c>
      <c r="D5711" s="453" t="s">
        <v>7596</v>
      </c>
      <c r="E5711" s="444" t="s">
        <v>7597</v>
      </c>
      <c r="F5711" s="310">
        <v>30322</v>
      </c>
      <c r="G5711" s="311">
        <v>1982</v>
      </c>
      <c r="H5711" s="329" t="s">
        <v>3</v>
      </c>
      <c r="I5711" s="313" t="s">
        <v>3</v>
      </c>
      <c r="J5711" s="314">
        <v>10.4</v>
      </c>
      <c r="K5711" s="314">
        <v>9.6</v>
      </c>
      <c r="L5711" s="314">
        <f t="shared" si="68"/>
        <v>0.80000000000000071</v>
      </c>
      <c r="M5711" s="337"/>
    </row>
    <row r="5712" spans="1:13" s="71" customFormat="1" ht="26.4" customHeight="1">
      <c r="A5712" s="282">
        <v>120</v>
      </c>
      <c r="B5712" s="534"/>
      <c r="C5712" s="307" t="s">
        <v>16</v>
      </c>
      <c r="D5712" s="453" t="s">
        <v>7598</v>
      </c>
      <c r="E5712" s="444" t="s">
        <v>7599</v>
      </c>
      <c r="F5712" s="310">
        <v>30323</v>
      </c>
      <c r="G5712" s="311">
        <v>1983</v>
      </c>
      <c r="H5712" s="329" t="s">
        <v>3</v>
      </c>
      <c r="I5712" s="313" t="s">
        <v>3</v>
      </c>
      <c r="J5712" s="314">
        <v>2.6</v>
      </c>
      <c r="K5712" s="314">
        <v>1.8</v>
      </c>
      <c r="L5712" s="314">
        <f t="shared" si="68"/>
        <v>0.8</v>
      </c>
      <c r="M5712" s="337"/>
    </row>
    <row r="5713" spans="1:13" s="71" customFormat="1" ht="26.4" customHeight="1">
      <c r="A5713" s="282">
        <v>121</v>
      </c>
      <c r="B5713" s="534"/>
      <c r="C5713" s="307" t="s">
        <v>16</v>
      </c>
      <c r="D5713" s="453" t="s">
        <v>7598</v>
      </c>
      <c r="E5713" s="444" t="s">
        <v>7600</v>
      </c>
      <c r="F5713" s="310">
        <v>30292</v>
      </c>
      <c r="G5713" s="311">
        <v>1988</v>
      </c>
      <c r="H5713" s="329" t="s">
        <v>3</v>
      </c>
      <c r="I5713" s="313" t="s">
        <v>3</v>
      </c>
      <c r="J5713" s="314">
        <v>4.4000000000000004</v>
      </c>
      <c r="K5713" s="314">
        <v>3</v>
      </c>
      <c r="L5713" s="314">
        <f t="shared" si="68"/>
        <v>1.4000000000000004</v>
      </c>
      <c r="M5713" s="337"/>
    </row>
    <row r="5714" spans="1:13" s="71" customFormat="1" ht="39.6">
      <c r="A5714" s="282">
        <v>122</v>
      </c>
      <c r="B5714" s="534"/>
      <c r="C5714" s="307" t="s">
        <v>16</v>
      </c>
      <c r="D5714" s="307" t="s">
        <v>7601</v>
      </c>
      <c r="E5714" s="260" t="s">
        <v>7602</v>
      </c>
      <c r="F5714" s="310">
        <v>30293</v>
      </c>
      <c r="G5714" s="311">
        <v>1994</v>
      </c>
      <c r="H5714" s="329" t="s">
        <v>3</v>
      </c>
      <c r="I5714" s="313" t="s">
        <v>3</v>
      </c>
      <c r="J5714" s="314">
        <v>2.9</v>
      </c>
      <c r="K5714" s="314">
        <v>1.8</v>
      </c>
      <c r="L5714" s="314">
        <f t="shared" si="68"/>
        <v>1.0999999999999999</v>
      </c>
      <c r="M5714" s="337"/>
    </row>
    <row r="5715" spans="1:13" s="71" customFormat="1" ht="26.4" customHeight="1">
      <c r="A5715" s="282">
        <v>123</v>
      </c>
      <c r="B5715" s="534"/>
      <c r="C5715" s="307" t="s">
        <v>16</v>
      </c>
      <c r="D5715" s="307" t="s">
        <v>7603</v>
      </c>
      <c r="E5715" s="444" t="s">
        <v>7604</v>
      </c>
      <c r="F5715" s="310">
        <v>30333</v>
      </c>
      <c r="G5715" s="311">
        <v>1984</v>
      </c>
      <c r="H5715" s="329" t="s">
        <v>3</v>
      </c>
      <c r="I5715" s="313" t="s">
        <v>3</v>
      </c>
      <c r="J5715" s="314">
        <v>6</v>
      </c>
      <c r="K5715" s="314">
        <v>4</v>
      </c>
      <c r="L5715" s="314">
        <f t="shared" si="68"/>
        <v>2</v>
      </c>
      <c r="M5715" s="337"/>
    </row>
    <row r="5716" spans="1:13" s="71" customFormat="1" ht="26.4" customHeight="1">
      <c r="A5716" s="282">
        <v>124</v>
      </c>
      <c r="B5716" s="534"/>
      <c r="C5716" s="307" t="s">
        <v>16</v>
      </c>
      <c r="D5716" s="307" t="s">
        <v>7605</v>
      </c>
      <c r="E5716" s="444" t="s">
        <v>7606</v>
      </c>
      <c r="F5716" s="310">
        <v>30334</v>
      </c>
      <c r="G5716" s="311">
        <v>1985</v>
      </c>
      <c r="H5716" s="329" t="s">
        <v>3</v>
      </c>
      <c r="I5716" s="313" t="s">
        <v>3</v>
      </c>
      <c r="J5716" s="314">
        <v>15.7</v>
      </c>
      <c r="K5716" s="314">
        <v>12.8</v>
      </c>
      <c r="L5716" s="314">
        <f t="shared" si="68"/>
        <v>2.8999999999999986</v>
      </c>
      <c r="M5716" s="337"/>
    </row>
    <row r="5717" spans="1:13" s="71" customFormat="1" ht="26.4" customHeight="1">
      <c r="A5717" s="282">
        <v>125</v>
      </c>
      <c r="B5717" s="534"/>
      <c r="C5717" s="307" t="s">
        <v>16</v>
      </c>
      <c r="D5717" s="307" t="s">
        <v>7607</v>
      </c>
      <c r="E5717" s="444" t="s">
        <v>7608</v>
      </c>
      <c r="F5717" s="310">
        <v>30347</v>
      </c>
      <c r="G5717" s="311">
        <v>1989</v>
      </c>
      <c r="H5717" s="329" t="s">
        <v>3</v>
      </c>
      <c r="I5717" s="313" t="s">
        <v>3</v>
      </c>
      <c r="J5717" s="314">
        <v>3.3</v>
      </c>
      <c r="K5717" s="314">
        <v>2.1</v>
      </c>
      <c r="L5717" s="314">
        <f t="shared" si="68"/>
        <v>1.1999999999999997</v>
      </c>
      <c r="M5717" s="337"/>
    </row>
    <row r="5718" spans="1:13" s="71" customFormat="1" ht="39.6">
      <c r="A5718" s="282">
        <v>126</v>
      </c>
      <c r="B5718" s="534"/>
      <c r="C5718" s="307" t="s">
        <v>16</v>
      </c>
      <c r="D5718" s="453" t="s">
        <v>7576</v>
      </c>
      <c r="E5718" s="444" t="s">
        <v>7609</v>
      </c>
      <c r="F5718" s="310">
        <v>30351</v>
      </c>
      <c r="G5718" s="311">
        <v>1989</v>
      </c>
      <c r="H5718" s="329" t="s">
        <v>3</v>
      </c>
      <c r="I5718" s="313" t="s">
        <v>3</v>
      </c>
      <c r="J5718" s="314">
        <v>5.8</v>
      </c>
      <c r="K5718" s="314">
        <v>3.6</v>
      </c>
      <c r="L5718" s="314">
        <f t="shared" si="68"/>
        <v>2.1999999999999997</v>
      </c>
      <c r="M5718" s="337"/>
    </row>
    <row r="5719" spans="1:13" s="71" customFormat="1" ht="26.4" customHeight="1">
      <c r="A5719" s="282">
        <v>127</v>
      </c>
      <c r="B5719" s="534"/>
      <c r="C5719" s="307" t="s">
        <v>16</v>
      </c>
      <c r="D5719" s="453" t="s">
        <v>7576</v>
      </c>
      <c r="E5719" s="444" t="s">
        <v>7610</v>
      </c>
      <c r="F5719" s="310">
        <v>30352</v>
      </c>
      <c r="G5719" s="311">
        <v>1990</v>
      </c>
      <c r="H5719" s="329" t="s">
        <v>3</v>
      </c>
      <c r="I5719" s="313" t="s">
        <v>3</v>
      </c>
      <c r="J5719" s="314">
        <v>7.1</v>
      </c>
      <c r="K5719" s="314">
        <v>3</v>
      </c>
      <c r="L5719" s="314">
        <f t="shared" si="68"/>
        <v>4.0999999999999996</v>
      </c>
      <c r="M5719" s="337"/>
    </row>
    <row r="5720" spans="1:13" s="71" customFormat="1" ht="26.4" customHeight="1">
      <c r="A5720" s="282">
        <v>128</v>
      </c>
      <c r="B5720" s="534"/>
      <c r="C5720" s="307" t="s">
        <v>16</v>
      </c>
      <c r="D5720" s="453" t="s">
        <v>7576</v>
      </c>
      <c r="E5720" s="444" t="s">
        <v>7611</v>
      </c>
      <c r="F5720" s="310">
        <v>30358</v>
      </c>
      <c r="G5720" s="311">
        <v>1991</v>
      </c>
      <c r="H5720" s="329" t="s">
        <v>3</v>
      </c>
      <c r="I5720" s="313" t="s">
        <v>3</v>
      </c>
      <c r="J5720" s="314">
        <v>23.7</v>
      </c>
      <c r="K5720" s="314">
        <v>16.2</v>
      </c>
      <c r="L5720" s="314">
        <f t="shared" si="68"/>
        <v>7.5</v>
      </c>
      <c r="M5720" s="337"/>
    </row>
    <row r="5721" spans="1:13" s="71" customFormat="1" ht="39.6">
      <c r="A5721" s="282">
        <v>129</v>
      </c>
      <c r="B5721" s="534"/>
      <c r="C5721" s="307" t="s">
        <v>16</v>
      </c>
      <c r="D5721" s="307" t="s">
        <v>7612</v>
      </c>
      <c r="E5721" s="444" t="s">
        <v>12797</v>
      </c>
      <c r="F5721" s="310">
        <v>30348</v>
      </c>
      <c r="G5721" s="311">
        <v>1989</v>
      </c>
      <c r="H5721" s="329" t="s">
        <v>3</v>
      </c>
      <c r="I5721" s="313" t="s">
        <v>3</v>
      </c>
      <c r="J5721" s="314">
        <v>15.5</v>
      </c>
      <c r="K5721" s="314">
        <v>9.8000000000000007</v>
      </c>
      <c r="L5721" s="314">
        <f t="shared" ref="L5721:L5784" si="69">J5721-K5721</f>
        <v>5.6999999999999993</v>
      </c>
      <c r="M5721" s="337"/>
    </row>
    <row r="5722" spans="1:13" s="71" customFormat="1" ht="26.4" customHeight="1">
      <c r="A5722" s="282">
        <v>130</v>
      </c>
      <c r="B5722" s="534"/>
      <c r="C5722" s="307" t="s">
        <v>16</v>
      </c>
      <c r="D5722" s="307" t="s">
        <v>7459</v>
      </c>
      <c r="E5722" s="444" t="s">
        <v>7613</v>
      </c>
      <c r="F5722" s="310">
        <v>30002</v>
      </c>
      <c r="G5722" s="311">
        <v>1988</v>
      </c>
      <c r="H5722" s="329" t="s">
        <v>3</v>
      </c>
      <c r="I5722" s="313" t="s">
        <v>3</v>
      </c>
      <c r="J5722" s="314">
        <v>35.200000000000003</v>
      </c>
      <c r="K5722" s="314">
        <v>26.5</v>
      </c>
      <c r="L5722" s="314">
        <f t="shared" si="69"/>
        <v>8.7000000000000028</v>
      </c>
      <c r="M5722" s="337"/>
    </row>
    <row r="5723" spans="1:13" s="71" customFormat="1" ht="26.4" customHeight="1">
      <c r="A5723" s="282">
        <v>131</v>
      </c>
      <c r="B5723" s="534"/>
      <c r="C5723" s="307" t="s">
        <v>16</v>
      </c>
      <c r="D5723" s="307" t="s">
        <v>7614</v>
      </c>
      <c r="E5723" s="444" t="s">
        <v>7615</v>
      </c>
      <c r="F5723" s="310">
        <v>630235</v>
      </c>
      <c r="G5723" s="311">
        <v>1988</v>
      </c>
      <c r="H5723" s="329" t="s">
        <v>3</v>
      </c>
      <c r="I5723" s="313" t="s">
        <v>3</v>
      </c>
      <c r="J5723" s="314">
        <v>172</v>
      </c>
      <c r="K5723" s="314">
        <v>122.4</v>
      </c>
      <c r="L5723" s="314">
        <f t="shared" si="69"/>
        <v>49.599999999999994</v>
      </c>
      <c r="M5723" s="337"/>
    </row>
    <row r="5724" spans="1:13" s="71" customFormat="1" ht="26.4" customHeight="1">
      <c r="A5724" s="282">
        <v>132</v>
      </c>
      <c r="B5724" s="534"/>
      <c r="C5724" s="307" t="s">
        <v>16</v>
      </c>
      <c r="D5724" s="307" t="s">
        <v>7484</v>
      </c>
      <c r="E5724" s="444" t="s">
        <v>7616</v>
      </c>
      <c r="F5724" s="310">
        <v>630237</v>
      </c>
      <c r="G5724" s="311">
        <v>1988</v>
      </c>
      <c r="H5724" s="329" t="s">
        <v>3</v>
      </c>
      <c r="I5724" s="313" t="s">
        <v>3</v>
      </c>
      <c r="J5724" s="314">
        <v>71</v>
      </c>
      <c r="K5724" s="314">
        <v>60.4</v>
      </c>
      <c r="L5724" s="314">
        <f t="shared" si="69"/>
        <v>10.600000000000001</v>
      </c>
      <c r="M5724" s="337"/>
    </row>
    <row r="5725" spans="1:13" s="71" customFormat="1" ht="26.4" customHeight="1">
      <c r="A5725" s="282">
        <v>133</v>
      </c>
      <c r="B5725" s="534"/>
      <c r="C5725" s="307" t="s">
        <v>16</v>
      </c>
      <c r="D5725" s="307" t="s">
        <v>7487</v>
      </c>
      <c r="E5725" s="444" t="s">
        <v>7617</v>
      </c>
      <c r="F5725" s="310">
        <v>70672</v>
      </c>
      <c r="G5725" s="311">
        <v>2005</v>
      </c>
      <c r="H5725" s="329" t="s">
        <v>3</v>
      </c>
      <c r="I5725" s="313" t="s">
        <v>3</v>
      </c>
      <c r="J5725" s="314">
        <v>203.7</v>
      </c>
      <c r="K5725" s="314">
        <v>34.200000000000003</v>
      </c>
      <c r="L5725" s="314">
        <f t="shared" si="69"/>
        <v>169.5</v>
      </c>
      <c r="M5725" s="337"/>
    </row>
    <row r="5726" spans="1:13" s="71" customFormat="1" ht="26.4" customHeight="1">
      <c r="A5726" s="282">
        <v>134</v>
      </c>
      <c r="B5726" s="534"/>
      <c r="C5726" s="307" t="s">
        <v>16</v>
      </c>
      <c r="D5726" s="307" t="s">
        <v>7459</v>
      </c>
      <c r="E5726" s="444" t="s">
        <v>13383</v>
      </c>
      <c r="F5726" s="310">
        <v>630085</v>
      </c>
      <c r="G5726" s="311">
        <v>1939</v>
      </c>
      <c r="H5726" s="329" t="s">
        <v>3</v>
      </c>
      <c r="I5726" s="313" t="s">
        <v>3</v>
      </c>
      <c r="J5726" s="314">
        <v>12.6</v>
      </c>
      <c r="K5726" s="314">
        <v>11.5</v>
      </c>
      <c r="L5726" s="314">
        <f t="shared" si="69"/>
        <v>1.0999999999999996</v>
      </c>
      <c r="M5726" s="337"/>
    </row>
    <row r="5727" spans="1:13" s="71" customFormat="1" ht="26.4" customHeight="1">
      <c r="A5727" s="282">
        <v>135</v>
      </c>
      <c r="B5727" s="534"/>
      <c r="C5727" s="307" t="s">
        <v>16</v>
      </c>
      <c r="D5727" s="453" t="s">
        <v>7576</v>
      </c>
      <c r="E5727" s="444" t="s">
        <v>7618</v>
      </c>
      <c r="F5727" s="310">
        <v>630116</v>
      </c>
      <c r="G5727" s="311">
        <v>1975</v>
      </c>
      <c r="H5727" s="329" t="s">
        <v>3</v>
      </c>
      <c r="I5727" s="313" t="s">
        <v>3</v>
      </c>
      <c r="J5727" s="314">
        <v>6.7</v>
      </c>
      <c r="K5727" s="314">
        <v>5.3</v>
      </c>
      <c r="L5727" s="314">
        <f t="shared" si="69"/>
        <v>1.4000000000000004</v>
      </c>
      <c r="M5727" s="337"/>
    </row>
    <row r="5728" spans="1:13" s="71" customFormat="1" ht="26.4" customHeight="1">
      <c r="A5728" s="282">
        <v>136</v>
      </c>
      <c r="B5728" s="534"/>
      <c r="C5728" s="307" t="s">
        <v>16</v>
      </c>
      <c r="D5728" s="453" t="s">
        <v>7576</v>
      </c>
      <c r="E5728" s="444" t="s">
        <v>7619</v>
      </c>
      <c r="F5728" s="310">
        <v>630201</v>
      </c>
      <c r="G5728" s="311">
        <v>1975</v>
      </c>
      <c r="H5728" s="329" t="s">
        <v>3</v>
      </c>
      <c r="I5728" s="313" t="s">
        <v>3</v>
      </c>
      <c r="J5728" s="314">
        <v>3.7</v>
      </c>
      <c r="K5728" s="314">
        <v>3.3</v>
      </c>
      <c r="L5728" s="314">
        <f t="shared" si="69"/>
        <v>0.40000000000000036</v>
      </c>
      <c r="M5728" s="337"/>
    </row>
    <row r="5729" spans="1:13" s="71" customFormat="1" ht="26.4" customHeight="1">
      <c r="A5729" s="282">
        <v>137</v>
      </c>
      <c r="B5729" s="534"/>
      <c r="C5729" s="307" t="s">
        <v>16</v>
      </c>
      <c r="D5729" s="453" t="s">
        <v>12875</v>
      </c>
      <c r="E5729" s="444" t="s">
        <v>7620</v>
      </c>
      <c r="F5729" s="310">
        <v>30034</v>
      </c>
      <c r="G5729" s="311">
        <v>1976</v>
      </c>
      <c r="H5729" s="329" t="s">
        <v>3</v>
      </c>
      <c r="I5729" s="313" t="s">
        <v>3</v>
      </c>
      <c r="J5729" s="314">
        <v>3.1</v>
      </c>
      <c r="K5729" s="314">
        <v>3.1</v>
      </c>
      <c r="L5729" s="314">
        <f t="shared" si="69"/>
        <v>0</v>
      </c>
      <c r="M5729" s="337"/>
    </row>
    <row r="5730" spans="1:13" s="71" customFormat="1" ht="39.6">
      <c r="A5730" s="282">
        <v>138</v>
      </c>
      <c r="B5730" s="534"/>
      <c r="C5730" s="307" t="s">
        <v>16</v>
      </c>
      <c r="D5730" s="453" t="s">
        <v>7621</v>
      </c>
      <c r="E5730" s="444" t="s">
        <v>7622</v>
      </c>
      <c r="F5730" s="310">
        <v>30035</v>
      </c>
      <c r="G5730" s="311">
        <v>1976</v>
      </c>
      <c r="H5730" s="329" t="s">
        <v>3</v>
      </c>
      <c r="I5730" s="313" t="s">
        <v>3</v>
      </c>
      <c r="J5730" s="314">
        <v>0.6</v>
      </c>
      <c r="K5730" s="314">
        <v>0.3</v>
      </c>
      <c r="L5730" s="314">
        <f t="shared" si="69"/>
        <v>0.3</v>
      </c>
      <c r="M5730" s="337"/>
    </row>
    <row r="5731" spans="1:13" s="71" customFormat="1" ht="39.6">
      <c r="A5731" s="282">
        <v>139</v>
      </c>
      <c r="B5731" s="534"/>
      <c r="C5731" s="307" t="s">
        <v>16</v>
      </c>
      <c r="D5731" s="453" t="s">
        <v>7623</v>
      </c>
      <c r="E5731" s="444" t="s">
        <v>7624</v>
      </c>
      <c r="F5731" s="310">
        <v>116</v>
      </c>
      <c r="G5731" s="311">
        <v>1992</v>
      </c>
      <c r="H5731" s="329" t="s">
        <v>3</v>
      </c>
      <c r="I5731" s="313" t="s">
        <v>3</v>
      </c>
      <c r="J5731" s="314">
        <v>1.8</v>
      </c>
      <c r="K5731" s="314">
        <v>1.5</v>
      </c>
      <c r="L5731" s="314">
        <f t="shared" si="69"/>
        <v>0.30000000000000004</v>
      </c>
      <c r="M5731" s="337"/>
    </row>
    <row r="5732" spans="1:13" s="71" customFormat="1" ht="26.4" customHeight="1">
      <c r="A5732" s="282">
        <v>140</v>
      </c>
      <c r="B5732" s="534"/>
      <c r="C5732" s="307" t="s">
        <v>16</v>
      </c>
      <c r="D5732" s="453" t="s">
        <v>7625</v>
      </c>
      <c r="E5732" s="444" t="s">
        <v>7626</v>
      </c>
      <c r="F5732" s="310">
        <v>30037</v>
      </c>
      <c r="G5732" s="311">
        <v>1987</v>
      </c>
      <c r="H5732" s="329" t="s">
        <v>3</v>
      </c>
      <c r="I5732" s="313" t="s">
        <v>3</v>
      </c>
      <c r="J5732" s="314">
        <v>1.7</v>
      </c>
      <c r="K5732" s="314">
        <v>1.5</v>
      </c>
      <c r="L5732" s="314">
        <f t="shared" si="69"/>
        <v>0.19999999999999996</v>
      </c>
      <c r="M5732" s="337"/>
    </row>
    <row r="5733" spans="1:13" s="71" customFormat="1" ht="26.4" customHeight="1">
      <c r="A5733" s="282">
        <v>141</v>
      </c>
      <c r="B5733" s="534"/>
      <c r="C5733" s="307" t="s">
        <v>16</v>
      </c>
      <c r="D5733" s="453" t="s">
        <v>7627</v>
      </c>
      <c r="E5733" s="444" t="s">
        <v>7628</v>
      </c>
      <c r="F5733" s="310">
        <v>630119</v>
      </c>
      <c r="G5733" s="311">
        <v>1976</v>
      </c>
      <c r="H5733" s="329" t="s">
        <v>3</v>
      </c>
      <c r="I5733" s="313" t="s">
        <v>3</v>
      </c>
      <c r="J5733" s="314">
        <v>7.1</v>
      </c>
      <c r="K5733" s="314">
        <v>5.5</v>
      </c>
      <c r="L5733" s="314">
        <f t="shared" si="69"/>
        <v>1.5999999999999996</v>
      </c>
      <c r="M5733" s="337"/>
    </row>
    <row r="5734" spans="1:13" s="71" customFormat="1" ht="26.4" customHeight="1">
      <c r="A5734" s="282">
        <v>142</v>
      </c>
      <c r="B5734" s="534"/>
      <c r="C5734" s="307" t="s">
        <v>16</v>
      </c>
      <c r="D5734" s="307" t="s">
        <v>7629</v>
      </c>
      <c r="E5734" s="444" t="s">
        <v>7630</v>
      </c>
      <c r="F5734" s="310">
        <v>30275</v>
      </c>
      <c r="G5734" s="311">
        <v>1977</v>
      </c>
      <c r="H5734" s="329" t="s">
        <v>3</v>
      </c>
      <c r="I5734" s="313" t="s">
        <v>3</v>
      </c>
      <c r="J5734" s="314">
        <v>2.1</v>
      </c>
      <c r="K5734" s="314">
        <v>2</v>
      </c>
      <c r="L5734" s="314">
        <f t="shared" si="69"/>
        <v>0.10000000000000009</v>
      </c>
      <c r="M5734" s="337"/>
    </row>
    <row r="5735" spans="1:13" s="71" customFormat="1" ht="26.4" customHeight="1">
      <c r="A5735" s="282">
        <v>143</v>
      </c>
      <c r="B5735" s="534"/>
      <c r="C5735" s="307" t="s">
        <v>16</v>
      </c>
      <c r="D5735" s="307" t="s">
        <v>7631</v>
      </c>
      <c r="E5735" s="444" t="s">
        <v>7632</v>
      </c>
      <c r="F5735" s="310">
        <v>30276</v>
      </c>
      <c r="G5735" s="311">
        <v>1977</v>
      </c>
      <c r="H5735" s="329" t="s">
        <v>3</v>
      </c>
      <c r="I5735" s="313" t="s">
        <v>3</v>
      </c>
      <c r="J5735" s="314">
        <v>1.5</v>
      </c>
      <c r="K5735" s="314">
        <v>1.2</v>
      </c>
      <c r="L5735" s="314">
        <f t="shared" si="69"/>
        <v>0.30000000000000004</v>
      </c>
      <c r="M5735" s="337"/>
    </row>
    <row r="5736" spans="1:13" s="71" customFormat="1" ht="26.4" customHeight="1">
      <c r="A5736" s="282">
        <v>144</v>
      </c>
      <c r="B5736" s="534"/>
      <c r="C5736" s="307" t="s">
        <v>16</v>
      </c>
      <c r="D5736" s="307" t="s">
        <v>7574</v>
      </c>
      <c r="E5736" s="444" t="s">
        <v>7633</v>
      </c>
      <c r="F5736" s="310">
        <v>30278</v>
      </c>
      <c r="G5736" s="311">
        <v>1977</v>
      </c>
      <c r="H5736" s="329" t="s">
        <v>3</v>
      </c>
      <c r="I5736" s="313" t="s">
        <v>3</v>
      </c>
      <c r="J5736" s="314">
        <v>1.6</v>
      </c>
      <c r="K5736" s="314">
        <v>1.4</v>
      </c>
      <c r="L5736" s="314">
        <f t="shared" si="69"/>
        <v>0.20000000000000018</v>
      </c>
      <c r="M5736" s="337"/>
    </row>
    <row r="5737" spans="1:13" s="71" customFormat="1" ht="26.4" customHeight="1">
      <c r="A5737" s="282">
        <v>145</v>
      </c>
      <c r="B5737" s="534"/>
      <c r="C5737" s="307" t="s">
        <v>16</v>
      </c>
      <c r="D5737" s="307" t="s">
        <v>7634</v>
      </c>
      <c r="E5737" s="444" t="s">
        <v>13172</v>
      </c>
      <c r="F5737" s="310">
        <v>30279</v>
      </c>
      <c r="G5737" s="311">
        <v>1977</v>
      </c>
      <c r="H5737" s="329" t="s">
        <v>3</v>
      </c>
      <c r="I5737" s="313" t="s">
        <v>3</v>
      </c>
      <c r="J5737" s="314">
        <v>2.7</v>
      </c>
      <c r="K5737" s="314">
        <v>2.6</v>
      </c>
      <c r="L5737" s="314">
        <f t="shared" si="69"/>
        <v>0.10000000000000009</v>
      </c>
      <c r="M5737" s="337"/>
    </row>
    <row r="5738" spans="1:13" s="71" customFormat="1" ht="26.4" customHeight="1">
      <c r="A5738" s="282">
        <v>146</v>
      </c>
      <c r="B5738" s="534"/>
      <c r="C5738" s="307" t="s">
        <v>16</v>
      </c>
      <c r="D5738" s="453" t="s">
        <v>7635</v>
      </c>
      <c r="E5738" s="444" t="s">
        <v>7636</v>
      </c>
      <c r="F5738" s="310">
        <v>30290</v>
      </c>
      <c r="G5738" s="311">
        <v>1977</v>
      </c>
      <c r="H5738" s="329" t="s">
        <v>3</v>
      </c>
      <c r="I5738" s="313" t="s">
        <v>3</v>
      </c>
      <c r="J5738" s="314">
        <v>13.7</v>
      </c>
      <c r="K5738" s="314">
        <v>13.6</v>
      </c>
      <c r="L5738" s="314">
        <f t="shared" si="69"/>
        <v>9.9999999999999645E-2</v>
      </c>
      <c r="M5738" s="337"/>
    </row>
    <row r="5739" spans="1:13" s="71" customFormat="1" ht="26.4">
      <c r="A5739" s="282">
        <v>147</v>
      </c>
      <c r="B5739" s="534"/>
      <c r="C5739" s="307" t="s">
        <v>16</v>
      </c>
      <c r="D5739" s="453" t="s">
        <v>7637</v>
      </c>
      <c r="E5739" s="444" t="s">
        <v>7638</v>
      </c>
      <c r="F5739" s="310">
        <v>30299</v>
      </c>
      <c r="G5739" s="311">
        <v>1978</v>
      </c>
      <c r="H5739" s="329" t="s">
        <v>3</v>
      </c>
      <c r="I5739" s="313" t="s">
        <v>3</v>
      </c>
      <c r="J5739" s="314">
        <v>1.2</v>
      </c>
      <c r="K5739" s="314">
        <v>1.2</v>
      </c>
      <c r="L5739" s="314">
        <f t="shared" si="69"/>
        <v>0</v>
      </c>
      <c r="M5739" s="337"/>
    </row>
    <row r="5740" spans="1:13" s="71" customFormat="1" ht="26.4" customHeight="1">
      <c r="A5740" s="282">
        <v>148</v>
      </c>
      <c r="B5740" s="534"/>
      <c r="C5740" s="307" t="s">
        <v>16</v>
      </c>
      <c r="D5740" s="307" t="s">
        <v>7574</v>
      </c>
      <c r="E5740" s="444" t="s">
        <v>7639</v>
      </c>
      <c r="F5740" s="310">
        <v>30301</v>
      </c>
      <c r="G5740" s="311">
        <v>1979</v>
      </c>
      <c r="H5740" s="329" t="s">
        <v>3</v>
      </c>
      <c r="I5740" s="313" t="s">
        <v>3</v>
      </c>
      <c r="J5740" s="314">
        <v>1.3</v>
      </c>
      <c r="K5740" s="314">
        <v>1.3</v>
      </c>
      <c r="L5740" s="314">
        <f t="shared" si="69"/>
        <v>0</v>
      </c>
      <c r="M5740" s="337"/>
    </row>
    <row r="5741" spans="1:13" s="71" customFormat="1" ht="26.4" customHeight="1">
      <c r="A5741" s="282">
        <v>149</v>
      </c>
      <c r="B5741" s="534"/>
      <c r="C5741" s="307" t="s">
        <v>16</v>
      </c>
      <c r="D5741" s="307" t="s">
        <v>7574</v>
      </c>
      <c r="E5741" s="444" t="s">
        <v>7640</v>
      </c>
      <c r="F5741" s="310">
        <v>30291</v>
      </c>
      <c r="G5741" s="311">
        <v>1977</v>
      </c>
      <c r="H5741" s="329" t="s">
        <v>3</v>
      </c>
      <c r="I5741" s="313" t="s">
        <v>3</v>
      </c>
      <c r="J5741" s="314">
        <v>0.7</v>
      </c>
      <c r="K5741" s="314">
        <v>0.7</v>
      </c>
      <c r="L5741" s="314">
        <f t="shared" si="69"/>
        <v>0</v>
      </c>
      <c r="M5741" s="337"/>
    </row>
    <row r="5742" spans="1:13" s="71" customFormat="1" ht="26.4" customHeight="1">
      <c r="A5742" s="282">
        <v>150</v>
      </c>
      <c r="B5742" s="534"/>
      <c r="C5742" s="307" t="s">
        <v>16</v>
      </c>
      <c r="D5742" s="400" t="s">
        <v>7641</v>
      </c>
      <c r="E5742" s="444" t="s">
        <v>7642</v>
      </c>
      <c r="F5742" s="310">
        <v>30007</v>
      </c>
      <c r="G5742" s="311">
        <v>1958</v>
      </c>
      <c r="H5742" s="329" t="s">
        <v>3</v>
      </c>
      <c r="I5742" s="313" t="s">
        <v>3</v>
      </c>
      <c r="J5742" s="314">
        <v>1.2</v>
      </c>
      <c r="K5742" s="314">
        <v>1.1000000000000001</v>
      </c>
      <c r="L5742" s="314">
        <f t="shared" si="69"/>
        <v>9.9999999999999867E-2</v>
      </c>
      <c r="M5742" s="337"/>
    </row>
    <row r="5743" spans="1:13" s="71" customFormat="1" ht="26.4" customHeight="1">
      <c r="A5743" s="282">
        <v>151</v>
      </c>
      <c r="B5743" s="534"/>
      <c r="C5743" s="307" t="s">
        <v>16</v>
      </c>
      <c r="D5743" s="307" t="s">
        <v>7643</v>
      </c>
      <c r="E5743" s="444" t="s">
        <v>7644</v>
      </c>
      <c r="F5743" s="310">
        <v>30343</v>
      </c>
      <c r="G5743" s="311">
        <v>1986</v>
      </c>
      <c r="H5743" s="329" t="s">
        <v>3</v>
      </c>
      <c r="I5743" s="313" t="s">
        <v>3</v>
      </c>
      <c r="J5743" s="314">
        <v>3.5</v>
      </c>
      <c r="K5743" s="314">
        <v>3.5</v>
      </c>
      <c r="L5743" s="314">
        <f t="shared" si="69"/>
        <v>0</v>
      </c>
      <c r="M5743" s="337"/>
    </row>
    <row r="5744" spans="1:13" s="71" customFormat="1" ht="26.4" customHeight="1">
      <c r="A5744" s="282">
        <v>152</v>
      </c>
      <c r="B5744" s="534"/>
      <c r="C5744" s="307" t="s">
        <v>16</v>
      </c>
      <c r="D5744" s="453" t="s">
        <v>7584</v>
      </c>
      <c r="E5744" s="444" t="s">
        <v>7645</v>
      </c>
      <c r="F5744" s="310">
        <v>630230</v>
      </c>
      <c r="G5744" s="311">
        <v>1982</v>
      </c>
      <c r="H5744" s="329" t="s">
        <v>3</v>
      </c>
      <c r="I5744" s="313" t="s">
        <v>3</v>
      </c>
      <c r="J5744" s="314">
        <v>6.7</v>
      </c>
      <c r="K5744" s="314">
        <v>4.7</v>
      </c>
      <c r="L5744" s="314">
        <f t="shared" si="69"/>
        <v>2</v>
      </c>
      <c r="M5744" s="337"/>
    </row>
    <row r="5745" spans="1:13" s="71" customFormat="1" ht="26.4" customHeight="1">
      <c r="A5745" s="282">
        <v>153</v>
      </c>
      <c r="B5745" s="534"/>
      <c r="C5745" s="307" t="s">
        <v>16</v>
      </c>
      <c r="D5745" s="453" t="s">
        <v>7601</v>
      </c>
      <c r="E5745" s="444" t="s">
        <v>7646</v>
      </c>
      <c r="F5745" s="310">
        <v>30302</v>
      </c>
      <c r="G5745" s="311">
        <v>1971</v>
      </c>
      <c r="H5745" s="329" t="s">
        <v>3</v>
      </c>
      <c r="I5745" s="313" t="s">
        <v>3</v>
      </c>
      <c r="J5745" s="314">
        <v>2.7</v>
      </c>
      <c r="K5745" s="314">
        <v>2.4</v>
      </c>
      <c r="L5745" s="314">
        <f t="shared" si="69"/>
        <v>0.30000000000000027</v>
      </c>
      <c r="M5745" s="337"/>
    </row>
    <row r="5746" spans="1:13" s="71" customFormat="1" ht="26.4" customHeight="1">
      <c r="A5746" s="282">
        <v>154</v>
      </c>
      <c r="B5746" s="534"/>
      <c r="C5746" s="307" t="s">
        <v>16</v>
      </c>
      <c r="D5746" s="307" t="s">
        <v>7601</v>
      </c>
      <c r="E5746" s="444" t="s">
        <v>7647</v>
      </c>
      <c r="F5746" s="310">
        <v>30317</v>
      </c>
      <c r="G5746" s="311">
        <v>1980</v>
      </c>
      <c r="H5746" s="329" t="s">
        <v>3</v>
      </c>
      <c r="I5746" s="313" t="s">
        <v>3</v>
      </c>
      <c r="J5746" s="314">
        <v>1.3</v>
      </c>
      <c r="K5746" s="314">
        <v>1.3</v>
      </c>
      <c r="L5746" s="314">
        <f t="shared" si="69"/>
        <v>0</v>
      </c>
      <c r="M5746" s="337"/>
    </row>
    <row r="5747" spans="1:13" s="71" customFormat="1" ht="26.4" customHeight="1">
      <c r="A5747" s="282">
        <v>155</v>
      </c>
      <c r="B5747" s="534"/>
      <c r="C5747" s="307" t="s">
        <v>16</v>
      </c>
      <c r="D5747" s="307" t="s">
        <v>7648</v>
      </c>
      <c r="E5747" s="444" t="s">
        <v>7649</v>
      </c>
      <c r="F5747" s="310">
        <v>30323</v>
      </c>
      <c r="G5747" s="311">
        <v>1981</v>
      </c>
      <c r="H5747" s="329" t="s">
        <v>3</v>
      </c>
      <c r="I5747" s="313" t="s">
        <v>3</v>
      </c>
      <c r="J5747" s="314">
        <v>1.6</v>
      </c>
      <c r="K5747" s="314">
        <v>1.4</v>
      </c>
      <c r="L5747" s="314">
        <f t="shared" si="69"/>
        <v>0.20000000000000018</v>
      </c>
      <c r="M5747" s="337"/>
    </row>
    <row r="5748" spans="1:13" s="71" customFormat="1" ht="26.4" customHeight="1">
      <c r="A5748" s="282">
        <v>156</v>
      </c>
      <c r="B5748" s="534"/>
      <c r="C5748" s="307" t="s">
        <v>16</v>
      </c>
      <c r="D5748" s="307" t="s">
        <v>7650</v>
      </c>
      <c r="E5748" s="444" t="s">
        <v>7651</v>
      </c>
      <c r="F5748" s="310">
        <v>30324</v>
      </c>
      <c r="G5748" s="311">
        <v>1983</v>
      </c>
      <c r="H5748" s="329" t="s">
        <v>3</v>
      </c>
      <c r="I5748" s="313" t="s">
        <v>3</v>
      </c>
      <c r="J5748" s="314">
        <v>2.1</v>
      </c>
      <c r="K5748" s="314">
        <v>2.1</v>
      </c>
      <c r="L5748" s="314">
        <f t="shared" si="69"/>
        <v>0</v>
      </c>
      <c r="M5748" s="337"/>
    </row>
    <row r="5749" spans="1:13" s="71" customFormat="1" ht="26.4" customHeight="1">
      <c r="A5749" s="282">
        <v>157</v>
      </c>
      <c r="B5749" s="534"/>
      <c r="C5749" s="307" t="s">
        <v>16</v>
      </c>
      <c r="D5749" s="453" t="s">
        <v>7601</v>
      </c>
      <c r="E5749" s="444" t="s">
        <v>7652</v>
      </c>
      <c r="F5749" s="310">
        <v>30320</v>
      </c>
      <c r="G5749" s="311">
        <v>1981</v>
      </c>
      <c r="H5749" s="329" t="s">
        <v>3</v>
      </c>
      <c r="I5749" s="313" t="s">
        <v>3</v>
      </c>
      <c r="J5749" s="314">
        <v>1.4</v>
      </c>
      <c r="K5749" s="314">
        <v>1.4</v>
      </c>
      <c r="L5749" s="314">
        <f t="shared" si="69"/>
        <v>0</v>
      </c>
      <c r="M5749" s="337"/>
    </row>
    <row r="5750" spans="1:13" s="71" customFormat="1" ht="26.4" customHeight="1">
      <c r="A5750" s="282">
        <v>158</v>
      </c>
      <c r="B5750" s="534"/>
      <c r="C5750" s="307" t="s">
        <v>16</v>
      </c>
      <c r="D5750" s="453" t="s">
        <v>7653</v>
      </c>
      <c r="E5750" s="444" t="s">
        <v>7654</v>
      </c>
      <c r="F5750" s="310">
        <v>30334</v>
      </c>
      <c r="G5750" s="311">
        <v>1984</v>
      </c>
      <c r="H5750" s="329" t="s">
        <v>3</v>
      </c>
      <c r="I5750" s="313" t="s">
        <v>3</v>
      </c>
      <c r="J5750" s="314">
        <v>1.8</v>
      </c>
      <c r="K5750" s="314">
        <v>1.8</v>
      </c>
      <c r="L5750" s="314">
        <f t="shared" si="69"/>
        <v>0</v>
      </c>
      <c r="M5750" s="337"/>
    </row>
    <row r="5751" spans="1:13" s="71" customFormat="1" ht="26.4" customHeight="1">
      <c r="A5751" s="282">
        <v>159</v>
      </c>
      <c r="B5751" s="534"/>
      <c r="C5751" s="307" t="s">
        <v>16</v>
      </c>
      <c r="D5751" s="453" t="s">
        <v>7576</v>
      </c>
      <c r="E5751" s="454" t="s">
        <v>7655</v>
      </c>
      <c r="F5751" s="310">
        <v>30340</v>
      </c>
      <c r="G5751" s="311">
        <v>1985</v>
      </c>
      <c r="H5751" s="329" t="s">
        <v>3</v>
      </c>
      <c r="I5751" s="313" t="s">
        <v>3</v>
      </c>
      <c r="J5751" s="314">
        <v>3.7</v>
      </c>
      <c r="K5751" s="314">
        <v>3.5</v>
      </c>
      <c r="L5751" s="314">
        <f t="shared" si="69"/>
        <v>0.20000000000000018</v>
      </c>
      <c r="M5751" s="337"/>
    </row>
    <row r="5752" spans="1:13" s="71" customFormat="1" ht="26.4" customHeight="1">
      <c r="A5752" s="282">
        <v>160</v>
      </c>
      <c r="B5752" s="534"/>
      <c r="C5752" s="307" t="s">
        <v>16</v>
      </c>
      <c r="D5752" s="307" t="s">
        <v>7643</v>
      </c>
      <c r="E5752" s="444" t="s">
        <v>7656</v>
      </c>
      <c r="F5752" s="310">
        <v>30343</v>
      </c>
      <c r="G5752" s="311">
        <v>1986</v>
      </c>
      <c r="H5752" s="329" t="s">
        <v>3</v>
      </c>
      <c r="I5752" s="313" t="s">
        <v>3</v>
      </c>
      <c r="J5752" s="314">
        <v>3.5</v>
      </c>
      <c r="K5752" s="314">
        <v>3.4</v>
      </c>
      <c r="L5752" s="314">
        <f t="shared" si="69"/>
        <v>0.10000000000000009</v>
      </c>
      <c r="M5752" s="337"/>
    </row>
    <row r="5753" spans="1:13" s="71" customFormat="1" ht="39.6">
      <c r="A5753" s="282">
        <v>161</v>
      </c>
      <c r="B5753" s="534"/>
      <c r="C5753" s="307" t="s">
        <v>16</v>
      </c>
      <c r="D5753" s="453" t="s">
        <v>7567</v>
      </c>
      <c r="E5753" s="444" t="s">
        <v>12756</v>
      </c>
      <c r="F5753" s="310">
        <v>30345</v>
      </c>
      <c r="G5753" s="311">
        <v>1988</v>
      </c>
      <c r="H5753" s="329" t="s">
        <v>3</v>
      </c>
      <c r="I5753" s="313" t="s">
        <v>3</v>
      </c>
      <c r="J5753" s="314">
        <v>1.5</v>
      </c>
      <c r="K5753" s="314">
        <v>1.4</v>
      </c>
      <c r="L5753" s="314">
        <f t="shared" si="69"/>
        <v>0.10000000000000009</v>
      </c>
      <c r="M5753" s="337"/>
    </row>
    <row r="5754" spans="1:13" s="71" customFormat="1" ht="26.4" customHeight="1">
      <c r="A5754" s="282">
        <v>162</v>
      </c>
      <c r="B5754" s="534"/>
      <c r="C5754" s="307" t="s">
        <v>16</v>
      </c>
      <c r="D5754" s="453" t="s">
        <v>7459</v>
      </c>
      <c r="E5754" s="444" t="s">
        <v>7657</v>
      </c>
      <c r="F5754" s="310">
        <v>624017</v>
      </c>
      <c r="G5754" s="311">
        <v>1965</v>
      </c>
      <c r="H5754" s="329" t="s">
        <v>3</v>
      </c>
      <c r="I5754" s="313" t="s">
        <v>3</v>
      </c>
      <c r="J5754" s="314">
        <v>16.5</v>
      </c>
      <c r="K5754" s="314">
        <v>16.399999999999999</v>
      </c>
      <c r="L5754" s="314">
        <f t="shared" si="69"/>
        <v>0.10000000000000142</v>
      </c>
      <c r="M5754" s="337"/>
    </row>
    <row r="5755" spans="1:13" s="71" customFormat="1" ht="26.4" customHeight="1">
      <c r="A5755" s="282">
        <v>163</v>
      </c>
      <c r="B5755" s="534"/>
      <c r="C5755" s="307" t="s">
        <v>16</v>
      </c>
      <c r="D5755" s="453" t="s">
        <v>7658</v>
      </c>
      <c r="E5755" s="444" t="s">
        <v>7659</v>
      </c>
      <c r="F5755" s="310">
        <v>624020</v>
      </c>
      <c r="G5755" s="311">
        <v>1976</v>
      </c>
      <c r="H5755" s="329" t="s">
        <v>3</v>
      </c>
      <c r="I5755" s="313" t="s">
        <v>3</v>
      </c>
      <c r="J5755" s="314">
        <v>6.9</v>
      </c>
      <c r="K5755" s="314">
        <v>6.8</v>
      </c>
      <c r="L5755" s="314">
        <f t="shared" si="69"/>
        <v>0.10000000000000053</v>
      </c>
      <c r="M5755" s="337"/>
    </row>
    <row r="5756" spans="1:13" s="71" customFormat="1" ht="26.4">
      <c r="A5756" s="282">
        <v>164</v>
      </c>
      <c r="B5756" s="534"/>
      <c r="C5756" s="307" t="s">
        <v>16</v>
      </c>
      <c r="D5756" s="453" t="s">
        <v>7574</v>
      </c>
      <c r="E5756" s="444" t="s">
        <v>7660</v>
      </c>
      <c r="F5756" s="310">
        <v>630001</v>
      </c>
      <c r="G5756" s="311">
        <v>1939</v>
      </c>
      <c r="H5756" s="329" t="s">
        <v>3</v>
      </c>
      <c r="I5756" s="313" t="s">
        <v>3</v>
      </c>
      <c r="J5756" s="314">
        <v>10.199999999999999</v>
      </c>
      <c r="K5756" s="314">
        <v>10</v>
      </c>
      <c r="L5756" s="314">
        <f t="shared" si="69"/>
        <v>0.19999999999999929</v>
      </c>
      <c r="M5756" s="337"/>
    </row>
    <row r="5757" spans="1:13" s="71" customFormat="1" ht="26.4" customHeight="1">
      <c r="A5757" s="282">
        <v>165</v>
      </c>
      <c r="B5757" s="534"/>
      <c r="C5757" s="307" t="s">
        <v>16</v>
      </c>
      <c r="D5757" s="453" t="s">
        <v>7661</v>
      </c>
      <c r="E5757" s="444" t="s">
        <v>7662</v>
      </c>
      <c r="F5757" s="310">
        <v>630002</v>
      </c>
      <c r="G5757" s="311">
        <v>1935</v>
      </c>
      <c r="H5757" s="329" t="s">
        <v>3</v>
      </c>
      <c r="I5757" s="313" t="s">
        <v>3</v>
      </c>
      <c r="J5757" s="314">
        <v>7.4</v>
      </c>
      <c r="K5757" s="314">
        <v>7.2</v>
      </c>
      <c r="L5757" s="314">
        <f t="shared" si="69"/>
        <v>0.20000000000000018</v>
      </c>
      <c r="M5757" s="337"/>
    </row>
    <row r="5758" spans="1:13" s="71" customFormat="1" ht="26.4" customHeight="1">
      <c r="A5758" s="282">
        <v>166</v>
      </c>
      <c r="B5758" s="534"/>
      <c r="C5758" s="307" t="s">
        <v>16</v>
      </c>
      <c r="D5758" s="453" t="s">
        <v>7601</v>
      </c>
      <c r="E5758" s="444" t="s">
        <v>7663</v>
      </c>
      <c r="F5758" s="310">
        <v>630003</v>
      </c>
      <c r="G5758" s="311">
        <v>1957</v>
      </c>
      <c r="H5758" s="329" t="s">
        <v>3</v>
      </c>
      <c r="I5758" s="313" t="s">
        <v>3</v>
      </c>
      <c r="J5758" s="314">
        <v>2.4</v>
      </c>
      <c r="K5758" s="314">
        <v>2.2999999999999998</v>
      </c>
      <c r="L5758" s="314">
        <f t="shared" si="69"/>
        <v>0.10000000000000009</v>
      </c>
      <c r="M5758" s="337"/>
    </row>
    <row r="5759" spans="1:13" s="71" customFormat="1" ht="26.4" customHeight="1">
      <c r="A5759" s="282">
        <v>167</v>
      </c>
      <c r="B5759" s="534"/>
      <c r="C5759" s="307" t="s">
        <v>16</v>
      </c>
      <c r="D5759" s="453" t="s">
        <v>7661</v>
      </c>
      <c r="E5759" s="444" t="s">
        <v>7664</v>
      </c>
      <c r="F5759" s="310">
        <v>630004</v>
      </c>
      <c r="G5759" s="311">
        <v>1936</v>
      </c>
      <c r="H5759" s="329" t="s">
        <v>3</v>
      </c>
      <c r="I5759" s="313" t="s">
        <v>3</v>
      </c>
      <c r="J5759" s="314">
        <v>3.4</v>
      </c>
      <c r="K5759" s="314">
        <v>3.3</v>
      </c>
      <c r="L5759" s="314">
        <f t="shared" si="69"/>
        <v>0.10000000000000009</v>
      </c>
      <c r="M5759" s="337"/>
    </row>
    <row r="5760" spans="1:13" s="71" customFormat="1" ht="26.4" customHeight="1">
      <c r="A5760" s="282">
        <v>168</v>
      </c>
      <c r="B5760" s="534"/>
      <c r="C5760" s="307" t="s">
        <v>16</v>
      </c>
      <c r="D5760" s="307" t="s">
        <v>7665</v>
      </c>
      <c r="E5760" s="444" t="s">
        <v>7666</v>
      </c>
      <c r="F5760" s="310">
        <v>630005</v>
      </c>
      <c r="G5760" s="311">
        <v>1936</v>
      </c>
      <c r="H5760" s="329" t="s">
        <v>3</v>
      </c>
      <c r="I5760" s="313" t="s">
        <v>3</v>
      </c>
      <c r="J5760" s="314">
        <v>11.2</v>
      </c>
      <c r="K5760" s="314">
        <v>11.1</v>
      </c>
      <c r="L5760" s="314">
        <f t="shared" si="69"/>
        <v>9.9999999999999645E-2</v>
      </c>
      <c r="M5760" s="337"/>
    </row>
    <row r="5761" spans="1:13" s="71" customFormat="1" ht="26.4" customHeight="1">
      <c r="A5761" s="282">
        <v>169</v>
      </c>
      <c r="B5761" s="534"/>
      <c r="C5761" s="307" t="s">
        <v>16</v>
      </c>
      <c r="D5761" s="307" t="s">
        <v>7667</v>
      </c>
      <c r="E5761" s="444" t="s">
        <v>7668</v>
      </c>
      <c r="F5761" s="310">
        <v>630006</v>
      </c>
      <c r="G5761" s="311">
        <v>1936</v>
      </c>
      <c r="H5761" s="329" t="s">
        <v>3</v>
      </c>
      <c r="I5761" s="313" t="s">
        <v>3</v>
      </c>
      <c r="J5761" s="314">
        <v>1.7</v>
      </c>
      <c r="K5761" s="314">
        <v>1.5</v>
      </c>
      <c r="L5761" s="314">
        <f t="shared" si="69"/>
        <v>0.19999999999999996</v>
      </c>
      <c r="M5761" s="337"/>
    </row>
    <row r="5762" spans="1:13" s="71" customFormat="1" ht="26.4" customHeight="1">
      <c r="A5762" s="282">
        <v>170</v>
      </c>
      <c r="B5762" s="534"/>
      <c r="C5762" s="307" t="s">
        <v>16</v>
      </c>
      <c r="D5762" s="307" t="s">
        <v>7669</v>
      </c>
      <c r="E5762" s="444" t="s">
        <v>7670</v>
      </c>
      <c r="F5762" s="310">
        <v>630007</v>
      </c>
      <c r="G5762" s="311">
        <v>1936</v>
      </c>
      <c r="H5762" s="329" t="s">
        <v>3</v>
      </c>
      <c r="I5762" s="313" t="s">
        <v>3</v>
      </c>
      <c r="J5762" s="314">
        <v>2.4</v>
      </c>
      <c r="K5762" s="314">
        <v>2</v>
      </c>
      <c r="L5762" s="314">
        <f t="shared" si="69"/>
        <v>0.39999999999999991</v>
      </c>
      <c r="M5762" s="337"/>
    </row>
    <row r="5763" spans="1:13" s="71" customFormat="1" ht="26.4" customHeight="1">
      <c r="A5763" s="282">
        <v>171</v>
      </c>
      <c r="B5763" s="534"/>
      <c r="C5763" s="307" t="s">
        <v>16</v>
      </c>
      <c r="D5763" s="453" t="s">
        <v>13332</v>
      </c>
      <c r="E5763" s="444" t="s">
        <v>13333</v>
      </c>
      <c r="F5763" s="310">
        <v>630008</v>
      </c>
      <c r="G5763" s="311">
        <v>1936</v>
      </c>
      <c r="H5763" s="329" t="s">
        <v>3</v>
      </c>
      <c r="I5763" s="313" t="s">
        <v>3</v>
      </c>
      <c r="J5763" s="314">
        <v>5.8</v>
      </c>
      <c r="K5763" s="314">
        <v>5.6</v>
      </c>
      <c r="L5763" s="314">
        <f t="shared" si="69"/>
        <v>0.20000000000000018</v>
      </c>
      <c r="M5763" s="337"/>
    </row>
    <row r="5764" spans="1:13" s="71" customFormat="1" ht="26.4" customHeight="1">
      <c r="A5764" s="282">
        <v>172</v>
      </c>
      <c r="B5764" s="534"/>
      <c r="C5764" s="307" t="s">
        <v>16</v>
      </c>
      <c r="D5764" s="453" t="s">
        <v>7601</v>
      </c>
      <c r="E5764" s="444" t="s">
        <v>7671</v>
      </c>
      <c r="F5764" s="310">
        <v>630009</v>
      </c>
      <c r="G5764" s="311">
        <v>1936</v>
      </c>
      <c r="H5764" s="329" t="s">
        <v>3</v>
      </c>
      <c r="I5764" s="313" t="s">
        <v>3</v>
      </c>
      <c r="J5764" s="314">
        <v>6</v>
      </c>
      <c r="K5764" s="314">
        <v>5.9</v>
      </c>
      <c r="L5764" s="314">
        <f t="shared" si="69"/>
        <v>9.9999999999999645E-2</v>
      </c>
      <c r="M5764" s="337"/>
    </row>
    <row r="5765" spans="1:13" s="71" customFormat="1" ht="26.4" customHeight="1">
      <c r="A5765" s="282">
        <v>173</v>
      </c>
      <c r="B5765" s="534"/>
      <c r="C5765" s="307" t="s">
        <v>16</v>
      </c>
      <c r="D5765" s="307" t="s">
        <v>7672</v>
      </c>
      <c r="E5765" s="444" t="s">
        <v>7673</v>
      </c>
      <c r="F5765" s="310">
        <v>630010</v>
      </c>
      <c r="G5765" s="311">
        <v>1956</v>
      </c>
      <c r="H5765" s="329" t="s">
        <v>3</v>
      </c>
      <c r="I5765" s="313" t="s">
        <v>3</v>
      </c>
      <c r="J5765" s="314">
        <v>3.4</v>
      </c>
      <c r="K5765" s="314">
        <v>3</v>
      </c>
      <c r="L5765" s="314">
        <f t="shared" si="69"/>
        <v>0.39999999999999991</v>
      </c>
      <c r="M5765" s="337"/>
    </row>
    <row r="5766" spans="1:13" s="71" customFormat="1" ht="39.6">
      <c r="A5766" s="282">
        <v>174</v>
      </c>
      <c r="B5766" s="534"/>
      <c r="C5766" s="307" t="s">
        <v>16</v>
      </c>
      <c r="D5766" s="313" t="s">
        <v>7567</v>
      </c>
      <c r="E5766" s="444" t="s">
        <v>12757</v>
      </c>
      <c r="F5766" s="310">
        <v>630011</v>
      </c>
      <c r="G5766" s="311">
        <v>1965</v>
      </c>
      <c r="H5766" s="329" t="s">
        <v>3</v>
      </c>
      <c r="I5766" s="313" t="s">
        <v>3</v>
      </c>
      <c r="J5766" s="314">
        <v>3</v>
      </c>
      <c r="K5766" s="314">
        <v>3</v>
      </c>
      <c r="L5766" s="314">
        <f t="shared" si="69"/>
        <v>0</v>
      </c>
      <c r="M5766" s="337"/>
    </row>
    <row r="5767" spans="1:13" s="71" customFormat="1" ht="26.4" customHeight="1">
      <c r="A5767" s="282">
        <v>175</v>
      </c>
      <c r="B5767" s="534"/>
      <c r="C5767" s="307" t="s">
        <v>16</v>
      </c>
      <c r="D5767" s="307" t="s">
        <v>7674</v>
      </c>
      <c r="E5767" s="444" t="s">
        <v>7675</v>
      </c>
      <c r="F5767" s="310">
        <v>630012</v>
      </c>
      <c r="G5767" s="311">
        <v>1936</v>
      </c>
      <c r="H5767" s="329" t="s">
        <v>3</v>
      </c>
      <c r="I5767" s="313" t="s">
        <v>3</v>
      </c>
      <c r="J5767" s="314">
        <v>2.8</v>
      </c>
      <c r="K5767" s="314">
        <v>2.4</v>
      </c>
      <c r="L5767" s="314">
        <f t="shared" si="69"/>
        <v>0.39999999999999991</v>
      </c>
      <c r="M5767" s="337"/>
    </row>
    <row r="5768" spans="1:13" s="71" customFormat="1" ht="26.4" customHeight="1">
      <c r="A5768" s="282">
        <v>176</v>
      </c>
      <c r="B5768" s="534"/>
      <c r="C5768" s="307" t="s">
        <v>16</v>
      </c>
      <c r="D5768" s="307" t="s">
        <v>7676</v>
      </c>
      <c r="E5768" s="444" t="s">
        <v>7677</v>
      </c>
      <c r="F5768" s="310">
        <v>630013</v>
      </c>
      <c r="G5768" s="311">
        <v>1940</v>
      </c>
      <c r="H5768" s="329" t="s">
        <v>3</v>
      </c>
      <c r="I5768" s="313" t="s">
        <v>3</v>
      </c>
      <c r="J5768" s="314">
        <v>3.5</v>
      </c>
      <c r="K5768" s="314">
        <v>3.4</v>
      </c>
      <c r="L5768" s="314">
        <f t="shared" si="69"/>
        <v>0.10000000000000009</v>
      </c>
      <c r="M5768" s="337"/>
    </row>
    <row r="5769" spans="1:13" s="71" customFormat="1" ht="26.4" customHeight="1">
      <c r="A5769" s="282">
        <v>177</v>
      </c>
      <c r="B5769" s="534"/>
      <c r="C5769" s="307" t="s">
        <v>16</v>
      </c>
      <c r="D5769" s="307" t="s">
        <v>7676</v>
      </c>
      <c r="E5769" s="444" t="s">
        <v>7678</v>
      </c>
      <c r="F5769" s="310">
        <v>630014</v>
      </c>
      <c r="G5769" s="311">
        <v>1963</v>
      </c>
      <c r="H5769" s="329" t="s">
        <v>3</v>
      </c>
      <c r="I5769" s="313" t="s">
        <v>3</v>
      </c>
      <c r="J5769" s="314">
        <v>2.5</v>
      </c>
      <c r="K5769" s="314">
        <v>2.5</v>
      </c>
      <c r="L5769" s="314">
        <f t="shared" si="69"/>
        <v>0</v>
      </c>
      <c r="M5769" s="337"/>
    </row>
    <row r="5770" spans="1:13" s="71" customFormat="1" ht="26.4" customHeight="1">
      <c r="A5770" s="282">
        <v>178</v>
      </c>
      <c r="B5770" s="534"/>
      <c r="C5770" s="307" t="s">
        <v>16</v>
      </c>
      <c r="D5770" s="307" t="s">
        <v>7676</v>
      </c>
      <c r="E5770" s="444" t="s">
        <v>7679</v>
      </c>
      <c r="F5770" s="310">
        <v>630015</v>
      </c>
      <c r="G5770" s="311">
        <v>1963</v>
      </c>
      <c r="H5770" s="329" t="s">
        <v>3</v>
      </c>
      <c r="I5770" s="313" t="s">
        <v>3</v>
      </c>
      <c r="J5770" s="314">
        <v>1.1000000000000001</v>
      </c>
      <c r="K5770" s="314">
        <v>1</v>
      </c>
      <c r="L5770" s="314">
        <f t="shared" si="69"/>
        <v>0.10000000000000009</v>
      </c>
      <c r="M5770" s="337"/>
    </row>
    <row r="5771" spans="1:13" s="71" customFormat="1" ht="39.6">
      <c r="A5771" s="282">
        <v>179</v>
      </c>
      <c r="B5771" s="534"/>
      <c r="C5771" s="307" t="s">
        <v>16</v>
      </c>
      <c r="D5771" s="307" t="s">
        <v>7680</v>
      </c>
      <c r="E5771" s="444" t="s">
        <v>7681</v>
      </c>
      <c r="F5771" s="310">
        <v>630016</v>
      </c>
      <c r="G5771" s="311">
        <v>1963</v>
      </c>
      <c r="H5771" s="329" t="s">
        <v>3</v>
      </c>
      <c r="I5771" s="313" t="s">
        <v>3</v>
      </c>
      <c r="J5771" s="314">
        <v>3.2</v>
      </c>
      <c r="K5771" s="314">
        <v>3.2</v>
      </c>
      <c r="L5771" s="314">
        <f t="shared" si="69"/>
        <v>0</v>
      </c>
      <c r="M5771" s="337"/>
    </row>
    <row r="5772" spans="1:13" s="71" customFormat="1" ht="26.4" customHeight="1">
      <c r="A5772" s="282">
        <v>180</v>
      </c>
      <c r="B5772" s="534"/>
      <c r="C5772" s="307" t="s">
        <v>16</v>
      </c>
      <c r="D5772" s="307" t="s">
        <v>7682</v>
      </c>
      <c r="E5772" s="444" t="s">
        <v>7683</v>
      </c>
      <c r="F5772" s="310">
        <v>630017</v>
      </c>
      <c r="G5772" s="311">
        <v>1938</v>
      </c>
      <c r="H5772" s="329" t="s">
        <v>3</v>
      </c>
      <c r="I5772" s="313" t="s">
        <v>3</v>
      </c>
      <c r="J5772" s="314">
        <v>4.4000000000000004</v>
      </c>
      <c r="K5772" s="314">
        <v>4.3</v>
      </c>
      <c r="L5772" s="314">
        <f t="shared" si="69"/>
        <v>0.10000000000000053</v>
      </c>
      <c r="M5772" s="337"/>
    </row>
    <row r="5773" spans="1:13" s="71" customFormat="1" ht="26.4" customHeight="1">
      <c r="A5773" s="282">
        <v>181</v>
      </c>
      <c r="B5773" s="534"/>
      <c r="C5773" s="307" t="s">
        <v>16</v>
      </c>
      <c r="D5773" s="307" t="s">
        <v>7684</v>
      </c>
      <c r="E5773" s="444" t="s">
        <v>7685</v>
      </c>
      <c r="F5773" s="310">
        <v>630018</v>
      </c>
      <c r="G5773" s="311">
        <v>1958</v>
      </c>
      <c r="H5773" s="329" t="s">
        <v>3</v>
      </c>
      <c r="I5773" s="313" t="s">
        <v>3</v>
      </c>
      <c r="J5773" s="314">
        <v>1.9</v>
      </c>
      <c r="K5773" s="314">
        <v>1.7</v>
      </c>
      <c r="L5773" s="314">
        <f t="shared" si="69"/>
        <v>0.19999999999999996</v>
      </c>
      <c r="M5773" s="337"/>
    </row>
    <row r="5774" spans="1:13" s="71" customFormat="1" ht="26.4" customHeight="1">
      <c r="A5774" s="282">
        <v>182</v>
      </c>
      <c r="B5774" s="534"/>
      <c r="C5774" s="307" t="s">
        <v>16</v>
      </c>
      <c r="D5774" s="307" t="s">
        <v>7686</v>
      </c>
      <c r="E5774" s="444" t="s">
        <v>7687</v>
      </c>
      <c r="F5774" s="310">
        <v>630019</v>
      </c>
      <c r="G5774" s="311">
        <v>1958</v>
      </c>
      <c r="H5774" s="329" t="s">
        <v>3</v>
      </c>
      <c r="I5774" s="313" t="s">
        <v>3</v>
      </c>
      <c r="J5774" s="314">
        <v>1.8</v>
      </c>
      <c r="K5774" s="314">
        <v>1.7</v>
      </c>
      <c r="L5774" s="314">
        <f t="shared" si="69"/>
        <v>0.10000000000000009</v>
      </c>
      <c r="M5774" s="337"/>
    </row>
    <row r="5775" spans="1:13" s="71" customFormat="1" ht="26.4" customHeight="1">
      <c r="A5775" s="282">
        <v>183</v>
      </c>
      <c r="B5775" s="534"/>
      <c r="C5775" s="307" t="s">
        <v>16</v>
      </c>
      <c r="D5775" s="307" t="s">
        <v>7688</v>
      </c>
      <c r="E5775" s="260" t="s">
        <v>7689</v>
      </c>
      <c r="F5775" s="310">
        <v>630020</v>
      </c>
      <c r="G5775" s="311">
        <v>1955</v>
      </c>
      <c r="H5775" s="329" t="s">
        <v>3</v>
      </c>
      <c r="I5775" s="313" t="s">
        <v>3</v>
      </c>
      <c r="J5775" s="314">
        <v>3.5</v>
      </c>
      <c r="K5775" s="314">
        <v>3.5</v>
      </c>
      <c r="L5775" s="314">
        <f t="shared" si="69"/>
        <v>0</v>
      </c>
      <c r="M5775" s="337"/>
    </row>
    <row r="5776" spans="1:13" s="71" customFormat="1" ht="26.4" customHeight="1">
      <c r="A5776" s="282">
        <v>184</v>
      </c>
      <c r="B5776" s="534"/>
      <c r="C5776" s="307" t="s">
        <v>16</v>
      </c>
      <c r="D5776" s="307" t="s">
        <v>7690</v>
      </c>
      <c r="E5776" s="260" t="s">
        <v>7691</v>
      </c>
      <c r="F5776" s="310">
        <v>630021</v>
      </c>
      <c r="G5776" s="311">
        <v>1962</v>
      </c>
      <c r="H5776" s="329" t="s">
        <v>3</v>
      </c>
      <c r="I5776" s="313" t="s">
        <v>3</v>
      </c>
      <c r="J5776" s="314">
        <v>1.5</v>
      </c>
      <c r="K5776" s="314">
        <v>1.4</v>
      </c>
      <c r="L5776" s="314">
        <f t="shared" si="69"/>
        <v>0.10000000000000009</v>
      </c>
      <c r="M5776" s="337"/>
    </row>
    <row r="5777" spans="1:13" s="71" customFormat="1" ht="26.4" customHeight="1">
      <c r="A5777" s="282">
        <v>185</v>
      </c>
      <c r="B5777" s="534"/>
      <c r="C5777" s="307" t="s">
        <v>16</v>
      </c>
      <c r="D5777" s="307" t="s">
        <v>7692</v>
      </c>
      <c r="E5777" s="260" t="s">
        <v>7693</v>
      </c>
      <c r="F5777" s="310">
        <v>630022</v>
      </c>
      <c r="G5777" s="311">
        <v>1958</v>
      </c>
      <c r="H5777" s="329" t="s">
        <v>3</v>
      </c>
      <c r="I5777" s="313" t="s">
        <v>3</v>
      </c>
      <c r="J5777" s="314">
        <v>1.3</v>
      </c>
      <c r="K5777" s="314">
        <v>1.2</v>
      </c>
      <c r="L5777" s="314">
        <f t="shared" si="69"/>
        <v>0.10000000000000009</v>
      </c>
      <c r="M5777" s="337"/>
    </row>
    <row r="5778" spans="1:13" s="71" customFormat="1" ht="26.4" customHeight="1">
      <c r="A5778" s="282">
        <v>186</v>
      </c>
      <c r="B5778" s="534"/>
      <c r="C5778" s="307" t="s">
        <v>16</v>
      </c>
      <c r="D5778" s="307" t="s">
        <v>7694</v>
      </c>
      <c r="E5778" s="260" t="s">
        <v>7695</v>
      </c>
      <c r="F5778" s="310">
        <v>630023</v>
      </c>
      <c r="G5778" s="311">
        <v>1958</v>
      </c>
      <c r="H5778" s="329" t="s">
        <v>3</v>
      </c>
      <c r="I5778" s="313" t="s">
        <v>3</v>
      </c>
      <c r="J5778" s="314">
        <v>0.9</v>
      </c>
      <c r="K5778" s="314">
        <v>0.9</v>
      </c>
      <c r="L5778" s="314">
        <f t="shared" si="69"/>
        <v>0</v>
      </c>
      <c r="M5778" s="337"/>
    </row>
    <row r="5779" spans="1:13" s="71" customFormat="1" ht="26.4" customHeight="1">
      <c r="A5779" s="282">
        <v>187</v>
      </c>
      <c r="B5779" s="534"/>
      <c r="C5779" s="307" t="s">
        <v>16</v>
      </c>
      <c r="D5779" s="307" t="s">
        <v>7696</v>
      </c>
      <c r="E5779" s="260" t="s">
        <v>7697</v>
      </c>
      <c r="F5779" s="310">
        <v>630024</v>
      </c>
      <c r="G5779" s="311">
        <v>1958</v>
      </c>
      <c r="H5779" s="329" t="s">
        <v>3</v>
      </c>
      <c r="I5779" s="313" t="s">
        <v>3</v>
      </c>
      <c r="J5779" s="314">
        <v>2.2999999999999998</v>
      </c>
      <c r="K5779" s="314">
        <v>2.2000000000000002</v>
      </c>
      <c r="L5779" s="314">
        <f t="shared" si="69"/>
        <v>9.9999999999999645E-2</v>
      </c>
      <c r="M5779" s="337"/>
    </row>
    <row r="5780" spans="1:13" s="71" customFormat="1" ht="26.4" customHeight="1">
      <c r="A5780" s="282">
        <v>188</v>
      </c>
      <c r="B5780" s="534"/>
      <c r="C5780" s="307" t="s">
        <v>16</v>
      </c>
      <c r="D5780" s="307" t="s">
        <v>7698</v>
      </c>
      <c r="E5780" s="444" t="s">
        <v>7699</v>
      </c>
      <c r="F5780" s="310">
        <v>630025</v>
      </c>
      <c r="G5780" s="311">
        <v>1948</v>
      </c>
      <c r="H5780" s="329" t="s">
        <v>3</v>
      </c>
      <c r="I5780" s="313" t="s">
        <v>3</v>
      </c>
      <c r="J5780" s="314">
        <v>1.3</v>
      </c>
      <c r="K5780" s="314">
        <v>1.1000000000000001</v>
      </c>
      <c r="L5780" s="314">
        <f t="shared" si="69"/>
        <v>0.19999999999999996</v>
      </c>
      <c r="M5780" s="337"/>
    </row>
    <row r="5781" spans="1:13" s="71" customFormat="1" ht="26.4" customHeight="1">
      <c r="A5781" s="282">
        <v>189</v>
      </c>
      <c r="B5781" s="534"/>
      <c r="C5781" s="307" t="s">
        <v>16</v>
      </c>
      <c r="D5781" s="307" t="s">
        <v>7700</v>
      </c>
      <c r="E5781" s="444" t="s">
        <v>7701</v>
      </c>
      <c r="F5781" s="310">
        <v>630026</v>
      </c>
      <c r="G5781" s="311">
        <v>1962</v>
      </c>
      <c r="H5781" s="329" t="s">
        <v>3</v>
      </c>
      <c r="I5781" s="313" t="s">
        <v>3</v>
      </c>
      <c r="J5781" s="314">
        <v>1</v>
      </c>
      <c r="K5781" s="314">
        <v>0.9</v>
      </c>
      <c r="L5781" s="314">
        <f t="shared" si="69"/>
        <v>9.9999999999999978E-2</v>
      </c>
      <c r="M5781" s="337"/>
    </row>
    <row r="5782" spans="1:13" s="71" customFormat="1" ht="26.4" customHeight="1">
      <c r="A5782" s="282">
        <v>190</v>
      </c>
      <c r="B5782" s="534"/>
      <c r="C5782" s="307" t="s">
        <v>16</v>
      </c>
      <c r="D5782" s="307" t="s">
        <v>7702</v>
      </c>
      <c r="E5782" s="444" t="s">
        <v>7703</v>
      </c>
      <c r="F5782" s="310">
        <v>630027</v>
      </c>
      <c r="G5782" s="311">
        <v>1936</v>
      </c>
      <c r="H5782" s="329" t="s">
        <v>3</v>
      </c>
      <c r="I5782" s="313" t="s">
        <v>3</v>
      </c>
      <c r="J5782" s="314">
        <v>10.1</v>
      </c>
      <c r="K5782" s="314">
        <v>9.9</v>
      </c>
      <c r="L5782" s="314">
        <f t="shared" si="69"/>
        <v>0.19999999999999929</v>
      </c>
      <c r="M5782" s="337"/>
    </row>
    <row r="5783" spans="1:13" s="71" customFormat="1" ht="26.4" customHeight="1">
      <c r="A5783" s="282">
        <v>191</v>
      </c>
      <c r="B5783" s="534"/>
      <c r="C5783" s="307" t="s">
        <v>16</v>
      </c>
      <c r="D5783" s="307" t="s">
        <v>7704</v>
      </c>
      <c r="E5783" s="444" t="s">
        <v>7705</v>
      </c>
      <c r="F5783" s="310">
        <v>630028</v>
      </c>
      <c r="G5783" s="311">
        <v>1962</v>
      </c>
      <c r="H5783" s="329" t="s">
        <v>3</v>
      </c>
      <c r="I5783" s="313" t="s">
        <v>3</v>
      </c>
      <c r="J5783" s="314">
        <v>2.8</v>
      </c>
      <c r="K5783" s="314">
        <v>2.8</v>
      </c>
      <c r="L5783" s="314">
        <f t="shared" si="69"/>
        <v>0</v>
      </c>
      <c r="M5783" s="337"/>
    </row>
    <row r="5784" spans="1:13" s="71" customFormat="1" ht="26.4" customHeight="1">
      <c r="A5784" s="282">
        <v>192</v>
      </c>
      <c r="B5784" s="534"/>
      <c r="C5784" s="307" t="s">
        <v>16</v>
      </c>
      <c r="D5784" s="307" t="s">
        <v>7706</v>
      </c>
      <c r="E5784" s="444" t="s">
        <v>7707</v>
      </c>
      <c r="F5784" s="310">
        <v>630029</v>
      </c>
      <c r="G5784" s="311">
        <v>1963</v>
      </c>
      <c r="H5784" s="329" t="s">
        <v>3</v>
      </c>
      <c r="I5784" s="313" t="s">
        <v>3</v>
      </c>
      <c r="J5784" s="314">
        <v>2.7</v>
      </c>
      <c r="K5784" s="314">
        <v>2.7</v>
      </c>
      <c r="L5784" s="314">
        <f t="shared" si="69"/>
        <v>0</v>
      </c>
      <c r="M5784" s="337"/>
    </row>
    <row r="5785" spans="1:13" s="71" customFormat="1" ht="26.4" customHeight="1">
      <c r="A5785" s="282">
        <v>193</v>
      </c>
      <c r="B5785" s="534"/>
      <c r="C5785" s="307" t="s">
        <v>16</v>
      </c>
      <c r="D5785" s="307" t="s">
        <v>7708</v>
      </c>
      <c r="E5785" s="444" t="s">
        <v>7709</v>
      </c>
      <c r="F5785" s="310">
        <v>630030</v>
      </c>
      <c r="G5785" s="311">
        <v>1963</v>
      </c>
      <c r="H5785" s="329" t="s">
        <v>3</v>
      </c>
      <c r="I5785" s="313" t="s">
        <v>3</v>
      </c>
      <c r="J5785" s="314">
        <v>1.7</v>
      </c>
      <c r="K5785" s="314">
        <v>1.5</v>
      </c>
      <c r="L5785" s="314">
        <f t="shared" ref="L5785:L5848" si="70">J5785-K5785</f>
        <v>0.19999999999999996</v>
      </c>
      <c r="M5785" s="337"/>
    </row>
    <row r="5786" spans="1:13" s="71" customFormat="1" ht="26.4" customHeight="1">
      <c r="A5786" s="282">
        <v>194</v>
      </c>
      <c r="B5786" s="534"/>
      <c r="C5786" s="307" t="s">
        <v>16</v>
      </c>
      <c r="D5786" s="307" t="s">
        <v>7710</v>
      </c>
      <c r="E5786" s="444" t="s">
        <v>7711</v>
      </c>
      <c r="F5786" s="310">
        <v>630031</v>
      </c>
      <c r="G5786" s="311">
        <v>1936</v>
      </c>
      <c r="H5786" s="329" t="s">
        <v>3</v>
      </c>
      <c r="I5786" s="313" t="s">
        <v>3</v>
      </c>
      <c r="J5786" s="314">
        <v>1.1000000000000001</v>
      </c>
      <c r="K5786" s="314">
        <v>1</v>
      </c>
      <c r="L5786" s="314">
        <f t="shared" si="70"/>
        <v>0.10000000000000009</v>
      </c>
      <c r="M5786" s="337"/>
    </row>
    <row r="5787" spans="1:13" s="71" customFormat="1" ht="26.4" customHeight="1">
      <c r="A5787" s="282">
        <v>195</v>
      </c>
      <c r="B5787" s="534"/>
      <c r="C5787" s="307" t="s">
        <v>16</v>
      </c>
      <c r="D5787" s="307" t="s">
        <v>7712</v>
      </c>
      <c r="E5787" s="444" t="s">
        <v>7713</v>
      </c>
      <c r="F5787" s="310">
        <v>630032</v>
      </c>
      <c r="G5787" s="311">
        <v>1936</v>
      </c>
      <c r="H5787" s="329" t="s">
        <v>3</v>
      </c>
      <c r="I5787" s="313" t="s">
        <v>3</v>
      </c>
      <c r="J5787" s="314">
        <v>1.8</v>
      </c>
      <c r="K5787" s="314">
        <v>1.6</v>
      </c>
      <c r="L5787" s="314">
        <f t="shared" si="70"/>
        <v>0.19999999999999996</v>
      </c>
      <c r="M5787" s="337"/>
    </row>
    <row r="5788" spans="1:13" s="71" customFormat="1" ht="26.4" customHeight="1">
      <c r="A5788" s="282">
        <v>196</v>
      </c>
      <c r="B5788" s="534"/>
      <c r="C5788" s="307" t="s">
        <v>16</v>
      </c>
      <c r="D5788" s="307" t="s">
        <v>7714</v>
      </c>
      <c r="E5788" s="444" t="s">
        <v>7715</v>
      </c>
      <c r="F5788" s="310">
        <v>630033</v>
      </c>
      <c r="G5788" s="311">
        <v>1936</v>
      </c>
      <c r="H5788" s="329" t="s">
        <v>3</v>
      </c>
      <c r="I5788" s="313" t="s">
        <v>3</v>
      </c>
      <c r="J5788" s="314">
        <v>2.2999999999999998</v>
      </c>
      <c r="K5788" s="314">
        <v>2.1</v>
      </c>
      <c r="L5788" s="314">
        <f t="shared" si="70"/>
        <v>0.19999999999999973</v>
      </c>
      <c r="M5788" s="337"/>
    </row>
    <row r="5789" spans="1:13" s="71" customFormat="1" ht="26.4" customHeight="1">
      <c r="A5789" s="282">
        <v>197</v>
      </c>
      <c r="B5789" s="534"/>
      <c r="C5789" s="307" t="s">
        <v>16</v>
      </c>
      <c r="D5789" s="307" t="s">
        <v>7716</v>
      </c>
      <c r="E5789" s="444" t="s">
        <v>7717</v>
      </c>
      <c r="F5789" s="310">
        <v>630034</v>
      </c>
      <c r="G5789" s="311">
        <v>1936</v>
      </c>
      <c r="H5789" s="329" t="s">
        <v>3</v>
      </c>
      <c r="I5789" s="313" t="s">
        <v>3</v>
      </c>
      <c r="J5789" s="314">
        <v>1.8</v>
      </c>
      <c r="K5789" s="314">
        <v>1.7</v>
      </c>
      <c r="L5789" s="314">
        <f t="shared" si="70"/>
        <v>0.10000000000000009</v>
      </c>
      <c r="M5789" s="337"/>
    </row>
    <row r="5790" spans="1:13" s="71" customFormat="1" ht="26.4" customHeight="1">
      <c r="A5790" s="282">
        <v>198</v>
      </c>
      <c r="B5790" s="534"/>
      <c r="C5790" s="307" t="s">
        <v>16</v>
      </c>
      <c r="D5790" s="307" t="s">
        <v>7718</v>
      </c>
      <c r="E5790" s="444" t="s">
        <v>7719</v>
      </c>
      <c r="F5790" s="310">
        <v>630035</v>
      </c>
      <c r="G5790" s="311">
        <v>1936</v>
      </c>
      <c r="H5790" s="329" t="s">
        <v>3</v>
      </c>
      <c r="I5790" s="313" t="s">
        <v>3</v>
      </c>
      <c r="J5790" s="314">
        <v>1.1000000000000001</v>
      </c>
      <c r="K5790" s="314">
        <v>1</v>
      </c>
      <c r="L5790" s="314">
        <f t="shared" si="70"/>
        <v>0.10000000000000009</v>
      </c>
      <c r="M5790" s="337"/>
    </row>
    <row r="5791" spans="1:13" s="71" customFormat="1" ht="26.4" customHeight="1">
      <c r="A5791" s="282">
        <v>199</v>
      </c>
      <c r="B5791" s="534"/>
      <c r="C5791" s="307" t="s">
        <v>16</v>
      </c>
      <c r="D5791" s="307" t="s">
        <v>7720</v>
      </c>
      <c r="E5791" s="444" t="s">
        <v>7721</v>
      </c>
      <c r="F5791" s="310">
        <v>630036</v>
      </c>
      <c r="G5791" s="311">
        <v>1936</v>
      </c>
      <c r="H5791" s="329" t="s">
        <v>3</v>
      </c>
      <c r="I5791" s="313" t="s">
        <v>3</v>
      </c>
      <c r="J5791" s="314">
        <v>1</v>
      </c>
      <c r="K5791" s="314">
        <v>0.8</v>
      </c>
      <c r="L5791" s="314">
        <f t="shared" si="70"/>
        <v>0.19999999999999996</v>
      </c>
      <c r="M5791" s="337"/>
    </row>
    <row r="5792" spans="1:13" s="71" customFormat="1" ht="26.4" customHeight="1">
      <c r="A5792" s="282">
        <v>200</v>
      </c>
      <c r="B5792" s="534"/>
      <c r="C5792" s="307" t="s">
        <v>16</v>
      </c>
      <c r="D5792" s="307" t="s">
        <v>7722</v>
      </c>
      <c r="E5792" s="444" t="s">
        <v>7723</v>
      </c>
      <c r="F5792" s="310">
        <v>630037</v>
      </c>
      <c r="G5792" s="311">
        <v>1960</v>
      </c>
      <c r="H5792" s="329" t="s">
        <v>3</v>
      </c>
      <c r="I5792" s="313" t="s">
        <v>3</v>
      </c>
      <c r="J5792" s="314">
        <v>1.4</v>
      </c>
      <c r="K5792" s="314">
        <v>1.3</v>
      </c>
      <c r="L5792" s="314">
        <f t="shared" si="70"/>
        <v>9.9999999999999867E-2</v>
      </c>
      <c r="M5792" s="337"/>
    </row>
    <row r="5793" spans="1:13" s="71" customFormat="1" ht="26.4" customHeight="1">
      <c r="A5793" s="282">
        <v>201</v>
      </c>
      <c r="B5793" s="534"/>
      <c r="C5793" s="307" t="s">
        <v>16</v>
      </c>
      <c r="D5793" s="307" t="s">
        <v>7724</v>
      </c>
      <c r="E5793" s="444" t="s">
        <v>7725</v>
      </c>
      <c r="F5793" s="310">
        <v>630038</v>
      </c>
      <c r="G5793" s="311">
        <v>1960</v>
      </c>
      <c r="H5793" s="329" t="s">
        <v>3</v>
      </c>
      <c r="I5793" s="313" t="s">
        <v>3</v>
      </c>
      <c r="J5793" s="314">
        <v>1.3</v>
      </c>
      <c r="K5793" s="314">
        <v>1</v>
      </c>
      <c r="L5793" s="314">
        <f t="shared" si="70"/>
        <v>0.30000000000000004</v>
      </c>
      <c r="M5793" s="337"/>
    </row>
    <row r="5794" spans="1:13" s="71" customFormat="1" ht="26.4" customHeight="1">
      <c r="A5794" s="282">
        <v>202</v>
      </c>
      <c r="B5794" s="534"/>
      <c r="C5794" s="307" t="s">
        <v>16</v>
      </c>
      <c r="D5794" s="307" t="s">
        <v>7601</v>
      </c>
      <c r="E5794" s="444" t="s">
        <v>7726</v>
      </c>
      <c r="F5794" s="310">
        <v>630039</v>
      </c>
      <c r="G5794" s="311">
        <v>1960</v>
      </c>
      <c r="H5794" s="329" t="s">
        <v>3</v>
      </c>
      <c r="I5794" s="313" t="s">
        <v>3</v>
      </c>
      <c r="J5794" s="314">
        <v>1.9</v>
      </c>
      <c r="K5794" s="314">
        <v>1.8</v>
      </c>
      <c r="L5794" s="314">
        <f t="shared" si="70"/>
        <v>9.9999999999999867E-2</v>
      </c>
      <c r="M5794" s="337"/>
    </row>
    <row r="5795" spans="1:13" s="71" customFormat="1" ht="39.6">
      <c r="A5795" s="282">
        <v>203</v>
      </c>
      <c r="B5795" s="534"/>
      <c r="C5795" s="307" t="s">
        <v>16</v>
      </c>
      <c r="D5795" s="307" t="s">
        <v>7601</v>
      </c>
      <c r="E5795" s="444" t="s">
        <v>7727</v>
      </c>
      <c r="F5795" s="310">
        <v>630040</v>
      </c>
      <c r="G5795" s="311">
        <v>1936</v>
      </c>
      <c r="H5795" s="329" t="s">
        <v>3</v>
      </c>
      <c r="I5795" s="313" t="s">
        <v>3</v>
      </c>
      <c r="J5795" s="314">
        <v>4.4000000000000004</v>
      </c>
      <c r="K5795" s="314">
        <v>4.3</v>
      </c>
      <c r="L5795" s="314">
        <f t="shared" si="70"/>
        <v>0.10000000000000053</v>
      </c>
      <c r="M5795" s="337"/>
    </row>
    <row r="5796" spans="1:13" s="71" customFormat="1" ht="26.4" customHeight="1">
      <c r="A5796" s="282">
        <v>204</v>
      </c>
      <c r="B5796" s="534"/>
      <c r="C5796" s="307" t="s">
        <v>16</v>
      </c>
      <c r="D5796" s="307" t="s">
        <v>7601</v>
      </c>
      <c r="E5796" s="444" t="s">
        <v>13384</v>
      </c>
      <c r="F5796" s="310">
        <v>630041</v>
      </c>
      <c r="G5796" s="311">
        <v>1961</v>
      </c>
      <c r="H5796" s="329" t="s">
        <v>3</v>
      </c>
      <c r="I5796" s="313" t="s">
        <v>3</v>
      </c>
      <c r="J5796" s="314">
        <v>3.4</v>
      </c>
      <c r="K5796" s="314">
        <v>3.3</v>
      </c>
      <c r="L5796" s="314">
        <f t="shared" si="70"/>
        <v>0.10000000000000009</v>
      </c>
      <c r="M5796" s="337"/>
    </row>
    <row r="5797" spans="1:13" s="71" customFormat="1" ht="26.4" customHeight="1">
      <c r="A5797" s="282">
        <v>205</v>
      </c>
      <c r="B5797" s="534"/>
      <c r="C5797" s="307" t="s">
        <v>16</v>
      </c>
      <c r="D5797" s="307" t="s">
        <v>7601</v>
      </c>
      <c r="E5797" s="444" t="s">
        <v>7728</v>
      </c>
      <c r="F5797" s="310">
        <v>630042</v>
      </c>
      <c r="G5797" s="311">
        <v>1956</v>
      </c>
      <c r="H5797" s="329" t="s">
        <v>3</v>
      </c>
      <c r="I5797" s="313" t="s">
        <v>3</v>
      </c>
      <c r="J5797" s="314">
        <v>2.2000000000000002</v>
      </c>
      <c r="K5797" s="314">
        <v>2.1</v>
      </c>
      <c r="L5797" s="314">
        <f t="shared" si="70"/>
        <v>0.10000000000000009</v>
      </c>
      <c r="M5797" s="337"/>
    </row>
    <row r="5798" spans="1:13" s="71" customFormat="1" ht="26.4" customHeight="1">
      <c r="A5798" s="282">
        <v>206</v>
      </c>
      <c r="B5798" s="534"/>
      <c r="C5798" s="307" t="s">
        <v>16</v>
      </c>
      <c r="D5798" s="307" t="s">
        <v>7729</v>
      </c>
      <c r="E5798" s="444" t="s">
        <v>7730</v>
      </c>
      <c r="F5798" s="310">
        <v>630043</v>
      </c>
      <c r="G5798" s="311">
        <v>1936</v>
      </c>
      <c r="H5798" s="329" t="s">
        <v>3</v>
      </c>
      <c r="I5798" s="313" t="s">
        <v>3</v>
      </c>
      <c r="J5798" s="314">
        <v>1</v>
      </c>
      <c r="K5798" s="314">
        <v>0.9</v>
      </c>
      <c r="L5798" s="314">
        <f t="shared" si="70"/>
        <v>9.9999999999999978E-2</v>
      </c>
      <c r="M5798" s="337"/>
    </row>
    <row r="5799" spans="1:13" s="71" customFormat="1" ht="26.4" customHeight="1">
      <c r="A5799" s="282">
        <v>207</v>
      </c>
      <c r="B5799" s="534"/>
      <c r="C5799" s="307" t="s">
        <v>16</v>
      </c>
      <c r="D5799" s="453" t="s">
        <v>7574</v>
      </c>
      <c r="E5799" s="444" t="s">
        <v>7731</v>
      </c>
      <c r="F5799" s="310">
        <v>630044</v>
      </c>
      <c r="G5799" s="311">
        <v>1938</v>
      </c>
      <c r="H5799" s="329" t="s">
        <v>3</v>
      </c>
      <c r="I5799" s="313" t="s">
        <v>3</v>
      </c>
      <c r="J5799" s="314">
        <v>4.3</v>
      </c>
      <c r="K5799" s="314">
        <v>4.2</v>
      </c>
      <c r="L5799" s="314">
        <f t="shared" si="70"/>
        <v>9.9999999999999645E-2</v>
      </c>
      <c r="M5799" s="337"/>
    </row>
    <row r="5800" spans="1:13" s="71" customFormat="1" ht="26.4" customHeight="1">
      <c r="A5800" s="282">
        <v>208</v>
      </c>
      <c r="B5800" s="534"/>
      <c r="C5800" s="307" t="s">
        <v>16</v>
      </c>
      <c r="D5800" s="307" t="s">
        <v>7732</v>
      </c>
      <c r="E5800" s="444" t="s">
        <v>7733</v>
      </c>
      <c r="F5800" s="310">
        <v>630045</v>
      </c>
      <c r="G5800" s="311">
        <v>1957</v>
      </c>
      <c r="H5800" s="329" t="s">
        <v>3</v>
      </c>
      <c r="I5800" s="313" t="s">
        <v>3</v>
      </c>
      <c r="J5800" s="314">
        <v>1.6</v>
      </c>
      <c r="K5800" s="314">
        <v>1.3</v>
      </c>
      <c r="L5800" s="314">
        <f t="shared" si="70"/>
        <v>0.30000000000000004</v>
      </c>
      <c r="M5800" s="337"/>
    </row>
    <row r="5801" spans="1:13" s="71" customFormat="1" ht="26.4" customHeight="1">
      <c r="A5801" s="282">
        <v>209</v>
      </c>
      <c r="B5801" s="534"/>
      <c r="C5801" s="307" t="s">
        <v>16</v>
      </c>
      <c r="D5801" s="307" t="s">
        <v>7734</v>
      </c>
      <c r="E5801" s="444" t="s">
        <v>7735</v>
      </c>
      <c r="F5801" s="310">
        <v>630046</v>
      </c>
      <c r="G5801" s="311">
        <v>1966</v>
      </c>
      <c r="H5801" s="329" t="s">
        <v>3</v>
      </c>
      <c r="I5801" s="313" t="s">
        <v>3</v>
      </c>
      <c r="J5801" s="314">
        <v>1.1000000000000001</v>
      </c>
      <c r="K5801" s="314">
        <v>0.9</v>
      </c>
      <c r="L5801" s="314">
        <f t="shared" si="70"/>
        <v>0.20000000000000007</v>
      </c>
      <c r="M5801" s="337"/>
    </row>
    <row r="5802" spans="1:13" s="71" customFormat="1" ht="26.4" customHeight="1">
      <c r="A5802" s="282">
        <v>210</v>
      </c>
      <c r="B5802" s="534"/>
      <c r="C5802" s="307" t="s">
        <v>16</v>
      </c>
      <c r="D5802" s="307" t="s">
        <v>7736</v>
      </c>
      <c r="E5802" s="444" t="s">
        <v>7737</v>
      </c>
      <c r="F5802" s="310">
        <v>630047</v>
      </c>
      <c r="G5802" s="311">
        <v>1958</v>
      </c>
      <c r="H5802" s="329" t="s">
        <v>3</v>
      </c>
      <c r="I5802" s="313" t="s">
        <v>3</v>
      </c>
      <c r="J5802" s="314">
        <v>5</v>
      </c>
      <c r="K5802" s="314">
        <v>4.9000000000000004</v>
      </c>
      <c r="L5802" s="314">
        <f t="shared" si="70"/>
        <v>9.9999999999999645E-2</v>
      </c>
      <c r="M5802" s="337"/>
    </row>
    <row r="5803" spans="1:13" s="71" customFormat="1" ht="26.4" customHeight="1">
      <c r="A5803" s="282">
        <v>211</v>
      </c>
      <c r="B5803" s="534"/>
      <c r="C5803" s="307" t="s">
        <v>16</v>
      </c>
      <c r="D5803" s="307" t="s">
        <v>7738</v>
      </c>
      <c r="E5803" s="260" t="s">
        <v>7739</v>
      </c>
      <c r="F5803" s="310">
        <v>630048</v>
      </c>
      <c r="G5803" s="311">
        <v>1958</v>
      </c>
      <c r="H5803" s="329" t="s">
        <v>3</v>
      </c>
      <c r="I5803" s="313" t="s">
        <v>3</v>
      </c>
      <c r="J5803" s="314">
        <v>2</v>
      </c>
      <c r="K5803" s="314">
        <v>1.9</v>
      </c>
      <c r="L5803" s="314">
        <f t="shared" si="70"/>
        <v>0.10000000000000009</v>
      </c>
      <c r="M5803" s="337"/>
    </row>
    <row r="5804" spans="1:13" s="71" customFormat="1" ht="26.4" customHeight="1">
      <c r="A5804" s="282">
        <v>212</v>
      </c>
      <c r="B5804" s="534"/>
      <c r="C5804" s="307" t="s">
        <v>16</v>
      </c>
      <c r="D5804" s="307" t="s">
        <v>7740</v>
      </c>
      <c r="E5804" s="260" t="s">
        <v>7741</v>
      </c>
      <c r="F5804" s="310">
        <v>630049</v>
      </c>
      <c r="G5804" s="311">
        <v>1964</v>
      </c>
      <c r="H5804" s="329" t="s">
        <v>3</v>
      </c>
      <c r="I5804" s="313" t="s">
        <v>3</v>
      </c>
      <c r="J5804" s="314">
        <v>1.8</v>
      </c>
      <c r="K5804" s="314">
        <v>1.5</v>
      </c>
      <c r="L5804" s="314">
        <f t="shared" si="70"/>
        <v>0.30000000000000004</v>
      </c>
      <c r="M5804" s="337"/>
    </row>
    <row r="5805" spans="1:13" s="71" customFormat="1" ht="39.6">
      <c r="A5805" s="282">
        <v>213</v>
      </c>
      <c r="B5805" s="534"/>
      <c r="C5805" s="307" t="s">
        <v>16</v>
      </c>
      <c r="D5805" s="307" t="s">
        <v>7742</v>
      </c>
      <c r="E5805" s="260" t="s">
        <v>13429</v>
      </c>
      <c r="F5805" s="310">
        <v>630050</v>
      </c>
      <c r="G5805" s="311">
        <v>1966</v>
      </c>
      <c r="H5805" s="329" t="s">
        <v>3</v>
      </c>
      <c r="I5805" s="313" t="s">
        <v>3</v>
      </c>
      <c r="J5805" s="314">
        <v>0.9</v>
      </c>
      <c r="K5805" s="314">
        <v>0.8</v>
      </c>
      <c r="L5805" s="314">
        <f t="shared" si="70"/>
        <v>9.9999999999999978E-2</v>
      </c>
      <c r="M5805" s="337"/>
    </row>
    <row r="5806" spans="1:13" s="71" customFormat="1" ht="26.4" customHeight="1">
      <c r="A5806" s="282">
        <v>214</v>
      </c>
      <c r="B5806" s="534"/>
      <c r="C5806" s="307" t="s">
        <v>16</v>
      </c>
      <c r="D5806" s="307" t="s">
        <v>7743</v>
      </c>
      <c r="E5806" s="260" t="s">
        <v>7744</v>
      </c>
      <c r="F5806" s="310">
        <v>630051</v>
      </c>
      <c r="G5806" s="311">
        <v>1966</v>
      </c>
      <c r="H5806" s="329" t="s">
        <v>3</v>
      </c>
      <c r="I5806" s="313" t="s">
        <v>3</v>
      </c>
      <c r="J5806" s="314">
        <v>1.6</v>
      </c>
      <c r="K5806" s="314">
        <v>1.3</v>
      </c>
      <c r="L5806" s="314">
        <f t="shared" si="70"/>
        <v>0.30000000000000004</v>
      </c>
      <c r="M5806" s="337"/>
    </row>
    <row r="5807" spans="1:13" s="71" customFormat="1" ht="26.4" customHeight="1">
      <c r="A5807" s="282">
        <v>215</v>
      </c>
      <c r="B5807" s="534"/>
      <c r="C5807" s="307" t="s">
        <v>16</v>
      </c>
      <c r="D5807" s="307" t="s">
        <v>7742</v>
      </c>
      <c r="E5807" s="260" t="s">
        <v>7745</v>
      </c>
      <c r="F5807" s="310">
        <v>630052</v>
      </c>
      <c r="G5807" s="311">
        <v>1966</v>
      </c>
      <c r="H5807" s="329" t="s">
        <v>3</v>
      </c>
      <c r="I5807" s="313" t="s">
        <v>3</v>
      </c>
      <c r="J5807" s="314">
        <v>1.2</v>
      </c>
      <c r="K5807" s="314">
        <v>1</v>
      </c>
      <c r="L5807" s="314">
        <f t="shared" si="70"/>
        <v>0.19999999999999996</v>
      </c>
      <c r="M5807" s="337"/>
    </row>
    <row r="5808" spans="1:13" s="71" customFormat="1" ht="26.4" customHeight="1">
      <c r="A5808" s="282">
        <v>216</v>
      </c>
      <c r="B5808" s="534"/>
      <c r="C5808" s="307" t="s">
        <v>16</v>
      </c>
      <c r="D5808" s="307" t="s">
        <v>7746</v>
      </c>
      <c r="E5808" s="260" t="s">
        <v>7747</v>
      </c>
      <c r="F5808" s="310">
        <v>630053</v>
      </c>
      <c r="G5808" s="311">
        <v>1966</v>
      </c>
      <c r="H5808" s="329" t="s">
        <v>3</v>
      </c>
      <c r="I5808" s="313" t="s">
        <v>3</v>
      </c>
      <c r="J5808" s="314">
        <v>2.2999999999999998</v>
      </c>
      <c r="K5808" s="314">
        <v>2.2999999999999998</v>
      </c>
      <c r="L5808" s="314">
        <f t="shared" si="70"/>
        <v>0</v>
      </c>
      <c r="M5808" s="337"/>
    </row>
    <row r="5809" spans="1:13" s="71" customFormat="1" ht="26.4" customHeight="1">
      <c r="A5809" s="282">
        <v>217</v>
      </c>
      <c r="B5809" s="534"/>
      <c r="C5809" s="307" t="s">
        <v>16</v>
      </c>
      <c r="D5809" s="453" t="s">
        <v>7601</v>
      </c>
      <c r="E5809" s="444" t="s">
        <v>7748</v>
      </c>
      <c r="F5809" s="310">
        <v>630054</v>
      </c>
      <c r="G5809" s="311">
        <v>1968</v>
      </c>
      <c r="H5809" s="329" t="s">
        <v>3</v>
      </c>
      <c r="I5809" s="313" t="s">
        <v>3</v>
      </c>
      <c r="J5809" s="314">
        <v>1.3</v>
      </c>
      <c r="K5809" s="314">
        <v>1.1000000000000001</v>
      </c>
      <c r="L5809" s="314">
        <f t="shared" si="70"/>
        <v>0.19999999999999996</v>
      </c>
      <c r="M5809" s="337"/>
    </row>
    <row r="5810" spans="1:13" s="71" customFormat="1" ht="26.4" customHeight="1">
      <c r="A5810" s="282">
        <v>218</v>
      </c>
      <c r="B5810" s="534"/>
      <c r="C5810" s="307" t="s">
        <v>16</v>
      </c>
      <c r="D5810" s="453" t="s">
        <v>7749</v>
      </c>
      <c r="E5810" s="444" t="s">
        <v>7750</v>
      </c>
      <c r="F5810" s="310">
        <v>630055</v>
      </c>
      <c r="G5810" s="311">
        <v>1938</v>
      </c>
      <c r="H5810" s="329" t="s">
        <v>3</v>
      </c>
      <c r="I5810" s="313" t="s">
        <v>3</v>
      </c>
      <c r="J5810" s="314">
        <v>4.5</v>
      </c>
      <c r="K5810" s="314">
        <v>4.4000000000000004</v>
      </c>
      <c r="L5810" s="314">
        <f t="shared" si="70"/>
        <v>9.9999999999999645E-2</v>
      </c>
      <c r="M5810" s="337"/>
    </row>
    <row r="5811" spans="1:13" s="71" customFormat="1" ht="26.4" customHeight="1">
      <c r="A5811" s="282">
        <v>219</v>
      </c>
      <c r="B5811" s="534"/>
      <c r="C5811" s="307" t="s">
        <v>16</v>
      </c>
      <c r="D5811" s="307" t="s">
        <v>7751</v>
      </c>
      <c r="E5811" s="444" t="s">
        <v>7752</v>
      </c>
      <c r="F5811" s="310">
        <v>630056</v>
      </c>
      <c r="G5811" s="311">
        <v>1966</v>
      </c>
      <c r="H5811" s="329" t="s">
        <v>3</v>
      </c>
      <c r="I5811" s="313" t="s">
        <v>3</v>
      </c>
      <c r="J5811" s="314">
        <v>2.5</v>
      </c>
      <c r="K5811" s="314">
        <v>2.4</v>
      </c>
      <c r="L5811" s="314">
        <f t="shared" si="70"/>
        <v>0.10000000000000009</v>
      </c>
      <c r="M5811" s="337"/>
    </row>
    <row r="5812" spans="1:13" s="71" customFormat="1" ht="26.4" customHeight="1">
      <c r="A5812" s="282">
        <v>220</v>
      </c>
      <c r="B5812" s="534"/>
      <c r="C5812" s="307" t="s">
        <v>16</v>
      </c>
      <c r="D5812" s="453" t="s">
        <v>7623</v>
      </c>
      <c r="E5812" s="444" t="s">
        <v>7753</v>
      </c>
      <c r="F5812" s="310">
        <v>630057</v>
      </c>
      <c r="G5812" s="311">
        <v>1967</v>
      </c>
      <c r="H5812" s="329" t="s">
        <v>3</v>
      </c>
      <c r="I5812" s="313" t="s">
        <v>3</v>
      </c>
      <c r="J5812" s="314">
        <v>0.7</v>
      </c>
      <c r="K5812" s="314">
        <v>0.6</v>
      </c>
      <c r="L5812" s="314">
        <f t="shared" si="70"/>
        <v>9.9999999999999978E-2</v>
      </c>
      <c r="M5812" s="337"/>
    </row>
    <row r="5813" spans="1:13" s="71" customFormat="1" ht="26.4" customHeight="1">
      <c r="A5813" s="282">
        <v>221</v>
      </c>
      <c r="B5813" s="534"/>
      <c r="C5813" s="307" t="s">
        <v>16</v>
      </c>
      <c r="D5813" s="453" t="s">
        <v>7643</v>
      </c>
      <c r="E5813" s="444" t="s">
        <v>7754</v>
      </c>
      <c r="F5813" s="310">
        <v>630058</v>
      </c>
      <c r="G5813" s="311">
        <v>1963</v>
      </c>
      <c r="H5813" s="329" t="s">
        <v>3</v>
      </c>
      <c r="I5813" s="313" t="s">
        <v>3</v>
      </c>
      <c r="J5813" s="314">
        <v>7</v>
      </c>
      <c r="K5813" s="314">
        <v>6.8</v>
      </c>
      <c r="L5813" s="314">
        <f t="shared" si="70"/>
        <v>0.20000000000000018</v>
      </c>
      <c r="M5813" s="337"/>
    </row>
    <row r="5814" spans="1:13" s="71" customFormat="1" ht="26.4" customHeight="1">
      <c r="A5814" s="282">
        <v>222</v>
      </c>
      <c r="B5814" s="534"/>
      <c r="C5814" s="307" t="s">
        <v>16</v>
      </c>
      <c r="D5814" s="453" t="s">
        <v>7601</v>
      </c>
      <c r="E5814" s="444" t="s">
        <v>7755</v>
      </c>
      <c r="F5814" s="310">
        <v>630059</v>
      </c>
      <c r="G5814" s="311">
        <v>1959</v>
      </c>
      <c r="H5814" s="329" t="s">
        <v>3</v>
      </c>
      <c r="I5814" s="313" t="s">
        <v>3</v>
      </c>
      <c r="J5814" s="314">
        <v>5.9</v>
      </c>
      <c r="K5814" s="314">
        <v>5.8</v>
      </c>
      <c r="L5814" s="314">
        <f t="shared" si="70"/>
        <v>0.10000000000000053</v>
      </c>
      <c r="M5814" s="337"/>
    </row>
    <row r="5815" spans="1:13" s="71" customFormat="1" ht="26.4" customHeight="1">
      <c r="A5815" s="282">
        <v>223</v>
      </c>
      <c r="B5815" s="534"/>
      <c r="C5815" s="307" t="s">
        <v>16</v>
      </c>
      <c r="D5815" s="453" t="s">
        <v>7601</v>
      </c>
      <c r="E5815" s="444" t="s">
        <v>7756</v>
      </c>
      <c r="F5815" s="310">
        <v>630060</v>
      </c>
      <c r="G5815" s="311">
        <v>1959</v>
      </c>
      <c r="H5815" s="329" t="s">
        <v>3</v>
      </c>
      <c r="I5815" s="313" t="s">
        <v>3</v>
      </c>
      <c r="J5815" s="314">
        <v>3</v>
      </c>
      <c r="K5815" s="314">
        <v>2.5</v>
      </c>
      <c r="L5815" s="314">
        <f t="shared" si="70"/>
        <v>0.5</v>
      </c>
      <c r="M5815" s="337"/>
    </row>
    <row r="5816" spans="1:13" s="71" customFormat="1" ht="26.4" customHeight="1">
      <c r="A5816" s="282">
        <v>224</v>
      </c>
      <c r="B5816" s="534"/>
      <c r="C5816" s="307" t="s">
        <v>16</v>
      </c>
      <c r="D5816" s="453" t="s">
        <v>7601</v>
      </c>
      <c r="E5816" s="444" t="s">
        <v>7757</v>
      </c>
      <c r="F5816" s="310">
        <v>630061</v>
      </c>
      <c r="G5816" s="311">
        <v>1968</v>
      </c>
      <c r="H5816" s="329" t="s">
        <v>3</v>
      </c>
      <c r="I5816" s="313" t="s">
        <v>3</v>
      </c>
      <c r="J5816" s="314">
        <v>2.7</v>
      </c>
      <c r="K5816" s="314">
        <v>2.2999999999999998</v>
      </c>
      <c r="L5816" s="314">
        <f t="shared" si="70"/>
        <v>0.40000000000000036</v>
      </c>
      <c r="M5816" s="337"/>
    </row>
    <row r="5817" spans="1:13" s="71" customFormat="1" ht="26.4" customHeight="1">
      <c r="A5817" s="282">
        <v>225</v>
      </c>
      <c r="B5817" s="534"/>
      <c r="C5817" s="307" t="s">
        <v>16</v>
      </c>
      <c r="D5817" s="453" t="s">
        <v>7574</v>
      </c>
      <c r="E5817" s="444" t="s">
        <v>7758</v>
      </c>
      <c r="F5817" s="310">
        <v>630062</v>
      </c>
      <c r="G5817" s="311">
        <v>1968</v>
      </c>
      <c r="H5817" s="329" t="s">
        <v>3</v>
      </c>
      <c r="I5817" s="313" t="s">
        <v>3</v>
      </c>
      <c r="J5817" s="314">
        <v>0.7</v>
      </c>
      <c r="K5817" s="314">
        <v>0.6</v>
      </c>
      <c r="L5817" s="314">
        <f t="shared" si="70"/>
        <v>9.9999999999999978E-2</v>
      </c>
      <c r="M5817" s="337"/>
    </row>
    <row r="5818" spans="1:13" s="71" customFormat="1" ht="26.4" customHeight="1">
      <c r="A5818" s="282">
        <v>226</v>
      </c>
      <c r="B5818" s="534"/>
      <c r="C5818" s="307" t="s">
        <v>16</v>
      </c>
      <c r="D5818" s="453" t="s">
        <v>7637</v>
      </c>
      <c r="E5818" s="260" t="s">
        <v>7759</v>
      </c>
      <c r="F5818" s="310">
        <v>630063</v>
      </c>
      <c r="G5818" s="311">
        <v>1936</v>
      </c>
      <c r="H5818" s="329" t="s">
        <v>3</v>
      </c>
      <c r="I5818" s="313" t="s">
        <v>3</v>
      </c>
      <c r="J5818" s="314">
        <v>6.4</v>
      </c>
      <c r="K5818" s="314">
        <v>6.3</v>
      </c>
      <c r="L5818" s="314">
        <f t="shared" si="70"/>
        <v>0.10000000000000053</v>
      </c>
      <c r="M5818" s="337"/>
    </row>
    <row r="5819" spans="1:13" s="71" customFormat="1" ht="26.4" customHeight="1">
      <c r="A5819" s="282">
        <v>227</v>
      </c>
      <c r="B5819" s="534"/>
      <c r="C5819" s="307" t="s">
        <v>16</v>
      </c>
      <c r="D5819" s="307" t="s">
        <v>7574</v>
      </c>
      <c r="E5819" s="444" t="s">
        <v>7760</v>
      </c>
      <c r="F5819" s="310">
        <v>630067</v>
      </c>
      <c r="G5819" s="311">
        <v>1936</v>
      </c>
      <c r="H5819" s="329" t="s">
        <v>3</v>
      </c>
      <c r="I5819" s="313" t="s">
        <v>3</v>
      </c>
      <c r="J5819" s="314">
        <v>5.9</v>
      </c>
      <c r="K5819" s="314">
        <v>5.8</v>
      </c>
      <c r="L5819" s="314">
        <f t="shared" si="70"/>
        <v>0.10000000000000053</v>
      </c>
      <c r="M5819" s="337"/>
    </row>
    <row r="5820" spans="1:13" s="71" customFormat="1" ht="26.4" customHeight="1">
      <c r="A5820" s="282">
        <v>228</v>
      </c>
      <c r="B5820" s="534"/>
      <c r="C5820" s="307" t="s">
        <v>16</v>
      </c>
      <c r="D5820" s="307" t="s">
        <v>7761</v>
      </c>
      <c r="E5820" s="444" t="s">
        <v>7762</v>
      </c>
      <c r="F5820" s="310">
        <v>630068</v>
      </c>
      <c r="G5820" s="311">
        <v>1962</v>
      </c>
      <c r="H5820" s="329" t="s">
        <v>3</v>
      </c>
      <c r="I5820" s="313" t="s">
        <v>3</v>
      </c>
      <c r="J5820" s="314">
        <v>0.6</v>
      </c>
      <c r="K5820" s="314">
        <v>0.5</v>
      </c>
      <c r="L5820" s="314">
        <f t="shared" si="70"/>
        <v>9.9999999999999978E-2</v>
      </c>
      <c r="M5820" s="337"/>
    </row>
    <row r="5821" spans="1:13" s="71" customFormat="1" ht="26.4" customHeight="1">
      <c r="A5821" s="282">
        <v>229</v>
      </c>
      <c r="B5821" s="534"/>
      <c r="C5821" s="307" t="s">
        <v>16</v>
      </c>
      <c r="D5821" s="307" t="s">
        <v>3</v>
      </c>
      <c r="E5821" s="444" t="s">
        <v>7763</v>
      </c>
      <c r="F5821" s="310">
        <v>630069</v>
      </c>
      <c r="G5821" s="311">
        <v>1936</v>
      </c>
      <c r="H5821" s="329" t="s">
        <v>3</v>
      </c>
      <c r="I5821" s="313" t="s">
        <v>3</v>
      </c>
      <c r="J5821" s="314">
        <v>16.600000000000001</v>
      </c>
      <c r="K5821" s="314">
        <v>16.2</v>
      </c>
      <c r="L5821" s="314">
        <f t="shared" si="70"/>
        <v>0.40000000000000213</v>
      </c>
      <c r="M5821" s="337"/>
    </row>
    <row r="5822" spans="1:13" s="71" customFormat="1" ht="26.4" customHeight="1">
      <c r="A5822" s="282">
        <v>230</v>
      </c>
      <c r="B5822" s="534"/>
      <c r="C5822" s="307" t="s">
        <v>16</v>
      </c>
      <c r="D5822" s="307" t="s">
        <v>7574</v>
      </c>
      <c r="E5822" s="444" t="s">
        <v>7764</v>
      </c>
      <c r="F5822" s="310">
        <v>630070</v>
      </c>
      <c r="G5822" s="311">
        <v>1936</v>
      </c>
      <c r="H5822" s="329" t="s">
        <v>3</v>
      </c>
      <c r="I5822" s="313" t="s">
        <v>3</v>
      </c>
      <c r="J5822" s="314">
        <v>14.8</v>
      </c>
      <c r="K5822" s="314">
        <v>14.5</v>
      </c>
      <c r="L5822" s="314">
        <f t="shared" si="70"/>
        <v>0.30000000000000071</v>
      </c>
      <c r="M5822" s="337"/>
    </row>
    <row r="5823" spans="1:13" s="71" customFormat="1" ht="26.4" customHeight="1">
      <c r="A5823" s="282">
        <v>231</v>
      </c>
      <c r="B5823" s="534"/>
      <c r="C5823" s="307" t="s">
        <v>16</v>
      </c>
      <c r="D5823" s="307" t="s">
        <v>7716</v>
      </c>
      <c r="E5823" s="444" t="s">
        <v>7765</v>
      </c>
      <c r="F5823" s="310">
        <v>630071</v>
      </c>
      <c r="G5823" s="311">
        <v>1961</v>
      </c>
      <c r="H5823" s="329" t="s">
        <v>3</v>
      </c>
      <c r="I5823" s="313" t="s">
        <v>3</v>
      </c>
      <c r="J5823" s="314">
        <v>1.8</v>
      </c>
      <c r="K5823" s="314">
        <v>1.6</v>
      </c>
      <c r="L5823" s="314">
        <f t="shared" si="70"/>
        <v>0.19999999999999996</v>
      </c>
      <c r="M5823" s="337"/>
    </row>
    <row r="5824" spans="1:13" s="71" customFormat="1" ht="26.4" customHeight="1">
      <c r="A5824" s="282">
        <v>232</v>
      </c>
      <c r="B5824" s="534"/>
      <c r="C5824" s="307" t="s">
        <v>16</v>
      </c>
      <c r="D5824" s="307" t="s">
        <v>7601</v>
      </c>
      <c r="E5824" s="444" t="s">
        <v>7766</v>
      </c>
      <c r="F5824" s="310">
        <v>630072</v>
      </c>
      <c r="G5824" s="311">
        <v>1936</v>
      </c>
      <c r="H5824" s="329" t="s">
        <v>3</v>
      </c>
      <c r="I5824" s="313" t="s">
        <v>3</v>
      </c>
      <c r="J5824" s="314">
        <v>68.900000000000006</v>
      </c>
      <c r="K5824" s="314">
        <v>68.7</v>
      </c>
      <c r="L5824" s="314">
        <f t="shared" si="70"/>
        <v>0.20000000000000284</v>
      </c>
      <c r="M5824" s="337"/>
    </row>
    <row r="5825" spans="1:13" s="71" customFormat="1" ht="26.4" customHeight="1">
      <c r="A5825" s="282">
        <v>233</v>
      </c>
      <c r="B5825" s="534"/>
      <c r="C5825" s="307" t="s">
        <v>16</v>
      </c>
      <c r="D5825" s="307" t="s">
        <v>7601</v>
      </c>
      <c r="E5825" s="444" t="s">
        <v>7767</v>
      </c>
      <c r="F5825" s="310">
        <v>630073</v>
      </c>
      <c r="G5825" s="311">
        <v>1936</v>
      </c>
      <c r="H5825" s="329" t="s">
        <v>3</v>
      </c>
      <c r="I5825" s="313" t="s">
        <v>3</v>
      </c>
      <c r="J5825" s="314">
        <v>3.7</v>
      </c>
      <c r="K5825" s="314">
        <v>3.3</v>
      </c>
      <c r="L5825" s="314">
        <f t="shared" si="70"/>
        <v>0.40000000000000036</v>
      </c>
      <c r="M5825" s="337"/>
    </row>
    <row r="5826" spans="1:13" s="71" customFormat="1" ht="26.4" customHeight="1">
      <c r="A5826" s="282">
        <v>234</v>
      </c>
      <c r="B5826" s="534"/>
      <c r="C5826" s="307" t="s">
        <v>16</v>
      </c>
      <c r="D5826" s="307" t="s">
        <v>7768</v>
      </c>
      <c r="E5826" s="444" t="s">
        <v>7769</v>
      </c>
      <c r="F5826" s="310">
        <v>630074</v>
      </c>
      <c r="G5826" s="311">
        <v>1936</v>
      </c>
      <c r="H5826" s="329" t="s">
        <v>3</v>
      </c>
      <c r="I5826" s="313" t="s">
        <v>3</v>
      </c>
      <c r="J5826" s="314">
        <v>10.7</v>
      </c>
      <c r="K5826" s="314">
        <v>10.5</v>
      </c>
      <c r="L5826" s="314">
        <f t="shared" si="70"/>
        <v>0.19999999999999929</v>
      </c>
      <c r="M5826" s="337"/>
    </row>
    <row r="5827" spans="1:13" s="71" customFormat="1" ht="26.4" customHeight="1">
      <c r="A5827" s="282">
        <v>235</v>
      </c>
      <c r="B5827" s="534"/>
      <c r="C5827" s="307" t="s">
        <v>16</v>
      </c>
      <c r="D5827" s="307" t="s">
        <v>7770</v>
      </c>
      <c r="E5827" s="444" t="s">
        <v>7771</v>
      </c>
      <c r="F5827" s="310">
        <v>630075</v>
      </c>
      <c r="G5827" s="311">
        <v>1936</v>
      </c>
      <c r="H5827" s="329" t="s">
        <v>3</v>
      </c>
      <c r="I5827" s="313" t="s">
        <v>3</v>
      </c>
      <c r="J5827" s="314">
        <v>1.9</v>
      </c>
      <c r="K5827" s="314">
        <v>1.7</v>
      </c>
      <c r="L5827" s="314">
        <f t="shared" si="70"/>
        <v>0.19999999999999996</v>
      </c>
      <c r="M5827" s="337"/>
    </row>
    <row r="5828" spans="1:13" s="71" customFormat="1" ht="26.4" customHeight="1">
      <c r="A5828" s="282">
        <v>236</v>
      </c>
      <c r="B5828" s="534"/>
      <c r="C5828" s="307" t="s">
        <v>16</v>
      </c>
      <c r="D5828" s="307" t="s">
        <v>7772</v>
      </c>
      <c r="E5828" s="444" t="s">
        <v>7773</v>
      </c>
      <c r="F5828" s="310">
        <v>630076</v>
      </c>
      <c r="G5828" s="311">
        <v>1936</v>
      </c>
      <c r="H5828" s="329" t="s">
        <v>3</v>
      </c>
      <c r="I5828" s="313" t="s">
        <v>3</v>
      </c>
      <c r="J5828" s="314">
        <v>2.6</v>
      </c>
      <c r="K5828" s="314">
        <v>2.2000000000000002</v>
      </c>
      <c r="L5828" s="314">
        <f t="shared" si="70"/>
        <v>0.39999999999999991</v>
      </c>
      <c r="M5828" s="337"/>
    </row>
    <row r="5829" spans="1:13" s="71" customFormat="1" ht="26.4" customHeight="1">
      <c r="A5829" s="282">
        <v>237</v>
      </c>
      <c r="B5829" s="534"/>
      <c r="C5829" s="307" t="s">
        <v>16</v>
      </c>
      <c r="D5829" s="307" t="s">
        <v>7774</v>
      </c>
      <c r="E5829" s="444" t="s">
        <v>7775</v>
      </c>
      <c r="F5829" s="310">
        <v>630077</v>
      </c>
      <c r="G5829" s="311">
        <v>1961</v>
      </c>
      <c r="H5829" s="329" t="s">
        <v>3</v>
      </c>
      <c r="I5829" s="313" t="s">
        <v>3</v>
      </c>
      <c r="J5829" s="314">
        <v>3.8</v>
      </c>
      <c r="K5829" s="314">
        <v>3.7</v>
      </c>
      <c r="L5829" s="314">
        <f t="shared" si="70"/>
        <v>9.9999999999999645E-2</v>
      </c>
      <c r="M5829" s="337"/>
    </row>
    <row r="5830" spans="1:13" s="71" customFormat="1" ht="39.6">
      <c r="A5830" s="282">
        <v>238</v>
      </c>
      <c r="B5830" s="534"/>
      <c r="C5830" s="307" t="s">
        <v>16</v>
      </c>
      <c r="D5830" s="453" t="s">
        <v>7623</v>
      </c>
      <c r="E5830" s="444" t="s">
        <v>7776</v>
      </c>
      <c r="F5830" s="310">
        <v>630081</v>
      </c>
      <c r="G5830" s="311">
        <v>1956</v>
      </c>
      <c r="H5830" s="329" t="s">
        <v>3</v>
      </c>
      <c r="I5830" s="313" t="s">
        <v>3</v>
      </c>
      <c r="J5830" s="314">
        <v>3.8</v>
      </c>
      <c r="K5830" s="314">
        <v>3.8</v>
      </c>
      <c r="L5830" s="314">
        <f t="shared" si="70"/>
        <v>0</v>
      </c>
      <c r="M5830" s="337"/>
    </row>
    <row r="5831" spans="1:13" s="71" customFormat="1" ht="26.4" customHeight="1">
      <c r="A5831" s="282">
        <v>239</v>
      </c>
      <c r="B5831" s="534"/>
      <c r="C5831" s="307" t="s">
        <v>16</v>
      </c>
      <c r="D5831" s="453" t="s">
        <v>7623</v>
      </c>
      <c r="E5831" s="444" t="s">
        <v>7777</v>
      </c>
      <c r="F5831" s="310">
        <v>630084</v>
      </c>
      <c r="G5831" s="311">
        <v>1936</v>
      </c>
      <c r="H5831" s="329" t="s">
        <v>3</v>
      </c>
      <c r="I5831" s="313" t="s">
        <v>3</v>
      </c>
      <c r="J5831" s="314">
        <v>106.1</v>
      </c>
      <c r="K5831" s="314">
        <v>94.6</v>
      </c>
      <c r="L5831" s="314">
        <f t="shared" si="70"/>
        <v>11.5</v>
      </c>
      <c r="M5831" s="337"/>
    </row>
    <row r="5832" spans="1:13" s="71" customFormat="1" ht="26.4" customHeight="1">
      <c r="A5832" s="282">
        <v>240</v>
      </c>
      <c r="B5832" s="534"/>
      <c r="C5832" s="307" t="s">
        <v>16</v>
      </c>
      <c r="D5832" s="453" t="s">
        <v>7601</v>
      </c>
      <c r="E5832" s="444" t="s">
        <v>7778</v>
      </c>
      <c r="F5832" s="310">
        <v>630087</v>
      </c>
      <c r="G5832" s="311">
        <v>1971</v>
      </c>
      <c r="H5832" s="329" t="s">
        <v>3</v>
      </c>
      <c r="I5832" s="313" t="s">
        <v>3</v>
      </c>
      <c r="J5832" s="314">
        <v>1.7</v>
      </c>
      <c r="K5832" s="314">
        <v>1.6</v>
      </c>
      <c r="L5832" s="314">
        <f t="shared" si="70"/>
        <v>9.9999999999999867E-2</v>
      </c>
      <c r="M5832" s="337"/>
    </row>
    <row r="5833" spans="1:13" s="71" customFormat="1" ht="26.4" customHeight="1">
      <c r="A5833" s="282">
        <v>241</v>
      </c>
      <c r="B5833" s="534"/>
      <c r="C5833" s="307" t="s">
        <v>16</v>
      </c>
      <c r="D5833" s="453" t="s">
        <v>7635</v>
      </c>
      <c r="E5833" s="444" t="s">
        <v>7779</v>
      </c>
      <c r="F5833" s="310">
        <v>630113</v>
      </c>
      <c r="G5833" s="311">
        <v>1974</v>
      </c>
      <c r="H5833" s="329" t="s">
        <v>3</v>
      </c>
      <c r="I5833" s="313" t="s">
        <v>3</v>
      </c>
      <c r="J5833" s="314">
        <v>1.5</v>
      </c>
      <c r="K5833" s="314">
        <v>1.5</v>
      </c>
      <c r="L5833" s="314">
        <f t="shared" si="70"/>
        <v>0</v>
      </c>
      <c r="M5833" s="337"/>
    </row>
    <row r="5834" spans="1:13" s="71" customFormat="1" ht="26.4" customHeight="1">
      <c r="A5834" s="282">
        <v>242</v>
      </c>
      <c r="B5834" s="534"/>
      <c r="C5834" s="307" t="s">
        <v>16</v>
      </c>
      <c r="D5834" s="453" t="s">
        <v>7653</v>
      </c>
      <c r="E5834" s="444" t="s">
        <v>7780</v>
      </c>
      <c r="F5834" s="310">
        <v>630120</v>
      </c>
      <c r="G5834" s="311">
        <v>1976</v>
      </c>
      <c r="H5834" s="329" t="s">
        <v>3</v>
      </c>
      <c r="I5834" s="313" t="s">
        <v>3</v>
      </c>
      <c r="J5834" s="314">
        <v>0.8</v>
      </c>
      <c r="K5834" s="314">
        <v>0.8</v>
      </c>
      <c r="L5834" s="314">
        <f t="shared" si="70"/>
        <v>0</v>
      </c>
      <c r="M5834" s="337"/>
    </row>
    <row r="5835" spans="1:13" s="71" customFormat="1" ht="26.4" customHeight="1">
      <c r="A5835" s="282">
        <v>243</v>
      </c>
      <c r="B5835" s="534"/>
      <c r="C5835" s="307" t="s">
        <v>16</v>
      </c>
      <c r="D5835" s="453" t="s">
        <v>7601</v>
      </c>
      <c r="E5835" s="444" t="s">
        <v>7781</v>
      </c>
      <c r="F5835" s="310">
        <v>630177</v>
      </c>
      <c r="G5835" s="311">
        <v>1992</v>
      </c>
      <c r="H5835" s="329" t="s">
        <v>3</v>
      </c>
      <c r="I5835" s="313" t="s">
        <v>3</v>
      </c>
      <c r="J5835" s="314">
        <v>1</v>
      </c>
      <c r="K5835" s="314">
        <v>0.9</v>
      </c>
      <c r="L5835" s="314">
        <f t="shared" si="70"/>
        <v>9.9999999999999978E-2</v>
      </c>
      <c r="M5835" s="337"/>
    </row>
    <row r="5836" spans="1:13" s="71" customFormat="1" ht="26.4" customHeight="1">
      <c r="A5836" s="282">
        <v>244</v>
      </c>
      <c r="B5836" s="534"/>
      <c r="C5836" s="307" t="s">
        <v>16</v>
      </c>
      <c r="D5836" s="453" t="s">
        <v>7661</v>
      </c>
      <c r="E5836" s="444" t="s">
        <v>7782</v>
      </c>
      <c r="F5836" s="310">
        <v>6300178</v>
      </c>
      <c r="G5836" s="311">
        <v>1976</v>
      </c>
      <c r="H5836" s="329" t="s">
        <v>3</v>
      </c>
      <c r="I5836" s="313" t="s">
        <v>3</v>
      </c>
      <c r="J5836" s="314">
        <v>1.8</v>
      </c>
      <c r="K5836" s="314">
        <v>1.7</v>
      </c>
      <c r="L5836" s="314">
        <f t="shared" si="70"/>
        <v>0.10000000000000009</v>
      </c>
      <c r="M5836" s="337"/>
    </row>
    <row r="5837" spans="1:13" s="71" customFormat="1" ht="26.4" customHeight="1">
      <c r="A5837" s="282">
        <v>245</v>
      </c>
      <c r="B5837" s="534"/>
      <c r="C5837" s="307" t="s">
        <v>16</v>
      </c>
      <c r="D5837" s="453" t="s">
        <v>7783</v>
      </c>
      <c r="E5837" s="444" t="s">
        <v>7784</v>
      </c>
      <c r="F5837" s="310">
        <v>630192</v>
      </c>
      <c r="G5837" s="311">
        <v>1977</v>
      </c>
      <c r="H5837" s="329" t="s">
        <v>3</v>
      </c>
      <c r="I5837" s="313" t="s">
        <v>3</v>
      </c>
      <c r="J5837" s="314">
        <v>2.1</v>
      </c>
      <c r="K5837" s="314">
        <v>2.1</v>
      </c>
      <c r="L5837" s="314">
        <f t="shared" si="70"/>
        <v>0</v>
      </c>
      <c r="M5837" s="337"/>
    </row>
    <row r="5838" spans="1:13" s="71" customFormat="1" ht="26.4" customHeight="1">
      <c r="A5838" s="282">
        <v>246</v>
      </c>
      <c r="B5838" s="534"/>
      <c r="C5838" s="307" t="s">
        <v>16</v>
      </c>
      <c r="D5838" s="453" t="s">
        <v>7574</v>
      </c>
      <c r="E5838" s="444" t="s">
        <v>7785</v>
      </c>
      <c r="F5838" s="310">
        <v>630193</v>
      </c>
      <c r="G5838" s="311">
        <v>1977</v>
      </c>
      <c r="H5838" s="329" t="s">
        <v>3</v>
      </c>
      <c r="I5838" s="313" t="s">
        <v>3</v>
      </c>
      <c r="J5838" s="314">
        <v>0.5</v>
      </c>
      <c r="K5838" s="314">
        <v>0.5</v>
      </c>
      <c r="L5838" s="314">
        <f t="shared" si="70"/>
        <v>0</v>
      </c>
      <c r="M5838" s="337"/>
    </row>
    <row r="5839" spans="1:13" s="71" customFormat="1" ht="26.4" customHeight="1">
      <c r="A5839" s="282">
        <v>247</v>
      </c>
      <c r="B5839" s="534"/>
      <c r="C5839" s="307" t="s">
        <v>16</v>
      </c>
      <c r="D5839" s="307" t="s">
        <v>7786</v>
      </c>
      <c r="E5839" s="444" t="s">
        <v>7787</v>
      </c>
      <c r="F5839" s="310">
        <v>630194</v>
      </c>
      <c r="G5839" s="311">
        <v>1977</v>
      </c>
      <c r="H5839" s="329" t="s">
        <v>3</v>
      </c>
      <c r="I5839" s="313" t="s">
        <v>3</v>
      </c>
      <c r="J5839" s="314">
        <v>2.1</v>
      </c>
      <c r="K5839" s="314">
        <v>2.1</v>
      </c>
      <c r="L5839" s="314">
        <f t="shared" si="70"/>
        <v>0</v>
      </c>
      <c r="M5839" s="337"/>
    </row>
    <row r="5840" spans="1:13" s="71" customFormat="1" ht="26.4" customHeight="1">
      <c r="A5840" s="282">
        <v>248</v>
      </c>
      <c r="B5840" s="534"/>
      <c r="C5840" s="307" t="s">
        <v>16</v>
      </c>
      <c r="D5840" s="453" t="s">
        <v>7459</v>
      </c>
      <c r="E5840" s="444" t="s">
        <v>7788</v>
      </c>
      <c r="F5840" s="310">
        <v>630195</v>
      </c>
      <c r="G5840" s="311">
        <v>1977</v>
      </c>
      <c r="H5840" s="329" t="s">
        <v>3</v>
      </c>
      <c r="I5840" s="313" t="s">
        <v>3</v>
      </c>
      <c r="J5840" s="314">
        <v>0.7</v>
      </c>
      <c r="K5840" s="314">
        <v>0.7</v>
      </c>
      <c r="L5840" s="314">
        <f t="shared" si="70"/>
        <v>0</v>
      </c>
      <c r="M5840" s="337"/>
    </row>
    <row r="5841" spans="1:13" s="71" customFormat="1" ht="26.4" customHeight="1">
      <c r="A5841" s="282">
        <v>249</v>
      </c>
      <c r="B5841" s="534"/>
      <c r="C5841" s="307" t="s">
        <v>16</v>
      </c>
      <c r="D5841" s="453" t="s">
        <v>7459</v>
      </c>
      <c r="E5841" s="444" t="s">
        <v>7789</v>
      </c>
      <c r="F5841" s="310">
        <v>630196</v>
      </c>
      <c r="G5841" s="311">
        <v>1977</v>
      </c>
      <c r="H5841" s="329" t="s">
        <v>3</v>
      </c>
      <c r="I5841" s="313" t="s">
        <v>3</v>
      </c>
      <c r="J5841" s="314">
        <v>1.8</v>
      </c>
      <c r="K5841" s="314">
        <v>1.8</v>
      </c>
      <c r="L5841" s="314">
        <f t="shared" si="70"/>
        <v>0</v>
      </c>
      <c r="M5841" s="337"/>
    </row>
    <row r="5842" spans="1:13" s="71" customFormat="1" ht="26.4" customHeight="1">
      <c r="A5842" s="282">
        <v>250</v>
      </c>
      <c r="B5842" s="534"/>
      <c r="C5842" s="307" t="s">
        <v>16</v>
      </c>
      <c r="D5842" s="307" t="s">
        <v>7601</v>
      </c>
      <c r="E5842" s="444" t="s">
        <v>7790</v>
      </c>
      <c r="F5842" s="310">
        <v>630197</v>
      </c>
      <c r="G5842" s="311">
        <v>1977</v>
      </c>
      <c r="H5842" s="329" t="s">
        <v>3</v>
      </c>
      <c r="I5842" s="313" t="s">
        <v>3</v>
      </c>
      <c r="J5842" s="314">
        <v>1</v>
      </c>
      <c r="K5842" s="314">
        <v>1</v>
      </c>
      <c r="L5842" s="314">
        <f t="shared" si="70"/>
        <v>0</v>
      </c>
      <c r="M5842" s="337"/>
    </row>
    <row r="5843" spans="1:13" s="71" customFormat="1" ht="26.4" customHeight="1">
      <c r="A5843" s="282">
        <v>251</v>
      </c>
      <c r="B5843" s="534"/>
      <c r="C5843" s="307" t="s">
        <v>16</v>
      </c>
      <c r="D5843" s="453" t="s">
        <v>7749</v>
      </c>
      <c r="E5843" s="482" t="s">
        <v>13321</v>
      </c>
      <c r="F5843" s="310">
        <v>630199</v>
      </c>
      <c r="G5843" s="311">
        <v>1977</v>
      </c>
      <c r="H5843" s="329" t="s">
        <v>3</v>
      </c>
      <c r="I5843" s="313" t="s">
        <v>3</v>
      </c>
      <c r="J5843" s="314">
        <v>1.4</v>
      </c>
      <c r="K5843" s="314">
        <v>1.4</v>
      </c>
      <c r="L5843" s="314">
        <f t="shared" si="70"/>
        <v>0</v>
      </c>
      <c r="M5843" s="337"/>
    </row>
    <row r="5844" spans="1:13" s="71" customFormat="1" ht="26.4" customHeight="1">
      <c r="A5844" s="282">
        <v>252</v>
      </c>
      <c r="B5844" s="534"/>
      <c r="C5844" s="307" t="s">
        <v>16</v>
      </c>
      <c r="D5844" s="307" t="s">
        <v>7576</v>
      </c>
      <c r="E5844" s="444" t="s">
        <v>7791</v>
      </c>
      <c r="F5844" s="310">
        <v>630201</v>
      </c>
      <c r="G5844" s="311">
        <v>1977</v>
      </c>
      <c r="H5844" s="329" t="s">
        <v>3</v>
      </c>
      <c r="I5844" s="313" t="s">
        <v>3</v>
      </c>
      <c r="J5844" s="314">
        <v>1.3</v>
      </c>
      <c r="K5844" s="314">
        <v>1.2</v>
      </c>
      <c r="L5844" s="314">
        <f t="shared" si="70"/>
        <v>0.10000000000000009</v>
      </c>
      <c r="M5844" s="337"/>
    </row>
    <row r="5845" spans="1:13" s="71" customFormat="1" ht="26.4" customHeight="1">
      <c r="A5845" s="282">
        <v>253</v>
      </c>
      <c r="B5845" s="534"/>
      <c r="C5845" s="307" t="s">
        <v>16</v>
      </c>
      <c r="D5845" s="307" t="s">
        <v>7601</v>
      </c>
      <c r="E5845" s="444" t="s">
        <v>7792</v>
      </c>
      <c r="F5845" s="310">
        <v>630202</v>
      </c>
      <c r="G5845" s="311">
        <v>1977</v>
      </c>
      <c r="H5845" s="329" t="s">
        <v>3</v>
      </c>
      <c r="I5845" s="313" t="s">
        <v>3</v>
      </c>
      <c r="J5845" s="314">
        <v>1.6</v>
      </c>
      <c r="K5845" s="314">
        <v>1.5</v>
      </c>
      <c r="L5845" s="314">
        <f t="shared" si="70"/>
        <v>0.10000000000000009</v>
      </c>
      <c r="M5845" s="337"/>
    </row>
    <row r="5846" spans="1:13" s="71" customFormat="1" ht="26.4" customHeight="1">
      <c r="A5846" s="282">
        <v>254</v>
      </c>
      <c r="B5846" s="534"/>
      <c r="C5846" s="307" t="s">
        <v>16</v>
      </c>
      <c r="D5846" s="453" t="s">
        <v>7793</v>
      </c>
      <c r="E5846" s="444" t="s">
        <v>7794</v>
      </c>
      <c r="F5846" s="310">
        <v>630208</v>
      </c>
      <c r="G5846" s="311">
        <v>1978</v>
      </c>
      <c r="H5846" s="329" t="s">
        <v>3</v>
      </c>
      <c r="I5846" s="313" t="s">
        <v>3</v>
      </c>
      <c r="J5846" s="314">
        <v>0.9</v>
      </c>
      <c r="K5846" s="314">
        <v>0.9</v>
      </c>
      <c r="L5846" s="314">
        <f t="shared" si="70"/>
        <v>0</v>
      </c>
      <c r="M5846" s="337"/>
    </row>
    <row r="5847" spans="1:13" s="71" customFormat="1" ht="26.4" customHeight="1">
      <c r="A5847" s="282">
        <v>255</v>
      </c>
      <c r="B5847" s="534"/>
      <c r="C5847" s="307" t="s">
        <v>16</v>
      </c>
      <c r="D5847" s="453" t="s">
        <v>7795</v>
      </c>
      <c r="E5847" s="444" t="s">
        <v>7796</v>
      </c>
      <c r="F5847" s="310">
        <v>630209</v>
      </c>
      <c r="G5847" s="311">
        <v>1979</v>
      </c>
      <c r="H5847" s="329" t="s">
        <v>3</v>
      </c>
      <c r="I5847" s="313" t="s">
        <v>3</v>
      </c>
      <c r="J5847" s="314">
        <v>1.2</v>
      </c>
      <c r="K5847" s="314">
        <v>1.2</v>
      </c>
      <c r="L5847" s="314">
        <f t="shared" si="70"/>
        <v>0</v>
      </c>
      <c r="M5847" s="337"/>
    </row>
    <row r="5848" spans="1:13" s="71" customFormat="1" ht="26.4" customHeight="1">
      <c r="A5848" s="282">
        <v>256</v>
      </c>
      <c r="B5848" s="534"/>
      <c r="C5848" s="307" t="s">
        <v>16</v>
      </c>
      <c r="D5848" s="307" t="s">
        <v>7601</v>
      </c>
      <c r="E5848" s="444" t="s">
        <v>7797</v>
      </c>
      <c r="F5848" s="310">
        <v>630227</v>
      </c>
      <c r="G5848" s="311">
        <v>1981</v>
      </c>
      <c r="H5848" s="329" t="s">
        <v>3</v>
      </c>
      <c r="I5848" s="313" t="s">
        <v>3</v>
      </c>
      <c r="J5848" s="314">
        <v>2.6</v>
      </c>
      <c r="K5848" s="314">
        <v>2.6</v>
      </c>
      <c r="L5848" s="314">
        <f t="shared" si="70"/>
        <v>0</v>
      </c>
      <c r="M5848" s="337"/>
    </row>
    <row r="5849" spans="1:13" s="71" customFormat="1" ht="26.4" customHeight="1">
      <c r="A5849" s="282">
        <v>257</v>
      </c>
      <c r="B5849" s="534"/>
      <c r="C5849" s="307" t="s">
        <v>16</v>
      </c>
      <c r="D5849" s="307" t="s">
        <v>7648</v>
      </c>
      <c r="E5849" s="444" t="s">
        <v>7798</v>
      </c>
      <c r="F5849" s="310">
        <v>630229</v>
      </c>
      <c r="G5849" s="311">
        <v>1981</v>
      </c>
      <c r="H5849" s="329" t="s">
        <v>3</v>
      </c>
      <c r="I5849" s="313" t="s">
        <v>3</v>
      </c>
      <c r="J5849" s="314">
        <v>2</v>
      </c>
      <c r="K5849" s="314">
        <v>2</v>
      </c>
      <c r="L5849" s="314">
        <f t="shared" ref="L5849:L5912" si="71">J5849-K5849</f>
        <v>0</v>
      </c>
      <c r="M5849" s="337"/>
    </row>
    <row r="5850" spans="1:13" s="71" customFormat="1" ht="26.4" customHeight="1">
      <c r="A5850" s="282">
        <v>258</v>
      </c>
      <c r="B5850" s="534"/>
      <c r="C5850" s="307" t="s">
        <v>16</v>
      </c>
      <c r="D5850" s="453" t="s">
        <v>7603</v>
      </c>
      <c r="E5850" s="444" t="s">
        <v>7799</v>
      </c>
      <c r="F5850" s="310">
        <v>630233</v>
      </c>
      <c r="G5850" s="311">
        <v>1988</v>
      </c>
      <c r="H5850" s="329" t="s">
        <v>3</v>
      </c>
      <c r="I5850" s="313" t="s">
        <v>3</v>
      </c>
      <c r="J5850" s="314">
        <v>2.2999999999999998</v>
      </c>
      <c r="K5850" s="314">
        <v>2.2000000000000002</v>
      </c>
      <c r="L5850" s="314">
        <f t="shared" si="71"/>
        <v>9.9999999999999645E-2</v>
      </c>
      <c r="M5850" s="337"/>
    </row>
    <row r="5851" spans="1:13" s="71" customFormat="1" ht="26.4" customHeight="1">
      <c r="A5851" s="282">
        <v>259</v>
      </c>
      <c r="B5851" s="534"/>
      <c r="C5851" s="307" t="s">
        <v>16</v>
      </c>
      <c r="D5851" s="453" t="s">
        <v>7643</v>
      </c>
      <c r="E5851" s="444" t="s">
        <v>7800</v>
      </c>
      <c r="F5851" s="310">
        <v>630234</v>
      </c>
      <c r="G5851" s="311">
        <v>1988</v>
      </c>
      <c r="H5851" s="329" t="s">
        <v>3</v>
      </c>
      <c r="I5851" s="313" t="s">
        <v>3</v>
      </c>
      <c r="J5851" s="314">
        <v>2.2000000000000002</v>
      </c>
      <c r="K5851" s="314">
        <v>2.2000000000000002</v>
      </c>
      <c r="L5851" s="314">
        <f t="shared" si="71"/>
        <v>0</v>
      </c>
      <c r="M5851" s="337"/>
    </row>
    <row r="5852" spans="1:13" s="71" customFormat="1" ht="39.6">
      <c r="A5852" s="282">
        <v>260</v>
      </c>
      <c r="B5852" s="534"/>
      <c r="C5852" s="307" t="s">
        <v>16</v>
      </c>
      <c r="D5852" s="307" t="s">
        <v>7576</v>
      </c>
      <c r="E5852" s="444" t="s">
        <v>7801</v>
      </c>
      <c r="F5852" s="310">
        <v>630254</v>
      </c>
      <c r="G5852" s="311">
        <v>1994</v>
      </c>
      <c r="H5852" s="329" t="s">
        <v>3</v>
      </c>
      <c r="I5852" s="313" t="s">
        <v>3</v>
      </c>
      <c r="J5852" s="314">
        <v>0.4</v>
      </c>
      <c r="K5852" s="314">
        <v>0.4</v>
      </c>
      <c r="L5852" s="314">
        <f t="shared" si="71"/>
        <v>0</v>
      </c>
      <c r="M5852" s="337"/>
    </row>
    <row r="5853" spans="1:13" s="71" customFormat="1" ht="39.6">
      <c r="A5853" s="282">
        <v>261</v>
      </c>
      <c r="B5853" s="534"/>
      <c r="C5853" s="307" t="s">
        <v>16</v>
      </c>
      <c r="D5853" s="307" t="s">
        <v>7576</v>
      </c>
      <c r="E5853" s="444" t="s">
        <v>12876</v>
      </c>
      <c r="F5853" s="310">
        <v>630257</v>
      </c>
      <c r="G5853" s="311">
        <v>1993</v>
      </c>
      <c r="H5853" s="329" t="s">
        <v>3</v>
      </c>
      <c r="I5853" s="313" t="s">
        <v>3</v>
      </c>
      <c r="J5853" s="314">
        <v>2.2000000000000002</v>
      </c>
      <c r="K5853" s="314">
        <v>2.2000000000000002</v>
      </c>
      <c r="L5853" s="314">
        <f t="shared" si="71"/>
        <v>0</v>
      </c>
      <c r="M5853" s="337"/>
    </row>
    <row r="5854" spans="1:13" s="71" customFormat="1" ht="26.4">
      <c r="A5854" s="282">
        <v>262</v>
      </c>
      <c r="B5854" s="534"/>
      <c r="C5854" s="307" t="s">
        <v>16</v>
      </c>
      <c r="D5854" s="307" t="s">
        <v>7576</v>
      </c>
      <c r="E5854" s="444" t="s">
        <v>7802</v>
      </c>
      <c r="F5854" s="310">
        <v>630256</v>
      </c>
      <c r="G5854" s="311">
        <v>1994</v>
      </c>
      <c r="H5854" s="329" t="s">
        <v>3</v>
      </c>
      <c r="I5854" s="313" t="s">
        <v>3</v>
      </c>
      <c r="J5854" s="314">
        <v>1.3</v>
      </c>
      <c r="K5854" s="314">
        <v>1.1000000000000001</v>
      </c>
      <c r="L5854" s="314">
        <f t="shared" si="71"/>
        <v>0.19999999999999996</v>
      </c>
      <c r="M5854" s="337"/>
    </row>
    <row r="5855" spans="1:13" s="71" customFormat="1" ht="26.4">
      <c r="A5855" s="282">
        <v>263</v>
      </c>
      <c r="B5855" s="534"/>
      <c r="C5855" s="307" t="s">
        <v>16</v>
      </c>
      <c r="D5855" s="307" t="s">
        <v>7574</v>
      </c>
      <c r="E5855" s="444" t="s">
        <v>7803</v>
      </c>
      <c r="F5855" s="310">
        <v>630257</v>
      </c>
      <c r="G5855" s="311">
        <v>1994</v>
      </c>
      <c r="H5855" s="329" t="s">
        <v>3</v>
      </c>
      <c r="I5855" s="313" t="s">
        <v>3</v>
      </c>
      <c r="J5855" s="314">
        <v>0.5</v>
      </c>
      <c r="K5855" s="314">
        <v>0.5</v>
      </c>
      <c r="L5855" s="314">
        <f t="shared" si="71"/>
        <v>0</v>
      </c>
      <c r="M5855" s="337"/>
    </row>
    <row r="5856" spans="1:13" s="71" customFormat="1" ht="26.4">
      <c r="A5856" s="282">
        <v>264</v>
      </c>
      <c r="B5856" s="534"/>
      <c r="C5856" s="307" t="s">
        <v>16</v>
      </c>
      <c r="D5856" s="453" t="s">
        <v>7574</v>
      </c>
      <c r="E5856" s="444" t="s">
        <v>7804</v>
      </c>
      <c r="F5856" s="310">
        <v>630259</v>
      </c>
      <c r="G5856" s="311">
        <v>2000</v>
      </c>
      <c r="H5856" s="329" t="s">
        <v>3</v>
      </c>
      <c r="I5856" s="313" t="s">
        <v>3</v>
      </c>
      <c r="J5856" s="314">
        <v>0.6</v>
      </c>
      <c r="K5856" s="314">
        <v>0.6</v>
      </c>
      <c r="L5856" s="314">
        <f t="shared" si="71"/>
        <v>0</v>
      </c>
      <c r="M5856" s="337"/>
    </row>
    <row r="5857" spans="1:13" s="71" customFormat="1" ht="26.4" customHeight="1">
      <c r="A5857" s="282">
        <v>265</v>
      </c>
      <c r="B5857" s="534"/>
      <c r="C5857" s="307" t="s">
        <v>16</v>
      </c>
      <c r="D5857" s="453" t="s">
        <v>7574</v>
      </c>
      <c r="E5857" s="444" t="s">
        <v>7805</v>
      </c>
      <c r="F5857" s="310">
        <v>630331</v>
      </c>
      <c r="G5857" s="311">
        <v>1983</v>
      </c>
      <c r="H5857" s="329" t="s">
        <v>3</v>
      </c>
      <c r="I5857" s="313" t="s">
        <v>3</v>
      </c>
      <c r="J5857" s="314">
        <v>0.6</v>
      </c>
      <c r="K5857" s="314">
        <v>0.6</v>
      </c>
      <c r="L5857" s="314">
        <f t="shared" si="71"/>
        <v>0</v>
      </c>
      <c r="M5857" s="337"/>
    </row>
    <row r="5858" spans="1:13" s="71" customFormat="1" ht="26.4" customHeight="1">
      <c r="A5858" s="282">
        <v>266</v>
      </c>
      <c r="B5858" s="534"/>
      <c r="C5858" s="307" t="s">
        <v>16</v>
      </c>
      <c r="D5858" s="307" t="s">
        <v>7806</v>
      </c>
      <c r="E5858" s="444" t="s">
        <v>7807</v>
      </c>
      <c r="F5858" s="310">
        <v>630335</v>
      </c>
      <c r="G5858" s="311">
        <v>1983</v>
      </c>
      <c r="H5858" s="329" t="s">
        <v>3</v>
      </c>
      <c r="I5858" s="313" t="s">
        <v>3</v>
      </c>
      <c r="J5858" s="314">
        <v>2.2000000000000002</v>
      </c>
      <c r="K5858" s="314">
        <v>2.2000000000000002</v>
      </c>
      <c r="L5858" s="314">
        <f t="shared" si="71"/>
        <v>0</v>
      </c>
      <c r="M5858" s="337"/>
    </row>
    <row r="5859" spans="1:13" s="71" customFormat="1" ht="26.4" customHeight="1">
      <c r="A5859" s="282">
        <v>267</v>
      </c>
      <c r="B5859" s="534"/>
      <c r="C5859" s="307" t="s">
        <v>16</v>
      </c>
      <c r="D5859" s="307" t="s">
        <v>7603</v>
      </c>
      <c r="E5859" s="444" t="s">
        <v>7808</v>
      </c>
      <c r="F5859" s="310">
        <v>630336</v>
      </c>
      <c r="G5859" s="311">
        <v>1984</v>
      </c>
      <c r="H5859" s="329" t="s">
        <v>3</v>
      </c>
      <c r="I5859" s="313" t="s">
        <v>3</v>
      </c>
      <c r="J5859" s="314">
        <v>1.8</v>
      </c>
      <c r="K5859" s="314">
        <v>1.8</v>
      </c>
      <c r="L5859" s="314">
        <f t="shared" si="71"/>
        <v>0</v>
      </c>
      <c r="M5859" s="337"/>
    </row>
    <row r="5860" spans="1:13" s="71" customFormat="1" ht="26.4">
      <c r="A5860" s="282">
        <v>268</v>
      </c>
      <c r="B5860" s="534"/>
      <c r="C5860" s="307" t="s">
        <v>16</v>
      </c>
      <c r="D5860" s="307" t="s">
        <v>7576</v>
      </c>
      <c r="E5860" s="444" t="s">
        <v>7809</v>
      </c>
      <c r="F5860" s="310">
        <v>630343</v>
      </c>
      <c r="G5860" s="311">
        <v>1989</v>
      </c>
      <c r="H5860" s="329" t="s">
        <v>3</v>
      </c>
      <c r="I5860" s="313" t="s">
        <v>3</v>
      </c>
      <c r="J5860" s="314">
        <v>2.1</v>
      </c>
      <c r="K5860" s="314">
        <v>2.1</v>
      </c>
      <c r="L5860" s="314">
        <f t="shared" si="71"/>
        <v>0</v>
      </c>
      <c r="M5860" s="337"/>
    </row>
    <row r="5861" spans="1:13" s="71" customFormat="1" ht="39.6">
      <c r="A5861" s="282">
        <v>269</v>
      </c>
      <c r="B5861" s="534"/>
      <c r="C5861" s="307" t="s">
        <v>16</v>
      </c>
      <c r="D5861" s="453" t="s">
        <v>7643</v>
      </c>
      <c r="E5861" s="444" t="s">
        <v>7810</v>
      </c>
      <c r="F5861" s="310">
        <v>630065</v>
      </c>
      <c r="G5861" s="311">
        <v>1969</v>
      </c>
      <c r="H5861" s="329" t="s">
        <v>3</v>
      </c>
      <c r="I5861" s="313" t="s">
        <v>3</v>
      </c>
      <c r="J5861" s="314">
        <v>0.6</v>
      </c>
      <c r="K5861" s="314">
        <v>0.6</v>
      </c>
      <c r="L5861" s="314">
        <f t="shared" si="71"/>
        <v>0</v>
      </c>
      <c r="M5861" s="337"/>
    </row>
    <row r="5862" spans="1:13" s="71" customFormat="1" ht="26.4" customHeight="1">
      <c r="A5862" s="282">
        <v>270</v>
      </c>
      <c r="B5862" s="534"/>
      <c r="C5862" s="307" t="s">
        <v>16</v>
      </c>
      <c r="D5862" s="307" t="s">
        <v>7634</v>
      </c>
      <c r="E5862" s="444" t="s">
        <v>13334</v>
      </c>
      <c r="F5862" s="310">
        <v>630200</v>
      </c>
      <c r="G5862" s="311">
        <v>1977</v>
      </c>
      <c r="H5862" s="329" t="s">
        <v>3</v>
      </c>
      <c r="I5862" s="313" t="s">
        <v>3</v>
      </c>
      <c r="J5862" s="314">
        <v>4.2</v>
      </c>
      <c r="K5862" s="314">
        <v>4.0999999999999996</v>
      </c>
      <c r="L5862" s="314">
        <f t="shared" si="71"/>
        <v>0.10000000000000053</v>
      </c>
      <c r="M5862" s="337"/>
    </row>
    <row r="5863" spans="1:13" s="71" customFormat="1" ht="26.4" customHeight="1">
      <c r="A5863" s="282">
        <v>271</v>
      </c>
      <c r="B5863" s="534"/>
      <c r="C5863" s="307" t="s">
        <v>16</v>
      </c>
      <c r="D5863" s="307" t="s">
        <v>13335</v>
      </c>
      <c r="E5863" s="444" t="s">
        <v>7811</v>
      </c>
      <c r="F5863" s="310">
        <v>6302001</v>
      </c>
      <c r="G5863" s="311">
        <v>1979</v>
      </c>
      <c r="H5863" s="329" t="s">
        <v>3</v>
      </c>
      <c r="I5863" s="313" t="s">
        <v>3</v>
      </c>
      <c r="J5863" s="314">
        <v>3.5</v>
      </c>
      <c r="K5863" s="314">
        <v>3.3</v>
      </c>
      <c r="L5863" s="314">
        <f t="shared" si="71"/>
        <v>0.20000000000000018</v>
      </c>
      <c r="M5863" s="337"/>
    </row>
    <row r="5864" spans="1:13" s="71" customFormat="1" ht="26.4" customHeight="1">
      <c r="A5864" s="282">
        <v>272</v>
      </c>
      <c r="B5864" s="534"/>
      <c r="C5864" s="307" t="s">
        <v>16</v>
      </c>
      <c r="D5864" s="453" t="s">
        <v>13336</v>
      </c>
      <c r="E5864" s="444" t="s">
        <v>7812</v>
      </c>
      <c r="F5864" s="310">
        <v>630213</v>
      </c>
      <c r="G5864" s="311">
        <v>1979</v>
      </c>
      <c r="H5864" s="329" t="s">
        <v>3</v>
      </c>
      <c r="I5864" s="313" t="s">
        <v>3</v>
      </c>
      <c r="J5864" s="314">
        <v>5.7</v>
      </c>
      <c r="K5864" s="314">
        <v>5.5</v>
      </c>
      <c r="L5864" s="314">
        <f t="shared" si="71"/>
        <v>0.20000000000000018</v>
      </c>
      <c r="M5864" s="337"/>
    </row>
    <row r="5865" spans="1:13" s="71" customFormat="1" ht="26.4" customHeight="1">
      <c r="A5865" s="282">
        <v>273</v>
      </c>
      <c r="B5865" s="534"/>
      <c r="C5865" s="307" t="s">
        <v>16</v>
      </c>
      <c r="D5865" s="453" t="s">
        <v>7523</v>
      </c>
      <c r="E5865" s="444" t="s">
        <v>13337</v>
      </c>
      <c r="F5865" s="310">
        <v>630214</v>
      </c>
      <c r="G5865" s="311">
        <v>1979</v>
      </c>
      <c r="H5865" s="329" t="s">
        <v>3</v>
      </c>
      <c r="I5865" s="313" t="s">
        <v>3</v>
      </c>
      <c r="J5865" s="314">
        <v>8.6999999999999993</v>
      </c>
      <c r="K5865" s="314">
        <v>8.4</v>
      </c>
      <c r="L5865" s="314">
        <f t="shared" si="71"/>
        <v>0.29999999999999893</v>
      </c>
      <c r="M5865" s="337"/>
    </row>
    <row r="5866" spans="1:13" s="71" customFormat="1" ht="26.4" customHeight="1">
      <c r="A5866" s="282">
        <v>274</v>
      </c>
      <c r="B5866" s="534"/>
      <c r="C5866" s="307" t="s">
        <v>16</v>
      </c>
      <c r="D5866" s="307" t="s">
        <v>13335</v>
      </c>
      <c r="E5866" s="444" t="s">
        <v>7813</v>
      </c>
      <c r="F5866" s="310">
        <v>630214</v>
      </c>
      <c r="G5866" s="311">
        <v>1977</v>
      </c>
      <c r="H5866" s="329" t="s">
        <v>3</v>
      </c>
      <c r="I5866" s="313" t="s">
        <v>3</v>
      </c>
      <c r="J5866" s="314">
        <v>11.3</v>
      </c>
      <c r="K5866" s="314">
        <v>10.9</v>
      </c>
      <c r="L5866" s="314">
        <f t="shared" si="71"/>
        <v>0.40000000000000036</v>
      </c>
      <c r="M5866" s="337"/>
    </row>
    <row r="5867" spans="1:13" s="71" customFormat="1" ht="26.4" customHeight="1">
      <c r="A5867" s="282">
        <v>275</v>
      </c>
      <c r="B5867" s="534"/>
      <c r="C5867" s="307" t="s">
        <v>16</v>
      </c>
      <c r="D5867" s="453" t="s">
        <v>7574</v>
      </c>
      <c r="E5867" s="444" t="s">
        <v>7814</v>
      </c>
      <c r="F5867" s="310">
        <v>630191</v>
      </c>
      <c r="G5867" s="311">
        <v>1980</v>
      </c>
      <c r="H5867" s="329" t="s">
        <v>3</v>
      </c>
      <c r="I5867" s="313" t="s">
        <v>3</v>
      </c>
      <c r="J5867" s="314">
        <v>21.9</v>
      </c>
      <c r="K5867" s="314">
        <v>21.6</v>
      </c>
      <c r="L5867" s="314">
        <f t="shared" si="71"/>
        <v>0.29999999999999716</v>
      </c>
      <c r="M5867" s="337"/>
    </row>
    <row r="5868" spans="1:13" s="71" customFormat="1" ht="26.4" customHeight="1">
      <c r="A5868" s="282">
        <v>276</v>
      </c>
      <c r="B5868" s="534"/>
      <c r="C5868" s="307" t="s">
        <v>16</v>
      </c>
      <c r="D5868" s="453" t="s">
        <v>7637</v>
      </c>
      <c r="E5868" s="444" t="s">
        <v>7815</v>
      </c>
      <c r="F5868" s="310">
        <v>630192</v>
      </c>
      <c r="G5868" s="311">
        <v>1981</v>
      </c>
      <c r="H5868" s="329" t="s">
        <v>3</v>
      </c>
      <c r="I5868" s="313" t="s">
        <v>3</v>
      </c>
      <c r="J5868" s="314">
        <v>37.5</v>
      </c>
      <c r="K5868" s="314">
        <v>30.9</v>
      </c>
      <c r="L5868" s="314">
        <f t="shared" si="71"/>
        <v>6.6000000000000014</v>
      </c>
      <c r="M5868" s="337"/>
    </row>
    <row r="5869" spans="1:13" s="71" customFormat="1" ht="26.4" customHeight="1">
      <c r="A5869" s="282">
        <v>277</v>
      </c>
      <c r="B5869" s="534"/>
      <c r="C5869" s="307" t="s">
        <v>16</v>
      </c>
      <c r="D5869" s="453" t="s">
        <v>13338</v>
      </c>
      <c r="E5869" s="444" t="s">
        <v>7816</v>
      </c>
      <c r="F5869" s="310">
        <v>630239</v>
      </c>
      <c r="G5869" s="311">
        <v>1990</v>
      </c>
      <c r="H5869" s="329" t="s">
        <v>3</v>
      </c>
      <c r="I5869" s="313" t="s">
        <v>3</v>
      </c>
      <c r="J5869" s="314">
        <v>2.9</v>
      </c>
      <c r="K5869" s="314">
        <v>2.7</v>
      </c>
      <c r="L5869" s="314">
        <f t="shared" si="71"/>
        <v>0.19999999999999973</v>
      </c>
      <c r="M5869" s="337"/>
    </row>
    <row r="5870" spans="1:13" s="71" customFormat="1" ht="26.4" customHeight="1">
      <c r="A5870" s="282">
        <v>278</v>
      </c>
      <c r="B5870" s="534"/>
      <c r="C5870" s="307" t="s">
        <v>16</v>
      </c>
      <c r="D5870" s="453" t="s">
        <v>7817</v>
      </c>
      <c r="E5870" s="444" t="s">
        <v>7818</v>
      </c>
      <c r="F5870" s="310">
        <v>630241</v>
      </c>
      <c r="G5870" s="311">
        <v>1990</v>
      </c>
      <c r="H5870" s="329" t="s">
        <v>3</v>
      </c>
      <c r="I5870" s="313" t="s">
        <v>3</v>
      </c>
      <c r="J5870" s="314">
        <v>2.8</v>
      </c>
      <c r="K5870" s="314">
        <v>2.6</v>
      </c>
      <c r="L5870" s="314">
        <f t="shared" si="71"/>
        <v>0.19999999999999973</v>
      </c>
      <c r="M5870" s="337"/>
    </row>
    <row r="5871" spans="1:13" s="71" customFormat="1" ht="26.4" customHeight="1">
      <c r="A5871" s="282">
        <v>279</v>
      </c>
      <c r="B5871" s="534"/>
      <c r="C5871" s="307" t="s">
        <v>16</v>
      </c>
      <c r="D5871" s="453" t="s">
        <v>13339</v>
      </c>
      <c r="E5871" s="444" t="s">
        <v>7819</v>
      </c>
      <c r="F5871" s="310">
        <v>630244</v>
      </c>
      <c r="G5871" s="311">
        <v>1991</v>
      </c>
      <c r="H5871" s="329" t="s">
        <v>3</v>
      </c>
      <c r="I5871" s="313" t="s">
        <v>3</v>
      </c>
      <c r="J5871" s="314">
        <v>12.5</v>
      </c>
      <c r="K5871" s="314">
        <v>9.9</v>
      </c>
      <c r="L5871" s="314">
        <f t="shared" si="71"/>
        <v>2.5999999999999996</v>
      </c>
      <c r="M5871" s="337"/>
    </row>
    <row r="5872" spans="1:13" s="71" customFormat="1" ht="26.4" customHeight="1">
      <c r="A5872" s="282">
        <v>280</v>
      </c>
      <c r="B5872" s="534"/>
      <c r="C5872" s="307" t="s">
        <v>16</v>
      </c>
      <c r="D5872" s="453" t="s">
        <v>13339</v>
      </c>
      <c r="E5872" s="444" t="s">
        <v>7820</v>
      </c>
      <c r="F5872" s="310">
        <v>630245</v>
      </c>
      <c r="G5872" s="311">
        <v>1991</v>
      </c>
      <c r="H5872" s="329" t="s">
        <v>3</v>
      </c>
      <c r="I5872" s="313" t="s">
        <v>3</v>
      </c>
      <c r="J5872" s="314">
        <v>13.2</v>
      </c>
      <c r="K5872" s="314">
        <v>10.5</v>
      </c>
      <c r="L5872" s="314">
        <f t="shared" si="71"/>
        <v>2.6999999999999993</v>
      </c>
      <c r="M5872" s="337"/>
    </row>
    <row r="5873" spans="1:13" s="71" customFormat="1" ht="26.4">
      <c r="A5873" s="282">
        <v>281</v>
      </c>
      <c r="B5873" s="534"/>
      <c r="C5873" s="307" t="s">
        <v>16</v>
      </c>
      <c r="D5873" s="453" t="s">
        <v>13340</v>
      </c>
      <c r="E5873" s="444" t="s">
        <v>13341</v>
      </c>
      <c r="F5873" s="310">
        <v>630246</v>
      </c>
      <c r="G5873" s="311">
        <v>1991</v>
      </c>
      <c r="H5873" s="329" t="s">
        <v>3</v>
      </c>
      <c r="I5873" s="313" t="s">
        <v>3</v>
      </c>
      <c r="J5873" s="314">
        <v>3.9</v>
      </c>
      <c r="K5873" s="314">
        <v>3.7</v>
      </c>
      <c r="L5873" s="314">
        <f t="shared" si="71"/>
        <v>0.19999999999999973</v>
      </c>
      <c r="M5873" s="337"/>
    </row>
    <row r="5874" spans="1:13" s="71" customFormat="1" ht="26.4">
      <c r="A5874" s="282">
        <v>282</v>
      </c>
      <c r="B5874" s="534"/>
      <c r="C5874" s="307" t="s">
        <v>16</v>
      </c>
      <c r="D5874" s="453" t="s">
        <v>7592</v>
      </c>
      <c r="E5874" s="444" t="s">
        <v>7821</v>
      </c>
      <c r="F5874" s="310">
        <v>630248</v>
      </c>
      <c r="G5874" s="311">
        <v>1992</v>
      </c>
      <c r="H5874" s="329" t="s">
        <v>3</v>
      </c>
      <c r="I5874" s="313" t="s">
        <v>3</v>
      </c>
      <c r="J5874" s="314">
        <v>3.1</v>
      </c>
      <c r="K5874" s="314">
        <v>2.9</v>
      </c>
      <c r="L5874" s="314">
        <f t="shared" si="71"/>
        <v>0.20000000000000018</v>
      </c>
      <c r="M5874" s="337"/>
    </row>
    <row r="5875" spans="1:13" s="71" customFormat="1" ht="39.6">
      <c r="A5875" s="282">
        <v>283</v>
      </c>
      <c r="B5875" s="534"/>
      <c r="C5875" s="307" t="s">
        <v>16</v>
      </c>
      <c r="D5875" s="453" t="s">
        <v>7576</v>
      </c>
      <c r="E5875" s="444" t="s">
        <v>13430</v>
      </c>
      <c r="F5875" s="310">
        <v>630249</v>
      </c>
      <c r="G5875" s="311">
        <v>1994</v>
      </c>
      <c r="H5875" s="329" t="s">
        <v>3</v>
      </c>
      <c r="I5875" s="313" t="s">
        <v>3</v>
      </c>
      <c r="J5875" s="314">
        <v>2.8</v>
      </c>
      <c r="K5875" s="314">
        <v>2.6</v>
      </c>
      <c r="L5875" s="314">
        <f t="shared" si="71"/>
        <v>0.19999999999999973</v>
      </c>
      <c r="M5875" s="337"/>
    </row>
    <row r="5876" spans="1:13" s="71" customFormat="1" ht="26.4" customHeight="1">
      <c r="A5876" s="282">
        <v>284</v>
      </c>
      <c r="B5876" s="534"/>
      <c r="C5876" s="307" t="s">
        <v>16</v>
      </c>
      <c r="D5876" s="453" t="s">
        <v>13340</v>
      </c>
      <c r="E5876" s="444" t="s">
        <v>13342</v>
      </c>
      <c r="F5876" s="310">
        <v>630250</v>
      </c>
      <c r="G5876" s="311">
        <v>1994</v>
      </c>
      <c r="H5876" s="329" t="s">
        <v>3</v>
      </c>
      <c r="I5876" s="313" t="s">
        <v>3</v>
      </c>
      <c r="J5876" s="314">
        <v>7.2</v>
      </c>
      <c r="K5876" s="314">
        <v>6.8</v>
      </c>
      <c r="L5876" s="314">
        <f t="shared" si="71"/>
        <v>0.40000000000000036</v>
      </c>
      <c r="M5876" s="337"/>
    </row>
    <row r="5877" spans="1:13" s="71" customFormat="1" ht="26.4" customHeight="1">
      <c r="A5877" s="282">
        <v>285</v>
      </c>
      <c r="B5877" s="534"/>
      <c r="C5877" s="307" t="s">
        <v>16</v>
      </c>
      <c r="D5877" s="453" t="s">
        <v>13335</v>
      </c>
      <c r="E5877" s="444" t="s">
        <v>7822</v>
      </c>
      <c r="F5877" s="310">
        <v>630251</v>
      </c>
      <c r="G5877" s="311">
        <v>1997</v>
      </c>
      <c r="H5877" s="329" t="s">
        <v>3</v>
      </c>
      <c r="I5877" s="313" t="s">
        <v>3</v>
      </c>
      <c r="J5877" s="314">
        <v>45.2</v>
      </c>
      <c r="K5877" s="314">
        <v>30.3</v>
      </c>
      <c r="L5877" s="314">
        <f t="shared" si="71"/>
        <v>14.900000000000002</v>
      </c>
      <c r="M5877" s="337"/>
    </row>
    <row r="5878" spans="1:13" s="71" customFormat="1" ht="26.4" customHeight="1">
      <c r="A5878" s="282">
        <v>286</v>
      </c>
      <c r="B5878" s="534"/>
      <c r="C5878" s="307" t="s">
        <v>16</v>
      </c>
      <c r="D5878" s="453" t="s">
        <v>7823</v>
      </c>
      <c r="E5878" s="444" t="s">
        <v>7824</v>
      </c>
      <c r="F5878" s="310">
        <v>630258</v>
      </c>
      <c r="G5878" s="311">
        <v>1995</v>
      </c>
      <c r="H5878" s="329" t="s">
        <v>3</v>
      </c>
      <c r="I5878" s="313" t="s">
        <v>3</v>
      </c>
      <c r="J5878" s="314">
        <v>4.7</v>
      </c>
      <c r="K5878" s="314">
        <v>4.5</v>
      </c>
      <c r="L5878" s="314">
        <f t="shared" si="71"/>
        <v>0.20000000000000018</v>
      </c>
      <c r="M5878" s="337"/>
    </row>
    <row r="5879" spans="1:13" s="71" customFormat="1" ht="26.4" customHeight="1">
      <c r="A5879" s="282">
        <v>287</v>
      </c>
      <c r="B5879" s="534"/>
      <c r="C5879" s="307" t="s">
        <v>16</v>
      </c>
      <c r="D5879" s="446" t="s">
        <v>7823</v>
      </c>
      <c r="E5879" s="444" t="s">
        <v>12758</v>
      </c>
      <c r="F5879" s="310">
        <v>630262</v>
      </c>
      <c r="G5879" s="311">
        <v>1998</v>
      </c>
      <c r="H5879" s="329" t="s">
        <v>3</v>
      </c>
      <c r="I5879" s="313" t="s">
        <v>3</v>
      </c>
      <c r="J5879" s="314">
        <v>3</v>
      </c>
      <c r="K5879" s="314">
        <v>2.8</v>
      </c>
      <c r="L5879" s="314">
        <f t="shared" si="71"/>
        <v>0.20000000000000018</v>
      </c>
      <c r="M5879" s="337"/>
    </row>
    <row r="5880" spans="1:13" s="71" customFormat="1" ht="26.4" customHeight="1">
      <c r="A5880" s="282">
        <v>288</v>
      </c>
      <c r="B5880" s="534"/>
      <c r="C5880" s="307" t="s">
        <v>16</v>
      </c>
      <c r="D5880" s="453" t="s">
        <v>13335</v>
      </c>
      <c r="E5880" s="444" t="s">
        <v>7825</v>
      </c>
      <c r="F5880" s="310">
        <v>630334</v>
      </c>
      <c r="G5880" s="311">
        <v>1998</v>
      </c>
      <c r="H5880" s="329" t="s">
        <v>3</v>
      </c>
      <c r="I5880" s="313" t="s">
        <v>3</v>
      </c>
      <c r="J5880" s="314">
        <v>4.9000000000000004</v>
      </c>
      <c r="K5880" s="314">
        <v>4.5999999999999996</v>
      </c>
      <c r="L5880" s="314">
        <f t="shared" si="71"/>
        <v>0.30000000000000071</v>
      </c>
      <c r="M5880" s="337"/>
    </row>
    <row r="5881" spans="1:13" s="71" customFormat="1" ht="26.4" customHeight="1">
      <c r="A5881" s="282">
        <v>289</v>
      </c>
      <c r="B5881" s="534"/>
      <c r="C5881" s="307" t="s">
        <v>16</v>
      </c>
      <c r="D5881" s="453" t="s">
        <v>13335</v>
      </c>
      <c r="E5881" s="444" t="s">
        <v>7826</v>
      </c>
      <c r="F5881" s="310">
        <v>630337</v>
      </c>
      <c r="G5881" s="311">
        <v>1969</v>
      </c>
      <c r="H5881" s="329" t="s">
        <v>3</v>
      </c>
      <c r="I5881" s="313" t="s">
        <v>3</v>
      </c>
      <c r="J5881" s="314">
        <v>2.6</v>
      </c>
      <c r="K5881" s="314">
        <v>2.5</v>
      </c>
      <c r="L5881" s="314">
        <f t="shared" si="71"/>
        <v>0.10000000000000009</v>
      </c>
      <c r="M5881" s="337"/>
    </row>
    <row r="5882" spans="1:13" s="71" customFormat="1" ht="26.4" customHeight="1">
      <c r="A5882" s="282">
        <v>290</v>
      </c>
      <c r="B5882" s="534"/>
      <c r="C5882" s="307" t="s">
        <v>16</v>
      </c>
      <c r="D5882" s="453" t="s">
        <v>13335</v>
      </c>
      <c r="E5882" s="444" t="s">
        <v>7827</v>
      </c>
      <c r="F5882" s="310">
        <v>630342</v>
      </c>
      <c r="G5882" s="311">
        <v>1991</v>
      </c>
      <c r="H5882" s="329" t="s">
        <v>3</v>
      </c>
      <c r="I5882" s="313" t="s">
        <v>3</v>
      </c>
      <c r="J5882" s="314">
        <v>9.9</v>
      </c>
      <c r="K5882" s="314">
        <v>9.5</v>
      </c>
      <c r="L5882" s="314">
        <f t="shared" si="71"/>
        <v>0.40000000000000036</v>
      </c>
      <c r="M5882" s="337"/>
    </row>
    <row r="5883" spans="1:13" s="71" customFormat="1" ht="26.4" customHeight="1">
      <c r="A5883" s="282">
        <v>291</v>
      </c>
      <c r="B5883" s="534"/>
      <c r="C5883" s="307" t="s">
        <v>16</v>
      </c>
      <c r="D5883" s="307" t="s">
        <v>7576</v>
      </c>
      <c r="E5883" s="444" t="s">
        <v>13343</v>
      </c>
      <c r="F5883" s="310">
        <v>630343</v>
      </c>
      <c r="G5883" s="311">
        <v>1991</v>
      </c>
      <c r="H5883" s="329" t="s">
        <v>3</v>
      </c>
      <c r="I5883" s="313" t="s">
        <v>3</v>
      </c>
      <c r="J5883" s="314">
        <v>5.5</v>
      </c>
      <c r="K5883" s="314">
        <v>5.2</v>
      </c>
      <c r="L5883" s="314">
        <f t="shared" si="71"/>
        <v>0.29999999999999982</v>
      </c>
      <c r="M5883" s="337"/>
    </row>
    <row r="5884" spans="1:13" s="71" customFormat="1" ht="26.4" customHeight="1">
      <c r="A5884" s="282">
        <v>292</v>
      </c>
      <c r="B5884" s="534"/>
      <c r="C5884" s="307" t="s">
        <v>16</v>
      </c>
      <c r="D5884" s="307" t="s">
        <v>3</v>
      </c>
      <c r="E5884" s="444" t="s">
        <v>7828</v>
      </c>
      <c r="F5884" s="310">
        <v>630345</v>
      </c>
      <c r="G5884" s="311">
        <v>1991</v>
      </c>
      <c r="H5884" s="329" t="s">
        <v>3</v>
      </c>
      <c r="I5884" s="313" t="s">
        <v>3</v>
      </c>
      <c r="J5884" s="314">
        <v>3.7</v>
      </c>
      <c r="K5884" s="314">
        <v>3.5</v>
      </c>
      <c r="L5884" s="314">
        <f t="shared" si="71"/>
        <v>0.20000000000000018</v>
      </c>
      <c r="M5884" s="337"/>
    </row>
    <row r="5885" spans="1:13" s="71" customFormat="1" ht="26.4" customHeight="1">
      <c r="A5885" s="282">
        <v>293</v>
      </c>
      <c r="B5885" s="534"/>
      <c r="C5885" s="307" t="s">
        <v>16</v>
      </c>
      <c r="D5885" s="307" t="s">
        <v>7643</v>
      </c>
      <c r="E5885" s="444" t="s">
        <v>7829</v>
      </c>
      <c r="F5885" s="310">
        <v>630346</v>
      </c>
      <c r="G5885" s="311">
        <v>1991</v>
      </c>
      <c r="H5885" s="329" t="s">
        <v>3</v>
      </c>
      <c r="I5885" s="313" t="s">
        <v>3</v>
      </c>
      <c r="J5885" s="314">
        <v>50.7</v>
      </c>
      <c r="K5885" s="314">
        <v>38.299999999999997</v>
      </c>
      <c r="L5885" s="314">
        <f t="shared" si="71"/>
        <v>12.400000000000006</v>
      </c>
      <c r="M5885" s="337"/>
    </row>
    <row r="5886" spans="1:13" s="113" customFormat="1" ht="26.4" customHeight="1">
      <c r="A5886" s="297">
        <v>294</v>
      </c>
      <c r="B5886" s="534"/>
      <c r="C5886" s="446" t="s">
        <v>16</v>
      </c>
      <c r="D5886" s="446" t="s">
        <v>13344</v>
      </c>
      <c r="E5886" s="456" t="s">
        <v>13345</v>
      </c>
      <c r="F5886" s="457">
        <v>630348</v>
      </c>
      <c r="G5886" s="458">
        <v>1991</v>
      </c>
      <c r="H5886" s="488" t="s">
        <v>3</v>
      </c>
      <c r="I5886" s="455" t="s">
        <v>3</v>
      </c>
      <c r="J5886" s="459">
        <v>10.7</v>
      </c>
      <c r="K5886" s="459">
        <v>10</v>
      </c>
      <c r="L5886" s="459">
        <f t="shared" si="71"/>
        <v>0.69999999999999929</v>
      </c>
      <c r="M5886" s="460"/>
    </row>
    <row r="5887" spans="1:13" s="71" customFormat="1" ht="26.4" customHeight="1">
      <c r="A5887" s="282">
        <v>295</v>
      </c>
      <c r="B5887" s="534"/>
      <c r="C5887" s="307" t="s">
        <v>16</v>
      </c>
      <c r="D5887" s="307" t="s">
        <v>3</v>
      </c>
      <c r="E5887" s="444" t="s">
        <v>7830</v>
      </c>
      <c r="F5887" s="310">
        <v>630350</v>
      </c>
      <c r="G5887" s="311">
        <v>1991</v>
      </c>
      <c r="H5887" s="329" t="s">
        <v>3</v>
      </c>
      <c r="I5887" s="313" t="s">
        <v>3</v>
      </c>
      <c r="J5887" s="314">
        <v>3.7</v>
      </c>
      <c r="K5887" s="314">
        <v>3.6</v>
      </c>
      <c r="L5887" s="314">
        <f t="shared" si="71"/>
        <v>0.10000000000000009</v>
      </c>
      <c r="M5887" s="337"/>
    </row>
    <row r="5888" spans="1:13" s="71" customFormat="1" ht="26.4" customHeight="1">
      <c r="A5888" s="282">
        <v>296</v>
      </c>
      <c r="B5888" s="534"/>
      <c r="C5888" s="307" t="s">
        <v>16</v>
      </c>
      <c r="D5888" s="307" t="s">
        <v>13335</v>
      </c>
      <c r="E5888" s="444" t="s">
        <v>7831</v>
      </c>
      <c r="F5888" s="310">
        <v>630351</v>
      </c>
      <c r="G5888" s="311">
        <v>1998</v>
      </c>
      <c r="H5888" s="329" t="s">
        <v>3</v>
      </c>
      <c r="I5888" s="313" t="s">
        <v>3</v>
      </c>
      <c r="J5888" s="314">
        <v>3.8</v>
      </c>
      <c r="K5888" s="314">
        <v>3.7</v>
      </c>
      <c r="L5888" s="314">
        <f t="shared" si="71"/>
        <v>9.9999999999999645E-2</v>
      </c>
      <c r="M5888" s="337"/>
    </row>
    <row r="5889" spans="1:13" s="71" customFormat="1" ht="26.4" customHeight="1">
      <c r="A5889" s="282">
        <v>297</v>
      </c>
      <c r="B5889" s="534"/>
      <c r="C5889" s="307" t="s">
        <v>16</v>
      </c>
      <c r="D5889" s="453" t="s">
        <v>7832</v>
      </c>
      <c r="E5889" s="444" t="s">
        <v>7833</v>
      </c>
      <c r="F5889" s="310">
        <v>630353</v>
      </c>
      <c r="G5889" s="311">
        <v>1998</v>
      </c>
      <c r="H5889" s="329" t="s">
        <v>3</v>
      </c>
      <c r="I5889" s="313" t="s">
        <v>3</v>
      </c>
      <c r="J5889" s="314">
        <v>183.3</v>
      </c>
      <c r="K5889" s="314">
        <v>136</v>
      </c>
      <c r="L5889" s="314">
        <f t="shared" si="71"/>
        <v>47.300000000000011</v>
      </c>
      <c r="M5889" s="337"/>
    </row>
    <row r="5890" spans="1:13" s="71" customFormat="1" ht="26.4" customHeight="1">
      <c r="A5890" s="282">
        <v>298</v>
      </c>
      <c r="B5890" s="534"/>
      <c r="C5890" s="307" t="s">
        <v>16</v>
      </c>
      <c r="D5890" s="453" t="s">
        <v>7832</v>
      </c>
      <c r="E5890" s="444" t="s">
        <v>12762</v>
      </c>
      <c r="F5890" s="310">
        <v>644103</v>
      </c>
      <c r="G5890" s="311">
        <v>1998</v>
      </c>
      <c r="H5890" s="329" t="s">
        <v>3</v>
      </c>
      <c r="I5890" s="313" t="s">
        <v>3</v>
      </c>
      <c r="J5890" s="314">
        <v>0.2</v>
      </c>
      <c r="K5890" s="314">
        <v>0.2</v>
      </c>
      <c r="L5890" s="314">
        <f t="shared" si="71"/>
        <v>0</v>
      </c>
      <c r="M5890" s="337"/>
    </row>
    <row r="5891" spans="1:13" s="71" customFormat="1" ht="26.4" customHeight="1">
      <c r="A5891" s="282">
        <v>299</v>
      </c>
      <c r="B5891" s="534"/>
      <c r="C5891" s="307" t="s">
        <v>16</v>
      </c>
      <c r="D5891" s="453" t="s">
        <v>13346</v>
      </c>
      <c r="E5891" s="444" t="s">
        <v>7834</v>
      </c>
      <c r="F5891" s="310">
        <v>70426</v>
      </c>
      <c r="G5891" s="311">
        <v>2003</v>
      </c>
      <c r="H5891" s="329" t="s">
        <v>3</v>
      </c>
      <c r="I5891" s="313" t="s">
        <v>3</v>
      </c>
      <c r="J5891" s="314">
        <v>0.1</v>
      </c>
      <c r="K5891" s="314">
        <v>0.1</v>
      </c>
      <c r="L5891" s="314">
        <f t="shared" si="71"/>
        <v>0</v>
      </c>
      <c r="M5891" s="337"/>
    </row>
    <row r="5892" spans="1:13" s="71" customFormat="1" ht="26.4" customHeight="1">
      <c r="A5892" s="282">
        <v>300</v>
      </c>
      <c r="B5892" s="534"/>
      <c r="C5892" s="307" t="s">
        <v>16</v>
      </c>
      <c r="D5892" s="453" t="s">
        <v>12798</v>
      </c>
      <c r="E5892" s="444" t="s">
        <v>7835</v>
      </c>
      <c r="F5892" s="310">
        <v>70697</v>
      </c>
      <c r="G5892" s="311">
        <v>1995</v>
      </c>
      <c r="H5892" s="329" t="s">
        <v>3</v>
      </c>
      <c r="I5892" s="313" t="s">
        <v>3</v>
      </c>
      <c r="J5892" s="314">
        <v>128.69999999999999</v>
      </c>
      <c r="K5892" s="314">
        <v>94.7</v>
      </c>
      <c r="L5892" s="314">
        <f t="shared" si="71"/>
        <v>33.999999999999986</v>
      </c>
      <c r="M5892" s="337"/>
    </row>
    <row r="5893" spans="1:13" s="71" customFormat="1" ht="26.4" customHeight="1">
      <c r="A5893" s="282">
        <v>301</v>
      </c>
      <c r="B5893" s="534"/>
      <c r="C5893" s="307" t="s">
        <v>16</v>
      </c>
      <c r="D5893" s="455" t="s">
        <v>3</v>
      </c>
      <c r="E5893" s="444" t="s">
        <v>7836</v>
      </c>
      <c r="F5893" s="310">
        <v>70850</v>
      </c>
      <c r="G5893" s="311">
        <v>1977</v>
      </c>
      <c r="H5893" s="329" t="s">
        <v>3</v>
      </c>
      <c r="I5893" s="313" t="s">
        <v>3</v>
      </c>
      <c r="J5893" s="314">
        <v>113</v>
      </c>
      <c r="K5893" s="314">
        <v>64.099999999999994</v>
      </c>
      <c r="L5893" s="314">
        <f t="shared" si="71"/>
        <v>48.900000000000006</v>
      </c>
      <c r="M5893" s="337"/>
    </row>
    <row r="5894" spans="1:13" s="71" customFormat="1" ht="26.4" customHeight="1">
      <c r="A5894" s="282">
        <v>302</v>
      </c>
      <c r="B5894" s="534"/>
      <c r="C5894" s="307" t="s">
        <v>13395</v>
      </c>
      <c r="D5894" s="455" t="s">
        <v>3</v>
      </c>
      <c r="E5894" s="444" t="s">
        <v>13347</v>
      </c>
      <c r="F5894" s="310">
        <v>70984</v>
      </c>
      <c r="G5894" s="311">
        <v>1999</v>
      </c>
      <c r="H5894" s="329" t="s">
        <v>3</v>
      </c>
      <c r="I5894" s="313" t="s">
        <v>3</v>
      </c>
      <c r="J5894" s="314">
        <v>67.400000000000006</v>
      </c>
      <c r="K5894" s="314">
        <v>41.2</v>
      </c>
      <c r="L5894" s="314">
        <f t="shared" si="71"/>
        <v>26.200000000000003</v>
      </c>
      <c r="M5894" s="337"/>
    </row>
    <row r="5895" spans="1:13" s="71" customFormat="1" ht="26.4" customHeight="1">
      <c r="A5895" s="282">
        <v>303</v>
      </c>
      <c r="B5895" s="534"/>
      <c r="C5895" s="307" t="s">
        <v>16</v>
      </c>
      <c r="D5895" s="453" t="s">
        <v>7837</v>
      </c>
      <c r="E5895" s="444" t="s">
        <v>7838</v>
      </c>
      <c r="F5895" s="310">
        <v>70391</v>
      </c>
      <c r="G5895" s="311">
        <v>1996</v>
      </c>
      <c r="H5895" s="329" t="s">
        <v>722</v>
      </c>
      <c r="I5895" s="313">
        <v>13.1</v>
      </c>
      <c r="J5895" s="314">
        <v>204.3</v>
      </c>
      <c r="K5895" s="314">
        <v>65.900000000000006</v>
      </c>
      <c r="L5895" s="314">
        <f t="shared" si="71"/>
        <v>138.4</v>
      </c>
      <c r="M5895" s="337"/>
    </row>
    <row r="5896" spans="1:13" s="71" customFormat="1" ht="26.4" customHeight="1">
      <c r="A5896" s="282">
        <v>304</v>
      </c>
      <c r="B5896" s="534"/>
      <c r="C5896" s="307" t="s">
        <v>16</v>
      </c>
      <c r="D5896" s="453" t="s">
        <v>7839</v>
      </c>
      <c r="E5896" s="444" t="s">
        <v>12764</v>
      </c>
      <c r="F5896" s="310">
        <v>70394</v>
      </c>
      <c r="G5896" s="311">
        <v>1977</v>
      </c>
      <c r="H5896" s="329" t="s">
        <v>722</v>
      </c>
      <c r="I5896" s="313">
        <v>0.8</v>
      </c>
      <c r="J5896" s="314">
        <v>31.1</v>
      </c>
      <c r="K5896" s="314">
        <v>27.4</v>
      </c>
      <c r="L5896" s="314">
        <f t="shared" si="71"/>
        <v>3.7000000000000028</v>
      </c>
      <c r="M5896" s="337"/>
    </row>
    <row r="5897" spans="1:13" s="71" customFormat="1" ht="26.4" customHeight="1">
      <c r="A5897" s="282">
        <v>305</v>
      </c>
      <c r="B5897" s="534"/>
      <c r="C5897" s="307" t="s">
        <v>16</v>
      </c>
      <c r="D5897" s="453" t="s">
        <v>7840</v>
      </c>
      <c r="E5897" s="444" t="s">
        <v>7841</v>
      </c>
      <c r="F5897" s="310">
        <v>70393</v>
      </c>
      <c r="G5897" s="311">
        <v>1995</v>
      </c>
      <c r="H5897" s="329" t="s">
        <v>3</v>
      </c>
      <c r="I5897" s="313" t="s">
        <v>3</v>
      </c>
      <c r="J5897" s="314">
        <v>15.9</v>
      </c>
      <c r="K5897" s="314">
        <v>6.6</v>
      </c>
      <c r="L5897" s="314">
        <f t="shared" si="71"/>
        <v>9.3000000000000007</v>
      </c>
      <c r="M5897" s="337"/>
    </row>
    <row r="5898" spans="1:13" s="71" customFormat="1" ht="26.4" customHeight="1">
      <c r="A5898" s="282">
        <v>306</v>
      </c>
      <c r="B5898" s="534"/>
      <c r="C5898" s="307" t="s">
        <v>16</v>
      </c>
      <c r="D5898" s="453" t="s">
        <v>7567</v>
      </c>
      <c r="E5898" s="444" t="s">
        <v>7842</v>
      </c>
      <c r="F5898" s="310">
        <v>70630</v>
      </c>
      <c r="G5898" s="311">
        <v>1996</v>
      </c>
      <c r="H5898" s="329" t="s">
        <v>722</v>
      </c>
      <c r="I5898" s="313">
        <v>3.2</v>
      </c>
      <c r="J5898" s="314">
        <v>68.099999999999994</v>
      </c>
      <c r="K5898" s="314">
        <v>39</v>
      </c>
      <c r="L5898" s="314">
        <f t="shared" si="71"/>
        <v>29.099999999999994</v>
      </c>
      <c r="M5898" s="337"/>
    </row>
    <row r="5899" spans="1:13" s="71" customFormat="1" ht="26.4" customHeight="1">
      <c r="A5899" s="282">
        <v>307</v>
      </c>
      <c r="B5899" s="534"/>
      <c r="C5899" s="307" t="s">
        <v>16</v>
      </c>
      <c r="D5899" s="453" t="s">
        <v>7843</v>
      </c>
      <c r="E5899" s="444" t="s">
        <v>766</v>
      </c>
      <c r="F5899" s="310">
        <v>70618</v>
      </c>
      <c r="G5899" s="311">
        <v>1977</v>
      </c>
      <c r="H5899" s="329" t="s">
        <v>3</v>
      </c>
      <c r="I5899" s="313" t="s">
        <v>3</v>
      </c>
      <c r="J5899" s="314">
        <v>12.3</v>
      </c>
      <c r="K5899" s="314">
        <v>7.5</v>
      </c>
      <c r="L5899" s="314">
        <f t="shared" si="71"/>
        <v>4.8000000000000007</v>
      </c>
      <c r="M5899" s="337"/>
    </row>
    <row r="5900" spans="1:13" s="71" customFormat="1" ht="26.4" customHeight="1">
      <c r="A5900" s="282">
        <v>308</v>
      </c>
      <c r="B5900" s="534"/>
      <c r="C5900" s="307" t="s">
        <v>16</v>
      </c>
      <c r="D5900" s="307" t="s">
        <v>7487</v>
      </c>
      <c r="E5900" s="444" t="s">
        <v>12763</v>
      </c>
      <c r="F5900" s="310">
        <v>70645</v>
      </c>
      <c r="G5900" s="311">
        <v>1977</v>
      </c>
      <c r="H5900" s="329" t="s">
        <v>3</v>
      </c>
      <c r="I5900" s="313" t="s">
        <v>3</v>
      </c>
      <c r="J5900" s="314">
        <v>8.5</v>
      </c>
      <c r="K5900" s="314">
        <v>5.2</v>
      </c>
      <c r="L5900" s="314">
        <f t="shared" si="71"/>
        <v>3.3</v>
      </c>
      <c r="M5900" s="337"/>
    </row>
    <row r="5901" spans="1:13" s="71" customFormat="1" ht="26.4" customHeight="1">
      <c r="A5901" s="282">
        <v>309</v>
      </c>
      <c r="B5901" s="534"/>
      <c r="C5901" s="307" t="s">
        <v>16</v>
      </c>
      <c r="D5901" s="307" t="s">
        <v>7487</v>
      </c>
      <c r="E5901" s="444" t="s">
        <v>7844</v>
      </c>
      <c r="F5901" s="310">
        <v>70449</v>
      </c>
      <c r="G5901" s="311">
        <v>1997</v>
      </c>
      <c r="H5901" s="329" t="s">
        <v>3</v>
      </c>
      <c r="I5901" s="313" t="s">
        <v>3</v>
      </c>
      <c r="J5901" s="314">
        <v>0.6</v>
      </c>
      <c r="K5901" s="314">
        <v>0.3</v>
      </c>
      <c r="L5901" s="314">
        <f t="shared" si="71"/>
        <v>0.3</v>
      </c>
      <c r="M5901" s="337"/>
    </row>
    <row r="5902" spans="1:13" s="71" customFormat="1" ht="26.4" customHeight="1">
      <c r="A5902" s="282">
        <v>310</v>
      </c>
      <c r="B5902" s="534"/>
      <c r="C5902" s="307" t="s">
        <v>16</v>
      </c>
      <c r="D5902" s="307" t="s">
        <v>7487</v>
      </c>
      <c r="E5902" s="444" t="s">
        <v>7844</v>
      </c>
      <c r="F5902" s="310">
        <v>70450</v>
      </c>
      <c r="G5902" s="311">
        <v>1997</v>
      </c>
      <c r="H5902" s="329" t="s">
        <v>3</v>
      </c>
      <c r="I5902" s="313" t="s">
        <v>3</v>
      </c>
      <c r="J5902" s="314">
        <v>0.6</v>
      </c>
      <c r="K5902" s="314">
        <v>0.3</v>
      </c>
      <c r="L5902" s="314">
        <f t="shared" si="71"/>
        <v>0.3</v>
      </c>
      <c r="M5902" s="337"/>
    </row>
    <row r="5903" spans="1:13" s="71" customFormat="1" ht="26.4" customHeight="1">
      <c r="A5903" s="282">
        <v>311</v>
      </c>
      <c r="B5903" s="534"/>
      <c r="C5903" s="307" t="s">
        <v>16</v>
      </c>
      <c r="D5903" s="307" t="s">
        <v>7487</v>
      </c>
      <c r="E5903" s="444" t="s">
        <v>7844</v>
      </c>
      <c r="F5903" s="310">
        <v>70451</v>
      </c>
      <c r="G5903" s="311">
        <v>1997</v>
      </c>
      <c r="H5903" s="329" t="s">
        <v>3</v>
      </c>
      <c r="I5903" s="313" t="s">
        <v>3</v>
      </c>
      <c r="J5903" s="314">
        <v>0.6</v>
      </c>
      <c r="K5903" s="314">
        <v>0.3</v>
      </c>
      <c r="L5903" s="314">
        <f t="shared" si="71"/>
        <v>0.3</v>
      </c>
      <c r="M5903" s="337"/>
    </row>
    <row r="5904" spans="1:13" s="71" customFormat="1" ht="26.4" customHeight="1">
      <c r="A5904" s="282">
        <v>312</v>
      </c>
      <c r="B5904" s="534"/>
      <c r="C5904" s="307" t="s">
        <v>16</v>
      </c>
      <c r="D5904" s="307" t="s">
        <v>7487</v>
      </c>
      <c r="E5904" s="444" t="s">
        <v>7844</v>
      </c>
      <c r="F5904" s="310">
        <v>70452</v>
      </c>
      <c r="G5904" s="311">
        <v>1997</v>
      </c>
      <c r="H5904" s="329" t="s">
        <v>3</v>
      </c>
      <c r="I5904" s="313" t="s">
        <v>3</v>
      </c>
      <c r="J5904" s="314">
        <v>0.6</v>
      </c>
      <c r="K5904" s="314">
        <v>0.3</v>
      </c>
      <c r="L5904" s="314">
        <f t="shared" si="71"/>
        <v>0.3</v>
      </c>
      <c r="M5904" s="337"/>
    </row>
    <row r="5905" spans="1:13" s="71" customFormat="1" ht="26.4" customHeight="1">
      <c r="A5905" s="282">
        <v>313</v>
      </c>
      <c r="B5905" s="534"/>
      <c r="C5905" s="307" t="s">
        <v>16</v>
      </c>
      <c r="D5905" s="307" t="s">
        <v>7487</v>
      </c>
      <c r="E5905" s="444" t="s">
        <v>7844</v>
      </c>
      <c r="F5905" s="310">
        <v>70453</v>
      </c>
      <c r="G5905" s="311">
        <v>1997</v>
      </c>
      <c r="H5905" s="329" t="s">
        <v>3</v>
      </c>
      <c r="I5905" s="313" t="s">
        <v>3</v>
      </c>
      <c r="J5905" s="314">
        <v>0.6</v>
      </c>
      <c r="K5905" s="314">
        <v>0.3</v>
      </c>
      <c r="L5905" s="314">
        <f t="shared" si="71"/>
        <v>0.3</v>
      </c>
      <c r="M5905" s="337"/>
    </row>
    <row r="5906" spans="1:13" s="71" customFormat="1" ht="26.4" customHeight="1">
      <c r="A5906" s="282">
        <v>314</v>
      </c>
      <c r="B5906" s="534"/>
      <c r="C5906" s="307" t="s">
        <v>16</v>
      </c>
      <c r="D5906" s="307" t="s">
        <v>7487</v>
      </c>
      <c r="E5906" s="444" t="s">
        <v>7844</v>
      </c>
      <c r="F5906" s="310">
        <v>70454</v>
      </c>
      <c r="G5906" s="311">
        <v>1997</v>
      </c>
      <c r="H5906" s="329" t="s">
        <v>3</v>
      </c>
      <c r="I5906" s="313" t="s">
        <v>3</v>
      </c>
      <c r="J5906" s="314">
        <v>0.6</v>
      </c>
      <c r="K5906" s="314">
        <v>0.3</v>
      </c>
      <c r="L5906" s="314">
        <f t="shared" si="71"/>
        <v>0.3</v>
      </c>
      <c r="M5906" s="337"/>
    </row>
    <row r="5907" spans="1:13" s="71" customFormat="1" ht="26.4" customHeight="1">
      <c r="A5907" s="282">
        <v>315</v>
      </c>
      <c r="B5907" s="534"/>
      <c r="C5907" s="307" t="s">
        <v>16</v>
      </c>
      <c r="D5907" s="307" t="s">
        <v>7487</v>
      </c>
      <c r="E5907" s="444" t="s">
        <v>7844</v>
      </c>
      <c r="F5907" s="310">
        <v>70455</v>
      </c>
      <c r="G5907" s="311">
        <v>1997</v>
      </c>
      <c r="H5907" s="329" t="s">
        <v>3</v>
      </c>
      <c r="I5907" s="313" t="s">
        <v>3</v>
      </c>
      <c r="J5907" s="314">
        <v>0.6</v>
      </c>
      <c r="K5907" s="314">
        <v>0.3</v>
      </c>
      <c r="L5907" s="314">
        <f t="shared" si="71"/>
        <v>0.3</v>
      </c>
      <c r="M5907" s="337"/>
    </row>
    <row r="5908" spans="1:13" s="71" customFormat="1" ht="26.4" customHeight="1">
      <c r="A5908" s="282">
        <v>316</v>
      </c>
      <c r="B5908" s="534"/>
      <c r="C5908" s="307" t="s">
        <v>16</v>
      </c>
      <c r="D5908" s="307" t="s">
        <v>7487</v>
      </c>
      <c r="E5908" s="444" t="s">
        <v>7844</v>
      </c>
      <c r="F5908" s="310">
        <v>70456</v>
      </c>
      <c r="G5908" s="311">
        <v>1997</v>
      </c>
      <c r="H5908" s="329" t="s">
        <v>3</v>
      </c>
      <c r="I5908" s="313" t="s">
        <v>3</v>
      </c>
      <c r="J5908" s="314">
        <v>0.6</v>
      </c>
      <c r="K5908" s="314">
        <v>0.3</v>
      </c>
      <c r="L5908" s="314">
        <f t="shared" si="71"/>
        <v>0.3</v>
      </c>
      <c r="M5908" s="337"/>
    </row>
    <row r="5909" spans="1:13" s="71" customFormat="1" ht="26.4" customHeight="1">
      <c r="A5909" s="282">
        <v>317</v>
      </c>
      <c r="B5909" s="534"/>
      <c r="C5909" s="307" t="s">
        <v>16</v>
      </c>
      <c r="D5909" s="307" t="s">
        <v>7487</v>
      </c>
      <c r="E5909" s="444" t="s">
        <v>7844</v>
      </c>
      <c r="F5909" s="310">
        <v>70457</v>
      </c>
      <c r="G5909" s="311">
        <v>1997</v>
      </c>
      <c r="H5909" s="329" t="s">
        <v>3</v>
      </c>
      <c r="I5909" s="313" t="s">
        <v>3</v>
      </c>
      <c r="J5909" s="314">
        <v>0.6</v>
      </c>
      <c r="K5909" s="314">
        <v>0.3</v>
      </c>
      <c r="L5909" s="314">
        <f t="shared" si="71"/>
        <v>0.3</v>
      </c>
      <c r="M5909" s="337"/>
    </row>
    <row r="5910" spans="1:13" s="71" customFormat="1" ht="26.4" customHeight="1">
      <c r="A5910" s="282">
        <v>318</v>
      </c>
      <c r="B5910" s="534"/>
      <c r="C5910" s="307" t="s">
        <v>16</v>
      </c>
      <c r="D5910" s="307" t="s">
        <v>7487</v>
      </c>
      <c r="E5910" s="444" t="s">
        <v>7844</v>
      </c>
      <c r="F5910" s="310">
        <v>70458</v>
      </c>
      <c r="G5910" s="311">
        <v>1997</v>
      </c>
      <c r="H5910" s="329" t="s">
        <v>3</v>
      </c>
      <c r="I5910" s="313" t="s">
        <v>3</v>
      </c>
      <c r="J5910" s="314">
        <v>0.6</v>
      </c>
      <c r="K5910" s="314">
        <v>0.3</v>
      </c>
      <c r="L5910" s="314">
        <f t="shared" si="71"/>
        <v>0.3</v>
      </c>
      <c r="M5910" s="337"/>
    </row>
    <row r="5911" spans="1:13" s="71" customFormat="1" ht="26.4" customHeight="1">
      <c r="A5911" s="282">
        <v>319</v>
      </c>
      <c r="B5911" s="534"/>
      <c r="C5911" s="307" t="s">
        <v>16</v>
      </c>
      <c r="D5911" s="307" t="s">
        <v>7487</v>
      </c>
      <c r="E5911" s="444" t="s">
        <v>7844</v>
      </c>
      <c r="F5911" s="310">
        <v>70459</v>
      </c>
      <c r="G5911" s="311">
        <v>1997</v>
      </c>
      <c r="H5911" s="329" t="s">
        <v>3</v>
      </c>
      <c r="I5911" s="313" t="s">
        <v>3</v>
      </c>
      <c r="J5911" s="314">
        <v>0.6</v>
      </c>
      <c r="K5911" s="314">
        <v>0.3</v>
      </c>
      <c r="L5911" s="314">
        <f t="shared" si="71"/>
        <v>0.3</v>
      </c>
      <c r="M5911" s="337"/>
    </row>
    <row r="5912" spans="1:13" s="71" customFormat="1" ht="26.4" customHeight="1">
      <c r="A5912" s="282">
        <v>320</v>
      </c>
      <c r="B5912" s="534"/>
      <c r="C5912" s="307" t="s">
        <v>16</v>
      </c>
      <c r="D5912" s="307" t="s">
        <v>7487</v>
      </c>
      <c r="E5912" s="444" t="s">
        <v>7844</v>
      </c>
      <c r="F5912" s="310">
        <v>70460</v>
      </c>
      <c r="G5912" s="311">
        <v>1997</v>
      </c>
      <c r="H5912" s="329" t="s">
        <v>3</v>
      </c>
      <c r="I5912" s="313" t="s">
        <v>3</v>
      </c>
      <c r="J5912" s="314">
        <v>0.6</v>
      </c>
      <c r="K5912" s="314">
        <v>0.3</v>
      </c>
      <c r="L5912" s="314">
        <f t="shared" si="71"/>
        <v>0.3</v>
      </c>
      <c r="M5912" s="337"/>
    </row>
    <row r="5913" spans="1:13" s="71" customFormat="1" ht="26.4" customHeight="1">
      <c r="A5913" s="282">
        <v>321</v>
      </c>
      <c r="B5913" s="534"/>
      <c r="C5913" s="307" t="s">
        <v>16</v>
      </c>
      <c r="D5913" s="307" t="s">
        <v>7487</v>
      </c>
      <c r="E5913" s="444" t="s">
        <v>7844</v>
      </c>
      <c r="F5913" s="310">
        <v>70461</v>
      </c>
      <c r="G5913" s="311">
        <v>1997</v>
      </c>
      <c r="H5913" s="329" t="s">
        <v>3</v>
      </c>
      <c r="I5913" s="313" t="s">
        <v>3</v>
      </c>
      <c r="J5913" s="314">
        <v>0.6</v>
      </c>
      <c r="K5913" s="314">
        <v>0.3</v>
      </c>
      <c r="L5913" s="314">
        <f t="shared" ref="L5913:L5976" si="72">J5913-K5913</f>
        <v>0.3</v>
      </c>
      <c r="M5913" s="337"/>
    </row>
    <row r="5914" spans="1:13" s="71" customFormat="1" ht="26.4" customHeight="1">
      <c r="A5914" s="282">
        <v>322</v>
      </c>
      <c r="B5914" s="534"/>
      <c r="C5914" s="307" t="s">
        <v>16</v>
      </c>
      <c r="D5914" s="307" t="s">
        <v>7487</v>
      </c>
      <c r="E5914" s="444" t="s">
        <v>7844</v>
      </c>
      <c r="F5914" s="310">
        <v>70462</v>
      </c>
      <c r="G5914" s="311">
        <v>1997</v>
      </c>
      <c r="H5914" s="329" t="s">
        <v>3</v>
      </c>
      <c r="I5914" s="313" t="s">
        <v>3</v>
      </c>
      <c r="J5914" s="314">
        <v>0.6</v>
      </c>
      <c r="K5914" s="314">
        <v>0.3</v>
      </c>
      <c r="L5914" s="314">
        <f t="shared" si="72"/>
        <v>0.3</v>
      </c>
      <c r="M5914" s="337"/>
    </row>
    <row r="5915" spans="1:13" s="71" customFormat="1" ht="26.4" customHeight="1">
      <c r="A5915" s="282">
        <v>323</v>
      </c>
      <c r="B5915" s="534"/>
      <c r="C5915" s="307" t="s">
        <v>16</v>
      </c>
      <c r="D5915" s="307" t="s">
        <v>7487</v>
      </c>
      <c r="E5915" s="444" t="s">
        <v>7844</v>
      </c>
      <c r="F5915" s="310">
        <v>70463</v>
      </c>
      <c r="G5915" s="311">
        <v>1997</v>
      </c>
      <c r="H5915" s="329" t="s">
        <v>3</v>
      </c>
      <c r="I5915" s="313" t="s">
        <v>3</v>
      </c>
      <c r="J5915" s="314">
        <v>0.6</v>
      </c>
      <c r="K5915" s="314">
        <v>0.3</v>
      </c>
      <c r="L5915" s="314">
        <f t="shared" si="72"/>
        <v>0.3</v>
      </c>
      <c r="M5915" s="337"/>
    </row>
    <row r="5916" spans="1:13" s="71" customFormat="1" ht="26.4" customHeight="1">
      <c r="A5916" s="282">
        <v>324</v>
      </c>
      <c r="B5916" s="534"/>
      <c r="C5916" s="307" t="s">
        <v>16</v>
      </c>
      <c r="D5916" s="307" t="s">
        <v>7567</v>
      </c>
      <c r="E5916" s="444" t="s">
        <v>7845</v>
      </c>
      <c r="F5916" s="310">
        <v>71150</v>
      </c>
      <c r="G5916" s="311">
        <v>1996</v>
      </c>
      <c r="H5916" s="329" t="s">
        <v>3</v>
      </c>
      <c r="I5916" s="313" t="s">
        <v>3</v>
      </c>
      <c r="J5916" s="314">
        <v>3.2</v>
      </c>
      <c r="K5916" s="314">
        <v>1.4</v>
      </c>
      <c r="L5916" s="314">
        <f t="shared" si="72"/>
        <v>1.8000000000000003</v>
      </c>
      <c r="M5916" s="337"/>
    </row>
    <row r="5917" spans="1:13" s="71" customFormat="1" ht="26.4" customHeight="1">
      <c r="A5917" s="282">
        <v>325</v>
      </c>
      <c r="B5917" s="534"/>
      <c r="C5917" s="307" t="s">
        <v>16</v>
      </c>
      <c r="D5917" s="453" t="s">
        <v>7846</v>
      </c>
      <c r="E5917" s="444" t="s">
        <v>7847</v>
      </c>
      <c r="F5917" s="310">
        <v>70398</v>
      </c>
      <c r="G5917" s="311">
        <v>1996</v>
      </c>
      <c r="H5917" s="329" t="s">
        <v>722</v>
      </c>
      <c r="I5917" s="313">
        <v>12.2</v>
      </c>
      <c r="J5917" s="314">
        <v>57</v>
      </c>
      <c r="K5917" s="314">
        <v>20.5</v>
      </c>
      <c r="L5917" s="314">
        <f t="shared" si="72"/>
        <v>36.5</v>
      </c>
      <c r="M5917" s="337"/>
    </row>
    <row r="5918" spans="1:13" s="71" customFormat="1" ht="26.4" customHeight="1">
      <c r="A5918" s="282">
        <v>326</v>
      </c>
      <c r="B5918" s="534"/>
      <c r="C5918" s="307" t="s">
        <v>16</v>
      </c>
      <c r="D5918" s="453" t="s">
        <v>5808</v>
      </c>
      <c r="E5918" s="444" t="s">
        <v>7848</v>
      </c>
      <c r="F5918" s="310">
        <v>70483</v>
      </c>
      <c r="G5918" s="311">
        <v>1991</v>
      </c>
      <c r="H5918" s="329" t="s">
        <v>3</v>
      </c>
      <c r="I5918" s="313" t="s">
        <v>3</v>
      </c>
      <c r="J5918" s="314">
        <v>17.8</v>
      </c>
      <c r="K5918" s="314">
        <v>8.3000000000000007</v>
      </c>
      <c r="L5918" s="314">
        <f t="shared" si="72"/>
        <v>9.5</v>
      </c>
      <c r="M5918" s="337"/>
    </row>
    <row r="5919" spans="1:13" s="71" customFormat="1" ht="26.4" customHeight="1">
      <c r="A5919" s="282">
        <v>327</v>
      </c>
      <c r="B5919" s="534"/>
      <c r="C5919" s="307" t="s">
        <v>16</v>
      </c>
      <c r="D5919" s="453" t="s">
        <v>7849</v>
      </c>
      <c r="E5919" s="444" t="s">
        <v>13431</v>
      </c>
      <c r="F5919" s="310">
        <v>70891</v>
      </c>
      <c r="G5919" s="311">
        <v>1991</v>
      </c>
      <c r="H5919" s="329" t="s">
        <v>2658</v>
      </c>
      <c r="I5919" s="313">
        <v>157</v>
      </c>
      <c r="J5919" s="314">
        <v>11</v>
      </c>
      <c r="K5919" s="314">
        <v>4.9000000000000004</v>
      </c>
      <c r="L5919" s="314">
        <f t="shared" si="72"/>
        <v>6.1</v>
      </c>
      <c r="M5919" s="337"/>
    </row>
    <row r="5920" spans="1:13" s="71" customFormat="1" ht="26.4" customHeight="1">
      <c r="A5920" s="282">
        <v>328</v>
      </c>
      <c r="B5920" s="534"/>
      <c r="C5920" s="307" t="s">
        <v>16</v>
      </c>
      <c r="D5920" s="453" t="s">
        <v>7850</v>
      </c>
      <c r="E5920" s="444" t="s">
        <v>7851</v>
      </c>
      <c r="F5920" s="310">
        <v>30303</v>
      </c>
      <c r="G5920" s="311">
        <v>2001</v>
      </c>
      <c r="H5920" s="329" t="s">
        <v>3</v>
      </c>
      <c r="I5920" s="313" t="s">
        <v>3</v>
      </c>
      <c r="J5920" s="314">
        <v>1</v>
      </c>
      <c r="K5920" s="314">
        <v>0.7</v>
      </c>
      <c r="L5920" s="314">
        <f t="shared" si="72"/>
        <v>0.30000000000000004</v>
      </c>
      <c r="M5920" s="337"/>
    </row>
    <row r="5921" spans="1:13" s="71" customFormat="1" ht="26.4" customHeight="1">
      <c r="A5921" s="282">
        <v>329</v>
      </c>
      <c r="B5921" s="534"/>
      <c r="C5921" s="307" t="s">
        <v>16</v>
      </c>
      <c r="D5921" s="453" t="s">
        <v>7852</v>
      </c>
      <c r="E5921" s="444" t="s">
        <v>13348</v>
      </c>
      <c r="F5921" s="310">
        <v>30306</v>
      </c>
      <c r="G5921" s="311">
        <v>2001</v>
      </c>
      <c r="H5921" s="329" t="s">
        <v>3</v>
      </c>
      <c r="I5921" s="313" t="s">
        <v>3</v>
      </c>
      <c r="J5921" s="314">
        <v>1.1000000000000001</v>
      </c>
      <c r="K5921" s="314">
        <v>1.1000000000000001</v>
      </c>
      <c r="L5921" s="314">
        <f t="shared" si="72"/>
        <v>0</v>
      </c>
      <c r="M5921" s="337"/>
    </row>
    <row r="5922" spans="1:13" s="71" customFormat="1" ht="26.4" customHeight="1">
      <c r="A5922" s="282">
        <v>330</v>
      </c>
      <c r="B5922" s="534"/>
      <c r="C5922" s="307" t="s">
        <v>16</v>
      </c>
      <c r="D5922" s="453" t="s">
        <v>7601</v>
      </c>
      <c r="E5922" s="444" t="s">
        <v>7853</v>
      </c>
      <c r="F5922" s="310">
        <v>30349</v>
      </c>
      <c r="G5922" s="311">
        <v>2001</v>
      </c>
      <c r="H5922" s="329" t="s">
        <v>3</v>
      </c>
      <c r="I5922" s="313" t="s">
        <v>3</v>
      </c>
      <c r="J5922" s="314">
        <v>3.7</v>
      </c>
      <c r="K5922" s="314">
        <v>3.3</v>
      </c>
      <c r="L5922" s="314">
        <f t="shared" si="72"/>
        <v>0.40000000000000036</v>
      </c>
      <c r="M5922" s="337"/>
    </row>
    <row r="5923" spans="1:13" s="71" customFormat="1" ht="26.4" customHeight="1">
      <c r="A5923" s="282">
        <v>331</v>
      </c>
      <c r="B5923" s="534"/>
      <c r="C5923" s="307" t="s">
        <v>16</v>
      </c>
      <c r="D5923" s="453" t="s">
        <v>7658</v>
      </c>
      <c r="E5923" s="444" t="s">
        <v>7854</v>
      </c>
      <c r="F5923" s="310">
        <v>610005</v>
      </c>
      <c r="G5923" s="311">
        <v>2001</v>
      </c>
      <c r="H5923" s="329" t="s">
        <v>3</v>
      </c>
      <c r="I5923" s="313" t="s">
        <v>3</v>
      </c>
      <c r="J5923" s="314">
        <v>7.2</v>
      </c>
      <c r="K5923" s="314">
        <v>5.9</v>
      </c>
      <c r="L5923" s="314">
        <f t="shared" si="72"/>
        <v>1.2999999999999998</v>
      </c>
      <c r="M5923" s="337"/>
    </row>
    <row r="5924" spans="1:13" s="71" customFormat="1" ht="39.6">
      <c r="A5924" s="282">
        <v>332</v>
      </c>
      <c r="B5924" s="534"/>
      <c r="C5924" s="307" t="s">
        <v>16</v>
      </c>
      <c r="D5924" s="453" t="s">
        <v>7637</v>
      </c>
      <c r="E5924" s="444" t="s">
        <v>13349</v>
      </c>
      <c r="F5924" s="310">
        <v>630064</v>
      </c>
      <c r="G5924" s="311">
        <v>2001</v>
      </c>
      <c r="H5924" s="329" t="s">
        <v>3</v>
      </c>
      <c r="I5924" s="313" t="s">
        <v>3</v>
      </c>
      <c r="J5924" s="314">
        <v>2.8</v>
      </c>
      <c r="K5924" s="314">
        <v>2.8</v>
      </c>
      <c r="L5924" s="314">
        <f t="shared" si="72"/>
        <v>0</v>
      </c>
      <c r="M5924" s="337"/>
    </row>
    <row r="5925" spans="1:13" s="71" customFormat="1" ht="39.6">
      <c r="A5925" s="282">
        <v>333</v>
      </c>
      <c r="B5925" s="534"/>
      <c r="C5925" s="307" t="s">
        <v>16</v>
      </c>
      <c r="D5925" s="453" t="s">
        <v>7637</v>
      </c>
      <c r="E5925" s="444" t="s">
        <v>7855</v>
      </c>
      <c r="F5925" s="310">
        <v>630066</v>
      </c>
      <c r="G5925" s="311">
        <v>2001</v>
      </c>
      <c r="H5925" s="329" t="s">
        <v>3</v>
      </c>
      <c r="I5925" s="313" t="s">
        <v>3</v>
      </c>
      <c r="J5925" s="314">
        <v>20.8</v>
      </c>
      <c r="K5925" s="314">
        <v>20</v>
      </c>
      <c r="L5925" s="314">
        <f t="shared" si="72"/>
        <v>0.80000000000000071</v>
      </c>
      <c r="M5925" s="337"/>
    </row>
    <row r="5926" spans="1:13" s="71" customFormat="1" ht="39.6">
      <c r="A5926" s="282">
        <v>334</v>
      </c>
      <c r="B5926" s="534"/>
      <c r="C5926" s="307" t="s">
        <v>16</v>
      </c>
      <c r="D5926" s="453" t="s">
        <v>7574</v>
      </c>
      <c r="E5926" s="444" t="s">
        <v>7856</v>
      </c>
      <c r="F5926" s="310">
        <v>630078</v>
      </c>
      <c r="G5926" s="311">
        <v>2001</v>
      </c>
      <c r="H5926" s="329" t="s">
        <v>3</v>
      </c>
      <c r="I5926" s="313" t="s">
        <v>3</v>
      </c>
      <c r="J5926" s="314">
        <v>9.9</v>
      </c>
      <c r="K5926" s="314">
        <v>9.5</v>
      </c>
      <c r="L5926" s="314">
        <f t="shared" si="72"/>
        <v>0.40000000000000036</v>
      </c>
      <c r="M5926" s="337"/>
    </row>
    <row r="5927" spans="1:13" s="71" customFormat="1" ht="39.6">
      <c r="A5927" s="282">
        <v>335</v>
      </c>
      <c r="B5927" s="534"/>
      <c r="C5927" s="307" t="s">
        <v>16</v>
      </c>
      <c r="D5927" s="453" t="s">
        <v>7637</v>
      </c>
      <c r="E5927" s="444" t="s">
        <v>7857</v>
      </c>
      <c r="F5927" s="310">
        <v>630079</v>
      </c>
      <c r="G5927" s="311">
        <v>2001</v>
      </c>
      <c r="H5927" s="329" t="s">
        <v>3</v>
      </c>
      <c r="I5927" s="313" t="s">
        <v>3</v>
      </c>
      <c r="J5927" s="314">
        <v>26.8</v>
      </c>
      <c r="K5927" s="314">
        <v>26.4</v>
      </c>
      <c r="L5927" s="314">
        <f t="shared" si="72"/>
        <v>0.40000000000000213</v>
      </c>
      <c r="M5927" s="337"/>
    </row>
    <row r="5928" spans="1:13" s="71" customFormat="1" ht="26.4" customHeight="1">
      <c r="A5928" s="282">
        <v>336</v>
      </c>
      <c r="B5928" s="534"/>
      <c r="C5928" s="307" t="s">
        <v>16</v>
      </c>
      <c r="D5928" s="453" t="s">
        <v>7637</v>
      </c>
      <c r="E5928" s="260" t="s">
        <v>7858</v>
      </c>
      <c r="F5928" s="310">
        <v>630080</v>
      </c>
      <c r="G5928" s="311">
        <v>2001</v>
      </c>
      <c r="H5928" s="329" t="s">
        <v>3</v>
      </c>
      <c r="I5928" s="313" t="s">
        <v>3</v>
      </c>
      <c r="J5928" s="314">
        <v>13.8</v>
      </c>
      <c r="K5928" s="314">
        <v>13.8</v>
      </c>
      <c r="L5928" s="314">
        <f t="shared" si="72"/>
        <v>0</v>
      </c>
      <c r="M5928" s="337"/>
    </row>
    <row r="5929" spans="1:13" s="71" customFormat="1" ht="26.4" customHeight="1">
      <c r="A5929" s="282">
        <v>337</v>
      </c>
      <c r="B5929" s="534"/>
      <c r="C5929" s="307" t="s">
        <v>16</v>
      </c>
      <c r="D5929" s="453" t="s">
        <v>7637</v>
      </c>
      <c r="E5929" s="444" t="s">
        <v>7859</v>
      </c>
      <c r="F5929" s="310">
        <v>630082</v>
      </c>
      <c r="G5929" s="311">
        <v>2001</v>
      </c>
      <c r="H5929" s="329" t="s">
        <v>3</v>
      </c>
      <c r="I5929" s="313" t="s">
        <v>3</v>
      </c>
      <c r="J5929" s="314">
        <v>2.2999999999999998</v>
      </c>
      <c r="K5929" s="314">
        <v>1.8</v>
      </c>
      <c r="L5929" s="314">
        <f t="shared" si="72"/>
        <v>0.49999999999999978</v>
      </c>
      <c r="M5929" s="337"/>
    </row>
    <row r="5930" spans="1:13" s="71" customFormat="1" ht="26.4" customHeight="1">
      <c r="A5930" s="282">
        <v>338</v>
      </c>
      <c r="B5930" s="534"/>
      <c r="C5930" s="307" t="s">
        <v>16</v>
      </c>
      <c r="D5930" s="453" t="s">
        <v>7637</v>
      </c>
      <c r="E5930" s="444" t="s">
        <v>7860</v>
      </c>
      <c r="F5930" s="310">
        <v>630083</v>
      </c>
      <c r="G5930" s="311">
        <v>2001</v>
      </c>
      <c r="H5930" s="329" t="s">
        <v>3</v>
      </c>
      <c r="I5930" s="313" t="s">
        <v>3</v>
      </c>
      <c r="J5930" s="314">
        <v>2.4</v>
      </c>
      <c r="K5930" s="314">
        <v>1.8</v>
      </c>
      <c r="L5930" s="314">
        <f t="shared" si="72"/>
        <v>0.59999999999999987</v>
      </c>
      <c r="M5930" s="337"/>
    </row>
    <row r="5931" spans="1:13" s="71" customFormat="1" ht="26.4" customHeight="1">
      <c r="A5931" s="282">
        <v>339</v>
      </c>
      <c r="B5931" s="534"/>
      <c r="C5931" s="307" t="s">
        <v>16</v>
      </c>
      <c r="D5931" s="453" t="s">
        <v>7637</v>
      </c>
      <c r="E5931" s="444" t="s">
        <v>7861</v>
      </c>
      <c r="F5931" s="310">
        <v>630086</v>
      </c>
      <c r="G5931" s="311">
        <v>2001</v>
      </c>
      <c r="H5931" s="329" t="s">
        <v>3</v>
      </c>
      <c r="I5931" s="313" t="s">
        <v>3</v>
      </c>
      <c r="J5931" s="314">
        <v>12.6</v>
      </c>
      <c r="K5931" s="314">
        <v>10.3</v>
      </c>
      <c r="L5931" s="314">
        <f t="shared" si="72"/>
        <v>2.2999999999999989</v>
      </c>
      <c r="M5931" s="337"/>
    </row>
    <row r="5932" spans="1:13" s="71" customFormat="1" ht="26.4" customHeight="1">
      <c r="A5932" s="282">
        <v>340</v>
      </c>
      <c r="B5932" s="534"/>
      <c r="C5932" s="307" t="s">
        <v>16</v>
      </c>
      <c r="D5932" s="453" t="s">
        <v>7637</v>
      </c>
      <c r="E5932" s="444" t="s">
        <v>7862</v>
      </c>
      <c r="F5932" s="310">
        <v>630088</v>
      </c>
      <c r="G5932" s="311">
        <v>1971</v>
      </c>
      <c r="H5932" s="329" t="s">
        <v>3</v>
      </c>
      <c r="I5932" s="313" t="s">
        <v>3</v>
      </c>
      <c r="J5932" s="314">
        <v>17.3</v>
      </c>
      <c r="K5932" s="314">
        <v>16.8</v>
      </c>
      <c r="L5932" s="314">
        <f t="shared" si="72"/>
        <v>0.5</v>
      </c>
      <c r="M5932" s="337"/>
    </row>
    <row r="5933" spans="1:13" s="71" customFormat="1" ht="26.4" customHeight="1">
      <c r="A5933" s="282">
        <v>341</v>
      </c>
      <c r="B5933" s="534"/>
      <c r="C5933" s="307" t="s">
        <v>16</v>
      </c>
      <c r="D5933" s="453" t="s">
        <v>7637</v>
      </c>
      <c r="E5933" s="444" t="s">
        <v>7863</v>
      </c>
      <c r="F5933" s="310">
        <v>630114</v>
      </c>
      <c r="G5933" s="311">
        <v>1972</v>
      </c>
      <c r="H5933" s="329" t="s">
        <v>3</v>
      </c>
      <c r="I5933" s="313" t="s">
        <v>3</v>
      </c>
      <c r="J5933" s="314">
        <v>3.7</v>
      </c>
      <c r="K5933" s="314">
        <v>3.6</v>
      </c>
      <c r="L5933" s="314">
        <f t="shared" si="72"/>
        <v>0.10000000000000009</v>
      </c>
      <c r="M5933" s="337"/>
    </row>
    <row r="5934" spans="1:13" s="71" customFormat="1" ht="26.4" customHeight="1">
      <c r="A5934" s="282">
        <v>342</v>
      </c>
      <c r="B5934" s="534"/>
      <c r="C5934" s="307" t="s">
        <v>16</v>
      </c>
      <c r="D5934" s="453" t="s">
        <v>7603</v>
      </c>
      <c r="E5934" s="444" t="s">
        <v>7864</v>
      </c>
      <c r="F5934" s="310">
        <v>630205</v>
      </c>
      <c r="G5934" s="311">
        <v>1977</v>
      </c>
      <c r="H5934" s="329" t="s">
        <v>3</v>
      </c>
      <c r="I5934" s="313" t="s">
        <v>3</v>
      </c>
      <c r="J5934" s="314">
        <v>3.7</v>
      </c>
      <c r="K5934" s="314">
        <v>2.5</v>
      </c>
      <c r="L5934" s="314">
        <f t="shared" si="72"/>
        <v>1.2000000000000002</v>
      </c>
      <c r="M5934" s="337"/>
    </row>
    <row r="5935" spans="1:13" s="71" customFormat="1" ht="26.4" customHeight="1">
      <c r="A5935" s="282">
        <v>343</v>
      </c>
      <c r="B5935" s="534"/>
      <c r="C5935" s="307" t="s">
        <v>16</v>
      </c>
      <c r="D5935" s="453" t="s">
        <v>7603</v>
      </c>
      <c r="E5935" s="444" t="s">
        <v>7865</v>
      </c>
      <c r="F5935" s="310">
        <v>630207</v>
      </c>
      <c r="G5935" s="311">
        <v>1977</v>
      </c>
      <c r="H5935" s="329" t="s">
        <v>3</v>
      </c>
      <c r="I5935" s="313" t="s">
        <v>3</v>
      </c>
      <c r="J5935" s="314">
        <v>5.6</v>
      </c>
      <c r="K5935" s="314">
        <v>3.8</v>
      </c>
      <c r="L5935" s="314">
        <f t="shared" si="72"/>
        <v>1.7999999999999998</v>
      </c>
      <c r="M5935" s="337"/>
    </row>
    <row r="5936" spans="1:13" s="71" customFormat="1" ht="26.4" customHeight="1">
      <c r="A5936" s="282">
        <v>344</v>
      </c>
      <c r="B5936" s="534"/>
      <c r="C5936" s="307" t="s">
        <v>16</v>
      </c>
      <c r="D5936" s="453" t="s">
        <v>7574</v>
      </c>
      <c r="E5936" s="444" t="s">
        <v>7866</v>
      </c>
      <c r="F5936" s="310">
        <v>630220</v>
      </c>
      <c r="G5936" s="311">
        <v>1980</v>
      </c>
      <c r="H5936" s="329" t="s">
        <v>3</v>
      </c>
      <c r="I5936" s="313" t="s">
        <v>3</v>
      </c>
      <c r="J5936" s="314">
        <v>13.8</v>
      </c>
      <c r="K5936" s="314">
        <v>8.1</v>
      </c>
      <c r="L5936" s="314">
        <f t="shared" si="72"/>
        <v>5.7000000000000011</v>
      </c>
      <c r="M5936" s="337"/>
    </row>
    <row r="5937" spans="1:13" s="71" customFormat="1" ht="26.4" customHeight="1">
      <c r="A5937" s="282">
        <v>345</v>
      </c>
      <c r="B5937" s="534"/>
      <c r="C5937" s="307" t="s">
        <v>16</v>
      </c>
      <c r="D5937" s="453" t="s">
        <v>7867</v>
      </c>
      <c r="E5937" s="444" t="s">
        <v>7868</v>
      </c>
      <c r="F5937" s="310">
        <v>630158</v>
      </c>
      <c r="G5937" s="311">
        <v>1972</v>
      </c>
      <c r="H5937" s="329" t="s">
        <v>3</v>
      </c>
      <c r="I5937" s="313" t="s">
        <v>3</v>
      </c>
      <c r="J5937" s="314">
        <v>273.3</v>
      </c>
      <c r="K5937" s="314">
        <v>193.5</v>
      </c>
      <c r="L5937" s="314">
        <f t="shared" si="72"/>
        <v>79.800000000000011</v>
      </c>
      <c r="M5937" s="337"/>
    </row>
    <row r="5938" spans="1:13" s="71" customFormat="1" ht="26.4" customHeight="1">
      <c r="A5938" s="282">
        <v>346</v>
      </c>
      <c r="B5938" s="534"/>
      <c r="C5938" s="307" t="s">
        <v>16</v>
      </c>
      <c r="D5938" s="446" t="s">
        <v>7484</v>
      </c>
      <c r="E5938" s="444" t="s">
        <v>7869</v>
      </c>
      <c r="F5938" s="310">
        <v>70427</v>
      </c>
      <c r="G5938" s="311">
        <v>2003</v>
      </c>
      <c r="H5938" s="329" t="s">
        <v>3</v>
      </c>
      <c r="I5938" s="313" t="s">
        <v>3</v>
      </c>
      <c r="J5938" s="314">
        <v>0.1</v>
      </c>
      <c r="K5938" s="314">
        <v>0.1</v>
      </c>
      <c r="L5938" s="314">
        <f t="shared" si="72"/>
        <v>0</v>
      </c>
      <c r="M5938" s="337"/>
    </row>
    <row r="5939" spans="1:13" s="71" customFormat="1" ht="26.4" customHeight="1">
      <c r="A5939" s="282">
        <v>347</v>
      </c>
      <c r="B5939" s="534"/>
      <c r="C5939" s="307" t="s">
        <v>16</v>
      </c>
      <c r="D5939" s="446" t="s">
        <v>7484</v>
      </c>
      <c r="E5939" s="444" t="s">
        <v>7869</v>
      </c>
      <c r="F5939" s="310">
        <v>70428</v>
      </c>
      <c r="G5939" s="311">
        <v>2003</v>
      </c>
      <c r="H5939" s="329" t="s">
        <v>3</v>
      </c>
      <c r="I5939" s="313" t="s">
        <v>3</v>
      </c>
      <c r="J5939" s="314">
        <v>0.1</v>
      </c>
      <c r="K5939" s="314">
        <v>0.1</v>
      </c>
      <c r="L5939" s="314">
        <f t="shared" si="72"/>
        <v>0</v>
      </c>
      <c r="M5939" s="337"/>
    </row>
    <row r="5940" spans="1:13" s="71" customFormat="1" ht="26.4" customHeight="1">
      <c r="A5940" s="282">
        <v>348</v>
      </c>
      <c r="B5940" s="534"/>
      <c r="C5940" s="307" t="s">
        <v>16</v>
      </c>
      <c r="D5940" s="446" t="s">
        <v>7484</v>
      </c>
      <c r="E5940" s="444" t="s">
        <v>7869</v>
      </c>
      <c r="F5940" s="310">
        <v>70430</v>
      </c>
      <c r="G5940" s="311">
        <v>2003</v>
      </c>
      <c r="H5940" s="329" t="s">
        <v>3</v>
      </c>
      <c r="I5940" s="313" t="s">
        <v>3</v>
      </c>
      <c r="J5940" s="314">
        <v>0.1</v>
      </c>
      <c r="K5940" s="314">
        <v>0.1</v>
      </c>
      <c r="L5940" s="314">
        <f t="shared" si="72"/>
        <v>0</v>
      </c>
      <c r="M5940" s="337"/>
    </row>
    <row r="5941" spans="1:13" s="71" customFormat="1" ht="26.4" customHeight="1">
      <c r="A5941" s="282">
        <v>349</v>
      </c>
      <c r="B5941" s="534"/>
      <c r="C5941" s="307" t="s">
        <v>16</v>
      </c>
      <c r="D5941" s="446" t="s">
        <v>7484</v>
      </c>
      <c r="E5941" s="444" t="s">
        <v>7869</v>
      </c>
      <c r="F5941" s="310">
        <v>70429</v>
      </c>
      <c r="G5941" s="311">
        <v>2003</v>
      </c>
      <c r="H5941" s="329" t="s">
        <v>3</v>
      </c>
      <c r="I5941" s="313" t="s">
        <v>3</v>
      </c>
      <c r="J5941" s="314">
        <v>0.1</v>
      </c>
      <c r="K5941" s="314">
        <v>0.1</v>
      </c>
      <c r="L5941" s="314">
        <f t="shared" si="72"/>
        <v>0</v>
      </c>
      <c r="M5941" s="337"/>
    </row>
    <row r="5942" spans="1:13" s="71" customFormat="1" ht="26.4" customHeight="1">
      <c r="A5942" s="282">
        <v>350</v>
      </c>
      <c r="B5942" s="534"/>
      <c r="C5942" s="307" t="s">
        <v>16</v>
      </c>
      <c r="D5942" s="446" t="s">
        <v>7484</v>
      </c>
      <c r="E5942" s="444" t="s">
        <v>7869</v>
      </c>
      <c r="F5942" s="310">
        <v>70431</v>
      </c>
      <c r="G5942" s="311">
        <v>2003</v>
      </c>
      <c r="H5942" s="329" t="s">
        <v>3</v>
      </c>
      <c r="I5942" s="313" t="s">
        <v>3</v>
      </c>
      <c r="J5942" s="314">
        <v>0.1</v>
      </c>
      <c r="K5942" s="314">
        <v>0.1</v>
      </c>
      <c r="L5942" s="314">
        <f t="shared" si="72"/>
        <v>0</v>
      </c>
      <c r="M5942" s="337"/>
    </row>
    <row r="5943" spans="1:13" s="71" customFormat="1" ht="26.4" customHeight="1">
      <c r="A5943" s="282">
        <v>351</v>
      </c>
      <c r="B5943" s="534"/>
      <c r="C5943" s="307" t="s">
        <v>16</v>
      </c>
      <c r="D5943" s="446" t="s">
        <v>7484</v>
      </c>
      <c r="E5943" s="444" t="s">
        <v>7869</v>
      </c>
      <c r="F5943" s="310">
        <v>70432</v>
      </c>
      <c r="G5943" s="311">
        <v>2003</v>
      </c>
      <c r="H5943" s="329" t="s">
        <v>3</v>
      </c>
      <c r="I5943" s="313" t="s">
        <v>3</v>
      </c>
      <c r="J5943" s="314">
        <v>0.1</v>
      </c>
      <c r="K5943" s="314">
        <v>0.1</v>
      </c>
      <c r="L5943" s="314">
        <f t="shared" si="72"/>
        <v>0</v>
      </c>
      <c r="M5943" s="337"/>
    </row>
    <row r="5944" spans="1:13" s="71" customFormat="1" ht="26.4" customHeight="1">
      <c r="A5944" s="282">
        <v>352</v>
      </c>
      <c r="B5944" s="534"/>
      <c r="C5944" s="307" t="s">
        <v>16</v>
      </c>
      <c r="D5944" s="446" t="s">
        <v>7484</v>
      </c>
      <c r="E5944" s="444" t="s">
        <v>7869</v>
      </c>
      <c r="F5944" s="310">
        <v>70433</v>
      </c>
      <c r="G5944" s="311">
        <v>2003</v>
      </c>
      <c r="H5944" s="329" t="s">
        <v>3</v>
      </c>
      <c r="I5944" s="313" t="s">
        <v>3</v>
      </c>
      <c r="J5944" s="314">
        <v>0.1</v>
      </c>
      <c r="K5944" s="314">
        <v>0.1</v>
      </c>
      <c r="L5944" s="314">
        <f t="shared" si="72"/>
        <v>0</v>
      </c>
      <c r="M5944" s="337"/>
    </row>
    <row r="5945" spans="1:13" s="71" customFormat="1" ht="26.4" customHeight="1">
      <c r="A5945" s="282">
        <v>353</v>
      </c>
      <c r="B5945" s="534"/>
      <c r="C5945" s="307" t="s">
        <v>16</v>
      </c>
      <c r="D5945" s="307" t="s">
        <v>7870</v>
      </c>
      <c r="E5945" s="444" t="s">
        <v>7871</v>
      </c>
      <c r="F5945" s="310">
        <v>30029</v>
      </c>
      <c r="G5945" s="311">
        <v>1974</v>
      </c>
      <c r="H5945" s="329" t="s">
        <v>3</v>
      </c>
      <c r="I5945" s="313" t="s">
        <v>3</v>
      </c>
      <c r="J5945" s="314">
        <v>3.1</v>
      </c>
      <c r="K5945" s="314">
        <v>1.9</v>
      </c>
      <c r="L5945" s="314">
        <f t="shared" si="72"/>
        <v>1.2000000000000002</v>
      </c>
      <c r="M5945" s="337"/>
    </row>
    <row r="5946" spans="1:13" s="71" customFormat="1" ht="26.4" customHeight="1">
      <c r="A5946" s="282">
        <v>354</v>
      </c>
      <c r="B5946" s="534"/>
      <c r="C5946" s="307" t="s">
        <v>16</v>
      </c>
      <c r="D5946" s="307" t="s">
        <v>7482</v>
      </c>
      <c r="E5946" s="444" t="s">
        <v>7872</v>
      </c>
      <c r="F5946" s="310">
        <v>70434</v>
      </c>
      <c r="G5946" s="311">
        <v>2003</v>
      </c>
      <c r="H5946" s="329" t="s">
        <v>3</v>
      </c>
      <c r="I5946" s="313" t="s">
        <v>3</v>
      </c>
      <c r="J5946" s="314">
        <v>0.1</v>
      </c>
      <c r="K5946" s="314">
        <v>0.1</v>
      </c>
      <c r="L5946" s="314">
        <f t="shared" si="72"/>
        <v>0</v>
      </c>
      <c r="M5946" s="337"/>
    </row>
    <row r="5947" spans="1:13" s="71" customFormat="1" ht="26.4" customHeight="1">
      <c r="A5947" s="282">
        <v>355</v>
      </c>
      <c r="B5947" s="534"/>
      <c r="C5947" s="307" t="s">
        <v>16</v>
      </c>
      <c r="D5947" s="307" t="s">
        <v>7482</v>
      </c>
      <c r="E5947" s="444" t="s">
        <v>7872</v>
      </c>
      <c r="F5947" s="310">
        <v>70435</v>
      </c>
      <c r="G5947" s="311">
        <v>2003</v>
      </c>
      <c r="H5947" s="329" t="s">
        <v>3</v>
      </c>
      <c r="I5947" s="313" t="s">
        <v>3</v>
      </c>
      <c r="J5947" s="314">
        <v>0.1</v>
      </c>
      <c r="K5947" s="314">
        <v>0.1</v>
      </c>
      <c r="L5947" s="314">
        <f t="shared" si="72"/>
        <v>0</v>
      </c>
      <c r="M5947" s="337"/>
    </row>
    <row r="5948" spans="1:13" s="71" customFormat="1" ht="26.4" customHeight="1">
      <c r="A5948" s="282">
        <v>356</v>
      </c>
      <c r="B5948" s="534"/>
      <c r="C5948" s="307" t="s">
        <v>16</v>
      </c>
      <c r="D5948" s="307" t="s">
        <v>7482</v>
      </c>
      <c r="E5948" s="444" t="s">
        <v>7872</v>
      </c>
      <c r="F5948" s="310">
        <v>70436</v>
      </c>
      <c r="G5948" s="311">
        <v>2003</v>
      </c>
      <c r="H5948" s="329" t="s">
        <v>3</v>
      </c>
      <c r="I5948" s="313" t="s">
        <v>3</v>
      </c>
      <c r="J5948" s="314">
        <v>0.1</v>
      </c>
      <c r="K5948" s="314">
        <v>0.1</v>
      </c>
      <c r="L5948" s="314">
        <f t="shared" si="72"/>
        <v>0</v>
      </c>
      <c r="M5948" s="337"/>
    </row>
    <row r="5949" spans="1:13" s="71" customFormat="1" ht="26.4" customHeight="1">
      <c r="A5949" s="282">
        <v>357</v>
      </c>
      <c r="B5949" s="534"/>
      <c r="C5949" s="307" t="s">
        <v>16</v>
      </c>
      <c r="D5949" s="307" t="s">
        <v>7482</v>
      </c>
      <c r="E5949" s="444" t="s">
        <v>7873</v>
      </c>
      <c r="F5949" s="310">
        <v>70437</v>
      </c>
      <c r="G5949" s="311">
        <v>2003</v>
      </c>
      <c r="H5949" s="329" t="s">
        <v>3</v>
      </c>
      <c r="I5949" s="313" t="s">
        <v>3</v>
      </c>
      <c r="J5949" s="314">
        <v>0.1</v>
      </c>
      <c r="K5949" s="314">
        <v>0.1</v>
      </c>
      <c r="L5949" s="314">
        <f t="shared" si="72"/>
        <v>0</v>
      </c>
      <c r="M5949" s="337"/>
    </row>
    <row r="5950" spans="1:13" s="71" customFormat="1" ht="26.4" customHeight="1">
      <c r="A5950" s="282">
        <v>358</v>
      </c>
      <c r="B5950" s="534"/>
      <c r="C5950" s="307" t="s">
        <v>16</v>
      </c>
      <c r="D5950" s="307" t="s">
        <v>7482</v>
      </c>
      <c r="E5950" s="444" t="s">
        <v>7872</v>
      </c>
      <c r="F5950" s="310">
        <v>70438</v>
      </c>
      <c r="G5950" s="311">
        <v>2003</v>
      </c>
      <c r="H5950" s="329" t="s">
        <v>3</v>
      </c>
      <c r="I5950" s="313" t="s">
        <v>3</v>
      </c>
      <c r="J5950" s="314">
        <v>0.1</v>
      </c>
      <c r="K5950" s="314">
        <v>0.1</v>
      </c>
      <c r="L5950" s="314">
        <f t="shared" si="72"/>
        <v>0</v>
      </c>
      <c r="M5950" s="337"/>
    </row>
    <row r="5951" spans="1:13" s="71" customFormat="1" ht="26.4" customHeight="1">
      <c r="A5951" s="282">
        <v>359</v>
      </c>
      <c r="B5951" s="534"/>
      <c r="C5951" s="307" t="s">
        <v>16</v>
      </c>
      <c r="D5951" s="307" t="s">
        <v>7482</v>
      </c>
      <c r="E5951" s="444" t="s">
        <v>7872</v>
      </c>
      <c r="F5951" s="310">
        <v>70439</v>
      </c>
      <c r="G5951" s="311">
        <v>2003</v>
      </c>
      <c r="H5951" s="329" t="s">
        <v>3</v>
      </c>
      <c r="I5951" s="313" t="s">
        <v>3</v>
      </c>
      <c r="J5951" s="314">
        <v>0.1</v>
      </c>
      <c r="K5951" s="314">
        <v>0.1</v>
      </c>
      <c r="L5951" s="314">
        <f t="shared" si="72"/>
        <v>0</v>
      </c>
      <c r="M5951" s="337"/>
    </row>
    <row r="5952" spans="1:13" s="71" customFormat="1" ht="26.4" customHeight="1">
      <c r="A5952" s="282">
        <v>360</v>
      </c>
      <c r="B5952" s="534"/>
      <c r="C5952" s="307" t="s">
        <v>16</v>
      </c>
      <c r="D5952" s="307" t="s">
        <v>7482</v>
      </c>
      <c r="E5952" s="444" t="s">
        <v>7872</v>
      </c>
      <c r="F5952" s="310">
        <v>70440</v>
      </c>
      <c r="G5952" s="311">
        <v>2003</v>
      </c>
      <c r="H5952" s="329" t="s">
        <v>3</v>
      </c>
      <c r="I5952" s="313" t="s">
        <v>3</v>
      </c>
      <c r="J5952" s="314">
        <v>0.1</v>
      </c>
      <c r="K5952" s="314">
        <v>0.1</v>
      </c>
      <c r="L5952" s="314">
        <f t="shared" si="72"/>
        <v>0</v>
      </c>
      <c r="M5952" s="337"/>
    </row>
    <row r="5953" spans="1:13" s="71" customFormat="1" ht="26.4" customHeight="1">
      <c r="A5953" s="282">
        <v>361</v>
      </c>
      <c r="B5953" s="534"/>
      <c r="C5953" s="307" t="s">
        <v>16</v>
      </c>
      <c r="D5953" s="307" t="s">
        <v>7482</v>
      </c>
      <c r="E5953" s="444" t="s">
        <v>7874</v>
      </c>
      <c r="F5953" s="310">
        <v>70441</v>
      </c>
      <c r="G5953" s="311">
        <v>2003</v>
      </c>
      <c r="H5953" s="329" t="s">
        <v>3</v>
      </c>
      <c r="I5953" s="313" t="s">
        <v>3</v>
      </c>
      <c r="J5953" s="314">
        <v>0.1</v>
      </c>
      <c r="K5953" s="314">
        <v>0.1</v>
      </c>
      <c r="L5953" s="314">
        <f t="shared" si="72"/>
        <v>0</v>
      </c>
      <c r="M5953" s="337"/>
    </row>
    <row r="5954" spans="1:13" s="71" customFormat="1" ht="26.4" customHeight="1">
      <c r="A5954" s="282">
        <v>362</v>
      </c>
      <c r="B5954" s="534"/>
      <c r="C5954" s="307" t="s">
        <v>16</v>
      </c>
      <c r="D5954" s="307" t="s">
        <v>7482</v>
      </c>
      <c r="E5954" s="444" t="s">
        <v>7872</v>
      </c>
      <c r="F5954" s="310">
        <v>70442</v>
      </c>
      <c r="G5954" s="311">
        <v>2003</v>
      </c>
      <c r="H5954" s="329" t="s">
        <v>3</v>
      </c>
      <c r="I5954" s="313" t="s">
        <v>3</v>
      </c>
      <c r="J5954" s="314">
        <v>0.1</v>
      </c>
      <c r="K5954" s="314">
        <v>0.1</v>
      </c>
      <c r="L5954" s="314">
        <f t="shared" si="72"/>
        <v>0</v>
      </c>
      <c r="M5954" s="337"/>
    </row>
    <row r="5955" spans="1:13" s="71" customFormat="1" ht="26.4" customHeight="1">
      <c r="A5955" s="282">
        <v>363</v>
      </c>
      <c r="B5955" s="534"/>
      <c r="C5955" s="307" t="s">
        <v>16</v>
      </c>
      <c r="D5955" s="307" t="s">
        <v>7482</v>
      </c>
      <c r="E5955" s="444" t="s">
        <v>7874</v>
      </c>
      <c r="F5955" s="310">
        <v>70443</v>
      </c>
      <c r="G5955" s="311">
        <v>2003</v>
      </c>
      <c r="H5955" s="329" t="s">
        <v>3</v>
      </c>
      <c r="I5955" s="313" t="s">
        <v>3</v>
      </c>
      <c r="J5955" s="314">
        <v>0.1</v>
      </c>
      <c r="K5955" s="314">
        <v>0.1</v>
      </c>
      <c r="L5955" s="314">
        <f t="shared" si="72"/>
        <v>0</v>
      </c>
      <c r="M5955" s="337"/>
    </row>
    <row r="5956" spans="1:13" s="71" customFormat="1" ht="26.4" customHeight="1">
      <c r="A5956" s="282">
        <v>364</v>
      </c>
      <c r="B5956" s="534"/>
      <c r="C5956" s="307" t="s">
        <v>16</v>
      </c>
      <c r="D5956" s="307" t="s">
        <v>7482</v>
      </c>
      <c r="E5956" s="444" t="s">
        <v>7874</v>
      </c>
      <c r="F5956" s="310">
        <v>70444</v>
      </c>
      <c r="G5956" s="311">
        <v>2003</v>
      </c>
      <c r="H5956" s="329" t="s">
        <v>3</v>
      </c>
      <c r="I5956" s="313" t="s">
        <v>3</v>
      </c>
      <c r="J5956" s="314">
        <v>0.1</v>
      </c>
      <c r="K5956" s="314">
        <v>0.1</v>
      </c>
      <c r="L5956" s="314">
        <f t="shared" si="72"/>
        <v>0</v>
      </c>
      <c r="M5956" s="337"/>
    </row>
    <row r="5957" spans="1:13" s="71" customFormat="1" ht="26.4" customHeight="1">
      <c r="A5957" s="282">
        <v>365</v>
      </c>
      <c r="B5957" s="534"/>
      <c r="C5957" s="307" t="s">
        <v>16</v>
      </c>
      <c r="D5957" s="307" t="s">
        <v>7482</v>
      </c>
      <c r="E5957" s="444" t="s">
        <v>7872</v>
      </c>
      <c r="F5957" s="310">
        <v>70445</v>
      </c>
      <c r="G5957" s="311">
        <v>2003</v>
      </c>
      <c r="H5957" s="329" t="s">
        <v>3</v>
      </c>
      <c r="I5957" s="313" t="s">
        <v>3</v>
      </c>
      <c r="J5957" s="314">
        <v>0.1</v>
      </c>
      <c r="K5957" s="314">
        <v>0.1</v>
      </c>
      <c r="L5957" s="314">
        <f t="shared" si="72"/>
        <v>0</v>
      </c>
      <c r="M5957" s="337"/>
    </row>
    <row r="5958" spans="1:13" s="71" customFormat="1" ht="26.4" customHeight="1">
      <c r="A5958" s="282">
        <v>366</v>
      </c>
      <c r="B5958" s="534"/>
      <c r="C5958" s="307" t="s">
        <v>16</v>
      </c>
      <c r="D5958" s="307" t="s">
        <v>7482</v>
      </c>
      <c r="E5958" s="444" t="s">
        <v>7872</v>
      </c>
      <c r="F5958" s="310">
        <v>70446</v>
      </c>
      <c r="G5958" s="311">
        <v>2003</v>
      </c>
      <c r="H5958" s="329" t="s">
        <v>3</v>
      </c>
      <c r="I5958" s="313" t="s">
        <v>3</v>
      </c>
      <c r="J5958" s="314">
        <v>0.1</v>
      </c>
      <c r="K5958" s="314">
        <v>0.1</v>
      </c>
      <c r="L5958" s="314">
        <f t="shared" si="72"/>
        <v>0</v>
      </c>
      <c r="M5958" s="337"/>
    </row>
    <row r="5959" spans="1:13" s="71" customFormat="1" ht="26.4" customHeight="1">
      <c r="A5959" s="282">
        <v>367</v>
      </c>
      <c r="B5959" s="534"/>
      <c r="C5959" s="307" t="s">
        <v>16</v>
      </c>
      <c r="D5959" s="307" t="s">
        <v>7482</v>
      </c>
      <c r="E5959" s="444" t="s">
        <v>7872</v>
      </c>
      <c r="F5959" s="310">
        <v>70447</v>
      </c>
      <c r="G5959" s="311">
        <v>2003</v>
      </c>
      <c r="H5959" s="329" t="s">
        <v>3</v>
      </c>
      <c r="I5959" s="313" t="s">
        <v>3</v>
      </c>
      <c r="J5959" s="314">
        <v>0.1</v>
      </c>
      <c r="K5959" s="314">
        <v>0.1</v>
      </c>
      <c r="L5959" s="314">
        <f t="shared" si="72"/>
        <v>0</v>
      </c>
      <c r="M5959" s="337"/>
    </row>
    <row r="5960" spans="1:13" s="71" customFormat="1" ht="26.4" customHeight="1">
      <c r="A5960" s="282">
        <v>368</v>
      </c>
      <c r="B5960" s="534"/>
      <c r="C5960" s="307" t="s">
        <v>7875</v>
      </c>
      <c r="D5960" s="307" t="s">
        <v>3</v>
      </c>
      <c r="E5960" s="444" t="s">
        <v>7876</v>
      </c>
      <c r="F5960" s="310">
        <v>71037</v>
      </c>
      <c r="G5960" s="311">
        <v>2006</v>
      </c>
      <c r="H5960" s="329" t="s">
        <v>3</v>
      </c>
      <c r="I5960" s="313" t="s">
        <v>3</v>
      </c>
      <c r="J5960" s="314">
        <v>50</v>
      </c>
      <c r="K5960" s="314">
        <v>23</v>
      </c>
      <c r="L5960" s="314">
        <f t="shared" si="72"/>
        <v>27</v>
      </c>
      <c r="M5960" s="337"/>
    </row>
    <row r="5961" spans="1:13" s="71" customFormat="1" ht="26.4" customHeight="1">
      <c r="A5961" s="282">
        <v>369</v>
      </c>
      <c r="B5961" s="534"/>
      <c r="C5961" s="307" t="s">
        <v>16</v>
      </c>
      <c r="D5961" s="307" t="s">
        <v>7877</v>
      </c>
      <c r="E5961" s="444" t="s">
        <v>12765</v>
      </c>
      <c r="F5961" s="310">
        <v>71045</v>
      </c>
      <c r="G5961" s="311">
        <v>2008</v>
      </c>
      <c r="H5961" s="329" t="s">
        <v>3</v>
      </c>
      <c r="I5961" s="313" t="s">
        <v>3</v>
      </c>
      <c r="J5961" s="314">
        <v>162.9</v>
      </c>
      <c r="K5961" s="314">
        <v>69.400000000000006</v>
      </c>
      <c r="L5961" s="314">
        <f t="shared" si="72"/>
        <v>93.5</v>
      </c>
      <c r="M5961" s="337"/>
    </row>
    <row r="5962" spans="1:13" s="71" customFormat="1" ht="26.4" customHeight="1">
      <c r="A5962" s="282">
        <v>370</v>
      </c>
      <c r="B5962" s="534"/>
      <c r="C5962" s="307" t="s">
        <v>16</v>
      </c>
      <c r="D5962" s="307" t="s">
        <v>7487</v>
      </c>
      <c r="E5962" s="444" t="s">
        <v>7878</v>
      </c>
      <c r="F5962" s="310">
        <v>71061</v>
      </c>
      <c r="G5962" s="311">
        <v>2009</v>
      </c>
      <c r="H5962" s="329" t="s">
        <v>3</v>
      </c>
      <c r="I5962" s="313" t="s">
        <v>3</v>
      </c>
      <c r="J5962" s="314">
        <v>142.5</v>
      </c>
      <c r="K5962" s="314">
        <v>142.5</v>
      </c>
      <c r="L5962" s="314">
        <f t="shared" si="72"/>
        <v>0</v>
      </c>
      <c r="M5962" s="337"/>
    </row>
    <row r="5963" spans="1:13" s="71" customFormat="1" ht="26.4" customHeight="1">
      <c r="A5963" s="282">
        <v>371</v>
      </c>
      <c r="B5963" s="534"/>
      <c r="C5963" s="307" t="s">
        <v>16</v>
      </c>
      <c r="D5963" s="307" t="s">
        <v>7528</v>
      </c>
      <c r="E5963" s="444" t="s">
        <v>7879</v>
      </c>
      <c r="F5963" s="310">
        <v>10</v>
      </c>
      <c r="G5963" s="311">
        <v>2010</v>
      </c>
      <c r="H5963" s="329" t="s">
        <v>3</v>
      </c>
      <c r="I5963" s="313" t="s">
        <v>3</v>
      </c>
      <c r="J5963" s="314">
        <v>0.1</v>
      </c>
      <c r="K5963" s="314">
        <v>0.1</v>
      </c>
      <c r="L5963" s="314">
        <f t="shared" si="72"/>
        <v>0</v>
      </c>
      <c r="M5963" s="337"/>
    </row>
    <row r="5964" spans="1:13" s="71" customFormat="1" ht="26.4" customHeight="1">
      <c r="A5964" s="282">
        <v>372</v>
      </c>
      <c r="B5964" s="534"/>
      <c r="C5964" s="307" t="s">
        <v>16</v>
      </c>
      <c r="D5964" s="307" t="s">
        <v>7528</v>
      </c>
      <c r="E5964" s="444" t="s">
        <v>7880</v>
      </c>
      <c r="F5964" s="310">
        <v>11</v>
      </c>
      <c r="G5964" s="311">
        <v>2010</v>
      </c>
      <c r="H5964" s="329" t="s">
        <v>3</v>
      </c>
      <c r="I5964" s="313" t="s">
        <v>3</v>
      </c>
      <c r="J5964" s="314">
        <v>0.1</v>
      </c>
      <c r="K5964" s="314">
        <v>0.1</v>
      </c>
      <c r="L5964" s="314">
        <f t="shared" si="72"/>
        <v>0</v>
      </c>
      <c r="M5964" s="337"/>
    </row>
    <row r="5965" spans="1:13" s="71" customFormat="1" ht="26.4" customHeight="1">
      <c r="A5965" s="282">
        <v>373</v>
      </c>
      <c r="B5965" s="534"/>
      <c r="C5965" s="307" t="s">
        <v>16</v>
      </c>
      <c r="D5965" s="307" t="s">
        <v>7528</v>
      </c>
      <c r="E5965" s="444" t="s">
        <v>7881</v>
      </c>
      <c r="F5965" s="310">
        <v>12</v>
      </c>
      <c r="G5965" s="311">
        <v>2010</v>
      </c>
      <c r="H5965" s="329" t="s">
        <v>3</v>
      </c>
      <c r="I5965" s="313" t="s">
        <v>3</v>
      </c>
      <c r="J5965" s="314">
        <v>0.1</v>
      </c>
      <c r="K5965" s="314">
        <v>0.1</v>
      </c>
      <c r="L5965" s="314">
        <f t="shared" si="72"/>
        <v>0</v>
      </c>
      <c r="M5965" s="337"/>
    </row>
    <row r="5966" spans="1:13" s="71" customFormat="1" ht="26.4" customHeight="1">
      <c r="A5966" s="282">
        <v>374</v>
      </c>
      <c r="B5966" s="534"/>
      <c r="C5966" s="307" t="s">
        <v>16</v>
      </c>
      <c r="D5966" s="307" t="s">
        <v>7528</v>
      </c>
      <c r="E5966" s="444" t="s">
        <v>7881</v>
      </c>
      <c r="F5966" s="310">
        <v>13</v>
      </c>
      <c r="G5966" s="311">
        <v>2010</v>
      </c>
      <c r="H5966" s="329" t="s">
        <v>3</v>
      </c>
      <c r="I5966" s="313" t="s">
        <v>3</v>
      </c>
      <c r="J5966" s="314">
        <v>0.1</v>
      </c>
      <c r="K5966" s="314">
        <v>0.1</v>
      </c>
      <c r="L5966" s="314">
        <f t="shared" si="72"/>
        <v>0</v>
      </c>
      <c r="M5966" s="337"/>
    </row>
    <row r="5967" spans="1:13" s="71" customFormat="1" ht="26.4" customHeight="1">
      <c r="A5967" s="282">
        <v>375</v>
      </c>
      <c r="B5967" s="534"/>
      <c r="C5967" s="307" t="s">
        <v>16</v>
      </c>
      <c r="D5967" s="307" t="s">
        <v>7528</v>
      </c>
      <c r="E5967" s="444" t="s">
        <v>7881</v>
      </c>
      <c r="F5967" s="310">
        <v>14</v>
      </c>
      <c r="G5967" s="311">
        <v>2010</v>
      </c>
      <c r="H5967" s="329" t="s">
        <v>3</v>
      </c>
      <c r="I5967" s="313" t="s">
        <v>3</v>
      </c>
      <c r="J5967" s="314">
        <v>0.1</v>
      </c>
      <c r="K5967" s="314">
        <v>0.1</v>
      </c>
      <c r="L5967" s="314">
        <f t="shared" si="72"/>
        <v>0</v>
      </c>
      <c r="M5967" s="337"/>
    </row>
    <row r="5968" spans="1:13" s="71" customFormat="1" ht="26.4" customHeight="1">
      <c r="A5968" s="282">
        <v>376</v>
      </c>
      <c r="B5968" s="534"/>
      <c r="C5968" s="307" t="s">
        <v>16</v>
      </c>
      <c r="D5968" s="307" t="s">
        <v>7528</v>
      </c>
      <c r="E5968" s="444" t="s">
        <v>7881</v>
      </c>
      <c r="F5968" s="310">
        <v>15</v>
      </c>
      <c r="G5968" s="311">
        <v>2010</v>
      </c>
      <c r="H5968" s="329" t="s">
        <v>3</v>
      </c>
      <c r="I5968" s="313" t="s">
        <v>3</v>
      </c>
      <c r="J5968" s="314">
        <v>0.1</v>
      </c>
      <c r="K5968" s="314">
        <v>0.1</v>
      </c>
      <c r="L5968" s="314">
        <f t="shared" si="72"/>
        <v>0</v>
      </c>
      <c r="M5968" s="337"/>
    </row>
    <row r="5969" spans="1:13" s="71" customFormat="1" ht="26.4" customHeight="1">
      <c r="A5969" s="282">
        <v>377</v>
      </c>
      <c r="B5969" s="534"/>
      <c r="C5969" s="307" t="s">
        <v>16</v>
      </c>
      <c r="D5969" s="307" t="s">
        <v>7528</v>
      </c>
      <c r="E5969" s="444" t="s">
        <v>7881</v>
      </c>
      <c r="F5969" s="310">
        <v>16</v>
      </c>
      <c r="G5969" s="311">
        <v>2010</v>
      </c>
      <c r="H5969" s="329" t="s">
        <v>3</v>
      </c>
      <c r="I5969" s="313" t="s">
        <v>3</v>
      </c>
      <c r="J5969" s="314">
        <v>0.1</v>
      </c>
      <c r="K5969" s="314">
        <v>0.1</v>
      </c>
      <c r="L5969" s="314">
        <f t="shared" si="72"/>
        <v>0</v>
      </c>
      <c r="M5969" s="337"/>
    </row>
    <row r="5970" spans="1:13" s="71" customFormat="1" ht="26.4" customHeight="1">
      <c r="A5970" s="282">
        <v>378</v>
      </c>
      <c r="B5970" s="534"/>
      <c r="C5970" s="307" t="s">
        <v>16</v>
      </c>
      <c r="D5970" s="307" t="s">
        <v>7528</v>
      </c>
      <c r="E5970" s="444" t="s">
        <v>7881</v>
      </c>
      <c r="F5970" s="310">
        <v>17</v>
      </c>
      <c r="G5970" s="311">
        <v>2010</v>
      </c>
      <c r="H5970" s="329" t="s">
        <v>3</v>
      </c>
      <c r="I5970" s="313" t="s">
        <v>3</v>
      </c>
      <c r="J5970" s="314">
        <v>0.1</v>
      </c>
      <c r="K5970" s="314">
        <v>0.1</v>
      </c>
      <c r="L5970" s="314">
        <f t="shared" si="72"/>
        <v>0</v>
      </c>
      <c r="M5970" s="337"/>
    </row>
    <row r="5971" spans="1:13" s="71" customFormat="1" ht="26.4" customHeight="1">
      <c r="A5971" s="282">
        <v>379</v>
      </c>
      <c r="B5971" s="534"/>
      <c r="C5971" s="307" t="s">
        <v>16</v>
      </c>
      <c r="D5971" s="307" t="s">
        <v>7528</v>
      </c>
      <c r="E5971" s="444" t="s">
        <v>7881</v>
      </c>
      <c r="F5971" s="310">
        <v>18</v>
      </c>
      <c r="G5971" s="311">
        <v>2010</v>
      </c>
      <c r="H5971" s="329" t="s">
        <v>3</v>
      </c>
      <c r="I5971" s="313" t="s">
        <v>3</v>
      </c>
      <c r="J5971" s="314">
        <v>0.1</v>
      </c>
      <c r="K5971" s="314">
        <v>0.1</v>
      </c>
      <c r="L5971" s="314">
        <f t="shared" si="72"/>
        <v>0</v>
      </c>
      <c r="M5971" s="337"/>
    </row>
    <row r="5972" spans="1:13" s="71" customFormat="1" ht="26.4" customHeight="1">
      <c r="A5972" s="282">
        <v>380</v>
      </c>
      <c r="B5972" s="534"/>
      <c r="C5972" s="307" t="s">
        <v>16</v>
      </c>
      <c r="D5972" s="307" t="s">
        <v>7528</v>
      </c>
      <c r="E5972" s="444" t="s">
        <v>7881</v>
      </c>
      <c r="F5972" s="310">
        <v>19</v>
      </c>
      <c r="G5972" s="311">
        <v>2010</v>
      </c>
      <c r="H5972" s="329" t="s">
        <v>3</v>
      </c>
      <c r="I5972" s="313" t="s">
        <v>3</v>
      </c>
      <c r="J5972" s="314">
        <v>0.1</v>
      </c>
      <c r="K5972" s="314">
        <v>0.1</v>
      </c>
      <c r="L5972" s="314">
        <f t="shared" si="72"/>
        <v>0</v>
      </c>
      <c r="M5972" s="337"/>
    </row>
    <row r="5973" spans="1:13" s="71" customFormat="1" ht="26.4" customHeight="1">
      <c r="A5973" s="282">
        <v>381</v>
      </c>
      <c r="B5973" s="534"/>
      <c r="C5973" s="307" t="s">
        <v>16</v>
      </c>
      <c r="D5973" s="307" t="s">
        <v>7528</v>
      </c>
      <c r="E5973" s="444" t="s">
        <v>7881</v>
      </c>
      <c r="F5973" s="310">
        <v>20</v>
      </c>
      <c r="G5973" s="311">
        <v>2010</v>
      </c>
      <c r="H5973" s="329" t="s">
        <v>3</v>
      </c>
      <c r="I5973" s="313" t="s">
        <v>3</v>
      </c>
      <c r="J5973" s="314">
        <v>0.1</v>
      </c>
      <c r="K5973" s="314">
        <v>0.1</v>
      </c>
      <c r="L5973" s="314">
        <f t="shared" si="72"/>
        <v>0</v>
      </c>
      <c r="M5973" s="337"/>
    </row>
    <row r="5974" spans="1:13" s="71" customFormat="1" ht="26.4" customHeight="1">
      <c r="A5974" s="282">
        <v>382</v>
      </c>
      <c r="B5974" s="534"/>
      <c r="C5974" s="307" t="s">
        <v>16</v>
      </c>
      <c r="D5974" s="307" t="s">
        <v>7528</v>
      </c>
      <c r="E5974" s="444" t="s">
        <v>7881</v>
      </c>
      <c r="F5974" s="310">
        <v>21</v>
      </c>
      <c r="G5974" s="311">
        <v>2010</v>
      </c>
      <c r="H5974" s="329" t="s">
        <v>3</v>
      </c>
      <c r="I5974" s="313" t="s">
        <v>3</v>
      </c>
      <c r="J5974" s="314">
        <v>0.1</v>
      </c>
      <c r="K5974" s="314">
        <v>0.1</v>
      </c>
      <c r="L5974" s="314">
        <f t="shared" si="72"/>
        <v>0</v>
      </c>
      <c r="M5974" s="337"/>
    </row>
    <row r="5975" spans="1:13" s="71" customFormat="1" ht="26.4" customHeight="1">
      <c r="A5975" s="282">
        <v>383</v>
      </c>
      <c r="B5975" s="534"/>
      <c r="C5975" s="307" t="s">
        <v>16</v>
      </c>
      <c r="D5975" s="307" t="s">
        <v>7528</v>
      </c>
      <c r="E5975" s="444" t="s">
        <v>7881</v>
      </c>
      <c r="F5975" s="310">
        <v>22</v>
      </c>
      <c r="G5975" s="311">
        <v>2010</v>
      </c>
      <c r="H5975" s="329" t="s">
        <v>3</v>
      </c>
      <c r="I5975" s="313" t="s">
        <v>3</v>
      </c>
      <c r="J5975" s="314">
        <v>0.1</v>
      </c>
      <c r="K5975" s="314">
        <v>0.1</v>
      </c>
      <c r="L5975" s="314">
        <f t="shared" si="72"/>
        <v>0</v>
      </c>
      <c r="M5975" s="337"/>
    </row>
    <row r="5976" spans="1:13" s="71" customFormat="1" ht="26.4" customHeight="1">
      <c r="A5976" s="282">
        <v>384</v>
      </c>
      <c r="B5976" s="534"/>
      <c r="C5976" s="307" t="s">
        <v>16</v>
      </c>
      <c r="D5976" s="307" t="s">
        <v>7528</v>
      </c>
      <c r="E5976" s="444" t="s">
        <v>7881</v>
      </c>
      <c r="F5976" s="310">
        <v>23</v>
      </c>
      <c r="G5976" s="311">
        <v>2010</v>
      </c>
      <c r="H5976" s="329" t="s">
        <v>3</v>
      </c>
      <c r="I5976" s="313" t="s">
        <v>3</v>
      </c>
      <c r="J5976" s="314">
        <v>0.1</v>
      </c>
      <c r="K5976" s="314">
        <v>0.1</v>
      </c>
      <c r="L5976" s="314">
        <f t="shared" si="72"/>
        <v>0</v>
      </c>
      <c r="M5976" s="337"/>
    </row>
    <row r="5977" spans="1:13" s="71" customFormat="1" ht="26.4" customHeight="1">
      <c r="A5977" s="282">
        <v>385</v>
      </c>
      <c r="B5977" s="534"/>
      <c r="C5977" s="307" t="s">
        <v>16</v>
      </c>
      <c r="D5977" s="307" t="s">
        <v>7528</v>
      </c>
      <c r="E5977" s="444" t="s">
        <v>7881</v>
      </c>
      <c r="F5977" s="310">
        <v>24</v>
      </c>
      <c r="G5977" s="311">
        <v>2010</v>
      </c>
      <c r="H5977" s="329" t="s">
        <v>3</v>
      </c>
      <c r="I5977" s="313" t="s">
        <v>3</v>
      </c>
      <c r="J5977" s="314">
        <v>0.1</v>
      </c>
      <c r="K5977" s="314">
        <v>0.1</v>
      </c>
      <c r="L5977" s="314">
        <f t="shared" ref="L5977:L6036" si="73">J5977-K5977</f>
        <v>0</v>
      </c>
      <c r="M5977" s="337"/>
    </row>
    <row r="5978" spans="1:13" s="71" customFormat="1" ht="26.4" customHeight="1">
      <c r="A5978" s="282">
        <v>386</v>
      </c>
      <c r="B5978" s="534"/>
      <c r="C5978" s="307" t="s">
        <v>16</v>
      </c>
      <c r="D5978" s="307" t="s">
        <v>7528</v>
      </c>
      <c r="E5978" s="444" t="s">
        <v>7881</v>
      </c>
      <c r="F5978" s="310">
        <v>25</v>
      </c>
      <c r="G5978" s="311">
        <v>2010</v>
      </c>
      <c r="H5978" s="329" t="s">
        <v>3</v>
      </c>
      <c r="I5978" s="313" t="s">
        <v>3</v>
      </c>
      <c r="J5978" s="314">
        <v>0.1</v>
      </c>
      <c r="K5978" s="314">
        <v>0.1</v>
      </c>
      <c r="L5978" s="314">
        <f t="shared" si="73"/>
        <v>0</v>
      </c>
      <c r="M5978" s="337"/>
    </row>
    <row r="5979" spans="1:13" s="71" customFormat="1" ht="26.4" customHeight="1">
      <c r="A5979" s="282">
        <v>387</v>
      </c>
      <c r="B5979" s="534"/>
      <c r="C5979" s="307" t="s">
        <v>16</v>
      </c>
      <c r="D5979" s="307" t="s">
        <v>7528</v>
      </c>
      <c r="E5979" s="444" t="s">
        <v>7881</v>
      </c>
      <c r="F5979" s="310">
        <v>26</v>
      </c>
      <c r="G5979" s="311">
        <v>2010</v>
      </c>
      <c r="H5979" s="329" t="s">
        <v>3</v>
      </c>
      <c r="I5979" s="313" t="s">
        <v>3</v>
      </c>
      <c r="J5979" s="314">
        <v>0.1</v>
      </c>
      <c r="K5979" s="314">
        <v>0.1</v>
      </c>
      <c r="L5979" s="314">
        <f t="shared" si="73"/>
        <v>0</v>
      </c>
      <c r="M5979" s="337"/>
    </row>
    <row r="5980" spans="1:13" s="71" customFormat="1" ht="26.4" customHeight="1">
      <c r="A5980" s="282">
        <v>388</v>
      </c>
      <c r="B5980" s="534"/>
      <c r="C5980" s="307" t="s">
        <v>16</v>
      </c>
      <c r="D5980" s="307" t="s">
        <v>7528</v>
      </c>
      <c r="E5980" s="444" t="s">
        <v>7881</v>
      </c>
      <c r="F5980" s="310">
        <v>27</v>
      </c>
      <c r="G5980" s="311">
        <v>2010</v>
      </c>
      <c r="H5980" s="329" t="s">
        <v>3</v>
      </c>
      <c r="I5980" s="313" t="s">
        <v>3</v>
      </c>
      <c r="J5980" s="314">
        <v>0.1</v>
      </c>
      <c r="K5980" s="314">
        <v>0.1</v>
      </c>
      <c r="L5980" s="314">
        <f t="shared" si="73"/>
        <v>0</v>
      </c>
      <c r="M5980" s="337"/>
    </row>
    <row r="5981" spans="1:13" s="71" customFormat="1" ht="26.4" customHeight="1">
      <c r="A5981" s="282">
        <v>389</v>
      </c>
      <c r="B5981" s="534"/>
      <c r="C5981" s="307" t="s">
        <v>16</v>
      </c>
      <c r="D5981" s="307" t="s">
        <v>7528</v>
      </c>
      <c r="E5981" s="444" t="s">
        <v>7881</v>
      </c>
      <c r="F5981" s="310">
        <v>28</v>
      </c>
      <c r="G5981" s="311">
        <v>2010</v>
      </c>
      <c r="H5981" s="329" t="s">
        <v>3</v>
      </c>
      <c r="I5981" s="313" t="s">
        <v>3</v>
      </c>
      <c r="J5981" s="314">
        <v>0.1</v>
      </c>
      <c r="K5981" s="314">
        <v>0.1</v>
      </c>
      <c r="L5981" s="314">
        <f t="shared" si="73"/>
        <v>0</v>
      </c>
      <c r="M5981" s="337"/>
    </row>
    <row r="5982" spans="1:13" s="71" customFormat="1" ht="26.4" customHeight="1">
      <c r="A5982" s="282">
        <v>390</v>
      </c>
      <c r="B5982" s="534"/>
      <c r="C5982" s="307" t="s">
        <v>16</v>
      </c>
      <c r="D5982" s="307" t="s">
        <v>7528</v>
      </c>
      <c r="E5982" s="444" t="s">
        <v>7881</v>
      </c>
      <c r="F5982" s="310">
        <v>29</v>
      </c>
      <c r="G5982" s="311">
        <v>2010</v>
      </c>
      <c r="H5982" s="329" t="s">
        <v>3</v>
      </c>
      <c r="I5982" s="313" t="s">
        <v>3</v>
      </c>
      <c r="J5982" s="314">
        <v>0.1</v>
      </c>
      <c r="K5982" s="314">
        <v>0.1</v>
      </c>
      <c r="L5982" s="314">
        <f t="shared" si="73"/>
        <v>0</v>
      </c>
      <c r="M5982" s="337"/>
    </row>
    <row r="5983" spans="1:13" s="71" customFormat="1" ht="26.4" customHeight="1">
      <c r="A5983" s="282">
        <v>391</v>
      </c>
      <c r="B5983" s="534"/>
      <c r="C5983" s="307" t="s">
        <v>16</v>
      </c>
      <c r="D5983" s="307" t="s">
        <v>7528</v>
      </c>
      <c r="E5983" s="444" t="s">
        <v>7881</v>
      </c>
      <c r="F5983" s="310">
        <v>30</v>
      </c>
      <c r="G5983" s="311">
        <v>2010</v>
      </c>
      <c r="H5983" s="329" t="s">
        <v>3</v>
      </c>
      <c r="I5983" s="313" t="s">
        <v>3</v>
      </c>
      <c r="J5983" s="314">
        <v>0.1</v>
      </c>
      <c r="K5983" s="314">
        <v>0.1</v>
      </c>
      <c r="L5983" s="314">
        <f t="shared" si="73"/>
        <v>0</v>
      </c>
      <c r="M5983" s="337"/>
    </row>
    <row r="5984" spans="1:13" s="71" customFormat="1" ht="26.4" customHeight="1">
      <c r="A5984" s="282">
        <v>392</v>
      </c>
      <c r="B5984" s="534"/>
      <c r="C5984" s="307" t="s">
        <v>16</v>
      </c>
      <c r="D5984" s="307" t="s">
        <v>7528</v>
      </c>
      <c r="E5984" s="444" t="s">
        <v>7881</v>
      </c>
      <c r="F5984" s="310">
        <v>31</v>
      </c>
      <c r="G5984" s="311">
        <v>2010</v>
      </c>
      <c r="H5984" s="329" t="s">
        <v>3</v>
      </c>
      <c r="I5984" s="313" t="s">
        <v>3</v>
      </c>
      <c r="J5984" s="314">
        <v>0.1</v>
      </c>
      <c r="K5984" s="314">
        <v>0.1</v>
      </c>
      <c r="L5984" s="314">
        <f t="shared" si="73"/>
        <v>0</v>
      </c>
      <c r="M5984" s="337"/>
    </row>
    <row r="5985" spans="1:13" s="71" customFormat="1" ht="26.4" customHeight="1">
      <c r="A5985" s="282">
        <v>393</v>
      </c>
      <c r="B5985" s="534"/>
      <c r="C5985" s="307" t="s">
        <v>16</v>
      </c>
      <c r="D5985" s="307" t="s">
        <v>7528</v>
      </c>
      <c r="E5985" s="444" t="s">
        <v>7881</v>
      </c>
      <c r="F5985" s="310">
        <v>32</v>
      </c>
      <c r="G5985" s="311">
        <v>2010</v>
      </c>
      <c r="H5985" s="329" t="s">
        <v>3</v>
      </c>
      <c r="I5985" s="313" t="s">
        <v>3</v>
      </c>
      <c r="J5985" s="314">
        <v>0.1</v>
      </c>
      <c r="K5985" s="314">
        <v>0.1</v>
      </c>
      <c r="L5985" s="314">
        <f t="shared" si="73"/>
        <v>0</v>
      </c>
      <c r="M5985" s="337"/>
    </row>
    <row r="5986" spans="1:13" s="71" customFormat="1" ht="26.4" customHeight="1">
      <c r="A5986" s="282">
        <v>394</v>
      </c>
      <c r="B5986" s="534"/>
      <c r="C5986" s="307" t="s">
        <v>16</v>
      </c>
      <c r="D5986" s="307" t="s">
        <v>7528</v>
      </c>
      <c r="E5986" s="444" t="s">
        <v>7881</v>
      </c>
      <c r="F5986" s="310">
        <v>33</v>
      </c>
      <c r="G5986" s="311">
        <v>2010</v>
      </c>
      <c r="H5986" s="329" t="s">
        <v>3</v>
      </c>
      <c r="I5986" s="313" t="s">
        <v>3</v>
      </c>
      <c r="J5986" s="314">
        <v>0.1</v>
      </c>
      <c r="K5986" s="314">
        <v>0.1</v>
      </c>
      <c r="L5986" s="314">
        <f t="shared" si="73"/>
        <v>0</v>
      </c>
      <c r="M5986" s="337"/>
    </row>
    <row r="5987" spans="1:13" s="71" customFormat="1" ht="26.4" customHeight="1">
      <c r="A5987" s="282">
        <v>395</v>
      </c>
      <c r="B5987" s="534"/>
      <c r="C5987" s="307" t="s">
        <v>16</v>
      </c>
      <c r="D5987" s="307" t="s">
        <v>7528</v>
      </c>
      <c r="E5987" s="444" t="s">
        <v>7881</v>
      </c>
      <c r="F5987" s="310">
        <v>34</v>
      </c>
      <c r="G5987" s="311">
        <v>2010</v>
      </c>
      <c r="H5987" s="329" t="s">
        <v>3</v>
      </c>
      <c r="I5987" s="313" t="s">
        <v>3</v>
      </c>
      <c r="J5987" s="314">
        <v>0.1</v>
      </c>
      <c r="K5987" s="314">
        <v>0.1</v>
      </c>
      <c r="L5987" s="314">
        <f t="shared" si="73"/>
        <v>0</v>
      </c>
      <c r="M5987" s="337"/>
    </row>
    <row r="5988" spans="1:13" s="71" customFormat="1" ht="26.4" customHeight="1">
      <c r="A5988" s="282">
        <v>396</v>
      </c>
      <c r="B5988" s="534"/>
      <c r="C5988" s="307" t="s">
        <v>16</v>
      </c>
      <c r="D5988" s="307" t="s">
        <v>7528</v>
      </c>
      <c r="E5988" s="444" t="s">
        <v>7881</v>
      </c>
      <c r="F5988" s="310">
        <v>35</v>
      </c>
      <c r="G5988" s="311">
        <v>2010</v>
      </c>
      <c r="H5988" s="329" t="s">
        <v>3</v>
      </c>
      <c r="I5988" s="313" t="s">
        <v>3</v>
      </c>
      <c r="J5988" s="314">
        <v>0.1</v>
      </c>
      <c r="K5988" s="314">
        <v>0.1</v>
      </c>
      <c r="L5988" s="314">
        <f t="shared" si="73"/>
        <v>0</v>
      </c>
      <c r="M5988" s="337"/>
    </row>
    <row r="5989" spans="1:13" s="71" customFormat="1" ht="26.4" customHeight="1">
      <c r="A5989" s="282">
        <v>397</v>
      </c>
      <c r="B5989" s="534"/>
      <c r="C5989" s="307" t="s">
        <v>16</v>
      </c>
      <c r="D5989" s="307" t="s">
        <v>7528</v>
      </c>
      <c r="E5989" s="444" t="s">
        <v>7881</v>
      </c>
      <c r="F5989" s="310">
        <v>36</v>
      </c>
      <c r="G5989" s="311">
        <v>2010</v>
      </c>
      <c r="H5989" s="329" t="s">
        <v>3</v>
      </c>
      <c r="I5989" s="313" t="s">
        <v>3</v>
      </c>
      <c r="J5989" s="314">
        <v>0.1</v>
      </c>
      <c r="K5989" s="314">
        <v>0.1</v>
      </c>
      <c r="L5989" s="314">
        <f t="shared" si="73"/>
        <v>0</v>
      </c>
      <c r="M5989" s="337"/>
    </row>
    <row r="5990" spans="1:13" s="71" customFormat="1" ht="26.4" customHeight="1">
      <c r="A5990" s="282">
        <v>398</v>
      </c>
      <c r="B5990" s="534"/>
      <c r="C5990" s="307" t="s">
        <v>16</v>
      </c>
      <c r="D5990" s="307" t="s">
        <v>7528</v>
      </c>
      <c r="E5990" s="444" t="s">
        <v>7881</v>
      </c>
      <c r="F5990" s="310">
        <v>37</v>
      </c>
      <c r="G5990" s="311">
        <v>2010</v>
      </c>
      <c r="H5990" s="329" t="s">
        <v>3</v>
      </c>
      <c r="I5990" s="313" t="s">
        <v>3</v>
      </c>
      <c r="J5990" s="314">
        <v>0.1</v>
      </c>
      <c r="K5990" s="314">
        <v>0.1</v>
      </c>
      <c r="L5990" s="314">
        <f t="shared" si="73"/>
        <v>0</v>
      </c>
      <c r="M5990" s="337"/>
    </row>
    <row r="5991" spans="1:13" s="71" customFormat="1" ht="26.4" customHeight="1">
      <c r="A5991" s="282">
        <v>399</v>
      </c>
      <c r="B5991" s="534"/>
      <c r="C5991" s="307" t="s">
        <v>16</v>
      </c>
      <c r="D5991" s="307" t="s">
        <v>7528</v>
      </c>
      <c r="E5991" s="444" t="s">
        <v>7881</v>
      </c>
      <c r="F5991" s="310">
        <v>38</v>
      </c>
      <c r="G5991" s="311">
        <v>2010</v>
      </c>
      <c r="H5991" s="329" t="s">
        <v>3</v>
      </c>
      <c r="I5991" s="313" t="s">
        <v>3</v>
      </c>
      <c r="J5991" s="314">
        <v>0.1</v>
      </c>
      <c r="K5991" s="314">
        <v>0.1</v>
      </c>
      <c r="L5991" s="314">
        <f t="shared" si="73"/>
        <v>0</v>
      </c>
      <c r="M5991" s="337"/>
    </row>
    <row r="5992" spans="1:13" s="71" customFormat="1" ht="26.4" customHeight="1">
      <c r="A5992" s="282">
        <v>400</v>
      </c>
      <c r="B5992" s="534"/>
      <c r="C5992" s="307" t="s">
        <v>16</v>
      </c>
      <c r="D5992" s="307" t="s">
        <v>7528</v>
      </c>
      <c r="E5992" s="444" t="s">
        <v>7881</v>
      </c>
      <c r="F5992" s="310">
        <v>39</v>
      </c>
      <c r="G5992" s="311">
        <v>2010</v>
      </c>
      <c r="H5992" s="329" t="s">
        <v>3</v>
      </c>
      <c r="I5992" s="313" t="s">
        <v>3</v>
      </c>
      <c r="J5992" s="314">
        <v>0.1</v>
      </c>
      <c r="K5992" s="314">
        <v>0.1</v>
      </c>
      <c r="L5992" s="314">
        <f t="shared" si="73"/>
        <v>0</v>
      </c>
      <c r="M5992" s="337"/>
    </row>
    <row r="5993" spans="1:13" s="71" customFormat="1" ht="26.4" customHeight="1">
      <c r="A5993" s="282">
        <v>401</v>
      </c>
      <c r="B5993" s="534"/>
      <c r="C5993" s="307" t="s">
        <v>16</v>
      </c>
      <c r="D5993" s="307" t="s">
        <v>7528</v>
      </c>
      <c r="E5993" s="444" t="s">
        <v>7881</v>
      </c>
      <c r="F5993" s="310">
        <v>40</v>
      </c>
      <c r="G5993" s="311">
        <v>2010</v>
      </c>
      <c r="H5993" s="329" t="s">
        <v>3</v>
      </c>
      <c r="I5993" s="313" t="s">
        <v>3</v>
      </c>
      <c r="J5993" s="314">
        <v>0.1</v>
      </c>
      <c r="K5993" s="314">
        <v>0.1</v>
      </c>
      <c r="L5993" s="314">
        <f t="shared" si="73"/>
        <v>0</v>
      </c>
      <c r="M5993" s="337"/>
    </row>
    <row r="5994" spans="1:13" s="71" customFormat="1" ht="26.4" customHeight="1">
      <c r="A5994" s="282">
        <v>402</v>
      </c>
      <c r="B5994" s="534"/>
      <c r="C5994" s="307" t="s">
        <v>16</v>
      </c>
      <c r="D5994" s="307" t="s">
        <v>7528</v>
      </c>
      <c r="E5994" s="444" t="s">
        <v>7881</v>
      </c>
      <c r="F5994" s="310">
        <v>41</v>
      </c>
      <c r="G5994" s="311">
        <v>2010</v>
      </c>
      <c r="H5994" s="329" t="s">
        <v>3</v>
      </c>
      <c r="I5994" s="313" t="s">
        <v>3</v>
      </c>
      <c r="J5994" s="314">
        <v>0.1</v>
      </c>
      <c r="K5994" s="314">
        <v>0.1</v>
      </c>
      <c r="L5994" s="314">
        <f t="shared" si="73"/>
        <v>0</v>
      </c>
      <c r="M5994" s="337"/>
    </row>
    <row r="5995" spans="1:13" s="71" customFormat="1" ht="26.4" customHeight="1">
      <c r="A5995" s="282">
        <v>403</v>
      </c>
      <c r="B5995" s="534"/>
      <c r="C5995" s="307" t="s">
        <v>16</v>
      </c>
      <c r="D5995" s="307" t="s">
        <v>7528</v>
      </c>
      <c r="E5995" s="444" t="s">
        <v>7881</v>
      </c>
      <c r="F5995" s="310">
        <v>42</v>
      </c>
      <c r="G5995" s="311">
        <v>2010</v>
      </c>
      <c r="H5995" s="329" t="s">
        <v>3</v>
      </c>
      <c r="I5995" s="313" t="s">
        <v>3</v>
      </c>
      <c r="J5995" s="314">
        <v>0.1</v>
      </c>
      <c r="K5995" s="314">
        <v>0.1</v>
      </c>
      <c r="L5995" s="314">
        <f t="shared" si="73"/>
        <v>0</v>
      </c>
      <c r="M5995" s="337"/>
    </row>
    <row r="5996" spans="1:13" s="71" customFormat="1" ht="26.4" customHeight="1">
      <c r="A5996" s="282">
        <v>404</v>
      </c>
      <c r="B5996" s="534"/>
      <c r="C5996" s="307" t="s">
        <v>16</v>
      </c>
      <c r="D5996" s="307" t="s">
        <v>7528</v>
      </c>
      <c r="E5996" s="444" t="s">
        <v>7881</v>
      </c>
      <c r="F5996" s="310">
        <v>43</v>
      </c>
      <c r="G5996" s="311">
        <v>2010</v>
      </c>
      <c r="H5996" s="329" t="s">
        <v>3</v>
      </c>
      <c r="I5996" s="313" t="s">
        <v>3</v>
      </c>
      <c r="J5996" s="314">
        <v>0.1</v>
      </c>
      <c r="K5996" s="314">
        <v>0.1</v>
      </c>
      <c r="L5996" s="314">
        <f t="shared" si="73"/>
        <v>0</v>
      </c>
      <c r="M5996" s="337"/>
    </row>
    <row r="5997" spans="1:13" s="71" customFormat="1" ht="26.4" customHeight="1">
      <c r="A5997" s="282">
        <v>405</v>
      </c>
      <c r="B5997" s="534"/>
      <c r="C5997" s="307" t="s">
        <v>16</v>
      </c>
      <c r="D5997" s="307" t="s">
        <v>7528</v>
      </c>
      <c r="E5997" s="444" t="s">
        <v>7881</v>
      </c>
      <c r="F5997" s="310">
        <v>44</v>
      </c>
      <c r="G5997" s="311">
        <v>2010</v>
      </c>
      <c r="H5997" s="329" t="s">
        <v>3</v>
      </c>
      <c r="I5997" s="313" t="s">
        <v>3</v>
      </c>
      <c r="J5997" s="314">
        <v>0.1</v>
      </c>
      <c r="K5997" s="314">
        <v>0.1</v>
      </c>
      <c r="L5997" s="314">
        <f t="shared" si="73"/>
        <v>0</v>
      </c>
      <c r="M5997" s="337"/>
    </row>
    <row r="5998" spans="1:13" s="71" customFormat="1" ht="26.4" customHeight="1">
      <c r="A5998" s="282">
        <v>406</v>
      </c>
      <c r="B5998" s="534"/>
      <c r="C5998" s="307" t="s">
        <v>16</v>
      </c>
      <c r="D5998" s="307" t="s">
        <v>7528</v>
      </c>
      <c r="E5998" s="444" t="s">
        <v>7881</v>
      </c>
      <c r="F5998" s="310">
        <v>45</v>
      </c>
      <c r="G5998" s="311">
        <v>2010</v>
      </c>
      <c r="H5998" s="329" t="s">
        <v>3</v>
      </c>
      <c r="I5998" s="313" t="s">
        <v>3</v>
      </c>
      <c r="J5998" s="314">
        <v>0.1</v>
      </c>
      <c r="K5998" s="314">
        <v>0.1</v>
      </c>
      <c r="L5998" s="314">
        <f t="shared" si="73"/>
        <v>0</v>
      </c>
      <c r="M5998" s="337"/>
    </row>
    <row r="5999" spans="1:13" s="71" customFormat="1" ht="26.4" customHeight="1">
      <c r="A5999" s="282">
        <v>407</v>
      </c>
      <c r="B5999" s="534"/>
      <c r="C5999" s="307" t="s">
        <v>16</v>
      </c>
      <c r="D5999" s="307" t="s">
        <v>7528</v>
      </c>
      <c r="E5999" s="444" t="s">
        <v>7881</v>
      </c>
      <c r="F5999" s="310">
        <v>46</v>
      </c>
      <c r="G5999" s="311">
        <v>2010</v>
      </c>
      <c r="H5999" s="329" t="s">
        <v>3</v>
      </c>
      <c r="I5999" s="313" t="s">
        <v>3</v>
      </c>
      <c r="J5999" s="314">
        <v>0.1</v>
      </c>
      <c r="K5999" s="314">
        <v>0.1</v>
      </c>
      <c r="L5999" s="314">
        <f t="shared" si="73"/>
        <v>0</v>
      </c>
      <c r="M5999" s="337"/>
    </row>
    <row r="6000" spans="1:13" s="71" customFormat="1" ht="26.4" customHeight="1">
      <c r="A6000" s="282">
        <v>408</v>
      </c>
      <c r="B6000" s="534"/>
      <c r="C6000" s="307" t="s">
        <v>16</v>
      </c>
      <c r="D6000" s="307" t="s">
        <v>7528</v>
      </c>
      <c r="E6000" s="444" t="s">
        <v>7881</v>
      </c>
      <c r="F6000" s="310">
        <v>47</v>
      </c>
      <c r="G6000" s="311">
        <v>2010</v>
      </c>
      <c r="H6000" s="329" t="s">
        <v>3</v>
      </c>
      <c r="I6000" s="313" t="s">
        <v>3</v>
      </c>
      <c r="J6000" s="314">
        <v>0.1</v>
      </c>
      <c r="K6000" s="314">
        <v>0.1</v>
      </c>
      <c r="L6000" s="314">
        <f t="shared" si="73"/>
        <v>0</v>
      </c>
      <c r="M6000" s="337"/>
    </row>
    <row r="6001" spans="1:13" s="71" customFormat="1" ht="26.4" customHeight="1">
      <c r="A6001" s="282">
        <v>409</v>
      </c>
      <c r="B6001" s="534"/>
      <c r="C6001" s="307" t="s">
        <v>16</v>
      </c>
      <c r="D6001" s="307" t="s">
        <v>7528</v>
      </c>
      <c r="E6001" s="444" t="s">
        <v>7881</v>
      </c>
      <c r="F6001" s="310">
        <v>48</v>
      </c>
      <c r="G6001" s="311">
        <v>2010</v>
      </c>
      <c r="H6001" s="329" t="s">
        <v>3</v>
      </c>
      <c r="I6001" s="313" t="s">
        <v>3</v>
      </c>
      <c r="J6001" s="314">
        <v>0.1</v>
      </c>
      <c r="K6001" s="314">
        <v>0.1</v>
      </c>
      <c r="L6001" s="314">
        <f t="shared" si="73"/>
        <v>0</v>
      </c>
      <c r="M6001" s="337"/>
    </row>
    <row r="6002" spans="1:13" s="71" customFormat="1" ht="26.4" customHeight="1">
      <c r="A6002" s="282">
        <v>410</v>
      </c>
      <c r="B6002" s="534"/>
      <c r="C6002" s="307" t="s">
        <v>16</v>
      </c>
      <c r="D6002" s="307" t="s">
        <v>7528</v>
      </c>
      <c r="E6002" s="444" t="s">
        <v>7881</v>
      </c>
      <c r="F6002" s="310">
        <v>49</v>
      </c>
      <c r="G6002" s="311">
        <v>2010</v>
      </c>
      <c r="H6002" s="329" t="s">
        <v>3</v>
      </c>
      <c r="I6002" s="313" t="s">
        <v>3</v>
      </c>
      <c r="J6002" s="314">
        <v>0.1</v>
      </c>
      <c r="K6002" s="314">
        <v>0.1</v>
      </c>
      <c r="L6002" s="314">
        <f t="shared" si="73"/>
        <v>0</v>
      </c>
      <c r="M6002" s="337"/>
    </row>
    <row r="6003" spans="1:13" s="71" customFormat="1" ht="26.4" customHeight="1">
      <c r="A6003" s="282">
        <v>411</v>
      </c>
      <c r="B6003" s="534"/>
      <c r="C6003" s="307" t="s">
        <v>16</v>
      </c>
      <c r="D6003" s="307" t="s">
        <v>7528</v>
      </c>
      <c r="E6003" s="444" t="s">
        <v>7881</v>
      </c>
      <c r="F6003" s="310">
        <v>50</v>
      </c>
      <c r="G6003" s="311">
        <v>2010</v>
      </c>
      <c r="H6003" s="329" t="s">
        <v>3</v>
      </c>
      <c r="I6003" s="313" t="s">
        <v>3</v>
      </c>
      <c r="J6003" s="314">
        <v>0.1</v>
      </c>
      <c r="K6003" s="314">
        <v>0.1</v>
      </c>
      <c r="L6003" s="314">
        <f t="shared" si="73"/>
        <v>0</v>
      </c>
      <c r="M6003" s="337"/>
    </row>
    <row r="6004" spans="1:13" s="71" customFormat="1" ht="26.4" customHeight="1">
      <c r="A6004" s="282">
        <v>412</v>
      </c>
      <c r="B6004" s="534"/>
      <c r="C6004" s="307" t="s">
        <v>16</v>
      </c>
      <c r="D6004" s="307" t="s">
        <v>7528</v>
      </c>
      <c r="E6004" s="444" t="s">
        <v>7881</v>
      </c>
      <c r="F6004" s="310">
        <v>51</v>
      </c>
      <c r="G6004" s="311">
        <v>2010</v>
      </c>
      <c r="H6004" s="329" t="s">
        <v>3</v>
      </c>
      <c r="I6004" s="313" t="s">
        <v>3</v>
      </c>
      <c r="J6004" s="314">
        <v>0.1</v>
      </c>
      <c r="K6004" s="314">
        <v>0.1</v>
      </c>
      <c r="L6004" s="314">
        <f t="shared" si="73"/>
        <v>0</v>
      </c>
      <c r="M6004" s="337"/>
    </row>
    <row r="6005" spans="1:13" s="71" customFormat="1" ht="26.4" customHeight="1">
      <c r="A6005" s="282">
        <v>413</v>
      </c>
      <c r="B6005" s="534"/>
      <c r="C6005" s="307" t="s">
        <v>16</v>
      </c>
      <c r="D6005" s="307" t="s">
        <v>7528</v>
      </c>
      <c r="E6005" s="444" t="s">
        <v>7881</v>
      </c>
      <c r="F6005" s="310">
        <v>52</v>
      </c>
      <c r="G6005" s="311">
        <v>2010</v>
      </c>
      <c r="H6005" s="329" t="s">
        <v>3</v>
      </c>
      <c r="I6005" s="313" t="s">
        <v>3</v>
      </c>
      <c r="J6005" s="314">
        <v>0.1</v>
      </c>
      <c r="K6005" s="314">
        <v>0.1</v>
      </c>
      <c r="L6005" s="314">
        <f t="shared" si="73"/>
        <v>0</v>
      </c>
      <c r="M6005" s="337"/>
    </row>
    <row r="6006" spans="1:13" s="71" customFormat="1" ht="26.4" customHeight="1">
      <c r="A6006" s="282">
        <v>414</v>
      </c>
      <c r="B6006" s="534"/>
      <c r="C6006" s="307" t="s">
        <v>16</v>
      </c>
      <c r="D6006" s="307" t="s">
        <v>7528</v>
      </c>
      <c r="E6006" s="444" t="s">
        <v>7881</v>
      </c>
      <c r="F6006" s="310">
        <v>53</v>
      </c>
      <c r="G6006" s="311">
        <v>2010</v>
      </c>
      <c r="H6006" s="329" t="s">
        <v>3</v>
      </c>
      <c r="I6006" s="313" t="s">
        <v>3</v>
      </c>
      <c r="J6006" s="314">
        <v>0.1</v>
      </c>
      <c r="K6006" s="314">
        <v>0.1</v>
      </c>
      <c r="L6006" s="314">
        <f t="shared" si="73"/>
        <v>0</v>
      </c>
      <c r="M6006" s="337"/>
    </row>
    <row r="6007" spans="1:13" s="71" customFormat="1" ht="26.4" customHeight="1">
      <c r="A6007" s="282">
        <v>415</v>
      </c>
      <c r="B6007" s="534"/>
      <c r="C6007" s="307" t="s">
        <v>16</v>
      </c>
      <c r="D6007" s="307" t="s">
        <v>7528</v>
      </c>
      <c r="E6007" s="444" t="s">
        <v>7881</v>
      </c>
      <c r="F6007" s="310">
        <v>54</v>
      </c>
      <c r="G6007" s="311">
        <v>2010</v>
      </c>
      <c r="H6007" s="329" t="s">
        <v>3</v>
      </c>
      <c r="I6007" s="313" t="s">
        <v>3</v>
      </c>
      <c r="J6007" s="314">
        <v>0.1</v>
      </c>
      <c r="K6007" s="314">
        <v>0.1</v>
      </c>
      <c r="L6007" s="314">
        <f t="shared" si="73"/>
        <v>0</v>
      </c>
      <c r="M6007" s="337"/>
    </row>
    <row r="6008" spans="1:13" s="71" customFormat="1" ht="26.4" customHeight="1">
      <c r="A6008" s="282">
        <v>416</v>
      </c>
      <c r="B6008" s="534"/>
      <c r="C6008" s="307" t="s">
        <v>16</v>
      </c>
      <c r="D6008" s="307" t="s">
        <v>7528</v>
      </c>
      <c r="E6008" s="444" t="s">
        <v>7881</v>
      </c>
      <c r="F6008" s="310">
        <v>55</v>
      </c>
      <c r="G6008" s="311">
        <v>2010</v>
      </c>
      <c r="H6008" s="329" t="s">
        <v>3</v>
      </c>
      <c r="I6008" s="313" t="s">
        <v>3</v>
      </c>
      <c r="J6008" s="314">
        <v>0.1</v>
      </c>
      <c r="K6008" s="314">
        <v>0.1</v>
      </c>
      <c r="L6008" s="314">
        <f t="shared" si="73"/>
        <v>0</v>
      </c>
      <c r="M6008" s="337"/>
    </row>
    <row r="6009" spans="1:13" s="71" customFormat="1" ht="26.4" customHeight="1">
      <c r="A6009" s="282">
        <v>417</v>
      </c>
      <c r="B6009" s="534"/>
      <c r="C6009" s="307" t="s">
        <v>16</v>
      </c>
      <c r="D6009" s="307" t="s">
        <v>7528</v>
      </c>
      <c r="E6009" s="444" t="s">
        <v>7881</v>
      </c>
      <c r="F6009" s="310">
        <v>56</v>
      </c>
      <c r="G6009" s="311">
        <v>2010</v>
      </c>
      <c r="H6009" s="329" t="s">
        <v>3</v>
      </c>
      <c r="I6009" s="313" t="s">
        <v>3</v>
      </c>
      <c r="J6009" s="314">
        <v>0.1</v>
      </c>
      <c r="K6009" s="314">
        <v>0.1</v>
      </c>
      <c r="L6009" s="314">
        <f t="shared" si="73"/>
        <v>0</v>
      </c>
      <c r="M6009" s="337"/>
    </row>
    <row r="6010" spans="1:13" s="71" customFormat="1" ht="26.4" customHeight="1">
      <c r="A6010" s="282">
        <v>418</v>
      </c>
      <c r="B6010" s="534"/>
      <c r="C6010" s="307" t="s">
        <v>16</v>
      </c>
      <c r="D6010" s="307" t="s">
        <v>7528</v>
      </c>
      <c r="E6010" s="444" t="s">
        <v>7881</v>
      </c>
      <c r="F6010" s="310">
        <v>57</v>
      </c>
      <c r="G6010" s="311">
        <v>2010</v>
      </c>
      <c r="H6010" s="329" t="s">
        <v>3</v>
      </c>
      <c r="I6010" s="313" t="s">
        <v>3</v>
      </c>
      <c r="J6010" s="314">
        <v>0.1</v>
      </c>
      <c r="K6010" s="314">
        <v>0.1</v>
      </c>
      <c r="L6010" s="314">
        <f t="shared" si="73"/>
        <v>0</v>
      </c>
      <c r="M6010" s="337"/>
    </row>
    <row r="6011" spans="1:13" s="71" customFormat="1" ht="26.4" customHeight="1">
      <c r="A6011" s="282">
        <v>419</v>
      </c>
      <c r="B6011" s="534"/>
      <c r="C6011" s="307" t="s">
        <v>16</v>
      </c>
      <c r="D6011" s="307" t="s">
        <v>7528</v>
      </c>
      <c r="E6011" s="444" t="s">
        <v>7881</v>
      </c>
      <c r="F6011" s="310">
        <v>58</v>
      </c>
      <c r="G6011" s="311">
        <v>2010</v>
      </c>
      <c r="H6011" s="329" t="s">
        <v>3</v>
      </c>
      <c r="I6011" s="313" t="s">
        <v>3</v>
      </c>
      <c r="J6011" s="314">
        <v>0.1</v>
      </c>
      <c r="K6011" s="314">
        <v>0.1</v>
      </c>
      <c r="L6011" s="314">
        <f t="shared" si="73"/>
        <v>0</v>
      </c>
      <c r="M6011" s="337"/>
    </row>
    <row r="6012" spans="1:13" s="71" customFormat="1" ht="26.4" customHeight="1">
      <c r="A6012" s="282">
        <v>420</v>
      </c>
      <c r="B6012" s="534"/>
      <c r="C6012" s="307" t="s">
        <v>16</v>
      </c>
      <c r="D6012" s="307" t="s">
        <v>7528</v>
      </c>
      <c r="E6012" s="444" t="s">
        <v>7881</v>
      </c>
      <c r="F6012" s="310">
        <v>59</v>
      </c>
      <c r="G6012" s="311">
        <v>2010</v>
      </c>
      <c r="H6012" s="329" t="s">
        <v>3</v>
      </c>
      <c r="I6012" s="313" t="s">
        <v>3</v>
      </c>
      <c r="J6012" s="314">
        <v>0.1</v>
      </c>
      <c r="K6012" s="314">
        <v>0.1</v>
      </c>
      <c r="L6012" s="314">
        <f t="shared" si="73"/>
        <v>0</v>
      </c>
      <c r="M6012" s="337"/>
    </row>
    <row r="6013" spans="1:13" s="71" customFormat="1" ht="26.4" customHeight="1">
      <c r="A6013" s="282">
        <v>421</v>
      </c>
      <c r="B6013" s="534"/>
      <c r="C6013" s="307" t="s">
        <v>16</v>
      </c>
      <c r="D6013" s="307" t="s">
        <v>7528</v>
      </c>
      <c r="E6013" s="444" t="s">
        <v>7881</v>
      </c>
      <c r="F6013" s="310">
        <v>60</v>
      </c>
      <c r="G6013" s="311">
        <v>2010</v>
      </c>
      <c r="H6013" s="329" t="s">
        <v>3</v>
      </c>
      <c r="I6013" s="313" t="s">
        <v>3</v>
      </c>
      <c r="J6013" s="314">
        <v>0.1</v>
      </c>
      <c r="K6013" s="314">
        <v>0.1</v>
      </c>
      <c r="L6013" s="314">
        <f t="shared" si="73"/>
        <v>0</v>
      </c>
      <c r="M6013" s="337"/>
    </row>
    <row r="6014" spans="1:13" s="71" customFormat="1" ht="26.4" customHeight="1">
      <c r="A6014" s="282">
        <v>422</v>
      </c>
      <c r="B6014" s="534"/>
      <c r="C6014" s="307" t="s">
        <v>16</v>
      </c>
      <c r="D6014" s="307" t="s">
        <v>7528</v>
      </c>
      <c r="E6014" s="444" t="s">
        <v>7881</v>
      </c>
      <c r="F6014" s="310">
        <v>61</v>
      </c>
      <c r="G6014" s="311">
        <v>2010</v>
      </c>
      <c r="H6014" s="329" t="s">
        <v>3</v>
      </c>
      <c r="I6014" s="313" t="s">
        <v>3</v>
      </c>
      <c r="J6014" s="314">
        <v>0.1</v>
      </c>
      <c r="K6014" s="314">
        <v>0.1</v>
      </c>
      <c r="L6014" s="314">
        <f t="shared" si="73"/>
        <v>0</v>
      </c>
      <c r="M6014" s="337"/>
    </row>
    <row r="6015" spans="1:13" s="71" customFormat="1" ht="26.4" customHeight="1">
      <c r="A6015" s="282">
        <v>423</v>
      </c>
      <c r="B6015" s="534"/>
      <c r="C6015" s="307" t="s">
        <v>16</v>
      </c>
      <c r="D6015" s="307" t="s">
        <v>7528</v>
      </c>
      <c r="E6015" s="444" t="s">
        <v>7881</v>
      </c>
      <c r="F6015" s="310">
        <v>62</v>
      </c>
      <c r="G6015" s="311">
        <v>2010</v>
      </c>
      <c r="H6015" s="329" t="s">
        <v>3</v>
      </c>
      <c r="I6015" s="313" t="s">
        <v>3</v>
      </c>
      <c r="J6015" s="314">
        <v>0.1</v>
      </c>
      <c r="K6015" s="314">
        <v>0.1</v>
      </c>
      <c r="L6015" s="314">
        <f t="shared" si="73"/>
        <v>0</v>
      </c>
      <c r="M6015" s="337"/>
    </row>
    <row r="6016" spans="1:13" s="71" customFormat="1" ht="26.4" customHeight="1">
      <c r="A6016" s="282">
        <v>424</v>
      </c>
      <c r="B6016" s="534"/>
      <c r="C6016" s="307" t="s">
        <v>16</v>
      </c>
      <c r="D6016" s="307" t="s">
        <v>7528</v>
      </c>
      <c r="E6016" s="444" t="s">
        <v>7881</v>
      </c>
      <c r="F6016" s="310">
        <v>63</v>
      </c>
      <c r="G6016" s="311">
        <v>2010</v>
      </c>
      <c r="H6016" s="329" t="s">
        <v>3</v>
      </c>
      <c r="I6016" s="313" t="s">
        <v>3</v>
      </c>
      <c r="J6016" s="314">
        <v>0.1</v>
      </c>
      <c r="K6016" s="314">
        <v>0.1</v>
      </c>
      <c r="L6016" s="314">
        <f t="shared" si="73"/>
        <v>0</v>
      </c>
      <c r="M6016" s="337"/>
    </row>
    <row r="6017" spans="1:13" s="71" customFormat="1" ht="26.4" customHeight="1">
      <c r="A6017" s="282">
        <v>425</v>
      </c>
      <c r="B6017" s="534"/>
      <c r="C6017" s="307" t="s">
        <v>16</v>
      </c>
      <c r="D6017" s="307" t="s">
        <v>7528</v>
      </c>
      <c r="E6017" s="444" t="s">
        <v>7881</v>
      </c>
      <c r="F6017" s="310">
        <v>64</v>
      </c>
      <c r="G6017" s="311">
        <v>2010</v>
      </c>
      <c r="H6017" s="329" t="s">
        <v>3</v>
      </c>
      <c r="I6017" s="313" t="s">
        <v>3</v>
      </c>
      <c r="J6017" s="314">
        <v>0.1</v>
      </c>
      <c r="K6017" s="314">
        <v>0.1</v>
      </c>
      <c r="L6017" s="314">
        <f t="shared" si="73"/>
        <v>0</v>
      </c>
      <c r="M6017" s="337"/>
    </row>
    <row r="6018" spans="1:13" s="71" customFormat="1" ht="26.4" customHeight="1">
      <c r="A6018" s="282">
        <v>426</v>
      </c>
      <c r="B6018" s="534"/>
      <c r="C6018" s="307" t="s">
        <v>16</v>
      </c>
      <c r="D6018" s="307" t="s">
        <v>7528</v>
      </c>
      <c r="E6018" s="444" t="s">
        <v>7881</v>
      </c>
      <c r="F6018" s="310">
        <v>65</v>
      </c>
      <c r="G6018" s="311">
        <v>2010</v>
      </c>
      <c r="H6018" s="329" t="s">
        <v>3</v>
      </c>
      <c r="I6018" s="313" t="s">
        <v>3</v>
      </c>
      <c r="J6018" s="314">
        <v>0.1</v>
      </c>
      <c r="K6018" s="314">
        <v>0.1</v>
      </c>
      <c r="L6018" s="314">
        <f t="shared" si="73"/>
        <v>0</v>
      </c>
      <c r="M6018" s="337"/>
    </row>
    <row r="6019" spans="1:13" s="71" customFormat="1" ht="26.4" customHeight="1">
      <c r="A6019" s="282">
        <v>427</v>
      </c>
      <c r="B6019" s="534"/>
      <c r="C6019" s="307" t="s">
        <v>16</v>
      </c>
      <c r="D6019" s="307" t="s">
        <v>7528</v>
      </c>
      <c r="E6019" s="444" t="s">
        <v>7881</v>
      </c>
      <c r="F6019" s="310">
        <v>66</v>
      </c>
      <c r="G6019" s="311">
        <v>2010</v>
      </c>
      <c r="H6019" s="329" t="s">
        <v>3</v>
      </c>
      <c r="I6019" s="313" t="s">
        <v>3</v>
      </c>
      <c r="J6019" s="314">
        <v>0.1</v>
      </c>
      <c r="K6019" s="314">
        <v>0.1</v>
      </c>
      <c r="L6019" s="314">
        <f t="shared" si="73"/>
        <v>0</v>
      </c>
      <c r="M6019" s="337"/>
    </row>
    <row r="6020" spans="1:13" s="71" customFormat="1" ht="26.4" customHeight="1">
      <c r="A6020" s="282">
        <v>428</v>
      </c>
      <c r="B6020" s="534"/>
      <c r="C6020" s="307" t="s">
        <v>16</v>
      </c>
      <c r="D6020" s="307" t="s">
        <v>7528</v>
      </c>
      <c r="E6020" s="444" t="s">
        <v>7881</v>
      </c>
      <c r="F6020" s="310">
        <v>67</v>
      </c>
      <c r="G6020" s="311">
        <v>2010</v>
      </c>
      <c r="H6020" s="329" t="s">
        <v>3</v>
      </c>
      <c r="I6020" s="313" t="s">
        <v>3</v>
      </c>
      <c r="J6020" s="314">
        <v>0.1</v>
      </c>
      <c r="K6020" s="314">
        <v>0.1</v>
      </c>
      <c r="L6020" s="314">
        <f t="shared" si="73"/>
        <v>0</v>
      </c>
      <c r="M6020" s="337"/>
    </row>
    <row r="6021" spans="1:13" s="71" customFormat="1" ht="26.4" customHeight="1">
      <c r="A6021" s="282">
        <v>429</v>
      </c>
      <c r="B6021" s="534"/>
      <c r="C6021" s="307" t="s">
        <v>16</v>
      </c>
      <c r="D6021" s="307" t="s">
        <v>7528</v>
      </c>
      <c r="E6021" s="444" t="s">
        <v>7881</v>
      </c>
      <c r="F6021" s="310">
        <v>68</v>
      </c>
      <c r="G6021" s="311">
        <v>2010</v>
      </c>
      <c r="H6021" s="329" t="s">
        <v>3</v>
      </c>
      <c r="I6021" s="313" t="s">
        <v>3</v>
      </c>
      <c r="J6021" s="314">
        <v>0.1</v>
      </c>
      <c r="K6021" s="314">
        <v>0.1</v>
      </c>
      <c r="L6021" s="314">
        <f t="shared" si="73"/>
        <v>0</v>
      </c>
      <c r="M6021" s="337"/>
    </row>
    <row r="6022" spans="1:13" s="71" customFormat="1" ht="26.4" customHeight="1">
      <c r="A6022" s="282">
        <v>430</v>
      </c>
      <c r="B6022" s="534"/>
      <c r="C6022" s="307" t="s">
        <v>16</v>
      </c>
      <c r="D6022" s="307" t="s">
        <v>7528</v>
      </c>
      <c r="E6022" s="444" t="s">
        <v>7881</v>
      </c>
      <c r="F6022" s="310">
        <v>69</v>
      </c>
      <c r="G6022" s="311">
        <v>2010</v>
      </c>
      <c r="H6022" s="329" t="s">
        <v>3</v>
      </c>
      <c r="I6022" s="313" t="s">
        <v>3</v>
      </c>
      <c r="J6022" s="314">
        <v>0.1</v>
      </c>
      <c r="K6022" s="314">
        <v>0.1</v>
      </c>
      <c r="L6022" s="314">
        <f t="shared" si="73"/>
        <v>0</v>
      </c>
      <c r="M6022" s="337"/>
    </row>
    <row r="6023" spans="1:13" s="71" customFormat="1" ht="26.4" customHeight="1">
      <c r="A6023" s="282">
        <v>431</v>
      </c>
      <c r="B6023" s="534"/>
      <c r="C6023" s="307" t="s">
        <v>16</v>
      </c>
      <c r="D6023" s="307" t="s">
        <v>7528</v>
      </c>
      <c r="E6023" s="444" t="s">
        <v>7881</v>
      </c>
      <c r="F6023" s="310">
        <v>70</v>
      </c>
      <c r="G6023" s="311">
        <v>2010</v>
      </c>
      <c r="H6023" s="329" t="s">
        <v>3</v>
      </c>
      <c r="I6023" s="313" t="s">
        <v>3</v>
      </c>
      <c r="J6023" s="314">
        <v>0.1</v>
      </c>
      <c r="K6023" s="314">
        <v>0.1</v>
      </c>
      <c r="L6023" s="314">
        <f t="shared" si="73"/>
        <v>0</v>
      </c>
      <c r="M6023" s="337"/>
    </row>
    <row r="6024" spans="1:13" s="71" customFormat="1" ht="26.4" customHeight="1">
      <c r="A6024" s="282">
        <v>432</v>
      </c>
      <c r="B6024" s="534"/>
      <c r="C6024" s="307" t="s">
        <v>16</v>
      </c>
      <c r="D6024" s="307" t="s">
        <v>7528</v>
      </c>
      <c r="E6024" s="444" t="s">
        <v>7881</v>
      </c>
      <c r="F6024" s="310">
        <v>71</v>
      </c>
      <c r="G6024" s="311">
        <v>2010</v>
      </c>
      <c r="H6024" s="329" t="s">
        <v>3</v>
      </c>
      <c r="I6024" s="313" t="s">
        <v>3</v>
      </c>
      <c r="J6024" s="314">
        <v>0.1</v>
      </c>
      <c r="K6024" s="314">
        <v>0.1</v>
      </c>
      <c r="L6024" s="314">
        <f t="shared" si="73"/>
        <v>0</v>
      </c>
      <c r="M6024" s="337"/>
    </row>
    <row r="6025" spans="1:13" s="71" customFormat="1" ht="26.4" customHeight="1">
      <c r="A6025" s="282">
        <v>433</v>
      </c>
      <c r="B6025" s="534"/>
      <c r="C6025" s="307" t="s">
        <v>16</v>
      </c>
      <c r="D6025" s="307" t="s">
        <v>7528</v>
      </c>
      <c r="E6025" s="444" t="s">
        <v>7881</v>
      </c>
      <c r="F6025" s="310">
        <v>72</v>
      </c>
      <c r="G6025" s="311">
        <v>2010</v>
      </c>
      <c r="H6025" s="329" t="s">
        <v>3</v>
      </c>
      <c r="I6025" s="313" t="s">
        <v>3</v>
      </c>
      <c r="J6025" s="314">
        <v>0.1</v>
      </c>
      <c r="K6025" s="314">
        <v>0.1</v>
      </c>
      <c r="L6025" s="314">
        <f t="shared" si="73"/>
        <v>0</v>
      </c>
      <c r="M6025" s="337"/>
    </row>
    <row r="6026" spans="1:13" s="71" customFormat="1" ht="26.4" customHeight="1">
      <c r="A6026" s="282">
        <v>434</v>
      </c>
      <c r="B6026" s="534"/>
      <c r="C6026" s="307" t="s">
        <v>16</v>
      </c>
      <c r="D6026" s="307" t="s">
        <v>7528</v>
      </c>
      <c r="E6026" s="444" t="s">
        <v>7881</v>
      </c>
      <c r="F6026" s="310">
        <v>73</v>
      </c>
      <c r="G6026" s="311">
        <v>2010</v>
      </c>
      <c r="H6026" s="329" t="s">
        <v>3</v>
      </c>
      <c r="I6026" s="313" t="s">
        <v>3</v>
      </c>
      <c r="J6026" s="314">
        <v>0.1</v>
      </c>
      <c r="K6026" s="314">
        <v>0.1</v>
      </c>
      <c r="L6026" s="314">
        <f t="shared" si="73"/>
        <v>0</v>
      </c>
      <c r="M6026" s="337"/>
    </row>
    <row r="6027" spans="1:13" s="71" customFormat="1" ht="26.4" customHeight="1">
      <c r="A6027" s="282">
        <v>435</v>
      </c>
      <c r="B6027" s="534"/>
      <c r="C6027" s="307" t="s">
        <v>16</v>
      </c>
      <c r="D6027" s="307" t="s">
        <v>7528</v>
      </c>
      <c r="E6027" s="444" t="s">
        <v>7881</v>
      </c>
      <c r="F6027" s="310">
        <v>74</v>
      </c>
      <c r="G6027" s="311">
        <v>2010</v>
      </c>
      <c r="H6027" s="329" t="s">
        <v>3</v>
      </c>
      <c r="I6027" s="313" t="s">
        <v>3</v>
      </c>
      <c r="J6027" s="314">
        <v>0.1</v>
      </c>
      <c r="K6027" s="314">
        <v>0.1</v>
      </c>
      <c r="L6027" s="314">
        <f t="shared" si="73"/>
        <v>0</v>
      </c>
      <c r="M6027" s="337"/>
    </row>
    <row r="6028" spans="1:13" s="113" customFormat="1" ht="26.4" customHeight="1">
      <c r="A6028" s="297">
        <v>436</v>
      </c>
      <c r="B6028" s="534"/>
      <c r="C6028" s="446" t="s">
        <v>16</v>
      </c>
      <c r="D6028" s="453" t="s">
        <v>7882</v>
      </c>
      <c r="E6028" s="456" t="s">
        <v>7883</v>
      </c>
      <c r="F6028" s="457">
        <v>70392</v>
      </c>
      <c r="G6028" s="458">
        <v>2007</v>
      </c>
      <c r="H6028" s="488" t="s">
        <v>3</v>
      </c>
      <c r="I6028" s="455" t="s">
        <v>3</v>
      </c>
      <c r="J6028" s="459">
        <v>25</v>
      </c>
      <c r="K6028" s="459">
        <v>11</v>
      </c>
      <c r="L6028" s="459">
        <f t="shared" si="73"/>
        <v>14</v>
      </c>
      <c r="M6028" s="460"/>
    </row>
    <row r="6029" spans="1:13" s="113" customFormat="1" ht="26.4" customHeight="1">
      <c r="A6029" s="297">
        <v>437</v>
      </c>
      <c r="B6029" s="534"/>
      <c r="C6029" s="446" t="s">
        <v>16</v>
      </c>
      <c r="D6029" s="453" t="s">
        <v>7459</v>
      </c>
      <c r="E6029" s="456" t="s">
        <v>7884</v>
      </c>
      <c r="F6029" s="457">
        <v>71077</v>
      </c>
      <c r="G6029" s="458">
        <v>2010</v>
      </c>
      <c r="H6029" s="488" t="s">
        <v>3</v>
      </c>
      <c r="I6029" s="455" t="s">
        <v>3</v>
      </c>
      <c r="J6029" s="459">
        <v>81.5</v>
      </c>
      <c r="K6029" s="459">
        <v>30.6</v>
      </c>
      <c r="L6029" s="459">
        <f t="shared" si="73"/>
        <v>50.9</v>
      </c>
      <c r="M6029" s="460"/>
    </row>
    <row r="6030" spans="1:13" s="113" customFormat="1" ht="26.4" customHeight="1">
      <c r="A6030" s="297">
        <v>438</v>
      </c>
      <c r="B6030" s="534"/>
      <c r="C6030" s="446" t="s">
        <v>16</v>
      </c>
      <c r="D6030" s="453" t="s">
        <v>7885</v>
      </c>
      <c r="E6030" s="456" t="s">
        <v>7886</v>
      </c>
      <c r="F6030" s="457">
        <v>71078</v>
      </c>
      <c r="G6030" s="458">
        <v>2010</v>
      </c>
      <c r="H6030" s="488" t="s">
        <v>3</v>
      </c>
      <c r="I6030" s="455" t="s">
        <v>3</v>
      </c>
      <c r="J6030" s="459">
        <v>81.5</v>
      </c>
      <c r="K6030" s="459">
        <v>30.6</v>
      </c>
      <c r="L6030" s="459">
        <f t="shared" si="73"/>
        <v>50.9</v>
      </c>
      <c r="M6030" s="460"/>
    </row>
    <row r="6031" spans="1:13" s="113" customFormat="1" ht="26.4" customHeight="1">
      <c r="A6031" s="297">
        <v>439</v>
      </c>
      <c r="B6031" s="534"/>
      <c r="C6031" s="446" t="s">
        <v>16</v>
      </c>
      <c r="D6031" s="453" t="s">
        <v>7548</v>
      </c>
      <c r="E6031" s="456" t="s">
        <v>7887</v>
      </c>
      <c r="F6031" s="457">
        <v>243613</v>
      </c>
      <c r="G6031" s="458">
        <v>2015</v>
      </c>
      <c r="H6031" s="488" t="s">
        <v>3</v>
      </c>
      <c r="I6031" s="455" t="s">
        <v>3</v>
      </c>
      <c r="J6031" s="459">
        <v>192.9</v>
      </c>
      <c r="K6031" s="459">
        <v>128.80000000000001</v>
      </c>
      <c r="L6031" s="459">
        <f t="shared" si="73"/>
        <v>64.099999999999994</v>
      </c>
      <c r="M6031" s="460"/>
    </row>
    <row r="6032" spans="1:13" s="113" customFormat="1" ht="26.4" customHeight="1">
      <c r="A6032" s="297">
        <v>440</v>
      </c>
      <c r="B6032" s="534"/>
      <c r="C6032" s="446" t="s">
        <v>16</v>
      </c>
      <c r="D6032" s="453" t="s">
        <v>7548</v>
      </c>
      <c r="E6032" s="456" t="s">
        <v>7888</v>
      </c>
      <c r="F6032" s="457">
        <v>243615</v>
      </c>
      <c r="G6032" s="458">
        <v>2015</v>
      </c>
      <c r="H6032" s="488" t="s">
        <v>3</v>
      </c>
      <c r="I6032" s="455" t="s">
        <v>3</v>
      </c>
      <c r="J6032" s="459">
        <v>166.6</v>
      </c>
      <c r="K6032" s="459">
        <v>113.3</v>
      </c>
      <c r="L6032" s="459">
        <f t="shared" si="73"/>
        <v>53.3</v>
      </c>
      <c r="M6032" s="460"/>
    </row>
    <row r="6033" spans="1:13" s="71" customFormat="1" ht="26.4" customHeight="1">
      <c r="A6033" s="282">
        <v>441</v>
      </c>
      <c r="B6033" s="534"/>
      <c r="C6033" s="307" t="s">
        <v>7547</v>
      </c>
      <c r="D6033" s="307" t="s">
        <v>7548</v>
      </c>
      <c r="E6033" s="444" t="s">
        <v>7889</v>
      </c>
      <c r="F6033" s="310">
        <v>243616</v>
      </c>
      <c r="G6033" s="311">
        <v>2015</v>
      </c>
      <c r="H6033" s="329" t="s">
        <v>3</v>
      </c>
      <c r="I6033" s="313" t="s">
        <v>3</v>
      </c>
      <c r="J6033" s="314">
        <v>89.4</v>
      </c>
      <c r="K6033" s="314">
        <v>43.1</v>
      </c>
      <c r="L6033" s="314">
        <f t="shared" si="73"/>
        <v>46.300000000000004</v>
      </c>
      <c r="M6033" s="337"/>
    </row>
    <row r="6034" spans="1:13" s="71" customFormat="1" ht="26.4" customHeight="1">
      <c r="A6034" s="282">
        <v>442</v>
      </c>
      <c r="B6034" s="534"/>
      <c r="C6034" s="307" t="s">
        <v>7547</v>
      </c>
      <c r="D6034" s="307" t="s">
        <v>7548</v>
      </c>
      <c r="E6034" s="444" t="s">
        <v>7890</v>
      </c>
      <c r="F6034" s="310">
        <v>243617</v>
      </c>
      <c r="G6034" s="311">
        <v>2015</v>
      </c>
      <c r="H6034" s="329" t="s">
        <v>3</v>
      </c>
      <c r="I6034" s="313" t="s">
        <v>3</v>
      </c>
      <c r="J6034" s="314">
        <v>87.2</v>
      </c>
      <c r="K6034" s="314">
        <v>76.599999999999994</v>
      </c>
      <c r="L6034" s="314">
        <f t="shared" si="73"/>
        <v>10.600000000000009</v>
      </c>
      <c r="M6034" s="337"/>
    </row>
    <row r="6035" spans="1:13" s="71" customFormat="1" ht="26.4" customHeight="1">
      <c r="A6035" s="282">
        <v>443</v>
      </c>
      <c r="B6035" s="534"/>
      <c r="C6035" s="307" t="s">
        <v>7547</v>
      </c>
      <c r="D6035" s="307" t="s">
        <v>7548</v>
      </c>
      <c r="E6035" s="444" t="s">
        <v>7891</v>
      </c>
      <c r="F6035" s="310">
        <v>243587</v>
      </c>
      <c r="G6035" s="311">
        <v>2015</v>
      </c>
      <c r="H6035" s="329" t="s">
        <v>3</v>
      </c>
      <c r="I6035" s="313" t="s">
        <v>3</v>
      </c>
      <c r="J6035" s="314">
        <v>58.1</v>
      </c>
      <c r="K6035" s="314">
        <v>25.1</v>
      </c>
      <c r="L6035" s="314">
        <f t="shared" si="73"/>
        <v>33</v>
      </c>
      <c r="M6035" s="337"/>
    </row>
    <row r="6036" spans="1:13" s="71" customFormat="1" ht="26.4" customHeight="1">
      <c r="A6036" s="282">
        <v>444</v>
      </c>
      <c r="B6036" s="534"/>
      <c r="C6036" s="307" t="s">
        <v>7547</v>
      </c>
      <c r="D6036" s="307" t="s">
        <v>7892</v>
      </c>
      <c r="E6036" s="444" t="s">
        <v>7893</v>
      </c>
      <c r="F6036" s="310">
        <v>710325</v>
      </c>
      <c r="G6036" s="311">
        <v>2016</v>
      </c>
      <c r="H6036" s="329" t="s">
        <v>3</v>
      </c>
      <c r="I6036" s="313" t="s">
        <v>3</v>
      </c>
      <c r="J6036" s="314">
        <v>9878.1</v>
      </c>
      <c r="K6036" s="314">
        <v>279.89999999999998</v>
      </c>
      <c r="L6036" s="314">
        <f t="shared" si="73"/>
        <v>9598.2000000000007</v>
      </c>
      <c r="M6036" s="337"/>
    </row>
    <row r="6037" spans="1:13" s="71" customFormat="1" ht="26.4" customHeight="1">
      <c r="A6037" s="324" t="s">
        <v>3</v>
      </c>
      <c r="B6037" s="341" t="s">
        <v>4</v>
      </c>
      <c r="C6037" s="342" t="s">
        <v>3</v>
      </c>
      <c r="D6037" s="342" t="s">
        <v>3</v>
      </c>
      <c r="E6037" s="343" t="s">
        <v>3</v>
      </c>
      <c r="F6037" s="344" t="s">
        <v>3</v>
      </c>
      <c r="G6037" s="345" t="s">
        <v>3</v>
      </c>
      <c r="H6037" s="423" t="s">
        <v>3</v>
      </c>
      <c r="I6037" s="343" t="s">
        <v>3</v>
      </c>
      <c r="J6037" s="370">
        <f>SUM(J5593:J6036)</f>
        <v>28477.899999999856</v>
      </c>
      <c r="K6037" s="370">
        <f>SUM(K5593:K6036)</f>
        <v>9238.2000000000335</v>
      </c>
      <c r="L6037" s="370">
        <f>SUM(L5593:L6036)</f>
        <v>19239.700000000019</v>
      </c>
      <c r="M6037" s="337"/>
    </row>
    <row r="6038" spans="1:13" s="71" customFormat="1" ht="26.4" customHeight="1">
      <c r="A6038" s="445">
        <v>1</v>
      </c>
      <c r="B6038" s="556" t="s">
        <v>7894</v>
      </c>
      <c r="C6038" s="260" t="s">
        <v>7895</v>
      </c>
      <c r="D6038" s="260" t="s">
        <v>7896</v>
      </c>
      <c r="E6038" s="260" t="s">
        <v>7897</v>
      </c>
      <c r="F6038" s="387">
        <v>1</v>
      </c>
      <c r="G6038" s="311">
        <v>1963</v>
      </c>
      <c r="H6038" s="472" t="s">
        <v>1149</v>
      </c>
      <c r="I6038" s="473">
        <v>120</v>
      </c>
      <c r="J6038" s="496">
        <v>15.441560000000001</v>
      </c>
      <c r="K6038" s="496">
        <v>13.985950000000001</v>
      </c>
      <c r="L6038" s="496">
        <f t="shared" ref="L6038:L6101" si="74">J6038-K6038</f>
        <v>1.4556100000000001</v>
      </c>
      <c r="M6038" s="337"/>
    </row>
    <row r="6039" spans="1:13" s="71" customFormat="1" ht="26.4" customHeight="1">
      <c r="A6039" s="282">
        <v>2</v>
      </c>
      <c r="B6039" s="556"/>
      <c r="C6039" s="260" t="s">
        <v>7895</v>
      </c>
      <c r="D6039" s="260" t="s">
        <v>7896</v>
      </c>
      <c r="E6039" s="260" t="s">
        <v>7898</v>
      </c>
      <c r="F6039" s="387">
        <v>2</v>
      </c>
      <c r="G6039" s="311">
        <v>1983</v>
      </c>
      <c r="H6039" s="472" t="s">
        <v>1149</v>
      </c>
      <c r="I6039" s="473">
        <v>304</v>
      </c>
      <c r="J6039" s="496">
        <v>111.22475</v>
      </c>
      <c r="K6039" s="496">
        <v>100.23954999999999</v>
      </c>
      <c r="L6039" s="496">
        <f t="shared" si="74"/>
        <v>10.985200000000006</v>
      </c>
      <c r="M6039" s="337"/>
    </row>
    <row r="6040" spans="1:13" s="71" customFormat="1" ht="26.4" customHeight="1">
      <c r="A6040" s="282">
        <v>3</v>
      </c>
      <c r="B6040" s="556"/>
      <c r="C6040" s="260" t="s">
        <v>7895</v>
      </c>
      <c r="D6040" s="260" t="s">
        <v>7907</v>
      </c>
      <c r="E6040" s="260" t="s">
        <v>7899</v>
      </c>
      <c r="F6040" s="387">
        <v>3</v>
      </c>
      <c r="G6040" s="311">
        <v>1964</v>
      </c>
      <c r="H6040" s="472" t="s">
        <v>1149</v>
      </c>
      <c r="I6040" s="473">
        <v>17</v>
      </c>
      <c r="J6040" s="496">
        <v>9.8951600000000006</v>
      </c>
      <c r="K6040" s="496">
        <v>8.3391699999999993</v>
      </c>
      <c r="L6040" s="496">
        <f t="shared" si="74"/>
        <v>1.5559900000000013</v>
      </c>
      <c r="M6040" s="337"/>
    </row>
    <row r="6041" spans="1:13" s="71" customFormat="1" ht="26.4" customHeight="1">
      <c r="A6041" s="282">
        <v>4</v>
      </c>
      <c r="B6041" s="556"/>
      <c r="C6041" s="260" t="s">
        <v>7895</v>
      </c>
      <c r="D6041" s="260" t="s">
        <v>7896</v>
      </c>
      <c r="E6041" s="260" t="s">
        <v>7900</v>
      </c>
      <c r="F6041" s="387">
        <v>5</v>
      </c>
      <c r="G6041" s="311">
        <v>1983</v>
      </c>
      <c r="H6041" s="472" t="s">
        <v>1149</v>
      </c>
      <c r="I6041" s="473">
        <v>1240</v>
      </c>
      <c r="J6041" s="496">
        <v>490.12432000000001</v>
      </c>
      <c r="K6041" s="496">
        <v>441.71294</v>
      </c>
      <c r="L6041" s="496">
        <f t="shared" si="74"/>
        <v>48.411380000000008</v>
      </c>
      <c r="M6041" s="337"/>
    </row>
    <row r="6042" spans="1:13" s="71" customFormat="1" ht="26.4" customHeight="1">
      <c r="A6042" s="282">
        <v>5</v>
      </c>
      <c r="B6042" s="556"/>
      <c r="C6042" s="260" t="s">
        <v>7895</v>
      </c>
      <c r="D6042" s="260" t="s">
        <v>7907</v>
      </c>
      <c r="E6042" s="260" t="s">
        <v>7901</v>
      </c>
      <c r="F6042" s="387">
        <v>6</v>
      </c>
      <c r="G6042" s="311">
        <v>1983</v>
      </c>
      <c r="H6042" s="472" t="s">
        <v>1149</v>
      </c>
      <c r="I6042" s="473">
        <v>1326</v>
      </c>
      <c r="J6042" s="496">
        <v>106.25591</v>
      </c>
      <c r="K6042" s="496">
        <v>98.65746</v>
      </c>
      <c r="L6042" s="496">
        <f t="shared" si="74"/>
        <v>7.5984499999999997</v>
      </c>
      <c r="M6042" s="337"/>
    </row>
    <row r="6043" spans="1:13" s="71" customFormat="1" ht="26.4" customHeight="1">
      <c r="A6043" s="282">
        <v>6</v>
      </c>
      <c r="B6043" s="556"/>
      <c r="C6043" s="260" t="s">
        <v>7895</v>
      </c>
      <c r="D6043" s="260" t="s">
        <v>7896</v>
      </c>
      <c r="E6043" s="260" t="s">
        <v>7902</v>
      </c>
      <c r="F6043" s="387">
        <v>7</v>
      </c>
      <c r="G6043" s="311">
        <v>1962</v>
      </c>
      <c r="H6043" s="472" t="s">
        <v>1149</v>
      </c>
      <c r="I6043" s="473">
        <v>31</v>
      </c>
      <c r="J6043" s="496">
        <v>17.72852</v>
      </c>
      <c r="K6043" s="496">
        <v>17.698350000000001</v>
      </c>
      <c r="L6043" s="496">
        <f t="shared" si="74"/>
        <v>3.0169999999998254E-2</v>
      </c>
      <c r="M6043" s="337"/>
    </row>
    <row r="6044" spans="1:13" s="71" customFormat="1" ht="26.4" customHeight="1">
      <c r="A6044" s="282">
        <v>7</v>
      </c>
      <c r="B6044" s="556"/>
      <c r="C6044" s="260" t="s">
        <v>7903</v>
      </c>
      <c r="D6044" s="260" t="s">
        <v>7904</v>
      </c>
      <c r="E6044" s="260" t="s">
        <v>7905</v>
      </c>
      <c r="F6044" s="387">
        <v>8</v>
      </c>
      <c r="G6044" s="311">
        <v>1972</v>
      </c>
      <c r="H6044" s="472" t="s">
        <v>1149</v>
      </c>
      <c r="I6044" s="473">
        <v>67</v>
      </c>
      <c r="J6044" s="496">
        <v>59.35181</v>
      </c>
      <c r="K6044" s="496">
        <v>50.91639</v>
      </c>
      <c r="L6044" s="496">
        <f t="shared" si="74"/>
        <v>8.4354200000000006</v>
      </c>
      <c r="M6044" s="337"/>
    </row>
    <row r="6045" spans="1:13" s="71" customFormat="1" ht="26.4" customHeight="1">
      <c r="A6045" s="282">
        <v>8</v>
      </c>
      <c r="B6045" s="556"/>
      <c r="C6045" s="260" t="s">
        <v>7903</v>
      </c>
      <c r="D6045" s="260" t="s">
        <v>7904</v>
      </c>
      <c r="E6045" s="260" t="s">
        <v>7906</v>
      </c>
      <c r="F6045" s="387">
        <v>9</v>
      </c>
      <c r="G6045" s="311">
        <v>1962</v>
      </c>
      <c r="H6045" s="472" t="s">
        <v>1149</v>
      </c>
      <c r="I6045" s="473">
        <v>160</v>
      </c>
      <c r="J6045" s="496">
        <v>19.846720000000001</v>
      </c>
      <c r="K6045" s="496">
        <v>19.520610000000001</v>
      </c>
      <c r="L6045" s="496">
        <f t="shared" si="74"/>
        <v>0.3261099999999999</v>
      </c>
      <c r="M6045" s="337"/>
    </row>
    <row r="6046" spans="1:13" s="71" customFormat="1" ht="26.4" customHeight="1">
      <c r="A6046" s="282">
        <v>9</v>
      </c>
      <c r="B6046" s="556"/>
      <c r="C6046" s="260" t="s">
        <v>7895</v>
      </c>
      <c r="D6046" s="260" t="s">
        <v>7907</v>
      </c>
      <c r="E6046" s="260" t="s">
        <v>7908</v>
      </c>
      <c r="F6046" s="387">
        <v>10</v>
      </c>
      <c r="G6046" s="311">
        <v>1983</v>
      </c>
      <c r="H6046" s="472" t="s">
        <v>1149</v>
      </c>
      <c r="I6046" s="473">
        <v>1732</v>
      </c>
      <c r="J6046" s="496">
        <v>1032.23623</v>
      </c>
      <c r="K6046" s="496">
        <v>930.28008999999997</v>
      </c>
      <c r="L6046" s="496">
        <f t="shared" si="74"/>
        <v>101.95614</v>
      </c>
      <c r="M6046" s="337"/>
    </row>
    <row r="6047" spans="1:13" s="71" customFormat="1" ht="26.4" customHeight="1">
      <c r="A6047" s="282">
        <v>10</v>
      </c>
      <c r="B6047" s="556"/>
      <c r="C6047" s="260" t="s">
        <v>7895</v>
      </c>
      <c r="D6047" s="260" t="s">
        <v>7907</v>
      </c>
      <c r="E6047" s="260" t="s">
        <v>7909</v>
      </c>
      <c r="F6047" s="387">
        <v>12</v>
      </c>
      <c r="G6047" s="311">
        <v>1964</v>
      </c>
      <c r="H6047" s="472" t="s">
        <v>1149</v>
      </c>
      <c r="I6047" s="473">
        <v>360</v>
      </c>
      <c r="J6047" s="496">
        <v>131.26187999999999</v>
      </c>
      <c r="K6047" s="496">
        <v>121.87549</v>
      </c>
      <c r="L6047" s="496">
        <f t="shared" si="74"/>
        <v>9.3863899999999916</v>
      </c>
      <c r="M6047" s="337"/>
    </row>
    <row r="6048" spans="1:13" s="71" customFormat="1" ht="26.4" customHeight="1">
      <c r="A6048" s="282">
        <v>11</v>
      </c>
      <c r="B6048" s="556"/>
      <c r="C6048" s="260" t="s">
        <v>7895</v>
      </c>
      <c r="D6048" s="260" t="s">
        <v>7896</v>
      </c>
      <c r="E6048" s="260" t="s">
        <v>7910</v>
      </c>
      <c r="F6048" s="387">
        <v>13</v>
      </c>
      <c r="G6048" s="311">
        <v>1964</v>
      </c>
      <c r="H6048" s="472" t="s">
        <v>1149</v>
      </c>
      <c r="I6048" s="473">
        <v>17</v>
      </c>
      <c r="J6048" s="496">
        <v>4.4442599999999999</v>
      </c>
      <c r="K6048" s="496">
        <v>4.4351000000000003</v>
      </c>
      <c r="L6048" s="496">
        <f t="shared" si="74"/>
        <v>9.1599999999996129E-3</v>
      </c>
      <c r="M6048" s="337"/>
    </row>
    <row r="6049" spans="1:13" s="71" customFormat="1" ht="26.4" customHeight="1">
      <c r="A6049" s="282">
        <v>12</v>
      </c>
      <c r="B6049" s="556"/>
      <c r="C6049" s="260" t="s">
        <v>7895</v>
      </c>
      <c r="D6049" s="260" t="s">
        <v>7896</v>
      </c>
      <c r="E6049" s="377" t="s">
        <v>7911</v>
      </c>
      <c r="F6049" s="387">
        <v>14</v>
      </c>
      <c r="G6049" s="311">
        <v>1968</v>
      </c>
      <c r="H6049" s="472" t="s">
        <v>1149</v>
      </c>
      <c r="I6049" s="473">
        <v>67</v>
      </c>
      <c r="J6049" s="496">
        <v>13.672000000000001</v>
      </c>
      <c r="K6049" s="496">
        <v>13.207850000000001</v>
      </c>
      <c r="L6049" s="496">
        <f t="shared" si="74"/>
        <v>0.46415000000000006</v>
      </c>
      <c r="M6049" s="337"/>
    </row>
    <row r="6050" spans="1:13" s="71" customFormat="1" ht="26.4" customHeight="1">
      <c r="A6050" s="282">
        <v>13</v>
      </c>
      <c r="B6050" s="556"/>
      <c r="C6050" s="260" t="s">
        <v>7895</v>
      </c>
      <c r="D6050" s="260" t="s">
        <v>7896</v>
      </c>
      <c r="E6050" s="260" t="s">
        <v>7912</v>
      </c>
      <c r="F6050" s="387">
        <v>15</v>
      </c>
      <c r="G6050" s="311">
        <v>1976</v>
      </c>
      <c r="H6050" s="472" t="s">
        <v>1149</v>
      </c>
      <c r="I6050" s="473">
        <v>24</v>
      </c>
      <c r="J6050" s="496">
        <v>33.099020000000003</v>
      </c>
      <c r="K6050" s="496">
        <v>32.53275</v>
      </c>
      <c r="L6050" s="496">
        <f t="shared" si="74"/>
        <v>0.56627000000000294</v>
      </c>
      <c r="M6050" s="337"/>
    </row>
    <row r="6051" spans="1:13" s="71" customFormat="1" ht="26.4" customHeight="1">
      <c r="A6051" s="282">
        <v>14</v>
      </c>
      <c r="B6051" s="556"/>
      <c r="C6051" s="260" t="s">
        <v>7895</v>
      </c>
      <c r="D6051" s="260" t="s">
        <v>7904</v>
      </c>
      <c r="E6051" s="260" t="s">
        <v>7913</v>
      </c>
      <c r="F6051" s="387">
        <v>16</v>
      </c>
      <c r="G6051" s="311">
        <v>1974</v>
      </c>
      <c r="H6051" s="472" t="s">
        <v>1149</v>
      </c>
      <c r="I6051" s="473">
        <v>965</v>
      </c>
      <c r="J6051" s="496">
        <v>307.94215000000003</v>
      </c>
      <c r="K6051" s="496">
        <v>307.64197999999999</v>
      </c>
      <c r="L6051" s="496">
        <f t="shared" si="74"/>
        <v>0.30017000000003691</v>
      </c>
      <c r="M6051" s="337"/>
    </row>
    <row r="6052" spans="1:13" s="71" customFormat="1" ht="26.4" customHeight="1">
      <c r="A6052" s="282">
        <v>15</v>
      </c>
      <c r="B6052" s="556"/>
      <c r="C6052" s="260" t="s">
        <v>7895</v>
      </c>
      <c r="D6052" s="260" t="s">
        <v>7904</v>
      </c>
      <c r="E6052" s="260" t="s">
        <v>7914</v>
      </c>
      <c r="F6052" s="387">
        <v>17</v>
      </c>
      <c r="G6052" s="311">
        <v>1979</v>
      </c>
      <c r="H6052" s="472" t="s">
        <v>1149</v>
      </c>
      <c r="I6052" s="473">
        <v>324</v>
      </c>
      <c r="J6052" s="496">
        <v>214.71269000000001</v>
      </c>
      <c r="K6052" s="496">
        <v>164.27874</v>
      </c>
      <c r="L6052" s="496">
        <f t="shared" si="74"/>
        <v>50.43395000000001</v>
      </c>
      <c r="M6052" s="337"/>
    </row>
    <row r="6053" spans="1:13" s="71" customFormat="1" ht="26.4" customHeight="1">
      <c r="A6053" s="282">
        <v>16</v>
      </c>
      <c r="B6053" s="556"/>
      <c r="C6053" s="260" t="s">
        <v>7895</v>
      </c>
      <c r="D6053" s="260" t="s">
        <v>7896</v>
      </c>
      <c r="E6053" s="260" t="s">
        <v>7915</v>
      </c>
      <c r="F6053" s="387">
        <v>18</v>
      </c>
      <c r="G6053" s="311">
        <v>1985</v>
      </c>
      <c r="H6053" s="472" t="s">
        <v>1149</v>
      </c>
      <c r="I6053" s="473">
        <v>172.6</v>
      </c>
      <c r="J6053" s="496">
        <v>155.40182999999999</v>
      </c>
      <c r="K6053" s="496">
        <v>81.490189999999998</v>
      </c>
      <c r="L6053" s="496">
        <f t="shared" si="74"/>
        <v>73.911639999999991</v>
      </c>
      <c r="M6053" s="337"/>
    </row>
    <row r="6054" spans="1:13" s="71" customFormat="1" ht="26.4" customHeight="1">
      <c r="A6054" s="282">
        <v>17</v>
      </c>
      <c r="B6054" s="556"/>
      <c r="C6054" s="260" t="s">
        <v>7895</v>
      </c>
      <c r="D6054" s="260" t="s">
        <v>7896</v>
      </c>
      <c r="E6054" s="377" t="s">
        <v>7916</v>
      </c>
      <c r="F6054" s="387">
        <v>19</v>
      </c>
      <c r="G6054" s="311">
        <v>1986</v>
      </c>
      <c r="H6054" s="472" t="s">
        <v>1149</v>
      </c>
      <c r="I6054" s="473">
        <v>441</v>
      </c>
      <c r="J6054" s="496">
        <v>124.25185</v>
      </c>
      <c r="K6054" s="496">
        <v>112.91068</v>
      </c>
      <c r="L6054" s="496">
        <f t="shared" si="74"/>
        <v>11.341170000000005</v>
      </c>
      <c r="M6054" s="337"/>
    </row>
    <row r="6055" spans="1:13" s="71" customFormat="1" ht="26.4" customHeight="1">
      <c r="A6055" s="282">
        <v>18</v>
      </c>
      <c r="B6055" s="556"/>
      <c r="C6055" s="260" t="s">
        <v>7895</v>
      </c>
      <c r="D6055" s="260" t="s">
        <v>7896</v>
      </c>
      <c r="E6055" s="260" t="s">
        <v>7913</v>
      </c>
      <c r="F6055" s="387">
        <v>20</v>
      </c>
      <c r="G6055" s="311">
        <v>1986</v>
      </c>
      <c r="H6055" s="472" t="s">
        <v>1149</v>
      </c>
      <c r="I6055" s="473">
        <v>965</v>
      </c>
      <c r="J6055" s="496">
        <v>485.97138999999999</v>
      </c>
      <c r="K6055" s="496">
        <v>388.09726000000001</v>
      </c>
      <c r="L6055" s="496">
        <f t="shared" si="74"/>
        <v>97.87412999999998</v>
      </c>
      <c r="M6055" s="337"/>
    </row>
    <row r="6056" spans="1:13" s="71" customFormat="1" ht="26.4" customHeight="1">
      <c r="A6056" s="282">
        <v>19</v>
      </c>
      <c r="B6056" s="556"/>
      <c r="C6056" s="260" t="s">
        <v>7895</v>
      </c>
      <c r="D6056" s="260" t="s">
        <v>7904</v>
      </c>
      <c r="E6056" s="260" t="s">
        <v>7917</v>
      </c>
      <c r="F6056" s="387">
        <v>31</v>
      </c>
      <c r="G6056" s="311">
        <v>1935</v>
      </c>
      <c r="H6056" s="472" t="s">
        <v>1149</v>
      </c>
      <c r="I6056" s="473">
        <v>665</v>
      </c>
      <c r="J6056" s="496">
        <v>353.43310000000002</v>
      </c>
      <c r="K6056" s="496">
        <v>350.94725</v>
      </c>
      <c r="L6056" s="496">
        <f t="shared" si="74"/>
        <v>2.4858500000000276</v>
      </c>
      <c r="M6056" s="337"/>
    </row>
    <row r="6057" spans="1:13" s="71" customFormat="1" ht="26.4" customHeight="1">
      <c r="A6057" s="282">
        <v>20</v>
      </c>
      <c r="B6057" s="556"/>
      <c r="C6057" s="260" t="s">
        <v>7895</v>
      </c>
      <c r="D6057" s="260" t="s">
        <v>7904</v>
      </c>
      <c r="E6057" s="260" t="s">
        <v>7918</v>
      </c>
      <c r="F6057" s="387">
        <v>32</v>
      </c>
      <c r="G6057" s="311">
        <v>1935</v>
      </c>
      <c r="H6057" s="472" t="s">
        <v>1149</v>
      </c>
      <c r="I6057" s="473">
        <v>465</v>
      </c>
      <c r="J6057" s="496">
        <v>42.768520000000002</v>
      </c>
      <c r="K6057" s="496">
        <v>41.450679999999998</v>
      </c>
      <c r="L6057" s="496">
        <f t="shared" si="74"/>
        <v>1.3178400000000039</v>
      </c>
      <c r="M6057" s="337"/>
    </row>
    <row r="6058" spans="1:13" s="71" customFormat="1" ht="26.4" customHeight="1">
      <c r="A6058" s="282">
        <v>21</v>
      </c>
      <c r="B6058" s="556"/>
      <c r="C6058" s="260" t="s">
        <v>7895</v>
      </c>
      <c r="D6058" s="260" t="s">
        <v>7919</v>
      </c>
      <c r="E6058" s="260" t="s">
        <v>7920</v>
      </c>
      <c r="F6058" s="387">
        <v>33</v>
      </c>
      <c r="G6058" s="311">
        <v>1965</v>
      </c>
      <c r="H6058" s="472" t="s">
        <v>1149</v>
      </c>
      <c r="I6058" s="473">
        <v>32</v>
      </c>
      <c r="J6058" s="496">
        <v>317.58685000000003</v>
      </c>
      <c r="K6058" s="496">
        <v>13.82098</v>
      </c>
      <c r="L6058" s="496">
        <f t="shared" si="74"/>
        <v>303.76587000000001</v>
      </c>
      <c r="M6058" s="337"/>
    </row>
    <row r="6059" spans="1:13" s="71" customFormat="1" ht="26.4" customHeight="1">
      <c r="A6059" s="282">
        <v>22</v>
      </c>
      <c r="B6059" s="556"/>
      <c r="C6059" s="260" t="s">
        <v>7895</v>
      </c>
      <c r="D6059" s="260" t="s">
        <v>7919</v>
      </c>
      <c r="E6059" s="260" t="s">
        <v>7921</v>
      </c>
      <c r="F6059" s="387">
        <v>34</v>
      </c>
      <c r="G6059" s="311">
        <v>1974</v>
      </c>
      <c r="H6059" s="472" t="s">
        <v>1149</v>
      </c>
      <c r="I6059" s="473">
        <v>1900</v>
      </c>
      <c r="J6059" s="496">
        <v>326.78093999999999</v>
      </c>
      <c r="K6059" s="496">
        <v>298.40323999999998</v>
      </c>
      <c r="L6059" s="496">
        <f t="shared" si="74"/>
        <v>28.377700000000004</v>
      </c>
      <c r="M6059" s="337"/>
    </row>
    <row r="6060" spans="1:13" s="71" customFormat="1" ht="26.4" customHeight="1">
      <c r="A6060" s="282">
        <v>23</v>
      </c>
      <c r="B6060" s="556"/>
      <c r="C6060" s="260" t="s">
        <v>7895</v>
      </c>
      <c r="D6060" s="260" t="s">
        <v>7919</v>
      </c>
      <c r="E6060" s="260" t="s">
        <v>7922</v>
      </c>
      <c r="F6060" s="387">
        <v>35</v>
      </c>
      <c r="G6060" s="311">
        <v>1974</v>
      </c>
      <c r="H6060" s="472" t="s">
        <v>1149</v>
      </c>
      <c r="I6060" s="473">
        <v>180</v>
      </c>
      <c r="J6060" s="496">
        <v>132.27121</v>
      </c>
      <c r="K6060" s="496">
        <v>129.09879000000001</v>
      </c>
      <c r="L6060" s="496">
        <f t="shared" si="74"/>
        <v>3.1724199999999882</v>
      </c>
      <c r="M6060" s="337"/>
    </row>
    <row r="6061" spans="1:13" s="71" customFormat="1" ht="26.4" customHeight="1">
      <c r="A6061" s="282">
        <v>24</v>
      </c>
      <c r="B6061" s="556"/>
      <c r="C6061" s="260" t="s">
        <v>7895</v>
      </c>
      <c r="D6061" s="260" t="s">
        <v>7919</v>
      </c>
      <c r="E6061" s="260" t="s">
        <v>7923</v>
      </c>
      <c r="F6061" s="387">
        <v>36</v>
      </c>
      <c r="G6061" s="311">
        <v>1948</v>
      </c>
      <c r="H6061" s="472" t="s">
        <v>1149</v>
      </c>
      <c r="I6061" s="473">
        <v>91</v>
      </c>
      <c r="J6061" s="496">
        <v>27.874199999999998</v>
      </c>
      <c r="K6061" s="496">
        <v>27.67428</v>
      </c>
      <c r="L6061" s="496">
        <f t="shared" si="74"/>
        <v>0.19991999999999877</v>
      </c>
      <c r="M6061" s="337"/>
    </row>
    <row r="6062" spans="1:13" s="71" customFormat="1" ht="26.4" customHeight="1">
      <c r="A6062" s="282">
        <v>25</v>
      </c>
      <c r="B6062" s="556"/>
      <c r="C6062" s="260" t="s">
        <v>7895</v>
      </c>
      <c r="D6062" s="260" t="s">
        <v>7919</v>
      </c>
      <c r="E6062" s="260" t="s">
        <v>7924</v>
      </c>
      <c r="F6062" s="387">
        <v>39</v>
      </c>
      <c r="G6062" s="311" t="s">
        <v>7925</v>
      </c>
      <c r="H6062" s="472" t="s">
        <v>1149</v>
      </c>
      <c r="I6062" s="473">
        <v>120</v>
      </c>
      <c r="J6062" s="496">
        <v>16.61468</v>
      </c>
      <c r="K6062" s="496">
        <v>15.90218</v>
      </c>
      <c r="L6062" s="496">
        <f t="shared" si="74"/>
        <v>0.71250000000000036</v>
      </c>
      <c r="M6062" s="337"/>
    </row>
    <row r="6063" spans="1:13" s="71" customFormat="1" ht="26.4" customHeight="1">
      <c r="A6063" s="282">
        <v>26</v>
      </c>
      <c r="B6063" s="556"/>
      <c r="C6063" s="260" t="s">
        <v>7895</v>
      </c>
      <c r="D6063" s="441" t="s">
        <v>13396</v>
      </c>
      <c r="E6063" s="260" t="s">
        <v>7927</v>
      </c>
      <c r="F6063" s="387">
        <v>41</v>
      </c>
      <c r="G6063" s="311">
        <v>1967</v>
      </c>
      <c r="H6063" s="472" t="s">
        <v>1149</v>
      </c>
      <c r="I6063" s="473">
        <v>31</v>
      </c>
      <c r="J6063" s="496">
        <v>5.3841400000000004</v>
      </c>
      <c r="K6063" s="496">
        <v>5.3715799999999998</v>
      </c>
      <c r="L6063" s="496">
        <f t="shared" si="74"/>
        <v>1.2560000000000571E-2</v>
      </c>
      <c r="M6063" s="337"/>
    </row>
    <row r="6064" spans="1:13" s="71" customFormat="1" ht="26.4" customHeight="1">
      <c r="A6064" s="282">
        <v>27</v>
      </c>
      <c r="B6064" s="556"/>
      <c r="C6064" s="516" t="s">
        <v>7895</v>
      </c>
      <c r="D6064" s="517" t="s">
        <v>13396</v>
      </c>
      <c r="E6064" s="260" t="s">
        <v>7928</v>
      </c>
      <c r="F6064" s="387">
        <v>42</v>
      </c>
      <c r="G6064" s="311">
        <v>1967</v>
      </c>
      <c r="H6064" s="472" t="s">
        <v>1149</v>
      </c>
      <c r="I6064" s="473">
        <v>20</v>
      </c>
      <c r="J6064" s="496">
        <v>7.5369900000000003</v>
      </c>
      <c r="K6064" s="496">
        <v>7.3224900000000002</v>
      </c>
      <c r="L6064" s="496">
        <f t="shared" si="74"/>
        <v>0.21450000000000014</v>
      </c>
      <c r="M6064" s="337"/>
    </row>
    <row r="6065" spans="1:13" s="71" customFormat="1" ht="26.4" customHeight="1">
      <c r="A6065" s="282">
        <v>28</v>
      </c>
      <c r="B6065" s="556"/>
      <c r="C6065" s="516" t="s">
        <v>7895</v>
      </c>
      <c r="D6065" s="517" t="s">
        <v>13396</v>
      </c>
      <c r="E6065" s="260" t="s">
        <v>7929</v>
      </c>
      <c r="F6065" s="387">
        <v>43</v>
      </c>
      <c r="G6065" s="311">
        <v>1967</v>
      </c>
      <c r="H6065" s="472" t="s">
        <v>1149</v>
      </c>
      <c r="I6065" s="473">
        <v>6</v>
      </c>
      <c r="J6065" s="496">
        <v>5.1599000000000004</v>
      </c>
      <c r="K6065" s="496">
        <v>5.1599000000000004</v>
      </c>
      <c r="L6065" s="496">
        <f t="shared" si="74"/>
        <v>0</v>
      </c>
      <c r="M6065" s="337"/>
    </row>
    <row r="6066" spans="1:13" s="71" customFormat="1" ht="26.4" customHeight="1">
      <c r="A6066" s="282">
        <v>29</v>
      </c>
      <c r="B6066" s="556"/>
      <c r="C6066" s="516" t="s">
        <v>7895</v>
      </c>
      <c r="D6066" s="517" t="s">
        <v>13396</v>
      </c>
      <c r="E6066" s="260" t="s">
        <v>7930</v>
      </c>
      <c r="F6066" s="387">
        <v>44</v>
      </c>
      <c r="G6066" s="311">
        <v>1967</v>
      </c>
      <c r="H6066" s="472" t="s">
        <v>1149</v>
      </c>
      <c r="I6066" s="473">
        <v>405</v>
      </c>
      <c r="J6066" s="496">
        <v>316.06813</v>
      </c>
      <c r="K6066" s="496">
        <v>239.12656999999999</v>
      </c>
      <c r="L6066" s="496">
        <f t="shared" si="74"/>
        <v>76.94156000000001</v>
      </c>
      <c r="M6066" s="337"/>
    </row>
    <row r="6067" spans="1:13" s="71" customFormat="1" ht="26.4" customHeight="1">
      <c r="A6067" s="282">
        <v>30</v>
      </c>
      <c r="B6067" s="556"/>
      <c r="C6067" s="260" t="s">
        <v>7931</v>
      </c>
      <c r="D6067" s="260" t="s">
        <v>7932</v>
      </c>
      <c r="E6067" s="260" t="s">
        <v>7933</v>
      </c>
      <c r="F6067" s="387">
        <v>45</v>
      </c>
      <c r="G6067" s="311">
        <v>1953</v>
      </c>
      <c r="H6067" s="472" t="s">
        <v>1149</v>
      </c>
      <c r="I6067" s="473">
        <v>26</v>
      </c>
      <c r="J6067" s="496">
        <v>26.93355</v>
      </c>
      <c r="K6067" s="496">
        <v>26.683620000000001</v>
      </c>
      <c r="L6067" s="496">
        <f t="shared" si="74"/>
        <v>0.2499299999999991</v>
      </c>
      <c r="M6067" s="337"/>
    </row>
    <row r="6068" spans="1:13" s="71" customFormat="1" ht="26.4" customHeight="1">
      <c r="A6068" s="282">
        <v>31</v>
      </c>
      <c r="B6068" s="556"/>
      <c r="C6068" s="260" t="s">
        <v>7931</v>
      </c>
      <c r="D6068" s="260" t="s">
        <v>7932</v>
      </c>
      <c r="E6068" s="260" t="s">
        <v>7930</v>
      </c>
      <c r="F6068" s="387">
        <v>46</v>
      </c>
      <c r="G6068" s="311">
        <v>1967</v>
      </c>
      <c r="H6068" s="472" t="s">
        <v>1149</v>
      </c>
      <c r="I6068" s="473">
        <v>486</v>
      </c>
      <c r="J6068" s="496">
        <v>306.97397000000001</v>
      </c>
      <c r="K6068" s="496">
        <v>145.49642</v>
      </c>
      <c r="L6068" s="496">
        <f t="shared" si="74"/>
        <v>161.47755000000001</v>
      </c>
      <c r="M6068" s="337"/>
    </row>
    <row r="6069" spans="1:13" s="71" customFormat="1" ht="26.4" customHeight="1">
      <c r="A6069" s="282">
        <v>32</v>
      </c>
      <c r="B6069" s="556"/>
      <c r="C6069" s="260" t="s">
        <v>7903</v>
      </c>
      <c r="D6069" s="260" t="s">
        <v>7934</v>
      </c>
      <c r="E6069" s="260" t="s">
        <v>7935</v>
      </c>
      <c r="F6069" s="387">
        <v>47</v>
      </c>
      <c r="G6069" s="311">
        <v>1937</v>
      </c>
      <c r="H6069" s="472" t="s">
        <v>1149</v>
      </c>
      <c r="I6069" s="473">
        <v>58</v>
      </c>
      <c r="J6069" s="496">
        <v>8.3060899999999993</v>
      </c>
      <c r="K6069" s="496">
        <v>7.6310900000000004</v>
      </c>
      <c r="L6069" s="496">
        <f t="shared" si="74"/>
        <v>0.67499999999999893</v>
      </c>
      <c r="M6069" s="337"/>
    </row>
    <row r="6070" spans="1:13" s="71" customFormat="1" ht="26.4" customHeight="1">
      <c r="A6070" s="282">
        <v>33</v>
      </c>
      <c r="B6070" s="556"/>
      <c r="C6070" s="260" t="s">
        <v>7903</v>
      </c>
      <c r="D6070" s="260" t="s">
        <v>7934</v>
      </c>
      <c r="E6070" s="260" t="s">
        <v>7936</v>
      </c>
      <c r="F6070" s="387">
        <v>48</v>
      </c>
      <c r="G6070" s="311">
        <v>1937</v>
      </c>
      <c r="H6070" s="472" t="s">
        <v>1149</v>
      </c>
      <c r="I6070" s="473">
        <v>65</v>
      </c>
      <c r="J6070" s="496">
        <v>28.558019999999999</v>
      </c>
      <c r="K6070" s="496">
        <v>14.87482</v>
      </c>
      <c r="L6070" s="496">
        <f t="shared" si="74"/>
        <v>13.683199999999999</v>
      </c>
      <c r="M6070" s="337"/>
    </row>
    <row r="6071" spans="1:13" s="71" customFormat="1" ht="26.4" customHeight="1">
      <c r="A6071" s="282">
        <v>34</v>
      </c>
      <c r="B6071" s="556"/>
      <c r="C6071" s="260" t="s">
        <v>7903</v>
      </c>
      <c r="D6071" s="260" t="s">
        <v>7934</v>
      </c>
      <c r="E6071" s="260" t="s">
        <v>7937</v>
      </c>
      <c r="F6071" s="387">
        <v>49</v>
      </c>
      <c r="G6071" s="311">
        <v>1974</v>
      </c>
      <c r="H6071" s="472" t="s">
        <v>1149</v>
      </c>
      <c r="I6071" s="473">
        <v>288</v>
      </c>
      <c r="J6071" s="496">
        <v>211.92424</v>
      </c>
      <c r="K6071" s="496">
        <v>165.73233999999999</v>
      </c>
      <c r="L6071" s="496">
        <f t="shared" si="74"/>
        <v>46.191900000000004</v>
      </c>
      <c r="M6071" s="337"/>
    </row>
    <row r="6072" spans="1:13" s="71" customFormat="1" ht="26.4" customHeight="1">
      <c r="A6072" s="282">
        <v>35</v>
      </c>
      <c r="B6072" s="556"/>
      <c r="C6072" s="260" t="s">
        <v>7903</v>
      </c>
      <c r="D6072" s="260" t="s">
        <v>7934</v>
      </c>
      <c r="E6072" s="260" t="s">
        <v>7938</v>
      </c>
      <c r="F6072" s="387">
        <v>50</v>
      </c>
      <c r="G6072" s="311">
        <v>1976</v>
      </c>
      <c r="H6072" s="472" t="s">
        <v>1149</v>
      </c>
      <c r="I6072" s="473">
        <v>1125</v>
      </c>
      <c r="J6072" s="496">
        <v>1186.7035599999999</v>
      </c>
      <c r="K6072" s="496">
        <v>751.15984000000003</v>
      </c>
      <c r="L6072" s="496">
        <f t="shared" si="74"/>
        <v>435.54371999999989</v>
      </c>
      <c r="M6072" s="337"/>
    </row>
    <row r="6073" spans="1:13" s="71" customFormat="1" ht="26.4" customHeight="1">
      <c r="A6073" s="282">
        <v>36</v>
      </c>
      <c r="B6073" s="556"/>
      <c r="C6073" s="260" t="s">
        <v>7903</v>
      </c>
      <c r="D6073" s="260" t="s">
        <v>7934</v>
      </c>
      <c r="E6073" s="260" t="s">
        <v>7939</v>
      </c>
      <c r="F6073" s="387">
        <v>52</v>
      </c>
      <c r="G6073" s="311">
        <v>1979</v>
      </c>
      <c r="H6073" s="472" t="s">
        <v>1149</v>
      </c>
      <c r="I6073" s="473">
        <v>54</v>
      </c>
      <c r="J6073" s="496">
        <v>27.784189999999999</v>
      </c>
      <c r="K6073" s="496">
        <v>18.655729999999998</v>
      </c>
      <c r="L6073" s="496">
        <f t="shared" si="74"/>
        <v>9.1284600000000005</v>
      </c>
      <c r="M6073" s="337"/>
    </row>
    <row r="6074" spans="1:13" s="71" customFormat="1" ht="26.4" customHeight="1">
      <c r="A6074" s="282">
        <v>37</v>
      </c>
      <c r="B6074" s="556"/>
      <c r="C6074" s="260" t="s">
        <v>7903</v>
      </c>
      <c r="D6074" s="260" t="s">
        <v>7934</v>
      </c>
      <c r="E6074" s="260" t="s">
        <v>7940</v>
      </c>
      <c r="F6074" s="387">
        <v>53</v>
      </c>
      <c r="G6074" s="311">
        <v>1979</v>
      </c>
      <c r="H6074" s="472" t="s">
        <v>1149</v>
      </c>
      <c r="I6074" s="473">
        <v>108</v>
      </c>
      <c r="J6074" s="496">
        <v>28.383130000000001</v>
      </c>
      <c r="K6074" s="496">
        <v>27.29355</v>
      </c>
      <c r="L6074" s="496">
        <f t="shared" si="74"/>
        <v>1.0895800000000015</v>
      </c>
      <c r="M6074" s="337"/>
    </row>
    <row r="6075" spans="1:13" s="71" customFormat="1" ht="26.4" customHeight="1">
      <c r="A6075" s="282">
        <v>38</v>
      </c>
      <c r="B6075" s="556"/>
      <c r="C6075" s="260" t="s">
        <v>7931</v>
      </c>
      <c r="D6075" s="260" t="s">
        <v>7941</v>
      </c>
      <c r="E6075" s="260" t="s">
        <v>7942</v>
      </c>
      <c r="F6075" s="387">
        <v>54</v>
      </c>
      <c r="G6075" s="311">
        <v>1981</v>
      </c>
      <c r="H6075" s="472" t="s">
        <v>1149</v>
      </c>
      <c r="I6075" s="473">
        <v>1816.9</v>
      </c>
      <c r="J6075" s="496">
        <v>1055.7212300000001</v>
      </c>
      <c r="K6075" s="496">
        <v>847.13212999999996</v>
      </c>
      <c r="L6075" s="496">
        <f t="shared" si="74"/>
        <v>208.58910000000014</v>
      </c>
      <c r="M6075" s="337"/>
    </row>
    <row r="6076" spans="1:13" s="71" customFormat="1" ht="26.4" customHeight="1">
      <c r="A6076" s="282">
        <v>39</v>
      </c>
      <c r="B6076" s="556"/>
      <c r="C6076" s="260" t="s">
        <v>7903</v>
      </c>
      <c r="D6076" s="260" t="s">
        <v>7919</v>
      </c>
      <c r="E6076" s="260" t="s">
        <v>7943</v>
      </c>
      <c r="F6076" s="387">
        <v>55</v>
      </c>
      <c r="G6076" s="311">
        <v>1981</v>
      </c>
      <c r="H6076" s="472" t="s">
        <v>1149</v>
      </c>
      <c r="I6076" s="473">
        <v>756</v>
      </c>
      <c r="J6076" s="496">
        <v>607.05643999999995</v>
      </c>
      <c r="K6076" s="496">
        <v>228.81039999999999</v>
      </c>
      <c r="L6076" s="496">
        <f t="shared" si="74"/>
        <v>378.24603999999999</v>
      </c>
      <c r="M6076" s="337"/>
    </row>
    <row r="6077" spans="1:13" s="71" customFormat="1" ht="26.4" customHeight="1">
      <c r="A6077" s="282">
        <v>40</v>
      </c>
      <c r="B6077" s="556"/>
      <c r="C6077" s="260" t="s">
        <v>7903</v>
      </c>
      <c r="D6077" s="260" t="s">
        <v>7919</v>
      </c>
      <c r="E6077" s="260" t="s">
        <v>7944</v>
      </c>
      <c r="F6077" s="387">
        <v>57</v>
      </c>
      <c r="G6077" s="311">
        <v>1983</v>
      </c>
      <c r="H6077" s="472" t="s">
        <v>1149</v>
      </c>
      <c r="I6077" s="473">
        <v>1520</v>
      </c>
      <c r="J6077" s="496">
        <v>454.98615999999998</v>
      </c>
      <c r="K6077" s="496">
        <v>442.20053999999999</v>
      </c>
      <c r="L6077" s="496">
        <f t="shared" si="74"/>
        <v>12.785619999999994</v>
      </c>
      <c r="M6077" s="337"/>
    </row>
    <row r="6078" spans="1:13" s="71" customFormat="1" ht="26.4">
      <c r="A6078" s="282">
        <v>41</v>
      </c>
      <c r="B6078" s="556"/>
      <c r="C6078" s="260" t="s">
        <v>12799</v>
      </c>
      <c r="D6078" s="439" t="s">
        <v>3</v>
      </c>
      <c r="E6078" s="260" t="s">
        <v>7945</v>
      </c>
      <c r="F6078" s="387">
        <v>58</v>
      </c>
      <c r="G6078" s="311">
        <v>1984</v>
      </c>
      <c r="H6078" s="472" t="s">
        <v>1149</v>
      </c>
      <c r="I6078" s="473">
        <v>24</v>
      </c>
      <c r="J6078" s="496">
        <v>10.572939999999999</v>
      </c>
      <c r="K6078" s="496">
        <v>0.43919999999999998</v>
      </c>
      <c r="L6078" s="496">
        <f t="shared" si="74"/>
        <v>10.13374</v>
      </c>
      <c r="M6078" s="337"/>
    </row>
    <row r="6079" spans="1:13" s="71" customFormat="1" ht="26.4" customHeight="1">
      <c r="A6079" s="282">
        <v>42</v>
      </c>
      <c r="B6079" s="556"/>
      <c r="C6079" s="260" t="s">
        <v>12801</v>
      </c>
      <c r="D6079" s="260" t="s">
        <v>7946</v>
      </c>
      <c r="E6079" s="260" t="s">
        <v>7947</v>
      </c>
      <c r="F6079" s="387">
        <v>80</v>
      </c>
      <c r="G6079" s="311">
        <v>1993</v>
      </c>
      <c r="H6079" s="472" t="s">
        <v>1149</v>
      </c>
      <c r="I6079" s="473">
        <v>20</v>
      </c>
      <c r="J6079" s="496">
        <v>6.9828900000000003</v>
      </c>
      <c r="K6079" s="496">
        <v>6.7448800000000002</v>
      </c>
      <c r="L6079" s="496">
        <f t="shared" si="74"/>
        <v>0.23801000000000005</v>
      </c>
      <c r="M6079" s="337"/>
    </row>
    <row r="6080" spans="1:13" s="71" customFormat="1" ht="26.4" customHeight="1">
      <c r="A6080" s="282">
        <v>43</v>
      </c>
      <c r="B6080" s="556"/>
      <c r="C6080" s="260" t="s">
        <v>7903</v>
      </c>
      <c r="D6080" s="260" t="s">
        <v>7919</v>
      </c>
      <c r="E6080" s="260" t="s">
        <v>7948</v>
      </c>
      <c r="F6080" s="387">
        <v>99</v>
      </c>
      <c r="G6080" s="311">
        <v>2000</v>
      </c>
      <c r="H6080" s="472" t="s">
        <v>1149</v>
      </c>
      <c r="I6080" s="473">
        <v>28.8</v>
      </c>
      <c r="J6080" s="496">
        <v>78.930000000000007</v>
      </c>
      <c r="K6080" s="496">
        <v>35.827849999999998</v>
      </c>
      <c r="L6080" s="496">
        <f t="shared" si="74"/>
        <v>43.102150000000009</v>
      </c>
      <c r="M6080" s="337"/>
    </row>
    <row r="6081" spans="1:13" s="71" customFormat="1" ht="26.4" customHeight="1">
      <c r="A6081" s="282">
        <v>44</v>
      </c>
      <c r="B6081" s="556"/>
      <c r="C6081" s="260" t="s">
        <v>7903</v>
      </c>
      <c r="D6081" s="260" t="s">
        <v>7946</v>
      </c>
      <c r="E6081" s="260" t="s">
        <v>7949</v>
      </c>
      <c r="F6081" s="387">
        <v>100</v>
      </c>
      <c r="G6081" s="311">
        <v>1974</v>
      </c>
      <c r="H6081" s="472" t="s">
        <v>5462</v>
      </c>
      <c r="I6081" s="473">
        <v>90</v>
      </c>
      <c r="J6081" s="496">
        <v>12.28392</v>
      </c>
      <c r="K6081" s="496">
        <v>11.57357</v>
      </c>
      <c r="L6081" s="496">
        <f t="shared" si="74"/>
        <v>0.71035000000000004</v>
      </c>
      <c r="M6081" s="337"/>
    </row>
    <row r="6082" spans="1:13" s="71" customFormat="1" ht="26.4" customHeight="1">
      <c r="A6082" s="282">
        <v>45</v>
      </c>
      <c r="B6082" s="556"/>
      <c r="C6082" s="260" t="s">
        <v>7903</v>
      </c>
      <c r="D6082" s="260" t="s">
        <v>7946</v>
      </c>
      <c r="E6082" s="260" t="s">
        <v>7950</v>
      </c>
      <c r="F6082" s="387">
        <v>101</v>
      </c>
      <c r="G6082" s="311">
        <v>1978</v>
      </c>
      <c r="H6082" s="472" t="s">
        <v>1149</v>
      </c>
      <c r="I6082" s="473">
        <v>1728</v>
      </c>
      <c r="J6082" s="496">
        <v>2155.6518900000001</v>
      </c>
      <c r="K6082" s="496">
        <v>1957.86391</v>
      </c>
      <c r="L6082" s="496">
        <f t="shared" si="74"/>
        <v>197.78798000000006</v>
      </c>
      <c r="M6082" s="337"/>
    </row>
    <row r="6083" spans="1:13" s="71" customFormat="1" ht="26.4" customHeight="1">
      <c r="A6083" s="282">
        <v>46</v>
      </c>
      <c r="B6083" s="556"/>
      <c r="C6083" s="260" t="s">
        <v>7903</v>
      </c>
      <c r="D6083" s="260" t="s">
        <v>7907</v>
      </c>
      <c r="E6083" s="260" t="s">
        <v>7951</v>
      </c>
      <c r="F6083" s="387">
        <v>102</v>
      </c>
      <c r="G6083" s="311">
        <v>1979</v>
      </c>
      <c r="H6083" s="472" t="s">
        <v>1149</v>
      </c>
      <c r="I6083" s="473">
        <v>18</v>
      </c>
      <c r="J6083" s="496">
        <v>7.8514699999999999</v>
      </c>
      <c r="K6083" s="496">
        <v>6.5486800000000001</v>
      </c>
      <c r="L6083" s="496">
        <f t="shared" si="74"/>
        <v>1.3027899999999999</v>
      </c>
      <c r="M6083" s="337"/>
    </row>
    <row r="6084" spans="1:13" s="71" customFormat="1" ht="26.4" customHeight="1">
      <c r="A6084" s="282">
        <v>47</v>
      </c>
      <c r="B6084" s="556"/>
      <c r="C6084" s="260" t="s">
        <v>7903</v>
      </c>
      <c r="D6084" s="260" t="s">
        <v>7907</v>
      </c>
      <c r="E6084" s="260" t="s">
        <v>7952</v>
      </c>
      <c r="F6084" s="387">
        <v>104</v>
      </c>
      <c r="G6084" s="311">
        <v>2000</v>
      </c>
      <c r="H6084" s="472" t="s">
        <v>1149</v>
      </c>
      <c r="I6084" s="473">
        <v>34.5</v>
      </c>
      <c r="J6084" s="496">
        <v>11.540839999999999</v>
      </c>
      <c r="K6084" s="496">
        <v>11.203340000000001</v>
      </c>
      <c r="L6084" s="496">
        <f t="shared" si="74"/>
        <v>0.33749999999999858</v>
      </c>
      <c r="M6084" s="337"/>
    </row>
    <row r="6085" spans="1:13" s="71" customFormat="1" ht="26.4" customHeight="1">
      <c r="A6085" s="282">
        <v>48</v>
      </c>
      <c r="B6085" s="556"/>
      <c r="C6085" s="260" t="s">
        <v>7903</v>
      </c>
      <c r="D6085" s="260" t="s">
        <v>7896</v>
      </c>
      <c r="E6085" s="260" t="s">
        <v>7953</v>
      </c>
      <c r="F6085" s="387">
        <v>105</v>
      </c>
      <c r="G6085" s="311">
        <v>1995</v>
      </c>
      <c r="H6085" s="472" t="s">
        <v>1149</v>
      </c>
      <c r="I6085" s="473">
        <v>540</v>
      </c>
      <c r="J6085" s="496">
        <v>82.095230000000001</v>
      </c>
      <c r="K6085" s="496">
        <v>72.69641</v>
      </c>
      <c r="L6085" s="496">
        <f t="shared" si="74"/>
        <v>9.3988200000000006</v>
      </c>
      <c r="M6085" s="337"/>
    </row>
    <row r="6086" spans="1:13" s="71" customFormat="1" ht="26.4" customHeight="1">
      <c r="A6086" s="282">
        <v>49</v>
      </c>
      <c r="B6086" s="556"/>
      <c r="C6086" s="260" t="s">
        <v>7903</v>
      </c>
      <c r="D6086" s="260" t="s">
        <v>7896</v>
      </c>
      <c r="E6086" s="260" t="s">
        <v>7954</v>
      </c>
      <c r="F6086" s="387">
        <v>201</v>
      </c>
      <c r="G6086" s="311">
        <v>1983</v>
      </c>
      <c r="H6086" s="472" t="s">
        <v>1136</v>
      </c>
      <c r="I6086" s="473">
        <v>10000</v>
      </c>
      <c r="J6086" s="496">
        <v>541.70245</v>
      </c>
      <c r="K6086" s="496">
        <v>498.8852</v>
      </c>
      <c r="L6086" s="496">
        <f t="shared" si="74"/>
        <v>42.817250000000001</v>
      </c>
      <c r="M6086" s="337"/>
    </row>
    <row r="6087" spans="1:13" s="71" customFormat="1" ht="26.4" customHeight="1">
      <c r="A6087" s="282">
        <v>50</v>
      </c>
      <c r="B6087" s="556"/>
      <c r="C6087" s="260" t="s">
        <v>7903</v>
      </c>
      <c r="D6087" s="260" t="s">
        <v>7896</v>
      </c>
      <c r="E6087" s="260" t="s">
        <v>7955</v>
      </c>
      <c r="F6087" s="387">
        <v>202</v>
      </c>
      <c r="G6087" s="311">
        <v>1983</v>
      </c>
      <c r="H6087" s="472" t="s">
        <v>1136</v>
      </c>
      <c r="I6087" s="473">
        <v>10000</v>
      </c>
      <c r="J6087" s="496">
        <v>583.38792999999998</v>
      </c>
      <c r="K6087" s="496">
        <v>537.27644999999995</v>
      </c>
      <c r="L6087" s="496">
        <f t="shared" si="74"/>
        <v>46.111480000000029</v>
      </c>
      <c r="M6087" s="337"/>
    </row>
    <row r="6088" spans="1:13" s="71" customFormat="1" ht="26.4" customHeight="1">
      <c r="A6088" s="282">
        <v>51</v>
      </c>
      <c r="B6088" s="556"/>
      <c r="C6088" s="260" t="s">
        <v>7903</v>
      </c>
      <c r="D6088" s="260" t="s">
        <v>7896</v>
      </c>
      <c r="E6088" s="260" t="s">
        <v>7956</v>
      </c>
      <c r="F6088" s="387">
        <v>203</v>
      </c>
      <c r="G6088" s="311">
        <v>1934</v>
      </c>
      <c r="H6088" s="472" t="s">
        <v>5462</v>
      </c>
      <c r="I6088" s="473">
        <v>350000</v>
      </c>
      <c r="J6088" s="496">
        <v>292.35730000000001</v>
      </c>
      <c r="K6088" s="496">
        <v>252.31101000000001</v>
      </c>
      <c r="L6088" s="496">
        <f t="shared" si="74"/>
        <v>40.046289999999999</v>
      </c>
      <c r="M6088" s="337"/>
    </row>
    <row r="6089" spans="1:13" s="71" customFormat="1" ht="26.4" customHeight="1">
      <c r="A6089" s="282">
        <v>52</v>
      </c>
      <c r="B6089" s="556"/>
      <c r="C6089" s="260" t="s">
        <v>7903</v>
      </c>
      <c r="D6089" s="260" t="s">
        <v>7896</v>
      </c>
      <c r="E6089" s="377" t="s">
        <v>7957</v>
      </c>
      <c r="F6089" s="387">
        <v>204</v>
      </c>
      <c r="G6089" s="311">
        <v>1964</v>
      </c>
      <c r="H6089" s="472" t="s">
        <v>1149</v>
      </c>
      <c r="I6089" s="473">
        <v>335</v>
      </c>
      <c r="J6089" s="496">
        <v>166.46350000000001</v>
      </c>
      <c r="K6089" s="496">
        <v>159.60553999999999</v>
      </c>
      <c r="L6089" s="496">
        <f t="shared" si="74"/>
        <v>6.8579600000000198</v>
      </c>
      <c r="M6089" s="337"/>
    </row>
    <row r="6090" spans="1:13" s="71" customFormat="1" ht="26.4" customHeight="1">
      <c r="A6090" s="282">
        <v>53</v>
      </c>
      <c r="B6090" s="556"/>
      <c r="C6090" s="260" t="s">
        <v>7895</v>
      </c>
      <c r="D6090" s="260" t="s">
        <v>7896</v>
      </c>
      <c r="E6090" s="260" t="s">
        <v>12800</v>
      </c>
      <c r="F6090" s="387">
        <v>205</v>
      </c>
      <c r="G6090" s="311">
        <v>1964</v>
      </c>
      <c r="H6090" s="472" t="s">
        <v>5462</v>
      </c>
      <c r="I6090" s="473">
        <v>3870</v>
      </c>
      <c r="J6090" s="496">
        <v>328.39627000000002</v>
      </c>
      <c r="K6090" s="496">
        <v>230.85730000000001</v>
      </c>
      <c r="L6090" s="496">
        <f t="shared" si="74"/>
        <v>97.538970000000006</v>
      </c>
      <c r="M6090" s="337"/>
    </row>
    <row r="6091" spans="1:13" s="71" customFormat="1" ht="26.4" customHeight="1">
      <c r="A6091" s="282">
        <v>54</v>
      </c>
      <c r="B6091" s="556"/>
      <c r="C6091" s="260" t="s">
        <v>7895</v>
      </c>
      <c r="D6091" s="260" t="s">
        <v>7896</v>
      </c>
      <c r="E6091" s="260" t="s">
        <v>7958</v>
      </c>
      <c r="F6091" s="387">
        <v>208</v>
      </c>
      <c r="G6091" s="311">
        <v>1963</v>
      </c>
      <c r="H6091" s="472" t="s">
        <v>1149</v>
      </c>
      <c r="I6091" s="473">
        <v>100</v>
      </c>
      <c r="J6091" s="496">
        <v>4.6627999999999998</v>
      </c>
      <c r="K6091" s="496">
        <v>4.6603000000000003</v>
      </c>
      <c r="L6091" s="496">
        <f t="shared" si="74"/>
        <v>2.4999999999995026E-3</v>
      </c>
      <c r="M6091" s="337"/>
    </row>
    <row r="6092" spans="1:13" s="71" customFormat="1" ht="26.4" customHeight="1">
      <c r="A6092" s="282">
        <v>55</v>
      </c>
      <c r="B6092" s="556"/>
      <c r="C6092" s="260" t="s">
        <v>7895</v>
      </c>
      <c r="D6092" s="260" t="s">
        <v>7896</v>
      </c>
      <c r="E6092" s="260" t="s">
        <v>7959</v>
      </c>
      <c r="F6092" s="387">
        <v>209</v>
      </c>
      <c r="G6092" s="311">
        <v>1964</v>
      </c>
      <c r="H6092" s="472" t="s">
        <v>1136</v>
      </c>
      <c r="I6092" s="473">
        <v>350000</v>
      </c>
      <c r="J6092" s="496">
        <v>987.60158000000001</v>
      </c>
      <c r="K6092" s="496">
        <v>983.00787000000003</v>
      </c>
      <c r="L6092" s="496">
        <f t="shared" si="74"/>
        <v>4.5937099999999873</v>
      </c>
      <c r="M6092" s="337"/>
    </row>
    <row r="6093" spans="1:13" s="71" customFormat="1" ht="26.4" customHeight="1">
      <c r="A6093" s="282">
        <v>56</v>
      </c>
      <c r="B6093" s="556"/>
      <c r="C6093" s="260" t="s">
        <v>7895</v>
      </c>
      <c r="D6093" s="260" t="s">
        <v>7896</v>
      </c>
      <c r="E6093" s="260" t="s">
        <v>7960</v>
      </c>
      <c r="F6093" s="387">
        <v>210</v>
      </c>
      <c r="G6093" s="311">
        <v>1979</v>
      </c>
      <c r="H6093" s="472" t="s">
        <v>1136</v>
      </c>
      <c r="I6093" s="473">
        <v>818</v>
      </c>
      <c r="J6093" s="496">
        <v>82.101619999999997</v>
      </c>
      <c r="K6093" s="496">
        <v>76.437330000000003</v>
      </c>
      <c r="L6093" s="496">
        <f t="shared" si="74"/>
        <v>5.6642899999999941</v>
      </c>
      <c r="M6093" s="337"/>
    </row>
    <row r="6094" spans="1:13" s="71" customFormat="1" ht="26.4" customHeight="1">
      <c r="A6094" s="282">
        <v>57</v>
      </c>
      <c r="B6094" s="556"/>
      <c r="C6094" s="260" t="s">
        <v>7895</v>
      </c>
      <c r="D6094" s="260" t="s">
        <v>7896</v>
      </c>
      <c r="E6094" s="260" t="s">
        <v>7961</v>
      </c>
      <c r="F6094" s="387">
        <v>211</v>
      </c>
      <c r="G6094" s="311">
        <v>1964</v>
      </c>
      <c r="H6094" s="472" t="s">
        <v>1149</v>
      </c>
      <c r="I6094" s="473">
        <v>54</v>
      </c>
      <c r="J6094" s="496">
        <v>47.843820000000001</v>
      </c>
      <c r="K6094" s="496">
        <v>45.872619999999998</v>
      </c>
      <c r="L6094" s="496">
        <f t="shared" si="74"/>
        <v>1.9712000000000032</v>
      </c>
      <c r="M6094" s="337"/>
    </row>
    <row r="6095" spans="1:13" s="71" customFormat="1" ht="26.4" customHeight="1">
      <c r="A6095" s="282">
        <v>58</v>
      </c>
      <c r="B6095" s="556"/>
      <c r="C6095" s="260" t="s">
        <v>7895</v>
      </c>
      <c r="D6095" s="260" t="s">
        <v>7896</v>
      </c>
      <c r="E6095" s="260" t="s">
        <v>7962</v>
      </c>
      <c r="F6095" s="387">
        <v>212</v>
      </c>
      <c r="G6095" s="311">
        <v>1983</v>
      </c>
      <c r="H6095" s="472" t="s">
        <v>5462</v>
      </c>
      <c r="I6095" s="473">
        <v>1483.1</v>
      </c>
      <c r="J6095" s="496">
        <v>137.37517</v>
      </c>
      <c r="K6095" s="496">
        <v>128.18543</v>
      </c>
      <c r="L6095" s="496">
        <f t="shared" si="74"/>
        <v>9.1897400000000005</v>
      </c>
      <c r="M6095" s="337"/>
    </row>
    <row r="6096" spans="1:13" s="71" customFormat="1" ht="26.4" customHeight="1">
      <c r="A6096" s="282">
        <v>59</v>
      </c>
      <c r="B6096" s="556"/>
      <c r="C6096" s="260" t="s">
        <v>7895</v>
      </c>
      <c r="D6096" s="260" t="s">
        <v>7896</v>
      </c>
      <c r="E6096" s="260" t="s">
        <v>7963</v>
      </c>
      <c r="F6096" s="387">
        <v>213</v>
      </c>
      <c r="G6096" s="311">
        <v>1963</v>
      </c>
      <c r="H6096" s="472" t="s">
        <v>5462</v>
      </c>
      <c r="I6096" s="473">
        <v>461</v>
      </c>
      <c r="J6096" s="496">
        <v>77.36927</v>
      </c>
      <c r="K6096" s="496">
        <v>69.444760000000002</v>
      </c>
      <c r="L6096" s="496">
        <f t="shared" si="74"/>
        <v>7.9245099999999979</v>
      </c>
      <c r="M6096" s="337"/>
    </row>
    <row r="6097" spans="1:13" s="71" customFormat="1" ht="26.4" customHeight="1">
      <c r="A6097" s="282">
        <v>60</v>
      </c>
      <c r="B6097" s="556"/>
      <c r="C6097" s="260" t="s">
        <v>7895</v>
      </c>
      <c r="D6097" s="260" t="s">
        <v>7896</v>
      </c>
      <c r="E6097" s="260" t="s">
        <v>7964</v>
      </c>
      <c r="F6097" s="387">
        <v>214</v>
      </c>
      <c r="G6097" s="311">
        <v>1983</v>
      </c>
      <c r="H6097" s="472" t="s">
        <v>1149</v>
      </c>
      <c r="I6097" s="473">
        <v>3484</v>
      </c>
      <c r="J6097" s="496">
        <v>842.45171000000005</v>
      </c>
      <c r="K6097" s="496">
        <v>706.16818000000001</v>
      </c>
      <c r="L6097" s="496">
        <f t="shared" si="74"/>
        <v>136.28353000000004</v>
      </c>
      <c r="M6097" s="337"/>
    </row>
    <row r="6098" spans="1:13" s="71" customFormat="1" ht="26.4" customHeight="1">
      <c r="A6098" s="282">
        <v>61</v>
      </c>
      <c r="B6098" s="556"/>
      <c r="C6098" s="260" t="s">
        <v>7895</v>
      </c>
      <c r="D6098" s="260" t="s">
        <v>7896</v>
      </c>
      <c r="E6098" s="260" t="s">
        <v>7965</v>
      </c>
      <c r="F6098" s="387">
        <v>215</v>
      </c>
      <c r="G6098" s="311">
        <v>1964</v>
      </c>
      <c r="H6098" s="472" t="s">
        <v>1149</v>
      </c>
      <c r="I6098" s="473">
        <v>518.5</v>
      </c>
      <c r="J6098" s="496">
        <v>524.11392000000001</v>
      </c>
      <c r="K6098" s="496">
        <v>502.51997999999998</v>
      </c>
      <c r="L6098" s="496">
        <f t="shared" si="74"/>
        <v>21.593940000000032</v>
      </c>
      <c r="M6098" s="337"/>
    </row>
    <row r="6099" spans="1:13" s="71" customFormat="1" ht="26.4" customHeight="1">
      <c r="A6099" s="282">
        <v>62</v>
      </c>
      <c r="B6099" s="556"/>
      <c r="C6099" s="260" t="s">
        <v>7895</v>
      </c>
      <c r="D6099" s="260" t="s">
        <v>7896</v>
      </c>
      <c r="E6099" s="260" t="s">
        <v>7966</v>
      </c>
      <c r="F6099" s="387">
        <v>216</v>
      </c>
      <c r="G6099" s="311">
        <v>1964</v>
      </c>
      <c r="H6099" s="472" t="s">
        <v>1149</v>
      </c>
      <c r="I6099" s="473">
        <v>22076</v>
      </c>
      <c r="J6099" s="496">
        <v>728.66165999999998</v>
      </c>
      <c r="K6099" s="496">
        <v>698.56129999999996</v>
      </c>
      <c r="L6099" s="496">
        <f t="shared" si="74"/>
        <v>30.100360000000023</v>
      </c>
      <c r="M6099" s="337"/>
    </row>
    <row r="6100" spans="1:13" s="71" customFormat="1" ht="26.4" customHeight="1">
      <c r="A6100" s="282">
        <v>63</v>
      </c>
      <c r="B6100" s="556"/>
      <c r="C6100" s="260" t="s">
        <v>7895</v>
      </c>
      <c r="D6100" s="260" t="s">
        <v>7896</v>
      </c>
      <c r="E6100" s="260" t="s">
        <v>7967</v>
      </c>
      <c r="F6100" s="387">
        <v>218</v>
      </c>
      <c r="G6100" s="311">
        <v>1983</v>
      </c>
      <c r="H6100" s="472" t="s">
        <v>1149</v>
      </c>
      <c r="I6100" s="473">
        <v>14434</v>
      </c>
      <c r="J6100" s="496">
        <v>5398.8973999999998</v>
      </c>
      <c r="K6100" s="496">
        <v>3978.2744200000002</v>
      </c>
      <c r="L6100" s="496">
        <f t="shared" si="74"/>
        <v>1420.6229799999996</v>
      </c>
      <c r="M6100" s="337"/>
    </row>
    <row r="6101" spans="1:13" s="71" customFormat="1" ht="26.4" customHeight="1">
      <c r="A6101" s="282">
        <v>64</v>
      </c>
      <c r="B6101" s="556"/>
      <c r="C6101" s="260" t="s">
        <v>7895</v>
      </c>
      <c r="D6101" s="260" t="s">
        <v>7896</v>
      </c>
      <c r="E6101" s="260" t="s">
        <v>7968</v>
      </c>
      <c r="F6101" s="387">
        <v>219</v>
      </c>
      <c r="G6101" s="311">
        <v>1964</v>
      </c>
      <c r="H6101" s="472" t="s">
        <v>1136</v>
      </c>
      <c r="I6101" s="473">
        <v>3000</v>
      </c>
      <c r="J6101" s="496">
        <v>317.09800000000001</v>
      </c>
      <c r="K6101" s="496">
        <v>316.34782999999999</v>
      </c>
      <c r="L6101" s="496">
        <f t="shared" si="74"/>
        <v>0.75017000000002554</v>
      </c>
      <c r="M6101" s="337"/>
    </row>
    <row r="6102" spans="1:13" s="71" customFormat="1" ht="26.4" customHeight="1">
      <c r="A6102" s="282">
        <v>65</v>
      </c>
      <c r="B6102" s="556"/>
      <c r="C6102" s="260" t="s">
        <v>7895</v>
      </c>
      <c r="D6102" s="260" t="s">
        <v>7896</v>
      </c>
      <c r="E6102" s="260" t="s">
        <v>7969</v>
      </c>
      <c r="F6102" s="387">
        <v>221</v>
      </c>
      <c r="G6102" s="311">
        <v>1964</v>
      </c>
      <c r="H6102" s="472" t="s">
        <v>5462</v>
      </c>
      <c r="I6102" s="470">
        <v>250</v>
      </c>
      <c r="J6102" s="496">
        <v>18.165839999999999</v>
      </c>
      <c r="K6102" s="496">
        <v>18.105889999999999</v>
      </c>
      <c r="L6102" s="496">
        <f t="shared" ref="L6102:L6165" si="75">J6102-K6102</f>
        <v>5.9950000000000614E-2</v>
      </c>
      <c r="M6102" s="337"/>
    </row>
    <row r="6103" spans="1:13" s="71" customFormat="1" ht="26.4" customHeight="1">
      <c r="A6103" s="282">
        <v>66</v>
      </c>
      <c r="B6103" s="556"/>
      <c r="C6103" s="260" t="s">
        <v>7895</v>
      </c>
      <c r="D6103" s="260" t="s">
        <v>7896</v>
      </c>
      <c r="E6103" s="377" t="s">
        <v>7970</v>
      </c>
      <c r="F6103" s="387">
        <v>222</v>
      </c>
      <c r="G6103" s="311">
        <v>1986</v>
      </c>
      <c r="H6103" s="472" t="s">
        <v>1136</v>
      </c>
      <c r="I6103" s="473">
        <v>1000</v>
      </c>
      <c r="J6103" s="496">
        <v>614.19600000000003</v>
      </c>
      <c r="K6103" s="496">
        <v>491.23097000000001</v>
      </c>
      <c r="L6103" s="496">
        <f t="shared" si="75"/>
        <v>122.96503000000001</v>
      </c>
      <c r="M6103" s="337"/>
    </row>
    <row r="6104" spans="1:13" s="71" customFormat="1" ht="26.4" customHeight="1">
      <c r="A6104" s="282">
        <v>67</v>
      </c>
      <c r="B6104" s="556"/>
      <c r="C6104" s="260" t="s">
        <v>7895</v>
      </c>
      <c r="D6104" s="260" t="s">
        <v>7896</v>
      </c>
      <c r="E6104" s="260" t="s">
        <v>7971</v>
      </c>
      <c r="F6104" s="387">
        <v>224</v>
      </c>
      <c r="G6104" s="311">
        <v>1987</v>
      </c>
      <c r="H6104" s="472" t="s">
        <v>1136</v>
      </c>
      <c r="I6104" s="473">
        <v>5</v>
      </c>
      <c r="J6104" s="496">
        <v>2.6287600000000002</v>
      </c>
      <c r="K6104" s="496">
        <v>1.2242500000000001</v>
      </c>
      <c r="L6104" s="496">
        <f t="shared" si="75"/>
        <v>1.4045100000000001</v>
      </c>
      <c r="M6104" s="337"/>
    </row>
    <row r="6105" spans="1:13" s="71" customFormat="1" ht="26.4" customHeight="1">
      <c r="A6105" s="282">
        <v>68</v>
      </c>
      <c r="B6105" s="556"/>
      <c r="C6105" s="260" t="s">
        <v>7895</v>
      </c>
      <c r="D6105" s="260" t="s">
        <v>7896</v>
      </c>
      <c r="E6105" s="377" t="s">
        <v>7972</v>
      </c>
      <c r="F6105" s="387">
        <v>225</v>
      </c>
      <c r="G6105" s="311">
        <v>1995</v>
      </c>
      <c r="H6105" s="472" t="s">
        <v>1136</v>
      </c>
      <c r="I6105" s="473">
        <v>13140</v>
      </c>
      <c r="J6105" s="496">
        <v>2293.6747799999998</v>
      </c>
      <c r="K6105" s="496">
        <v>1041.31601</v>
      </c>
      <c r="L6105" s="496">
        <f t="shared" si="75"/>
        <v>1252.3587699999998</v>
      </c>
      <c r="M6105" s="337"/>
    </row>
    <row r="6106" spans="1:13" s="71" customFormat="1" ht="26.4" customHeight="1">
      <c r="A6106" s="282">
        <v>69</v>
      </c>
      <c r="B6106" s="556"/>
      <c r="C6106" s="260" t="s">
        <v>7895</v>
      </c>
      <c r="D6106" s="260" t="s">
        <v>7896</v>
      </c>
      <c r="E6106" s="260" t="s">
        <v>7973</v>
      </c>
      <c r="F6106" s="387">
        <v>226</v>
      </c>
      <c r="G6106" s="311">
        <v>2001</v>
      </c>
      <c r="H6106" s="472" t="s">
        <v>1149</v>
      </c>
      <c r="I6106" s="473">
        <v>46</v>
      </c>
      <c r="J6106" s="496">
        <v>34.436</v>
      </c>
      <c r="K6106" s="496">
        <v>14.860189999999999</v>
      </c>
      <c r="L6106" s="496">
        <f t="shared" si="75"/>
        <v>19.575810000000001</v>
      </c>
      <c r="M6106" s="337"/>
    </row>
    <row r="6107" spans="1:13" s="71" customFormat="1" ht="26.4" customHeight="1">
      <c r="A6107" s="282">
        <v>70</v>
      </c>
      <c r="B6107" s="556"/>
      <c r="C6107" s="260" t="s">
        <v>7974</v>
      </c>
      <c r="D6107" s="260" t="s">
        <v>7919</v>
      </c>
      <c r="E6107" s="260" t="s">
        <v>7975</v>
      </c>
      <c r="F6107" s="387">
        <v>261</v>
      </c>
      <c r="G6107" s="311">
        <v>1974</v>
      </c>
      <c r="H6107" s="472" t="s">
        <v>1136</v>
      </c>
      <c r="I6107" s="473">
        <v>10000</v>
      </c>
      <c r="J6107" s="496">
        <v>468.83627999999999</v>
      </c>
      <c r="K6107" s="496">
        <v>443.43347999999997</v>
      </c>
      <c r="L6107" s="496">
        <f t="shared" si="75"/>
        <v>25.402800000000013</v>
      </c>
      <c r="M6107" s="337"/>
    </row>
    <row r="6108" spans="1:13" s="71" customFormat="1" ht="26.4" customHeight="1">
      <c r="A6108" s="282">
        <v>71</v>
      </c>
      <c r="B6108" s="556"/>
      <c r="C6108" s="260" t="s">
        <v>7976</v>
      </c>
      <c r="D6108" s="260" t="s">
        <v>7919</v>
      </c>
      <c r="E6108" s="260" t="s">
        <v>7977</v>
      </c>
      <c r="F6108" s="387">
        <v>262</v>
      </c>
      <c r="G6108" s="311">
        <v>1935</v>
      </c>
      <c r="H6108" s="472" t="s">
        <v>1136</v>
      </c>
      <c r="I6108" s="473">
        <v>500</v>
      </c>
      <c r="J6108" s="496">
        <v>29.815470000000001</v>
      </c>
      <c r="K6108" s="496">
        <v>29.073049999999999</v>
      </c>
      <c r="L6108" s="496">
        <f t="shared" si="75"/>
        <v>0.74242000000000274</v>
      </c>
      <c r="M6108" s="337"/>
    </row>
    <row r="6109" spans="1:13" s="71" customFormat="1" ht="26.4" customHeight="1">
      <c r="A6109" s="282">
        <v>72</v>
      </c>
      <c r="B6109" s="556"/>
      <c r="C6109" s="260" t="s">
        <v>7976</v>
      </c>
      <c r="D6109" s="260" t="s">
        <v>7919</v>
      </c>
      <c r="E6109" s="260" t="s">
        <v>7975</v>
      </c>
      <c r="F6109" s="387">
        <v>263</v>
      </c>
      <c r="G6109" s="311">
        <v>1935</v>
      </c>
      <c r="H6109" s="472" t="s">
        <v>1136</v>
      </c>
      <c r="I6109" s="473">
        <v>1250</v>
      </c>
      <c r="J6109" s="496">
        <v>48.079810000000002</v>
      </c>
      <c r="K6109" s="496">
        <v>47.339350000000003</v>
      </c>
      <c r="L6109" s="496">
        <f t="shared" si="75"/>
        <v>0.74045999999999879</v>
      </c>
      <c r="M6109" s="337"/>
    </row>
    <row r="6110" spans="1:13" s="71" customFormat="1" ht="26.4" customHeight="1">
      <c r="A6110" s="282">
        <v>73</v>
      </c>
      <c r="B6110" s="556"/>
      <c r="C6110" s="260" t="s">
        <v>7976</v>
      </c>
      <c r="D6110" s="260" t="s">
        <v>7919</v>
      </c>
      <c r="E6110" s="260" t="s">
        <v>7978</v>
      </c>
      <c r="F6110" s="387">
        <v>264</v>
      </c>
      <c r="G6110" s="311">
        <v>1951</v>
      </c>
      <c r="H6110" s="472" t="s">
        <v>1136</v>
      </c>
      <c r="I6110" s="473">
        <v>300</v>
      </c>
      <c r="J6110" s="496">
        <v>172.74199999999999</v>
      </c>
      <c r="K6110" s="496">
        <v>170.0822</v>
      </c>
      <c r="L6110" s="496">
        <f t="shared" si="75"/>
        <v>2.65979999999999</v>
      </c>
      <c r="M6110" s="337"/>
    </row>
    <row r="6111" spans="1:13" s="71" customFormat="1" ht="26.4" customHeight="1">
      <c r="A6111" s="282">
        <v>74</v>
      </c>
      <c r="B6111" s="556"/>
      <c r="C6111" s="260" t="s">
        <v>12802</v>
      </c>
      <c r="D6111" s="282" t="s">
        <v>3</v>
      </c>
      <c r="E6111" s="260" t="s">
        <v>7979</v>
      </c>
      <c r="F6111" s="387">
        <v>265</v>
      </c>
      <c r="G6111" s="311">
        <v>1967</v>
      </c>
      <c r="H6111" s="472" t="s">
        <v>1136</v>
      </c>
      <c r="I6111" s="473">
        <v>10000</v>
      </c>
      <c r="J6111" s="496">
        <v>411.51132000000001</v>
      </c>
      <c r="K6111" s="496">
        <v>364.04800999999998</v>
      </c>
      <c r="L6111" s="496">
        <f t="shared" si="75"/>
        <v>47.463310000000035</v>
      </c>
      <c r="M6111" s="337"/>
    </row>
    <row r="6112" spans="1:13" s="71" customFormat="1" ht="26.4" customHeight="1">
      <c r="A6112" s="282">
        <v>75</v>
      </c>
      <c r="B6112" s="556"/>
      <c r="C6112" s="260" t="s">
        <v>12803</v>
      </c>
      <c r="D6112" s="260" t="s">
        <v>7932</v>
      </c>
      <c r="E6112" s="260" t="s">
        <v>7980</v>
      </c>
      <c r="F6112" s="387">
        <v>266</v>
      </c>
      <c r="G6112" s="311">
        <v>1938</v>
      </c>
      <c r="H6112" s="472" t="s">
        <v>1136</v>
      </c>
      <c r="I6112" s="473">
        <v>6000</v>
      </c>
      <c r="J6112" s="496">
        <v>262.33778999999998</v>
      </c>
      <c r="K6112" s="496">
        <v>260.19916999999998</v>
      </c>
      <c r="L6112" s="496">
        <f t="shared" si="75"/>
        <v>2.1386200000000031</v>
      </c>
      <c r="M6112" s="337"/>
    </row>
    <row r="6113" spans="1:13" s="71" customFormat="1" ht="26.4" customHeight="1">
      <c r="A6113" s="282">
        <v>76</v>
      </c>
      <c r="B6113" s="556"/>
      <c r="C6113" s="260" t="s">
        <v>12803</v>
      </c>
      <c r="D6113" s="260" t="s">
        <v>7932</v>
      </c>
      <c r="E6113" s="260" t="s">
        <v>7981</v>
      </c>
      <c r="F6113" s="387">
        <v>267</v>
      </c>
      <c r="G6113" s="311">
        <v>1952</v>
      </c>
      <c r="H6113" s="472" t="s">
        <v>1136</v>
      </c>
      <c r="I6113" s="473">
        <v>6000</v>
      </c>
      <c r="J6113" s="496">
        <v>277.76979</v>
      </c>
      <c r="K6113" s="496">
        <v>273.49155000000002</v>
      </c>
      <c r="L6113" s="496">
        <f t="shared" si="75"/>
        <v>4.2782399999999825</v>
      </c>
      <c r="M6113" s="337"/>
    </row>
    <row r="6114" spans="1:13" s="71" customFormat="1" ht="26.4" customHeight="1">
      <c r="A6114" s="282">
        <v>77</v>
      </c>
      <c r="B6114" s="556"/>
      <c r="C6114" s="260" t="s">
        <v>12803</v>
      </c>
      <c r="D6114" s="260" t="s">
        <v>7932</v>
      </c>
      <c r="E6114" s="260" t="s">
        <v>7982</v>
      </c>
      <c r="F6114" s="387">
        <v>268</v>
      </c>
      <c r="G6114" s="311">
        <v>1969</v>
      </c>
      <c r="H6114" s="472" t="s">
        <v>1136</v>
      </c>
      <c r="I6114" s="473">
        <v>10000</v>
      </c>
      <c r="J6114" s="496">
        <v>517.27587000000005</v>
      </c>
      <c r="K6114" s="496">
        <v>444.64148999999998</v>
      </c>
      <c r="L6114" s="496">
        <f t="shared" si="75"/>
        <v>72.634380000000078</v>
      </c>
      <c r="M6114" s="337"/>
    </row>
    <row r="6115" spans="1:13" s="71" customFormat="1" ht="26.4" customHeight="1">
      <c r="A6115" s="282">
        <v>78</v>
      </c>
      <c r="B6115" s="556"/>
      <c r="C6115" s="260" t="s">
        <v>7983</v>
      </c>
      <c r="D6115" s="401" t="s">
        <v>3</v>
      </c>
      <c r="E6115" s="260" t="s">
        <v>7984</v>
      </c>
      <c r="F6115" s="387">
        <v>269</v>
      </c>
      <c r="G6115" s="311">
        <v>1967</v>
      </c>
      <c r="H6115" s="472" t="s">
        <v>1136</v>
      </c>
      <c r="I6115" s="473">
        <v>10000</v>
      </c>
      <c r="J6115" s="496">
        <v>411.51132000000001</v>
      </c>
      <c r="K6115" s="496">
        <v>365.49480999999997</v>
      </c>
      <c r="L6115" s="496">
        <f t="shared" si="75"/>
        <v>46.016510000000039</v>
      </c>
      <c r="M6115" s="337"/>
    </row>
    <row r="6116" spans="1:13" s="332" customFormat="1" ht="26.4" customHeight="1">
      <c r="A6116" s="445">
        <v>79</v>
      </c>
      <c r="B6116" s="556"/>
      <c r="C6116" s="260" t="s">
        <v>7976</v>
      </c>
      <c r="D6116" s="444" t="s">
        <v>7919</v>
      </c>
      <c r="E6116" s="260" t="s">
        <v>7985</v>
      </c>
      <c r="F6116" s="387">
        <v>270</v>
      </c>
      <c r="G6116" s="311">
        <v>1933</v>
      </c>
      <c r="H6116" s="472" t="s">
        <v>1149</v>
      </c>
      <c r="I6116" s="473">
        <v>1913</v>
      </c>
      <c r="J6116" s="496">
        <v>1946.15444</v>
      </c>
      <c r="K6116" s="496">
        <v>1939.01396</v>
      </c>
      <c r="L6116" s="496">
        <f t="shared" si="75"/>
        <v>7.140480000000025</v>
      </c>
      <c r="M6116" s="331"/>
    </row>
    <row r="6117" spans="1:13" s="71" customFormat="1" ht="26.4" customHeight="1">
      <c r="A6117" s="282">
        <v>80</v>
      </c>
      <c r="B6117" s="556"/>
      <c r="C6117" s="260" t="s">
        <v>7976</v>
      </c>
      <c r="D6117" s="260" t="s">
        <v>7919</v>
      </c>
      <c r="E6117" s="260" t="s">
        <v>7986</v>
      </c>
      <c r="F6117" s="387">
        <v>271</v>
      </c>
      <c r="G6117" s="311">
        <v>1976</v>
      </c>
      <c r="H6117" s="472" t="s">
        <v>5462</v>
      </c>
      <c r="I6117" s="470">
        <v>6</v>
      </c>
      <c r="J6117" s="496">
        <v>63.466920000000002</v>
      </c>
      <c r="K6117" s="496">
        <v>62.72833</v>
      </c>
      <c r="L6117" s="496">
        <f t="shared" si="75"/>
        <v>0.73859000000000208</v>
      </c>
      <c r="M6117" s="337"/>
    </row>
    <row r="6118" spans="1:13" s="71" customFormat="1" ht="26.4" customHeight="1">
      <c r="A6118" s="282">
        <v>81</v>
      </c>
      <c r="B6118" s="556"/>
      <c r="C6118" s="260" t="s">
        <v>7976</v>
      </c>
      <c r="D6118" s="444" t="s">
        <v>7919</v>
      </c>
      <c r="E6118" s="260" t="s">
        <v>7987</v>
      </c>
      <c r="F6118" s="387">
        <v>272</v>
      </c>
      <c r="G6118" s="311">
        <v>1972</v>
      </c>
      <c r="H6118" s="472" t="s">
        <v>1149</v>
      </c>
      <c r="I6118" s="473">
        <v>1455</v>
      </c>
      <c r="J6118" s="496">
        <v>2886.6500599999999</v>
      </c>
      <c r="K6118" s="496">
        <v>1815.4550300000001</v>
      </c>
      <c r="L6118" s="496">
        <f t="shared" si="75"/>
        <v>1071.1950299999999</v>
      </c>
      <c r="M6118" s="337"/>
    </row>
    <row r="6119" spans="1:13" s="358" customFormat="1" ht="26.4" customHeight="1">
      <c r="A6119" s="401">
        <v>82</v>
      </c>
      <c r="B6119" s="556"/>
      <c r="C6119" s="260" t="s">
        <v>7976</v>
      </c>
      <c r="D6119" s="260" t="s">
        <v>7919</v>
      </c>
      <c r="E6119" s="260" t="s">
        <v>7975</v>
      </c>
      <c r="F6119" s="387">
        <v>273</v>
      </c>
      <c r="G6119" s="445">
        <v>1972</v>
      </c>
      <c r="H6119" s="472" t="s">
        <v>1136</v>
      </c>
      <c r="I6119" s="473">
        <v>10000</v>
      </c>
      <c r="J6119" s="402">
        <v>468.83627999999999</v>
      </c>
      <c r="K6119" s="402">
        <v>434.99811</v>
      </c>
      <c r="L6119" s="402">
        <f t="shared" si="75"/>
        <v>33.838169999999991</v>
      </c>
      <c r="M6119" s="357"/>
    </row>
    <row r="6120" spans="1:13" s="71" customFormat="1" ht="26.4" customHeight="1">
      <c r="A6120" s="282">
        <v>83</v>
      </c>
      <c r="B6120" s="556"/>
      <c r="C6120" s="260" t="s">
        <v>7976</v>
      </c>
      <c r="D6120" s="444" t="s">
        <v>7919</v>
      </c>
      <c r="E6120" s="260" t="s">
        <v>7988</v>
      </c>
      <c r="F6120" s="387">
        <v>274</v>
      </c>
      <c r="G6120" s="311">
        <v>1979</v>
      </c>
      <c r="H6120" s="472" t="s">
        <v>5462</v>
      </c>
      <c r="I6120" s="473">
        <v>535</v>
      </c>
      <c r="J6120" s="496">
        <v>44.838349999999998</v>
      </c>
      <c r="K6120" s="496">
        <v>42.443800000000003</v>
      </c>
      <c r="L6120" s="496">
        <f t="shared" si="75"/>
        <v>2.3945499999999953</v>
      </c>
      <c r="M6120" s="337"/>
    </row>
    <row r="6121" spans="1:13" s="71" customFormat="1" ht="26.4" customHeight="1">
      <c r="A6121" s="282">
        <v>84</v>
      </c>
      <c r="B6121" s="556"/>
      <c r="C6121" s="260" t="s">
        <v>7976</v>
      </c>
      <c r="D6121" s="260" t="s">
        <v>7919</v>
      </c>
      <c r="E6121" s="260" t="s">
        <v>7975</v>
      </c>
      <c r="F6121" s="387">
        <v>275</v>
      </c>
      <c r="G6121" s="311">
        <v>1983</v>
      </c>
      <c r="H6121" s="472" t="s">
        <v>1136</v>
      </c>
      <c r="I6121" s="473">
        <v>6000</v>
      </c>
      <c r="J6121" s="496">
        <v>628.17304999999999</v>
      </c>
      <c r="K6121" s="496">
        <v>578.5222</v>
      </c>
      <c r="L6121" s="496">
        <f t="shared" si="75"/>
        <v>49.650849999999991</v>
      </c>
      <c r="M6121" s="337"/>
    </row>
    <row r="6122" spans="1:13" s="71" customFormat="1" ht="26.4" customHeight="1">
      <c r="A6122" s="282">
        <v>85</v>
      </c>
      <c r="B6122" s="556"/>
      <c r="C6122" s="260" t="s">
        <v>7976</v>
      </c>
      <c r="D6122" s="444" t="s">
        <v>7919</v>
      </c>
      <c r="E6122" s="260" t="s">
        <v>7989</v>
      </c>
      <c r="F6122" s="387">
        <v>277</v>
      </c>
      <c r="G6122" s="311">
        <v>1952</v>
      </c>
      <c r="H6122" s="472" t="s">
        <v>5462</v>
      </c>
      <c r="I6122" s="473">
        <v>643.4</v>
      </c>
      <c r="J6122" s="496">
        <v>13403.388440000001</v>
      </c>
      <c r="K6122" s="496">
        <v>13265.00409</v>
      </c>
      <c r="L6122" s="496">
        <f t="shared" si="75"/>
        <v>138.38435000000027</v>
      </c>
      <c r="M6122" s="337"/>
    </row>
    <row r="6123" spans="1:13" s="71" customFormat="1" ht="26.4" customHeight="1">
      <c r="A6123" s="282">
        <v>86</v>
      </c>
      <c r="B6123" s="556"/>
      <c r="C6123" s="260" t="s">
        <v>7976</v>
      </c>
      <c r="D6123" s="260" t="s">
        <v>7919</v>
      </c>
      <c r="E6123" s="260" t="s">
        <v>7990</v>
      </c>
      <c r="F6123" s="387">
        <v>279</v>
      </c>
      <c r="G6123" s="311">
        <v>1974</v>
      </c>
      <c r="H6123" s="472" t="s">
        <v>1136</v>
      </c>
      <c r="I6123" s="473">
        <v>600000</v>
      </c>
      <c r="J6123" s="496">
        <v>1212.86915</v>
      </c>
      <c r="K6123" s="496">
        <v>1212.2691299999999</v>
      </c>
      <c r="L6123" s="496">
        <f t="shared" si="75"/>
        <v>0.60002000000008593</v>
      </c>
      <c r="M6123" s="337"/>
    </row>
    <row r="6124" spans="1:13" s="71" customFormat="1" ht="26.4" customHeight="1">
      <c r="A6124" s="282">
        <v>87</v>
      </c>
      <c r="B6124" s="556"/>
      <c r="C6124" s="260" t="s">
        <v>7976</v>
      </c>
      <c r="D6124" s="444" t="s">
        <v>7919</v>
      </c>
      <c r="E6124" s="260" t="s">
        <v>7991</v>
      </c>
      <c r="F6124" s="387">
        <v>280</v>
      </c>
      <c r="G6124" s="311">
        <v>1974</v>
      </c>
      <c r="H6124" s="472" t="s">
        <v>1136</v>
      </c>
      <c r="I6124" s="473">
        <v>600</v>
      </c>
      <c r="J6124" s="496">
        <v>74.54907</v>
      </c>
      <c r="K6124" s="496">
        <v>68.334609999999998</v>
      </c>
      <c r="L6124" s="496">
        <f t="shared" si="75"/>
        <v>6.2144600000000025</v>
      </c>
      <c r="M6124" s="337"/>
    </row>
    <row r="6125" spans="1:13" s="71" customFormat="1" ht="26.4" customHeight="1">
      <c r="A6125" s="282">
        <v>88</v>
      </c>
      <c r="B6125" s="556"/>
      <c r="C6125" s="260" t="s">
        <v>12803</v>
      </c>
      <c r="D6125" s="260" t="s">
        <v>7932</v>
      </c>
      <c r="E6125" s="260" t="s">
        <v>7992</v>
      </c>
      <c r="F6125" s="387">
        <v>283</v>
      </c>
      <c r="G6125" s="311">
        <v>1967</v>
      </c>
      <c r="H6125" s="472" t="s">
        <v>5462</v>
      </c>
      <c r="I6125" s="470">
        <v>800</v>
      </c>
      <c r="J6125" s="496">
        <v>35.761420000000001</v>
      </c>
      <c r="K6125" s="496">
        <v>34.151020000000003</v>
      </c>
      <c r="L6125" s="496">
        <f t="shared" si="75"/>
        <v>1.6103999999999985</v>
      </c>
      <c r="M6125" s="337"/>
    </row>
    <row r="6126" spans="1:13" s="71" customFormat="1" ht="26.4" customHeight="1">
      <c r="A6126" s="282">
        <v>89</v>
      </c>
      <c r="B6126" s="556"/>
      <c r="C6126" s="260" t="s">
        <v>7976</v>
      </c>
      <c r="D6126" s="260" t="s">
        <v>7919</v>
      </c>
      <c r="E6126" s="260" t="s">
        <v>7993</v>
      </c>
      <c r="F6126" s="387">
        <v>284</v>
      </c>
      <c r="G6126" s="311">
        <v>1981</v>
      </c>
      <c r="H6126" s="472" t="s">
        <v>3243</v>
      </c>
      <c r="I6126" s="473" t="s">
        <v>3243</v>
      </c>
      <c r="J6126" s="496">
        <v>98.461759999999998</v>
      </c>
      <c r="K6126" s="496">
        <v>95.662360000000007</v>
      </c>
      <c r="L6126" s="496">
        <f t="shared" si="75"/>
        <v>2.7993999999999915</v>
      </c>
      <c r="M6126" s="337"/>
    </row>
    <row r="6127" spans="1:13" s="71" customFormat="1" ht="26.4" customHeight="1">
      <c r="A6127" s="282">
        <v>90</v>
      </c>
      <c r="B6127" s="556"/>
      <c r="C6127" s="260" t="s">
        <v>7976</v>
      </c>
      <c r="D6127" s="260" t="s">
        <v>7919</v>
      </c>
      <c r="E6127" s="260" t="s">
        <v>7994</v>
      </c>
      <c r="F6127" s="387">
        <v>285</v>
      </c>
      <c r="G6127" s="311">
        <v>1979</v>
      </c>
      <c r="H6127" s="472" t="s">
        <v>3243</v>
      </c>
      <c r="I6127" s="470" t="s">
        <v>3243</v>
      </c>
      <c r="J6127" s="496">
        <v>36.54466</v>
      </c>
      <c r="K6127" s="496">
        <v>32.973939999999999</v>
      </c>
      <c r="L6127" s="496">
        <f t="shared" si="75"/>
        <v>3.5707200000000014</v>
      </c>
      <c r="M6127" s="337"/>
    </row>
    <row r="6128" spans="1:13" s="71" customFormat="1" ht="26.4" customHeight="1">
      <c r="A6128" s="282">
        <v>91</v>
      </c>
      <c r="B6128" s="556"/>
      <c r="C6128" s="260" t="s">
        <v>7976</v>
      </c>
      <c r="D6128" s="260" t="s">
        <v>7919</v>
      </c>
      <c r="E6128" s="260" t="s">
        <v>7995</v>
      </c>
      <c r="F6128" s="387">
        <v>286</v>
      </c>
      <c r="G6128" s="311">
        <v>1979</v>
      </c>
      <c r="H6128" s="472" t="s">
        <v>3243</v>
      </c>
      <c r="I6128" s="470" t="s">
        <v>3243</v>
      </c>
      <c r="J6128" s="496">
        <v>31.447990000000001</v>
      </c>
      <c r="K6128" s="496">
        <v>25.53415</v>
      </c>
      <c r="L6128" s="496">
        <f t="shared" si="75"/>
        <v>5.9138400000000004</v>
      </c>
      <c r="M6128" s="337"/>
    </row>
    <row r="6129" spans="1:13" s="71" customFormat="1" ht="26.4" customHeight="1">
      <c r="A6129" s="282">
        <v>92</v>
      </c>
      <c r="B6129" s="556"/>
      <c r="C6129" s="260" t="s">
        <v>7976</v>
      </c>
      <c r="D6129" s="260" t="s">
        <v>7919</v>
      </c>
      <c r="E6129" s="260" t="s">
        <v>7996</v>
      </c>
      <c r="F6129" s="387">
        <v>287</v>
      </c>
      <c r="G6129" s="311">
        <v>1979</v>
      </c>
      <c r="H6129" s="472" t="s">
        <v>5462</v>
      </c>
      <c r="I6129" s="470">
        <v>459</v>
      </c>
      <c r="J6129" s="496">
        <v>171.56541999999999</v>
      </c>
      <c r="K6129" s="496">
        <v>166.79053999999999</v>
      </c>
      <c r="L6129" s="496">
        <f t="shared" si="75"/>
        <v>4.774879999999996</v>
      </c>
      <c r="M6129" s="337"/>
    </row>
    <row r="6130" spans="1:13" s="71" customFormat="1" ht="26.4" customHeight="1">
      <c r="A6130" s="282">
        <v>93</v>
      </c>
      <c r="B6130" s="556"/>
      <c r="C6130" s="260" t="s">
        <v>7976</v>
      </c>
      <c r="D6130" s="260" t="s">
        <v>7919</v>
      </c>
      <c r="E6130" s="260" t="s">
        <v>7997</v>
      </c>
      <c r="F6130" s="387">
        <v>288</v>
      </c>
      <c r="G6130" s="311">
        <v>1976</v>
      </c>
      <c r="H6130" s="472" t="s">
        <v>1149</v>
      </c>
      <c r="I6130" s="473">
        <v>38.4</v>
      </c>
      <c r="J6130" s="496">
        <v>31.31269</v>
      </c>
      <c r="K6130" s="496">
        <v>27.719249999999999</v>
      </c>
      <c r="L6130" s="496">
        <f t="shared" si="75"/>
        <v>3.5934400000000011</v>
      </c>
      <c r="M6130" s="337"/>
    </row>
    <row r="6131" spans="1:13" s="71" customFormat="1" ht="26.4" customHeight="1">
      <c r="A6131" s="282">
        <v>94</v>
      </c>
      <c r="B6131" s="556"/>
      <c r="C6131" s="260" t="s">
        <v>7976</v>
      </c>
      <c r="D6131" s="260" t="s">
        <v>7919</v>
      </c>
      <c r="E6131" s="260" t="s">
        <v>7998</v>
      </c>
      <c r="F6131" s="387">
        <v>289</v>
      </c>
      <c r="G6131" s="311">
        <v>1980</v>
      </c>
      <c r="H6131" s="472" t="s">
        <v>1149</v>
      </c>
      <c r="I6131" s="473">
        <v>2276</v>
      </c>
      <c r="J6131" s="496">
        <v>37.732109999999999</v>
      </c>
      <c r="K6131" s="496">
        <v>37.097920000000002</v>
      </c>
      <c r="L6131" s="496">
        <f t="shared" si="75"/>
        <v>0.6341899999999967</v>
      </c>
      <c r="M6131" s="337"/>
    </row>
    <row r="6132" spans="1:13" s="71" customFormat="1" ht="26.4" customHeight="1">
      <c r="A6132" s="282">
        <v>95</v>
      </c>
      <c r="B6132" s="556"/>
      <c r="C6132" s="260" t="s">
        <v>7976</v>
      </c>
      <c r="D6132" s="260" t="s">
        <v>7919</v>
      </c>
      <c r="E6132" s="260" t="s">
        <v>7999</v>
      </c>
      <c r="F6132" s="387">
        <v>290</v>
      </c>
      <c r="G6132" s="311">
        <v>1980</v>
      </c>
      <c r="H6132" s="472" t="s">
        <v>5462</v>
      </c>
      <c r="I6132" s="473">
        <v>778.2</v>
      </c>
      <c r="J6132" s="496">
        <v>151.50372999999999</v>
      </c>
      <c r="K6132" s="496">
        <v>140.28281999999999</v>
      </c>
      <c r="L6132" s="496">
        <f t="shared" si="75"/>
        <v>11.220910000000003</v>
      </c>
      <c r="M6132" s="337"/>
    </row>
    <row r="6133" spans="1:13" s="71" customFormat="1" ht="26.4" customHeight="1">
      <c r="A6133" s="282">
        <v>96</v>
      </c>
      <c r="B6133" s="556"/>
      <c r="C6133" s="260" t="s">
        <v>7976</v>
      </c>
      <c r="D6133" s="260" t="s">
        <v>7919</v>
      </c>
      <c r="E6133" s="260" t="s">
        <v>8000</v>
      </c>
      <c r="F6133" s="387">
        <v>291</v>
      </c>
      <c r="G6133" s="311">
        <v>1981</v>
      </c>
      <c r="H6133" s="472" t="s">
        <v>5462</v>
      </c>
      <c r="I6133" s="473">
        <v>970</v>
      </c>
      <c r="J6133" s="496">
        <v>208.80617000000001</v>
      </c>
      <c r="K6133" s="496">
        <v>193.77837</v>
      </c>
      <c r="L6133" s="496">
        <f t="shared" si="75"/>
        <v>15.027800000000013</v>
      </c>
      <c r="M6133" s="337"/>
    </row>
    <row r="6134" spans="1:13" s="71" customFormat="1" ht="26.4" customHeight="1">
      <c r="A6134" s="282">
        <v>97</v>
      </c>
      <c r="B6134" s="556"/>
      <c r="C6134" s="260" t="s">
        <v>7976</v>
      </c>
      <c r="D6134" s="260" t="s">
        <v>7919</v>
      </c>
      <c r="E6134" s="260" t="s">
        <v>8001</v>
      </c>
      <c r="F6134" s="387">
        <v>292</v>
      </c>
      <c r="G6134" s="311">
        <v>1976</v>
      </c>
      <c r="H6134" s="472" t="s">
        <v>5462</v>
      </c>
      <c r="I6134" s="473">
        <v>6</v>
      </c>
      <c r="J6134" s="496">
        <v>269.63204000000002</v>
      </c>
      <c r="K6134" s="496">
        <v>257.99851000000001</v>
      </c>
      <c r="L6134" s="496">
        <f t="shared" si="75"/>
        <v>11.633530000000007</v>
      </c>
      <c r="M6134" s="337"/>
    </row>
    <row r="6135" spans="1:13" s="71" customFormat="1" ht="26.4" customHeight="1">
      <c r="A6135" s="282">
        <v>98</v>
      </c>
      <c r="B6135" s="556"/>
      <c r="C6135" s="260" t="s">
        <v>7976</v>
      </c>
      <c r="D6135" s="260" t="s">
        <v>7919</v>
      </c>
      <c r="E6135" s="260" t="s">
        <v>8002</v>
      </c>
      <c r="F6135" s="387">
        <v>294</v>
      </c>
      <c r="G6135" s="311">
        <v>1952</v>
      </c>
      <c r="H6135" s="472" t="s">
        <v>5462</v>
      </c>
      <c r="I6135" s="473">
        <v>900</v>
      </c>
      <c r="J6135" s="496">
        <v>100.08618</v>
      </c>
      <c r="K6135" s="496">
        <v>99.245099999999994</v>
      </c>
      <c r="L6135" s="496">
        <f t="shared" si="75"/>
        <v>0.84108000000000516</v>
      </c>
      <c r="M6135" s="337"/>
    </row>
    <row r="6136" spans="1:13" s="71" customFormat="1" ht="26.4" customHeight="1">
      <c r="A6136" s="282">
        <v>99</v>
      </c>
      <c r="B6136" s="556"/>
      <c r="C6136" s="260" t="s">
        <v>12802</v>
      </c>
      <c r="D6136" s="282" t="s">
        <v>3</v>
      </c>
      <c r="E6136" s="260" t="s">
        <v>8003</v>
      </c>
      <c r="F6136" s="387">
        <v>295</v>
      </c>
      <c r="G6136" s="311">
        <v>1968</v>
      </c>
      <c r="H6136" s="472" t="s">
        <v>5462</v>
      </c>
      <c r="I6136" s="473">
        <v>375</v>
      </c>
      <c r="J6136" s="496">
        <v>31.845569999999999</v>
      </c>
      <c r="K6136" s="496">
        <v>30.720549999999999</v>
      </c>
      <c r="L6136" s="496">
        <f t="shared" si="75"/>
        <v>1.1250199999999992</v>
      </c>
      <c r="M6136" s="337"/>
    </row>
    <row r="6137" spans="1:13" s="71" customFormat="1" ht="26.4" customHeight="1">
      <c r="A6137" s="282">
        <v>100</v>
      </c>
      <c r="B6137" s="556"/>
      <c r="C6137" s="260" t="s">
        <v>12802</v>
      </c>
      <c r="D6137" s="282" t="s">
        <v>3</v>
      </c>
      <c r="E6137" s="260" t="s">
        <v>8004</v>
      </c>
      <c r="F6137" s="387">
        <v>296</v>
      </c>
      <c r="G6137" s="311">
        <v>1968</v>
      </c>
      <c r="H6137" s="472" t="s">
        <v>5462</v>
      </c>
      <c r="I6137" s="473">
        <v>800</v>
      </c>
      <c r="J6137" s="496">
        <v>98.130139999999997</v>
      </c>
      <c r="K6137" s="496">
        <v>98.030060000000006</v>
      </c>
      <c r="L6137" s="496">
        <f t="shared" si="75"/>
        <v>0.10007999999999129</v>
      </c>
      <c r="M6137" s="337"/>
    </row>
    <row r="6138" spans="1:13" s="71" customFormat="1" ht="26.4" customHeight="1">
      <c r="A6138" s="282">
        <v>101</v>
      </c>
      <c r="B6138" s="556"/>
      <c r="C6138" s="260" t="s">
        <v>12803</v>
      </c>
      <c r="D6138" s="260" t="s">
        <v>8005</v>
      </c>
      <c r="E6138" s="260" t="s">
        <v>8006</v>
      </c>
      <c r="F6138" s="387">
        <v>297</v>
      </c>
      <c r="G6138" s="311">
        <v>1964</v>
      </c>
      <c r="H6138" s="472" t="s">
        <v>5462</v>
      </c>
      <c r="I6138" s="473">
        <v>100</v>
      </c>
      <c r="J6138" s="496">
        <v>40.064709999999998</v>
      </c>
      <c r="K6138" s="496">
        <v>39.708460000000002</v>
      </c>
      <c r="L6138" s="496">
        <f t="shared" si="75"/>
        <v>0.35624999999999574</v>
      </c>
      <c r="M6138" s="337"/>
    </row>
    <row r="6139" spans="1:13" s="71" customFormat="1" ht="26.4" customHeight="1">
      <c r="A6139" s="282">
        <v>102</v>
      </c>
      <c r="B6139" s="556"/>
      <c r="C6139" s="260" t="s">
        <v>7976</v>
      </c>
      <c r="D6139" s="260" t="s">
        <v>8007</v>
      </c>
      <c r="E6139" s="260" t="s">
        <v>8008</v>
      </c>
      <c r="F6139" s="387">
        <v>298</v>
      </c>
      <c r="G6139" s="311">
        <v>1979</v>
      </c>
      <c r="H6139" s="472" t="s">
        <v>5462</v>
      </c>
      <c r="I6139" s="473">
        <v>410</v>
      </c>
      <c r="J6139" s="496">
        <v>24.948640000000001</v>
      </c>
      <c r="K6139" s="496">
        <v>23.48179</v>
      </c>
      <c r="L6139" s="496">
        <f t="shared" si="75"/>
        <v>1.4668500000000009</v>
      </c>
      <c r="M6139" s="337"/>
    </row>
    <row r="6140" spans="1:13" s="71" customFormat="1" ht="26.4" customHeight="1">
      <c r="A6140" s="282">
        <v>103</v>
      </c>
      <c r="B6140" s="556"/>
      <c r="C6140" s="260" t="s">
        <v>7976</v>
      </c>
      <c r="D6140" s="260" t="s">
        <v>8007</v>
      </c>
      <c r="E6140" s="260" t="s">
        <v>8009</v>
      </c>
      <c r="F6140" s="387">
        <v>299</v>
      </c>
      <c r="G6140" s="311">
        <v>1979</v>
      </c>
      <c r="H6140" s="472" t="s">
        <v>5462</v>
      </c>
      <c r="I6140" s="473">
        <v>25640</v>
      </c>
      <c r="J6140" s="496">
        <v>220.92834999999999</v>
      </c>
      <c r="K6140" s="496">
        <v>208.70859999999999</v>
      </c>
      <c r="L6140" s="496">
        <f t="shared" si="75"/>
        <v>12.219750000000005</v>
      </c>
      <c r="M6140" s="337"/>
    </row>
    <row r="6141" spans="1:13" s="71" customFormat="1" ht="26.4" customHeight="1">
      <c r="A6141" s="282">
        <v>104</v>
      </c>
      <c r="B6141" s="556"/>
      <c r="C6141" s="260" t="s">
        <v>7976</v>
      </c>
      <c r="D6141" s="260" t="s">
        <v>8007</v>
      </c>
      <c r="E6141" s="260" t="s">
        <v>8010</v>
      </c>
      <c r="F6141" s="387">
        <v>303</v>
      </c>
      <c r="G6141" s="311">
        <v>1983</v>
      </c>
      <c r="H6141" s="472" t="s">
        <v>5462</v>
      </c>
      <c r="I6141" s="473">
        <v>5300</v>
      </c>
      <c r="J6141" s="496">
        <v>470.32058999999998</v>
      </c>
      <c r="K6141" s="496">
        <v>461.15634999999997</v>
      </c>
      <c r="L6141" s="496">
        <f t="shared" si="75"/>
        <v>9.1642400000000066</v>
      </c>
      <c r="M6141" s="337"/>
    </row>
    <row r="6142" spans="1:13" s="71" customFormat="1" ht="26.4" customHeight="1">
      <c r="A6142" s="282">
        <v>105</v>
      </c>
      <c r="B6142" s="556"/>
      <c r="C6142" s="260" t="s">
        <v>7976</v>
      </c>
      <c r="D6142" s="260" t="s">
        <v>8007</v>
      </c>
      <c r="E6142" s="260" t="s">
        <v>8011</v>
      </c>
      <c r="F6142" s="387">
        <v>304</v>
      </c>
      <c r="G6142" s="311">
        <v>1983</v>
      </c>
      <c r="H6142" s="472" t="s">
        <v>5462</v>
      </c>
      <c r="I6142" s="473">
        <v>620</v>
      </c>
      <c r="J6142" s="496">
        <v>129.71206000000001</v>
      </c>
      <c r="K6142" s="496">
        <v>104.59775999999999</v>
      </c>
      <c r="L6142" s="496">
        <f t="shared" si="75"/>
        <v>25.114300000000014</v>
      </c>
      <c r="M6142" s="337"/>
    </row>
    <row r="6143" spans="1:13" s="71" customFormat="1" ht="26.4" customHeight="1">
      <c r="A6143" s="282">
        <v>106</v>
      </c>
      <c r="B6143" s="556"/>
      <c r="C6143" s="260" t="s">
        <v>7976</v>
      </c>
      <c r="D6143" s="260" t="s">
        <v>8007</v>
      </c>
      <c r="E6143" s="260" t="s">
        <v>8012</v>
      </c>
      <c r="F6143" s="387">
        <v>305</v>
      </c>
      <c r="G6143" s="311">
        <v>1983</v>
      </c>
      <c r="H6143" s="472" t="s">
        <v>1149</v>
      </c>
      <c r="I6143" s="473">
        <v>4521</v>
      </c>
      <c r="J6143" s="496">
        <v>343.78802999999999</v>
      </c>
      <c r="K6143" s="496">
        <v>315.55977999999999</v>
      </c>
      <c r="L6143" s="496">
        <f t="shared" si="75"/>
        <v>28.228250000000003</v>
      </c>
      <c r="M6143" s="337"/>
    </row>
    <row r="6144" spans="1:13" s="71" customFormat="1" ht="26.4" customHeight="1">
      <c r="A6144" s="282">
        <v>107</v>
      </c>
      <c r="B6144" s="556"/>
      <c r="C6144" s="260" t="s">
        <v>12802</v>
      </c>
      <c r="D6144" s="282" t="s">
        <v>7926</v>
      </c>
      <c r="E6144" s="260" t="s">
        <v>8013</v>
      </c>
      <c r="F6144" s="387">
        <v>306</v>
      </c>
      <c r="G6144" s="311">
        <v>1967</v>
      </c>
      <c r="H6144" s="472" t="s">
        <v>5462</v>
      </c>
      <c r="I6144" s="470">
        <v>1400</v>
      </c>
      <c r="J6144" s="496">
        <v>33.959420000000001</v>
      </c>
      <c r="K6144" s="496">
        <v>32.605229999999999</v>
      </c>
      <c r="L6144" s="496">
        <f t="shared" si="75"/>
        <v>1.3541900000000027</v>
      </c>
      <c r="M6144" s="337"/>
    </row>
    <row r="6145" spans="1:13" s="71" customFormat="1" ht="26.4" customHeight="1">
      <c r="A6145" s="445">
        <v>108</v>
      </c>
      <c r="B6145" s="556"/>
      <c r="C6145" s="260" t="s">
        <v>7976</v>
      </c>
      <c r="D6145" s="260" t="s">
        <v>8007</v>
      </c>
      <c r="E6145" s="260" t="s">
        <v>8014</v>
      </c>
      <c r="F6145" s="387">
        <v>307</v>
      </c>
      <c r="G6145" s="311">
        <v>1980</v>
      </c>
      <c r="H6145" s="472" t="s">
        <v>3243</v>
      </c>
      <c r="I6145" s="473" t="s">
        <v>3243</v>
      </c>
      <c r="J6145" s="496">
        <v>3.55782</v>
      </c>
      <c r="K6145" s="496">
        <v>3.4805999999999999</v>
      </c>
      <c r="L6145" s="496">
        <f t="shared" si="75"/>
        <v>7.7220000000000066E-2</v>
      </c>
      <c r="M6145" s="337"/>
    </row>
    <row r="6146" spans="1:13" s="71" customFormat="1" ht="26.4" customHeight="1">
      <c r="A6146" s="282">
        <v>109</v>
      </c>
      <c r="B6146" s="556"/>
      <c r="C6146" s="441" t="s">
        <v>7903</v>
      </c>
      <c r="D6146" s="282" t="s">
        <v>6689</v>
      </c>
      <c r="E6146" s="260" t="s">
        <v>8015</v>
      </c>
      <c r="F6146" s="387">
        <v>308</v>
      </c>
      <c r="G6146" s="311">
        <v>1965</v>
      </c>
      <c r="H6146" s="472" t="s">
        <v>3243</v>
      </c>
      <c r="I6146" s="470" t="s">
        <v>3243</v>
      </c>
      <c r="J6146" s="496">
        <v>18.865480000000002</v>
      </c>
      <c r="K6146" s="496">
        <v>18.802910000000001</v>
      </c>
      <c r="L6146" s="496">
        <f t="shared" si="75"/>
        <v>6.2570000000000903E-2</v>
      </c>
      <c r="M6146" s="337"/>
    </row>
    <row r="6147" spans="1:13" s="71" customFormat="1" ht="26.4" customHeight="1">
      <c r="A6147" s="282">
        <v>110</v>
      </c>
      <c r="B6147" s="556"/>
      <c r="C6147" s="441" t="s">
        <v>7903</v>
      </c>
      <c r="D6147" s="282" t="s">
        <v>6689</v>
      </c>
      <c r="E6147" s="260" t="s">
        <v>8016</v>
      </c>
      <c r="F6147" s="387">
        <v>309</v>
      </c>
      <c r="G6147" s="311">
        <v>1965</v>
      </c>
      <c r="H6147" s="472" t="s">
        <v>3243</v>
      </c>
      <c r="I6147" s="470" t="s">
        <v>3243</v>
      </c>
      <c r="J6147" s="496">
        <v>30.775690000000001</v>
      </c>
      <c r="K6147" s="496">
        <v>30.550689999999999</v>
      </c>
      <c r="L6147" s="496">
        <f t="shared" si="75"/>
        <v>0.22500000000000142</v>
      </c>
      <c r="M6147" s="337"/>
    </row>
    <row r="6148" spans="1:13" s="71" customFormat="1" ht="26.4" customHeight="1">
      <c r="A6148" s="282">
        <v>111</v>
      </c>
      <c r="B6148" s="556"/>
      <c r="C6148" s="260" t="s">
        <v>7976</v>
      </c>
      <c r="D6148" s="260" t="s">
        <v>7934</v>
      </c>
      <c r="E6148" s="260" t="s">
        <v>8017</v>
      </c>
      <c r="F6148" s="387">
        <v>310</v>
      </c>
      <c r="G6148" s="311">
        <v>1974</v>
      </c>
      <c r="H6148" s="472" t="s">
        <v>1149</v>
      </c>
      <c r="I6148" s="473">
        <v>3060</v>
      </c>
      <c r="J6148" s="496">
        <v>2340.77612</v>
      </c>
      <c r="K6148" s="496">
        <v>1915.15075</v>
      </c>
      <c r="L6148" s="496">
        <f t="shared" si="75"/>
        <v>425.62536999999998</v>
      </c>
      <c r="M6148" s="337"/>
    </row>
    <row r="6149" spans="1:13" s="71" customFormat="1" ht="26.4" customHeight="1">
      <c r="A6149" s="282">
        <v>112</v>
      </c>
      <c r="B6149" s="556"/>
      <c r="C6149" s="260" t="s">
        <v>7976</v>
      </c>
      <c r="D6149" s="260" t="s">
        <v>7934</v>
      </c>
      <c r="E6149" s="260" t="s">
        <v>8018</v>
      </c>
      <c r="F6149" s="387">
        <v>312</v>
      </c>
      <c r="G6149" s="311">
        <v>1987</v>
      </c>
      <c r="H6149" s="472" t="s">
        <v>5462</v>
      </c>
      <c r="I6149" s="470">
        <v>614</v>
      </c>
      <c r="J6149" s="496">
        <v>71.643910000000005</v>
      </c>
      <c r="K6149" s="496">
        <v>69.923730000000006</v>
      </c>
      <c r="L6149" s="496">
        <f t="shared" si="75"/>
        <v>1.7201799999999992</v>
      </c>
      <c r="M6149" s="337"/>
    </row>
    <row r="6150" spans="1:13" s="71" customFormat="1" ht="39.6">
      <c r="A6150" s="282">
        <v>113</v>
      </c>
      <c r="B6150" s="556"/>
      <c r="C6150" s="260" t="s">
        <v>13397</v>
      </c>
      <c r="D6150" s="260" t="s">
        <v>8019</v>
      </c>
      <c r="E6150" s="260" t="s">
        <v>8020</v>
      </c>
      <c r="F6150" s="387">
        <v>405</v>
      </c>
      <c r="G6150" s="311">
        <v>1970</v>
      </c>
      <c r="H6150" s="472" t="s">
        <v>5462</v>
      </c>
      <c r="I6150" s="473">
        <v>365</v>
      </c>
      <c r="J6150" s="496">
        <v>5446.1179599999996</v>
      </c>
      <c r="K6150" s="496">
        <v>4211.3579399999999</v>
      </c>
      <c r="L6150" s="496">
        <f t="shared" si="75"/>
        <v>1234.7600199999997</v>
      </c>
      <c r="M6150" s="337"/>
    </row>
    <row r="6151" spans="1:13" s="71" customFormat="1" ht="39.6">
      <c r="A6151" s="282">
        <v>114</v>
      </c>
      <c r="B6151" s="556"/>
      <c r="C6151" s="260" t="s">
        <v>13398</v>
      </c>
      <c r="D6151" s="260" t="s">
        <v>8019</v>
      </c>
      <c r="E6151" s="260" t="s">
        <v>8021</v>
      </c>
      <c r="F6151" s="387">
        <v>406</v>
      </c>
      <c r="G6151" s="311">
        <v>1970</v>
      </c>
      <c r="H6151" s="472" t="s">
        <v>5462</v>
      </c>
      <c r="I6151" s="473">
        <v>587</v>
      </c>
      <c r="J6151" s="496">
        <v>7504.0583800000004</v>
      </c>
      <c r="K6151" s="496">
        <v>6291.3260200000004</v>
      </c>
      <c r="L6151" s="496">
        <f t="shared" si="75"/>
        <v>1212.73236</v>
      </c>
      <c r="M6151" s="337"/>
    </row>
    <row r="6152" spans="1:13" s="71" customFormat="1" ht="39.6">
      <c r="A6152" s="282">
        <v>115</v>
      </c>
      <c r="B6152" s="556"/>
      <c r="C6152" s="516" t="s">
        <v>13398</v>
      </c>
      <c r="D6152" s="260" t="s">
        <v>8022</v>
      </c>
      <c r="E6152" s="260" t="s">
        <v>8023</v>
      </c>
      <c r="F6152" s="387">
        <v>407</v>
      </c>
      <c r="G6152" s="311">
        <v>1970</v>
      </c>
      <c r="H6152" s="472" t="s">
        <v>1149</v>
      </c>
      <c r="I6152" s="473">
        <v>3600</v>
      </c>
      <c r="J6152" s="496">
        <v>1953.08305</v>
      </c>
      <c r="K6152" s="496">
        <v>1294.72515</v>
      </c>
      <c r="L6152" s="496">
        <f t="shared" si="75"/>
        <v>658.35789999999997</v>
      </c>
      <c r="M6152" s="337"/>
    </row>
    <row r="6153" spans="1:13" s="71" customFormat="1" ht="39.6">
      <c r="A6153" s="282">
        <v>116</v>
      </c>
      <c r="B6153" s="556"/>
      <c r="C6153" s="516" t="s">
        <v>13398</v>
      </c>
      <c r="D6153" s="260" t="s">
        <v>8022</v>
      </c>
      <c r="E6153" s="260" t="s">
        <v>8024</v>
      </c>
      <c r="F6153" s="387">
        <v>408</v>
      </c>
      <c r="G6153" s="311">
        <v>1970</v>
      </c>
      <c r="H6153" s="472" t="s">
        <v>5462</v>
      </c>
      <c r="I6153" s="470">
        <v>408</v>
      </c>
      <c r="J6153" s="496">
        <v>110.81281</v>
      </c>
      <c r="K6153" s="496">
        <v>110.58781</v>
      </c>
      <c r="L6153" s="496">
        <f t="shared" si="75"/>
        <v>0.22499999999999432</v>
      </c>
      <c r="M6153" s="337"/>
    </row>
    <row r="6154" spans="1:13" s="71" customFormat="1" ht="39.6">
      <c r="A6154" s="282">
        <v>117</v>
      </c>
      <c r="B6154" s="556"/>
      <c r="C6154" s="516" t="s">
        <v>13398</v>
      </c>
      <c r="D6154" s="260" t="s">
        <v>8022</v>
      </c>
      <c r="E6154" s="260" t="s">
        <v>8025</v>
      </c>
      <c r="F6154" s="387">
        <v>409</v>
      </c>
      <c r="G6154" s="311">
        <v>1970</v>
      </c>
      <c r="H6154" s="472" t="s">
        <v>5462</v>
      </c>
      <c r="I6154" s="473">
        <v>278.39999999999998</v>
      </c>
      <c r="J6154" s="496">
        <v>149.78602000000001</v>
      </c>
      <c r="K6154" s="496">
        <v>74.805130000000005</v>
      </c>
      <c r="L6154" s="496">
        <f t="shared" si="75"/>
        <v>74.980890000000002</v>
      </c>
      <c r="M6154" s="337"/>
    </row>
    <row r="6155" spans="1:13" s="71" customFormat="1" ht="39.6">
      <c r="A6155" s="282">
        <v>118</v>
      </c>
      <c r="B6155" s="556"/>
      <c r="C6155" s="516" t="s">
        <v>13398</v>
      </c>
      <c r="D6155" s="260" t="s">
        <v>8022</v>
      </c>
      <c r="E6155" s="260" t="s">
        <v>8026</v>
      </c>
      <c r="F6155" s="387">
        <v>410</v>
      </c>
      <c r="G6155" s="311">
        <v>1970</v>
      </c>
      <c r="H6155" s="472" t="s">
        <v>5462</v>
      </c>
      <c r="I6155" s="473">
        <v>430</v>
      </c>
      <c r="J6155" s="496">
        <v>67.658150000000006</v>
      </c>
      <c r="K6155" s="496">
        <v>67.558070000000001</v>
      </c>
      <c r="L6155" s="496">
        <f t="shared" si="75"/>
        <v>0.1000800000000055</v>
      </c>
      <c r="M6155" s="337"/>
    </row>
    <row r="6156" spans="1:13" s="71" customFormat="1" ht="39.6">
      <c r="A6156" s="282">
        <v>119</v>
      </c>
      <c r="B6156" s="556"/>
      <c r="C6156" s="516" t="s">
        <v>13398</v>
      </c>
      <c r="D6156" s="260" t="s">
        <v>8022</v>
      </c>
      <c r="E6156" s="260" t="s">
        <v>8027</v>
      </c>
      <c r="F6156" s="387">
        <v>411</v>
      </c>
      <c r="G6156" s="311">
        <v>1978</v>
      </c>
      <c r="H6156" s="472" t="s">
        <v>5462</v>
      </c>
      <c r="I6156" s="470">
        <v>6756</v>
      </c>
      <c r="J6156" s="496">
        <v>430.14602000000002</v>
      </c>
      <c r="K6156" s="496">
        <v>410.12509999999997</v>
      </c>
      <c r="L6156" s="496">
        <f t="shared" si="75"/>
        <v>20.020920000000046</v>
      </c>
      <c r="M6156" s="337"/>
    </row>
    <row r="6157" spans="1:13" s="71" customFormat="1" ht="39.6">
      <c r="A6157" s="282">
        <v>120</v>
      </c>
      <c r="B6157" s="556"/>
      <c r="C6157" s="516" t="s">
        <v>13398</v>
      </c>
      <c r="D6157" s="260" t="s">
        <v>8022</v>
      </c>
      <c r="E6157" s="260" t="s">
        <v>8028</v>
      </c>
      <c r="F6157" s="387">
        <v>413</v>
      </c>
      <c r="G6157" s="311">
        <v>1987</v>
      </c>
      <c r="H6157" s="472" t="s">
        <v>5462</v>
      </c>
      <c r="I6157" s="470">
        <v>174</v>
      </c>
      <c r="J6157" s="496">
        <v>337.01958000000002</v>
      </c>
      <c r="K6157" s="496">
        <v>308.78566000000001</v>
      </c>
      <c r="L6157" s="496">
        <f t="shared" si="75"/>
        <v>28.233920000000012</v>
      </c>
      <c r="M6157" s="337"/>
    </row>
    <row r="6158" spans="1:13" s="71" customFormat="1" ht="39.6">
      <c r="A6158" s="282">
        <v>121</v>
      </c>
      <c r="B6158" s="556"/>
      <c r="C6158" s="516" t="s">
        <v>13398</v>
      </c>
      <c r="D6158" s="260" t="s">
        <v>8022</v>
      </c>
      <c r="E6158" s="260" t="s">
        <v>8029</v>
      </c>
      <c r="F6158" s="387">
        <v>415</v>
      </c>
      <c r="G6158" s="311">
        <v>1979</v>
      </c>
      <c r="H6158" s="472" t="s">
        <v>3243</v>
      </c>
      <c r="I6158" s="470" t="s">
        <v>3243</v>
      </c>
      <c r="J6158" s="496">
        <v>96.189239999999998</v>
      </c>
      <c r="K6158" s="496">
        <v>86.789820000000006</v>
      </c>
      <c r="L6158" s="496">
        <f t="shared" si="75"/>
        <v>9.3994199999999921</v>
      </c>
      <c r="M6158" s="337"/>
    </row>
    <row r="6159" spans="1:13" s="71" customFormat="1" ht="39.6">
      <c r="A6159" s="282">
        <v>122</v>
      </c>
      <c r="B6159" s="556"/>
      <c r="C6159" s="516" t="s">
        <v>13398</v>
      </c>
      <c r="D6159" s="260" t="s">
        <v>8022</v>
      </c>
      <c r="E6159" s="260" t="s">
        <v>8030</v>
      </c>
      <c r="F6159" s="387">
        <v>416</v>
      </c>
      <c r="G6159" s="311">
        <v>1979</v>
      </c>
      <c r="H6159" s="472" t="s">
        <v>3243</v>
      </c>
      <c r="I6159" s="470" t="s">
        <v>3243</v>
      </c>
      <c r="J6159" s="496">
        <v>204.32254</v>
      </c>
      <c r="K6159" s="496">
        <v>184.35784000000001</v>
      </c>
      <c r="L6159" s="496">
        <f t="shared" si="75"/>
        <v>19.964699999999993</v>
      </c>
      <c r="M6159" s="337"/>
    </row>
    <row r="6160" spans="1:13" s="71" customFormat="1" ht="39.6">
      <c r="A6160" s="282">
        <v>123</v>
      </c>
      <c r="B6160" s="556"/>
      <c r="C6160" s="516" t="s">
        <v>13398</v>
      </c>
      <c r="D6160" s="260" t="s">
        <v>8022</v>
      </c>
      <c r="E6160" s="260" t="s">
        <v>8031</v>
      </c>
      <c r="F6160" s="387">
        <v>417</v>
      </c>
      <c r="G6160" s="311">
        <v>1979</v>
      </c>
      <c r="H6160" s="472" t="s">
        <v>3243</v>
      </c>
      <c r="I6160" s="470" t="s">
        <v>3243</v>
      </c>
      <c r="J6160" s="496">
        <v>81.572040000000001</v>
      </c>
      <c r="K6160" s="496">
        <v>81.482039999999998</v>
      </c>
      <c r="L6160" s="496">
        <f t="shared" si="75"/>
        <v>9.0000000000003411E-2</v>
      </c>
      <c r="M6160" s="337"/>
    </row>
    <row r="6161" spans="1:13" s="71" customFormat="1" ht="39.6">
      <c r="A6161" s="282">
        <v>124</v>
      </c>
      <c r="B6161" s="556"/>
      <c r="C6161" s="516" t="s">
        <v>13398</v>
      </c>
      <c r="D6161" s="260" t="s">
        <v>8022</v>
      </c>
      <c r="E6161" s="260" t="s">
        <v>8032</v>
      </c>
      <c r="F6161" s="387">
        <v>418</v>
      </c>
      <c r="G6161" s="311">
        <v>1979</v>
      </c>
      <c r="H6161" s="472" t="s">
        <v>5462</v>
      </c>
      <c r="I6161" s="470">
        <v>1300</v>
      </c>
      <c r="J6161" s="496">
        <v>234.59512000000001</v>
      </c>
      <c r="K6161" s="496">
        <v>234.50142</v>
      </c>
      <c r="L6161" s="496">
        <f t="shared" si="75"/>
        <v>9.3700000000012551E-2</v>
      </c>
      <c r="M6161" s="337"/>
    </row>
    <row r="6162" spans="1:13" s="71" customFormat="1" ht="39.6">
      <c r="A6162" s="282">
        <v>125</v>
      </c>
      <c r="B6162" s="556"/>
      <c r="C6162" s="516" t="s">
        <v>13398</v>
      </c>
      <c r="D6162" s="260" t="s">
        <v>8022</v>
      </c>
      <c r="E6162" s="260" t="s">
        <v>7964</v>
      </c>
      <c r="F6162" s="387">
        <v>419</v>
      </c>
      <c r="G6162" s="311">
        <v>1983</v>
      </c>
      <c r="H6162" s="472" t="s">
        <v>1149</v>
      </c>
      <c r="I6162" s="470">
        <v>210</v>
      </c>
      <c r="J6162" s="496">
        <v>6.8913700000000002</v>
      </c>
      <c r="K6162" s="496">
        <v>6.7302099999999996</v>
      </c>
      <c r="L6162" s="496">
        <f t="shared" si="75"/>
        <v>0.16116000000000064</v>
      </c>
      <c r="M6162" s="337"/>
    </row>
    <row r="6163" spans="1:13" s="71" customFormat="1" ht="39.6">
      <c r="A6163" s="282">
        <v>126</v>
      </c>
      <c r="B6163" s="556"/>
      <c r="C6163" s="516" t="s">
        <v>13398</v>
      </c>
      <c r="D6163" s="260" t="s">
        <v>8022</v>
      </c>
      <c r="E6163" s="260" t="s">
        <v>8033</v>
      </c>
      <c r="F6163" s="387">
        <v>420</v>
      </c>
      <c r="G6163" s="311">
        <v>1983</v>
      </c>
      <c r="H6163" s="472" t="s">
        <v>5462</v>
      </c>
      <c r="I6163" s="470">
        <v>310</v>
      </c>
      <c r="J6163" s="496">
        <v>5.6869500000000004</v>
      </c>
      <c r="K6163" s="496">
        <v>5.4862299999999999</v>
      </c>
      <c r="L6163" s="496">
        <f t="shared" si="75"/>
        <v>0.20072000000000045</v>
      </c>
      <c r="M6163" s="337"/>
    </row>
    <row r="6164" spans="1:13" s="71" customFormat="1" ht="39.6">
      <c r="A6164" s="282">
        <v>127</v>
      </c>
      <c r="B6164" s="556"/>
      <c r="C6164" s="516" t="s">
        <v>13398</v>
      </c>
      <c r="D6164" s="260" t="s">
        <v>8022</v>
      </c>
      <c r="E6164" s="260" t="s">
        <v>8034</v>
      </c>
      <c r="F6164" s="387">
        <v>421</v>
      </c>
      <c r="G6164" s="311">
        <v>1983</v>
      </c>
      <c r="H6164" s="472" t="s">
        <v>1149</v>
      </c>
      <c r="I6164" s="470">
        <v>100</v>
      </c>
      <c r="J6164" s="496">
        <v>23.818519999999999</v>
      </c>
      <c r="K6164" s="496">
        <v>15.351039999999999</v>
      </c>
      <c r="L6164" s="496">
        <f t="shared" si="75"/>
        <v>8.4674800000000001</v>
      </c>
      <c r="M6164" s="337"/>
    </row>
    <row r="6165" spans="1:13" s="71" customFormat="1" ht="39.6">
      <c r="A6165" s="282">
        <v>128</v>
      </c>
      <c r="B6165" s="556"/>
      <c r="C6165" s="516" t="s">
        <v>13398</v>
      </c>
      <c r="D6165" s="260" t="s">
        <v>8022</v>
      </c>
      <c r="E6165" s="260" t="s">
        <v>8035</v>
      </c>
      <c r="F6165" s="387">
        <v>422</v>
      </c>
      <c r="G6165" s="311">
        <v>1979</v>
      </c>
      <c r="H6165" s="472" t="s">
        <v>5462</v>
      </c>
      <c r="I6165" s="470">
        <v>950</v>
      </c>
      <c r="J6165" s="496">
        <v>1275.0852299999999</v>
      </c>
      <c r="K6165" s="496">
        <v>1150.4923899999999</v>
      </c>
      <c r="L6165" s="496">
        <f t="shared" si="75"/>
        <v>124.59284000000002</v>
      </c>
      <c r="M6165" s="337"/>
    </row>
    <row r="6166" spans="1:13" s="71" customFormat="1" ht="26.4" customHeight="1">
      <c r="A6166" s="282">
        <v>129</v>
      </c>
      <c r="B6166" s="556"/>
      <c r="C6166" s="260" t="s">
        <v>12804</v>
      </c>
      <c r="D6166" s="282" t="s">
        <v>3</v>
      </c>
      <c r="E6166" s="260" t="s">
        <v>8036</v>
      </c>
      <c r="F6166" s="387">
        <v>606</v>
      </c>
      <c r="G6166" s="311">
        <v>1965</v>
      </c>
      <c r="H6166" s="472" t="s">
        <v>5462</v>
      </c>
      <c r="I6166" s="470">
        <v>7700</v>
      </c>
      <c r="J6166" s="496">
        <v>38.551409999999997</v>
      </c>
      <c r="K6166" s="496">
        <v>38.526339999999998</v>
      </c>
      <c r="L6166" s="496">
        <f t="shared" ref="L6166:L6229" si="76">J6166-K6166</f>
        <v>2.5069999999999482E-2</v>
      </c>
      <c r="M6166" s="337"/>
    </row>
    <row r="6167" spans="1:13" s="71" customFormat="1" ht="26.4" customHeight="1">
      <c r="A6167" s="282">
        <v>130</v>
      </c>
      <c r="B6167" s="556"/>
      <c r="C6167" s="260" t="s">
        <v>12803</v>
      </c>
      <c r="D6167" s="260" t="s">
        <v>7932</v>
      </c>
      <c r="E6167" s="260" t="s">
        <v>8037</v>
      </c>
      <c r="F6167" s="387">
        <v>608</v>
      </c>
      <c r="G6167" s="311">
        <v>1965</v>
      </c>
      <c r="H6167" s="472" t="s">
        <v>5462</v>
      </c>
      <c r="I6167" s="470">
        <v>5840</v>
      </c>
      <c r="J6167" s="496">
        <v>47.8476</v>
      </c>
      <c r="K6167" s="496">
        <v>47.810099999999998</v>
      </c>
      <c r="L6167" s="496">
        <f t="shared" si="76"/>
        <v>3.7500000000001421E-2</v>
      </c>
      <c r="M6167" s="337"/>
    </row>
    <row r="6168" spans="1:13" s="71" customFormat="1" ht="26.4" customHeight="1">
      <c r="A6168" s="282">
        <v>131</v>
      </c>
      <c r="B6168" s="556"/>
      <c r="C6168" s="260" t="s">
        <v>8038</v>
      </c>
      <c r="D6168" s="260" t="s">
        <v>7919</v>
      </c>
      <c r="E6168" s="260" t="s">
        <v>8039</v>
      </c>
      <c r="F6168" s="387">
        <v>611</v>
      </c>
      <c r="G6168" s="311">
        <v>1962</v>
      </c>
      <c r="H6168" s="472" t="s">
        <v>5462</v>
      </c>
      <c r="I6168" s="470">
        <v>3400</v>
      </c>
      <c r="J6168" s="496">
        <v>46.036940000000001</v>
      </c>
      <c r="K6168" s="496">
        <v>45.99944</v>
      </c>
      <c r="L6168" s="496">
        <f t="shared" si="76"/>
        <v>3.7500000000001421E-2</v>
      </c>
      <c r="M6168" s="337"/>
    </row>
    <row r="6169" spans="1:13" s="71" customFormat="1" ht="26.4" customHeight="1">
      <c r="A6169" s="282">
        <v>132</v>
      </c>
      <c r="B6169" s="556"/>
      <c r="C6169" s="260" t="s">
        <v>8038</v>
      </c>
      <c r="D6169" s="260" t="s">
        <v>7919</v>
      </c>
      <c r="E6169" s="260" t="s">
        <v>8040</v>
      </c>
      <c r="F6169" s="387">
        <v>612</v>
      </c>
      <c r="G6169" s="311">
        <v>1963</v>
      </c>
      <c r="H6169" s="472" t="s">
        <v>5462</v>
      </c>
      <c r="I6169" s="470">
        <v>3300</v>
      </c>
      <c r="J6169" s="496">
        <v>53.624090000000002</v>
      </c>
      <c r="K6169" s="496">
        <v>53.424169999999997</v>
      </c>
      <c r="L6169" s="496">
        <f t="shared" si="76"/>
        <v>0.19992000000000587</v>
      </c>
      <c r="M6169" s="337"/>
    </row>
    <row r="6170" spans="1:13" s="71" customFormat="1" ht="26.4" customHeight="1">
      <c r="A6170" s="282">
        <v>133</v>
      </c>
      <c r="B6170" s="556"/>
      <c r="C6170" s="260" t="s">
        <v>8038</v>
      </c>
      <c r="D6170" s="260" t="s">
        <v>7919</v>
      </c>
      <c r="E6170" s="260" t="s">
        <v>8041</v>
      </c>
      <c r="F6170" s="387">
        <v>615</v>
      </c>
      <c r="G6170" s="311">
        <v>1976</v>
      </c>
      <c r="H6170" s="472" t="s">
        <v>5462</v>
      </c>
      <c r="I6170" s="470">
        <v>1440</v>
      </c>
      <c r="J6170" s="496">
        <v>155.66677999999999</v>
      </c>
      <c r="K6170" s="496">
        <v>153.52848</v>
      </c>
      <c r="L6170" s="496">
        <f t="shared" si="76"/>
        <v>2.1382999999999868</v>
      </c>
      <c r="M6170" s="337"/>
    </row>
    <row r="6171" spans="1:13" s="71" customFormat="1" ht="26.4" customHeight="1">
      <c r="A6171" s="282">
        <v>134</v>
      </c>
      <c r="B6171" s="556"/>
      <c r="C6171" s="260" t="s">
        <v>8038</v>
      </c>
      <c r="D6171" s="260" t="s">
        <v>7919</v>
      </c>
      <c r="E6171" s="260" t="s">
        <v>12877</v>
      </c>
      <c r="F6171" s="387">
        <v>616</v>
      </c>
      <c r="G6171" s="311">
        <v>1983</v>
      </c>
      <c r="H6171" s="472" t="s">
        <v>5462</v>
      </c>
      <c r="I6171" s="470">
        <v>285</v>
      </c>
      <c r="J6171" s="496">
        <v>9.79922</v>
      </c>
      <c r="K6171" s="496">
        <v>9.5891800000000007</v>
      </c>
      <c r="L6171" s="496">
        <f t="shared" si="76"/>
        <v>0.21003999999999934</v>
      </c>
      <c r="M6171" s="337"/>
    </row>
    <row r="6172" spans="1:13" s="71" customFormat="1" ht="26.4" customHeight="1">
      <c r="A6172" s="282">
        <v>135</v>
      </c>
      <c r="B6172" s="556"/>
      <c r="C6172" s="260" t="s">
        <v>8038</v>
      </c>
      <c r="D6172" s="260" t="s">
        <v>7919</v>
      </c>
      <c r="E6172" s="377" t="s">
        <v>8042</v>
      </c>
      <c r="F6172" s="387">
        <v>618</v>
      </c>
      <c r="G6172" s="311">
        <v>1983</v>
      </c>
      <c r="H6172" s="472" t="s">
        <v>5462</v>
      </c>
      <c r="I6172" s="473">
        <v>2307</v>
      </c>
      <c r="J6172" s="496">
        <v>45.358379999999997</v>
      </c>
      <c r="K6172" s="496">
        <v>42.806440000000002</v>
      </c>
      <c r="L6172" s="496">
        <f t="shared" si="76"/>
        <v>2.5519399999999948</v>
      </c>
      <c r="M6172" s="337"/>
    </row>
    <row r="6173" spans="1:13" s="71" customFormat="1" ht="26.4" customHeight="1">
      <c r="A6173" s="282">
        <v>136</v>
      </c>
      <c r="B6173" s="556"/>
      <c r="C6173" s="260" t="s">
        <v>8038</v>
      </c>
      <c r="D6173" s="260" t="s">
        <v>7919</v>
      </c>
      <c r="E6173" s="260" t="s">
        <v>8043</v>
      </c>
      <c r="F6173" s="387">
        <v>619</v>
      </c>
      <c r="G6173" s="311">
        <v>1974</v>
      </c>
      <c r="H6173" s="472" t="s">
        <v>5462</v>
      </c>
      <c r="I6173" s="473">
        <v>354.5</v>
      </c>
      <c r="J6173" s="496">
        <v>929.01179999999999</v>
      </c>
      <c r="K6173" s="496">
        <v>202.06989999999999</v>
      </c>
      <c r="L6173" s="496">
        <f t="shared" si="76"/>
        <v>726.94190000000003</v>
      </c>
      <c r="M6173" s="337"/>
    </row>
    <row r="6174" spans="1:13" s="71" customFormat="1" ht="26.4" customHeight="1">
      <c r="A6174" s="282">
        <v>137</v>
      </c>
      <c r="B6174" s="556"/>
      <c r="C6174" s="260" t="s">
        <v>12803</v>
      </c>
      <c r="D6174" s="260" t="s">
        <v>7932</v>
      </c>
      <c r="E6174" s="260" t="s">
        <v>8044</v>
      </c>
      <c r="F6174" s="387">
        <v>620</v>
      </c>
      <c r="G6174" s="311">
        <v>1972</v>
      </c>
      <c r="H6174" s="472" t="s">
        <v>3243</v>
      </c>
      <c r="I6174" s="470" t="s">
        <v>3243</v>
      </c>
      <c r="J6174" s="496">
        <v>52.589149999999997</v>
      </c>
      <c r="K6174" s="496">
        <v>51.0794</v>
      </c>
      <c r="L6174" s="496">
        <f t="shared" si="76"/>
        <v>1.5097499999999968</v>
      </c>
      <c r="M6174" s="337"/>
    </row>
    <row r="6175" spans="1:13" s="71" customFormat="1" ht="26.4" customHeight="1">
      <c r="A6175" s="282">
        <v>138</v>
      </c>
      <c r="B6175" s="556"/>
      <c r="C6175" s="260" t="s">
        <v>12804</v>
      </c>
      <c r="D6175" s="282" t="s">
        <v>3</v>
      </c>
      <c r="E6175" s="260" t="s">
        <v>8045</v>
      </c>
      <c r="F6175" s="387">
        <v>621</v>
      </c>
      <c r="G6175" s="311">
        <v>1991</v>
      </c>
      <c r="H6175" s="472" t="s">
        <v>8046</v>
      </c>
      <c r="I6175" s="470">
        <v>190</v>
      </c>
      <c r="J6175" s="496">
        <v>83.839799999999997</v>
      </c>
      <c r="K6175" s="496">
        <v>72.931399999999996</v>
      </c>
      <c r="L6175" s="496">
        <f t="shared" si="76"/>
        <v>10.9084</v>
      </c>
      <c r="M6175" s="337"/>
    </row>
    <row r="6176" spans="1:13" s="71" customFormat="1" ht="26.4" customHeight="1">
      <c r="A6176" s="282">
        <v>139</v>
      </c>
      <c r="B6176" s="556"/>
      <c r="C6176" s="260" t="s">
        <v>12804</v>
      </c>
      <c r="D6176" s="282" t="s">
        <v>3</v>
      </c>
      <c r="E6176" s="260" t="s">
        <v>8047</v>
      </c>
      <c r="F6176" s="387">
        <v>622</v>
      </c>
      <c r="G6176" s="311">
        <v>1967</v>
      </c>
      <c r="H6176" s="472" t="s">
        <v>5462</v>
      </c>
      <c r="I6176" s="470">
        <v>190</v>
      </c>
      <c r="J6176" s="496">
        <v>206.51469</v>
      </c>
      <c r="K6176" s="496">
        <v>200.58458999999999</v>
      </c>
      <c r="L6176" s="496">
        <f t="shared" si="76"/>
        <v>5.9301000000000101</v>
      </c>
      <c r="M6176" s="337"/>
    </row>
    <row r="6177" spans="1:13" s="71" customFormat="1" ht="26.4" customHeight="1">
      <c r="A6177" s="282">
        <v>140</v>
      </c>
      <c r="B6177" s="556"/>
      <c r="C6177" s="260" t="s">
        <v>8038</v>
      </c>
      <c r="D6177" s="260" t="s">
        <v>7919</v>
      </c>
      <c r="E6177" s="260" t="s">
        <v>8048</v>
      </c>
      <c r="F6177" s="387">
        <v>625</v>
      </c>
      <c r="G6177" s="311">
        <v>1935</v>
      </c>
      <c r="H6177" s="472" t="s">
        <v>5462</v>
      </c>
      <c r="I6177" s="470">
        <v>248</v>
      </c>
      <c r="J6177" s="496">
        <v>48.855029999999999</v>
      </c>
      <c r="K6177" s="496">
        <v>48.855029999999999</v>
      </c>
      <c r="L6177" s="496">
        <f t="shared" si="76"/>
        <v>0</v>
      </c>
      <c r="M6177" s="337"/>
    </row>
    <row r="6178" spans="1:13" s="71" customFormat="1" ht="26.4" customHeight="1">
      <c r="A6178" s="282">
        <v>141</v>
      </c>
      <c r="B6178" s="556"/>
      <c r="C6178" s="260" t="s">
        <v>8038</v>
      </c>
      <c r="D6178" s="260" t="s">
        <v>7919</v>
      </c>
      <c r="E6178" s="260" t="s">
        <v>8049</v>
      </c>
      <c r="F6178" s="387">
        <v>626</v>
      </c>
      <c r="G6178" s="311">
        <v>1951</v>
      </c>
      <c r="H6178" s="472" t="s">
        <v>5462</v>
      </c>
      <c r="I6178" s="470">
        <v>327</v>
      </c>
      <c r="J6178" s="496">
        <v>76.037670000000006</v>
      </c>
      <c r="K6178" s="496">
        <v>75.637709999999998</v>
      </c>
      <c r="L6178" s="496">
        <f t="shared" si="76"/>
        <v>0.3999600000000072</v>
      </c>
      <c r="M6178" s="337"/>
    </row>
    <row r="6179" spans="1:13" s="71" customFormat="1" ht="26.4" customHeight="1">
      <c r="A6179" s="282">
        <v>142</v>
      </c>
      <c r="B6179" s="556"/>
      <c r="C6179" s="260" t="s">
        <v>8038</v>
      </c>
      <c r="D6179" s="260" t="s">
        <v>7919</v>
      </c>
      <c r="E6179" s="260" t="s">
        <v>12878</v>
      </c>
      <c r="F6179" s="387">
        <v>629</v>
      </c>
      <c r="G6179" s="311">
        <v>1951</v>
      </c>
      <c r="H6179" s="472" t="s">
        <v>5462</v>
      </c>
      <c r="I6179" s="470" t="s">
        <v>8050</v>
      </c>
      <c r="J6179" s="496">
        <v>19.346820000000001</v>
      </c>
      <c r="K6179" s="496">
        <v>18.991820000000001</v>
      </c>
      <c r="L6179" s="496">
        <f t="shared" si="76"/>
        <v>0.35500000000000043</v>
      </c>
      <c r="M6179" s="337"/>
    </row>
    <row r="6180" spans="1:13" s="71" customFormat="1" ht="26.4" customHeight="1">
      <c r="A6180" s="282">
        <v>143</v>
      </c>
      <c r="B6180" s="556"/>
      <c r="C6180" s="260" t="s">
        <v>8038</v>
      </c>
      <c r="D6180" s="260" t="s">
        <v>7919</v>
      </c>
      <c r="E6180" s="260" t="s">
        <v>8051</v>
      </c>
      <c r="F6180" s="387">
        <v>633</v>
      </c>
      <c r="G6180" s="311">
        <v>1976</v>
      </c>
      <c r="H6180" s="472" t="s">
        <v>3243</v>
      </c>
      <c r="I6180" s="470" t="s">
        <v>3243</v>
      </c>
      <c r="J6180" s="496">
        <v>222.54367999999999</v>
      </c>
      <c r="K6180" s="496">
        <v>217.04912999999999</v>
      </c>
      <c r="L6180" s="496">
        <f t="shared" si="76"/>
        <v>5.4945500000000038</v>
      </c>
      <c r="M6180" s="337"/>
    </row>
    <row r="6181" spans="1:13" s="71" customFormat="1" ht="26.4" customHeight="1">
      <c r="A6181" s="282">
        <v>144</v>
      </c>
      <c r="B6181" s="556"/>
      <c r="C6181" s="260" t="s">
        <v>8038</v>
      </c>
      <c r="D6181" s="260" t="s">
        <v>7919</v>
      </c>
      <c r="E6181" s="260" t="s">
        <v>8052</v>
      </c>
      <c r="F6181" s="387">
        <v>634</v>
      </c>
      <c r="G6181" s="311">
        <v>1979</v>
      </c>
      <c r="H6181" s="472" t="s">
        <v>3243</v>
      </c>
      <c r="I6181" s="470" t="s">
        <v>3243</v>
      </c>
      <c r="J6181" s="496">
        <v>49.30997</v>
      </c>
      <c r="K6181" s="496">
        <v>49.197470000000003</v>
      </c>
      <c r="L6181" s="496">
        <f t="shared" si="76"/>
        <v>0.11249999999999716</v>
      </c>
      <c r="M6181" s="337"/>
    </row>
    <row r="6182" spans="1:13" s="71" customFormat="1" ht="26.4" customHeight="1">
      <c r="A6182" s="282">
        <v>145</v>
      </c>
      <c r="B6182" s="556"/>
      <c r="C6182" s="260" t="s">
        <v>8038</v>
      </c>
      <c r="D6182" s="260" t="s">
        <v>7919</v>
      </c>
      <c r="E6182" s="260" t="s">
        <v>8053</v>
      </c>
      <c r="F6182" s="387">
        <v>635</v>
      </c>
      <c r="G6182" s="311">
        <v>1979</v>
      </c>
      <c r="H6182" s="472" t="s">
        <v>5462</v>
      </c>
      <c r="I6182" s="470">
        <v>2908</v>
      </c>
      <c r="J6182" s="496">
        <v>45.94623</v>
      </c>
      <c r="K6182" s="496">
        <v>45.833730000000003</v>
      </c>
      <c r="L6182" s="496">
        <f t="shared" si="76"/>
        <v>0.11249999999999716</v>
      </c>
      <c r="M6182" s="337"/>
    </row>
    <row r="6183" spans="1:13" s="71" customFormat="1" ht="26.4" customHeight="1">
      <c r="A6183" s="282">
        <v>146</v>
      </c>
      <c r="B6183" s="556"/>
      <c r="C6183" s="260" t="s">
        <v>8038</v>
      </c>
      <c r="D6183" s="260" t="s">
        <v>7919</v>
      </c>
      <c r="E6183" s="260" t="s">
        <v>13298</v>
      </c>
      <c r="F6183" s="387">
        <v>636</v>
      </c>
      <c r="G6183" s="311">
        <v>1983</v>
      </c>
      <c r="H6183" s="472" t="s">
        <v>5462</v>
      </c>
      <c r="I6183" s="470">
        <v>1182</v>
      </c>
      <c r="J6183" s="496">
        <v>992.52778999999998</v>
      </c>
      <c r="K6183" s="496">
        <v>465.85606999999999</v>
      </c>
      <c r="L6183" s="496">
        <f t="shared" si="76"/>
        <v>526.67172000000005</v>
      </c>
      <c r="M6183" s="337"/>
    </row>
    <row r="6184" spans="1:13" s="71" customFormat="1" ht="26.4" customHeight="1">
      <c r="A6184" s="282">
        <v>147</v>
      </c>
      <c r="B6184" s="556"/>
      <c r="C6184" s="260" t="s">
        <v>8038</v>
      </c>
      <c r="D6184" s="260" t="s">
        <v>7919</v>
      </c>
      <c r="E6184" s="260" t="s">
        <v>8054</v>
      </c>
      <c r="F6184" s="387">
        <v>637</v>
      </c>
      <c r="G6184" s="311">
        <v>1983</v>
      </c>
      <c r="H6184" s="472" t="s">
        <v>5462</v>
      </c>
      <c r="I6184" s="470">
        <v>462.5</v>
      </c>
      <c r="J6184" s="496">
        <v>224.79298</v>
      </c>
      <c r="K6184" s="496">
        <v>218.83005</v>
      </c>
      <c r="L6184" s="496">
        <f t="shared" si="76"/>
        <v>5.9629300000000001</v>
      </c>
      <c r="M6184" s="337"/>
    </row>
    <row r="6185" spans="1:13" s="71" customFormat="1" ht="26.4" customHeight="1">
      <c r="A6185" s="282">
        <v>148</v>
      </c>
      <c r="B6185" s="556"/>
      <c r="C6185" s="260" t="s">
        <v>8038</v>
      </c>
      <c r="D6185" s="260" t="s">
        <v>7919</v>
      </c>
      <c r="E6185" s="260" t="s">
        <v>8055</v>
      </c>
      <c r="F6185" s="387">
        <v>638</v>
      </c>
      <c r="G6185" s="311">
        <v>1983</v>
      </c>
      <c r="H6185" s="472" t="s">
        <v>5462</v>
      </c>
      <c r="I6185" s="470">
        <v>510.4</v>
      </c>
      <c r="J6185" s="496">
        <v>57.527630000000002</v>
      </c>
      <c r="K6185" s="496">
        <v>56.68721</v>
      </c>
      <c r="L6185" s="496">
        <f t="shared" si="76"/>
        <v>0.84042000000000172</v>
      </c>
      <c r="M6185" s="337"/>
    </row>
    <row r="6186" spans="1:13" s="71" customFormat="1" ht="26.4" customHeight="1">
      <c r="A6186" s="282">
        <v>149</v>
      </c>
      <c r="B6186" s="556"/>
      <c r="C6186" s="260" t="s">
        <v>8038</v>
      </c>
      <c r="D6186" s="260" t="s">
        <v>7919</v>
      </c>
      <c r="E6186" s="260" t="s">
        <v>8056</v>
      </c>
      <c r="F6186" s="387">
        <v>639</v>
      </c>
      <c r="G6186" s="311">
        <v>1983</v>
      </c>
      <c r="H6186" s="472" t="s">
        <v>5462</v>
      </c>
      <c r="I6186" s="470">
        <v>248.5</v>
      </c>
      <c r="J6186" s="496">
        <v>246.48202000000001</v>
      </c>
      <c r="K6186" s="496">
        <v>242.88103000000001</v>
      </c>
      <c r="L6186" s="496">
        <f t="shared" si="76"/>
        <v>3.6009899999999959</v>
      </c>
      <c r="M6186" s="337"/>
    </row>
    <row r="6187" spans="1:13" s="71" customFormat="1" ht="26.4" customHeight="1">
      <c r="A6187" s="282">
        <v>150</v>
      </c>
      <c r="B6187" s="556"/>
      <c r="C6187" s="260" t="s">
        <v>8038</v>
      </c>
      <c r="D6187" s="260" t="s">
        <v>7919</v>
      </c>
      <c r="E6187" s="260" t="s">
        <v>8057</v>
      </c>
      <c r="F6187" s="387">
        <v>640</v>
      </c>
      <c r="G6187" s="311">
        <v>1983</v>
      </c>
      <c r="H6187" s="472" t="s">
        <v>5462</v>
      </c>
      <c r="I6187" s="470">
        <v>92.3</v>
      </c>
      <c r="J6187" s="496">
        <v>46.342869999999998</v>
      </c>
      <c r="K6187" s="496">
        <v>45.842889999999997</v>
      </c>
      <c r="L6187" s="496">
        <f t="shared" si="76"/>
        <v>0.49998000000000076</v>
      </c>
      <c r="M6187" s="337"/>
    </row>
    <row r="6188" spans="1:13" s="71" customFormat="1" ht="26.4" customHeight="1">
      <c r="A6188" s="282">
        <v>151</v>
      </c>
      <c r="B6188" s="556"/>
      <c r="C6188" s="260" t="s">
        <v>8038</v>
      </c>
      <c r="D6188" s="260" t="s">
        <v>7919</v>
      </c>
      <c r="E6188" s="260" t="s">
        <v>8058</v>
      </c>
      <c r="F6188" s="387">
        <v>641</v>
      </c>
      <c r="G6188" s="311">
        <v>1983</v>
      </c>
      <c r="H6188" s="472" t="s">
        <v>5462</v>
      </c>
      <c r="I6188" s="470">
        <v>780.4</v>
      </c>
      <c r="J6188" s="496">
        <v>433.10806000000002</v>
      </c>
      <c r="K6188" s="496">
        <v>421.61948000000001</v>
      </c>
      <c r="L6188" s="496">
        <f t="shared" si="76"/>
        <v>11.488580000000013</v>
      </c>
      <c r="M6188" s="337"/>
    </row>
    <row r="6189" spans="1:13" s="71" customFormat="1" ht="26.4" customHeight="1">
      <c r="A6189" s="282">
        <v>152</v>
      </c>
      <c r="B6189" s="556"/>
      <c r="C6189" s="260" t="s">
        <v>8038</v>
      </c>
      <c r="D6189" s="260" t="s">
        <v>7919</v>
      </c>
      <c r="E6189" s="260" t="s">
        <v>8059</v>
      </c>
      <c r="F6189" s="387">
        <v>642</v>
      </c>
      <c r="G6189" s="311">
        <v>1983</v>
      </c>
      <c r="H6189" s="472" t="s">
        <v>5462</v>
      </c>
      <c r="I6189" s="470">
        <v>387</v>
      </c>
      <c r="J6189" s="496">
        <v>12.528650000000001</v>
      </c>
      <c r="K6189" s="496">
        <v>12.28457</v>
      </c>
      <c r="L6189" s="496">
        <f t="shared" si="76"/>
        <v>0.2440800000000003</v>
      </c>
      <c r="M6189" s="337"/>
    </row>
    <row r="6190" spans="1:13" s="71" customFormat="1" ht="26.4" customHeight="1">
      <c r="A6190" s="282">
        <v>153</v>
      </c>
      <c r="B6190" s="556"/>
      <c r="C6190" s="260" t="s">
        <v>8038</v>
      </c>
      <c r="D6190" s="260" t="s">
        <v>7919</v>
      </c>
      <c r="E6190" s="260" t="s">
        <v>8060</v>
      </c>
      <c r="F6190" s="387">
        <v>643</v>
      </c>
      <c r="G6190" s="311">
        <v>1983</v>
      </c>
      <c r="H6190" s="472" t="s">
        <v>5462</v>
      </c>
      <c r="I6190" s="470">
        <v>302.3</v>
      </c>
      <c r="J6190" s="496">
        <v>21.124140000000001</v>
      </c>
      <c r="K6190" s="496">
        <v>20.159880000000001</v>
      </c>
      <c r="L6190" s="496">
        <f t="shared" si="76"/>
        <v>0.96425999999999945</v>
      </c>
      <c r="M6190" s="337"/>
    </row>
    <row r="6191" spans="1:13" s="71" customFormat="1" ht="26.4" customHeight="1">
      <c r="A6191" s="282">
        <v>154</v>
      </c>
      <c r="B6191" s="556"/>
      <c r="C6191" s="260" t="s">
        <v>8038</v>
      </c>
      <c r="D6191" s="260" t="s">
        <v>7919</v>
      </c>
      <c r="E6191" s="260" t="s">
        <v>8053</v>
      </c>
      <c r="F6191" s="387">
        <v>644</v>
      </c>
      <c r="G6191" s="311">
        <v>1979</v>
      </c>
      <c r="H6191" s="472" t="s">
        <v>5462</v>
      </c>
      <c r="I6191" s="470">
        <v>5028</v>
      </c>
      <c r="J6191" s="496">
        <v>30.02675</v>
      </c>
      <c r="K6191" s="496">
        <v>29.23169</v>
      </c>
      <c r="L6191" s="496">
        <f t="shared" si="76"/>
        <v>0.79505999999999943</v>
      </c>
      <c r="M6191" s="337"/>
    </row>
    <row r="6192" spans="1:13" s="71" customFormat="1" ht="26.4" customHeight="1">
      <c r="A6192" s="282">
        <v>155</v>
      </c>
      <c r="B6192" s="556"/>
      <c r="C6192" s="260" t="s">
        <v>8038</v>
      </c>
      <c r="D6192" s="260" t="s">
        <v>7919</v>
      </c>
      <c r="E6192" s="260" t="s">
        <v>8061</v>
      </c>
      <c r="F6192" s="387">
        <v>644</v>
      </c>
      <c r="G6192" s="311">
        <v>1987</v>
      </c>
      <c r="H6192" s="472" t="s">
        <v>5462</v>
      </c>
      <c r="I6192" s="473">
        <v>8250</v>
      </c>
      <c r="J6192" s="496">
        <v>30.123449999999998</v>
      </c>
      <c r="K6192" s="496">
        <v>29.923410000000001</v>
      </c>
      <c r="L6192" s="496">
        <f t="shared" si="76"/>
        <v>0.20003999999999778</v>
      </c>
      <c r="M6192" s="337"/>
    </row>
    <row r="6193" spans="1:13" s="71" customFormat="1" ht="26.4" customHeight="1">
      <c r="A6193" s="282">
        <v>156</v>
      </c>
      <c r="B6193" s="556"/>
      <c r="C6193" s="260" t="s">
        <v>8038</v>
      </c>
      <c r="D6193" s="260" t="s">
        <v>7919</v>
      </c>
      <c r="E6193" s="260" t="s">
        <v>8052</v>
      </c>
      <c r="F6193" s="387">
        <v>645</v>
      </c>
      <c r="G6193" s="311">
        <v>1979</v>
      </c>
      <c r="H6193" s="472" t="s">
        <v>3243</v>
      </c>
      <c r="I6193" s="473" t="s">
        <v>3243</v>
      </c>
      <c r="J6193" s="496">
        <v>38.210650000000001</v>
      </c>
      <c r="K6193" s="496">
        <v>37.922110000000004</v>
      </c>
      <c r="L6193" s="496">
        <f t="shared" si="76"/>
        <v>0.28853999999999758</v>
      </c>
      <c r="M6193" s="337"/>
    </row>
    <row r="6194" spans="1:13" s="71" customFormat="1" ht="26.4" customHeight="1">
      <c r="A6194" s="282">
        <v>157</v>
      </c>
      <c r="B6194" s="556"/>
      <c r="C6194" s="260" t="s">
        <v>8038</v>
      </c>
      <c r="D6194" s="260" t="s">
        <v>7919</v>
      </c>
      <c r="E6194" s="260" t="s">
        <v>12879</v>
      </c>
      <c r="F6194" s="387">
        <v>645</v>
      </c>
      <c r="G6194" s="311">
        <v>1987</v>
      </c>
      <c r="H6194" s="472" t="s">
        <v>3243</v>
      </c>
      <c r="I6194" s="473" t="s">
        <v>3243</v>
      </c>
      <c r="J6194" s="496">
        <v>58.144309999999997</v>
      </c>
      <c r="K6194" s="496">
        <v>57.984229999999997</v>
      </c>
      <c r="L6194" s="496">
        <f t="shared" si="76"/>
        <v>0.16008000000000067</v>
      </c>
      <c r="M6194" s="337"/>
    </row>
    <row r="6195" spans="1:13" s="71" customFormat="1" ht="26.4" customHeight="1">
      <c r="A6195" s="282">
        <v>158</v>
      </c>
      <c r="B6195" s="556"/>
      <c r="C6195" s="260" t="s">
        <v>8038</v>
      </c>
      <c r="D6195" s="260" t="s">
        <v>7919</v>
      </c>
      <c r="E6195" s="260" t="s">
        <v>8062</v>
      </c>
      <c r="F6195" s="387">
        <v>645</v>
      </c>
      <c r="G6195" s="311">
        <v>1987</v>
      </c>
      <c r="H6195" s="472" t="s">
        <v>5462</v>
      </c>
      <c r="I6195" s="473">
        <v>7000</v>
      </c>
      <c r="J6195" s="496">
        <v>70.262219999999999</v>
      </c>
      <c r="K6195" s="496">
        <v>70.012140000000002</v>
      </c>
      <c r="L6195" s="496">
        <f t="shared" si="76"/>
        <v>0.25007999999999697</v>
      </c>
      <c r="M6195" s="337"/>
    </row>
    <row r="6196" spans="1:13" s="71" customFormat="1" ht="26.4" customHeight="1">
      <c r="A6196" s="282">
        <v>159</v>
      </c>
      <c r="B6196" s="556"/>
      <c r="C6196" s="260" t="s">
        <v>8038</v>
      </c>
      <c r="D6196" s="260" t="s">
        <v>7919</v>
      </c>
      <c r="E6196" s="260" t="s">
        <v>8053</v>
      </c>
      <c r="F6196" s="387">
        <v>646</v>
      </c>
      <c r="G6196" s="311">
        <v>1979</v>
      </c>
      <c r="H6196" s="472" t="s">
        <v>5462</v>
      </c>
      <c r="I6196" s="470">
        <v>5018</v>
      </c>
      <c r="J6196" s="496">
        <v>26.17437</v>
      </c>
      <c r="K6196" s="496">
        <v>26.124359999999999</v>
      </c>
      <c r="L6196" s="496">
        <f t="shared" si="76"/>
        <v>5.0010000000000332E-2</v>
      </c>
      <c r="M6196" s="337"/>
    </row>
    <row r="6197" spans="1:13" s="71" customFormat="1" ht="26.4" customHeight="1">
      <c r="A6197" s="282">
        <v>160</v>
      </c>
      <c r="B6197" s="556"/>
      <c r="C6197" s="260" t="s">
        <v>8038</v>
      </c>
      <c r="D6197" s="260" t="s">
        <v>7919</v>
      </c>
      <c r="E6197" s="260" t="s">
        <v>8053</v>
      </c>
      <c r="F6197" s="387">
        <v>647</v>
      </c>
      <c r="G6197" s="311">
        <v>1979</v>
      </c>
      <c r="H6197" s="472" t="s">
        <v>5462</v>
      </c>
      <c r="I6197" s="470">
        <v>5028</v>
      </c>
      <c r="J6197" s="496">
        <v>12.99274</v>
      </c>
      <c r="K6197" s="496">
        <v>12.71773</v>
      </c>
      <c r="L6197" s="496">
        <f t="shared" si="76"/>
        <v>0.27500999999999998</v>
      </c>
      <c r="M6197" s="337"/>
    </row>
    <row r="6198" spans="1:13" s="71" customFormat="1" ht="39.6">
      <c r="A6198" s="282">
        <v>161</v>
      </c>
      <c r="B6198" s="556"/>
      <c r="C6198" s="260" t="s">
        <v>8063</v>
      </c>
      <c r="D6198" s="260" t="s">
        <v>8022</v>
      </c>
      <c r="E6198" s="260" t="s">
        <v>8064</v>
      </c>
      <c r="F6198" s="387">
        <v>843</v>
      </c>
      <c r="G6198" s="311">
        <v>1970</v>
      </c>
      <c r="H6198" s="472" t="s">
        <v>5462</v>
      </c>
      <c r="I6198" s="473">
        <v>2100</v>
      </c>
      <c r="J6198" s="496">
        <v>20.61</v>
      </c>
      <c r="K6198" s="496">
        <v>20.565000000000001</v>
      </c>
      <c r="L6198" s="496">
        <f t="shared" si="76"/>
        <v>4.4999999999998153E-2</v>
      </c>
      <c r="M6198" s="337"/>
    </row>
    <row r="6199" spans="1:13" s="71" customFormat="1" ht="39.6">
      <c r="A6199" s="282">
        <v>162</v>
      </c>
      <c r="B6199" s="556"/>
      <c r="C6199" s="260" t="s">
        <v>8063</v>
      </c>
      <c r="D6199" s="260" t="s">
        <v>8022</v>
      </c>
      <c r="E6199" s="260" t="s">
        <v>8065</v>
      </c>
      <c r="F6199" s="387">
        <v>844</v>
      </c>
      <c r="G6199" s="311">
        <v>1978</v>
      </c>
      <c r="H6199" s="472" t="s">
        <v>5462</v>
      </c>
      <c r="I6199" s="473">
        <v>900</v>
      </c>
      <c r="J6199" s="496">
        <v>4.452</v>
      </c>
      <c r="K6199" s="496">
        <v>4.4494999999999996</v>
      </c>
      <c r="L6199" s="496">
        <f t="shared" si="76"/>
        <v>2.5000000000003908E-3</v>
      </c>
      <c r="M6199" s="337"/>
    </row>
    <row r="6200" spans="1:13" s="71" customFormat="1" ht="39.6">
      <c r="A6200" s="282">
        <v>163</v>
      </c>
      <c r="B6200" s="556"/>
      <c r="C6200" s="260" t="s">
        <v>8063</v>
      </c>
      <c r="D6200" s="260" t="s">
        <v>8022</v>
      </c>
      <c r="E6200" s="260" t="s">
        <v>8066</v>
      </c>
      <c r="F6200" s="387">
        <v>845</v>
      </c>
      <c r="G6200" s="311">
        <v>1983</v>
      </c>
      <c r="H6200" s="472" t="s">
        <v>5462</v>
      </c>
      <c r="I6200" s="470">
        <v>84.6</v>
      </c>
      <c r="J6200" s="496">
        <v>870.16831999999999</v>
      </c>
      <c r="K6200" s="496">
        <v>834.40776000000005</v>
      </c>
      <c r="L6200" s="496">
        <f t="shared" si="76"/>
        <v>35.760559999999941</v>
      </c>
      <c r="M6200" s="337"/>
    </row>
    <row r="6201" spans="1:13" s="71" customFormat="1" ht="39.6">
      <c r="A6201" s="282">
        <v>164</v>
      </c>
      <c r="B6201" s="556"/>
      <c r="C6201" s="260" t="s">
        <v>8063</v>
      </c>
      <c r="D6201" s="260" t="s">
        <v>8022</v>
      </c>
      <c r="E6201" s="260" t="s">
        <v>8067</v>
      </c>
      <c r="F6201" s="387">
        <v>870</v>
      </c>
      <c r="G6201" s="311">
        <v>1964</v>
      </c>
      <c r="H6201" s="472" t="s">
        <v>5462</v>
      </c>
      <c r="I6201" s="470">
        <v>58</v>
      </c>
      <c r="J6201" s="496">
        <v>37.908610000000003</v>
      </c>
      <c r="K6201" s="496">
        <v>37.839860000000002</v>
      </c>
      <c r="L6201" s="496">
        <f t="shared" si="76"/>
        <v>6.8750000000001421E-2</v>
      </c>
      <c r="M6201" s="337"/>
    </row>
    <row r="6202" spans="1:13" s="71" customFormat="1" ht="39.6">
      <c r="A6202" s="282">
        <v>165</v>
      </c>
      <c r="B6202" s="556"/>
      <c r="C6202" s="260" t="s">
        <v>8063</v>
      </c>
      <c r="D6202" s="260" t="s">
        <v>8022</v>
      </c>
      <c r="E6202" s="260" t="s">
        <v>8068</v>
      </c>
      <c r="F6202" s="387">
        <v>872</v>
      </c>
      <c r="G6202" s="311">
        <v>1983</v>
      </c>
      <c r="H6202" s="472" t="s">
        <v>5462</v>
      </c>
      <c r="I6202" s="470">
        <v>586.5</v>
      </c>
      <c r="J6202" s="496">
        <v>251.18046000000001</v>
      </c>
      <c r="K6202" s="496">
        <v>251.08676</v>
      </c>
      <c r="L6202" s="496">
        <f t="shared" si="76"/>
        <v>9.3700000000012551E-2</v>
      </c>
      <c r="M6202" s="337"/>
    </row>
    <row r="6203" spans="1:13" s="71" customFormat="1" ht="39.6">
      <c r="A6203" s="282">
        <v>166</v>
      </c>
      <c r="B6203" s="556"/>
      <c r="C6203" s="260" t="s">
        <v>8063</v>
      </c>
      <c r="D6203" s="260" t="s">
        <v>8022</v>
      </c>
      <c r="E6203" s="260" t="s">
        <v>8069</v>
      </c>
      <c r="F6203" s="387">
        <v>874</v>
      </c>
      <c r="G6203" s="311">
        <v>1983</v>
      </c>
      <c r="H6203" s="472" t="s">
        <v>5462</v>
      </c>
      <c r="I6203" s="470">
        <v>155</v>
      </c>
      <c r="J6203" s="496">
        <v>28.800660000000001</v>
      </c>
      <c r="K6203" s="496">
        <v>27.967780000000001</v>
      </c>
      <c r="L6203" s="496">
        <f t="shared" si="76"/>
        <v>0.8328799999999994</v>
      </c>
      <c r="M6203" s="337"/>
    </row>
    <row r="6204" spans="1:13" s="71" customFormat="1" ht="39.6">
      <c r="A6204" s="282">
        <v>167</v>
      </c>
      <c r="B6204" s="556"/>
      <c r="C6204" s="260" t="s">
        <v>8063</v>
      </c>
      <c r="D6204" s="260" t="s">
        <v>8022</v>
      </c>
      <c r="E6204" s="260" t="s">
        <v>8070</v>
      </c>
      <c r="F6204" s="387">
        <v>875</v>
      </c>
      <c r="G6204" s="311">
        <v>1986</v>
      </c>
      <c r="H6204" s="472" t="s">
        <v>5462</v>
      </c>
      <c r="I6204" s="470">
        <v>153</v>
      </c>
      <c r="J6204" s="496">
        <v>8.0788600000000006</v>
      </c>
      <c r="K6204" s="496">
        <v>7.8424199999999997</v>
      </c>
      <c r="L6204" s="496">
        <f t="shared" si="76"/>
        <v>0.23644000000000087</v>
      </c>
      <c r="M6204" s="337"/>
    </row>
    <row r="6205" spans="1:13" s="71" customFormat="1" ht="39.6">
      <c r="A6205" s="282">
        <v>168</v>
      </c>
      <c r="B6205" s="556"/>
      <c r="C6205" s="260" t="s">
        <v>8063</v>
      </c>
      <c r="D6205" s="260" t="s">
        <v>8022</v>
      </c>
      <c r="E6205" s="260" t="s">
        <v>8071</v>
      </c>
      <c r="F6205" s="387">
        <v>877</v>
      </c>
      <c r="G6205" s="311">
        <v>1983</v>
      </c>
      <c r="H6205" s="472" t="s">
        <v>5462</v>
      </c>
      <c r="I6205" s="470">
        <v>507.3</v>
      </c>
      <c r="J6205" s="496">
        <v>37.825940000000003</v>
      </c>
      <c r="K6205" s="496">
        <v>36.759439999999998</v>
      </c>
      <c r="L6205" s="496">
        <f t="shared" si="76"/>
        <v>1.0665000000000049</v>
      </c>
      <c r="M6205" s="337"/>
    </row>
    <row r="6206" spans="1:13" s="71" customFormat="1" ht="39.6">
      <c r="A6206" s="282">
        <v>169</v>
      </c>
      <c r="B6206" s="556"/>
      <c r="C6206" s="260" t="s">
        <v>8063</v>
      </c>
      <c r="D6206" s="260" t="s">
        <v>8022</v>
      </c>
      <c r="E6206" s="260" t="s">
        <v>8071</v>
      </c>
      <c r="F6206" s="387">
        <v>878</v>
      </c>
      <c r="G6206" s="311">
        <v>1983</v>
      </c>
      <c r="H6206" s="472" t="s">
        <v>5462</v>
      </c>
      <c r="I6206" s="470">
        <v>21.5</v>
      </c>
      <c r="J6206" s="496">
        <v>4.7422399999999998</v>
      </c>
      <c r="K6206" s="496">
        <v>4.6423100000000002</v>
      </c>
      <c r="L6206" s="496">
        <f t="shared" si="76"/>
        <v>9.992999999999963E-2</v>
      </c>
      <c r="M6206" s="337"/>
    </row>
    <row r="6207" spans="1:13" s="71" customFormat="1" ht="39.6">
      <c r="A6207" s="282">
        <v>170</v>
      </c>
      <c r="B6207" s="556"/>
      <c r="C6207" s="260" t="s">
        <v>8063</v>
      </c>
      <c r="D6207" s="260" t="s">
        <v>8022</v>
      </c>
      <c r="E6207" s="260" t="s">
        <v>8072</v>
      </c>
      <c r="F6207" s="387">
        <v>879</v>
      </c>
      <c r="G6207" s="311">
        <v>1983</v>
      </c>
      <c r="H6207" s="472" t="s">
        <v>5462</v>
      </c>
      <c r="I6207" s="470">
        <v>2936.2</v>
      </c>
      <c r="J6207" s="496">
        <v>985.57984999999996</v>
      </c>
      <c r="K6207" s="496">
        <v>945.07623999999998</v>
      </c>
      <c r="L6207" s="496">
        <f t="shared" si="76"/>
        <v>40.503609999999981</v>
      </c>
      <c r="M6207" s="337"/>
    </row>
    <row r="6208" spans="1:13" s="71" customFormat="1" ht="39.6">
      <c r="A6208" s="282">
        <v>171</v>
      </c>
      <c r="B6208" s="556"/>
      <c r="C6208" s="260" t="s">
        <v>8063</v>
      </c>
      <c r="D6208" s="260" t="s">
        <v>8022</v>
      </c>
      <c r="E6208" s="260" t="s">
        <v>8073</v>
      </c>
      <c r="F6208" s="387">
        <v>880</v>
      </c>
      <c r="G6208" s="311">
        <v>1983</v>
      </c>
      <c r="H6208" s="472" t="s">
        <v>5462</v>
      </c>
      <c r="I6208" s="470">
        <v>398</v>
      </c>
      <c r="J6208" s="496">
        <v>69.199420000000003</v>
      </c>
      <c r="K6208" s="496">
        <v>63.204329999999999</v>
      </c>
      <c r="L6208" s="496">
        <f t="shared" si="76"/>
        <v>5.9950900000000047</v>
      </c>
      <c r="M6208" s="337"/>
    </row>
    <row r="6209" spans="1:13" s="71" customFormat="1" ht="39.6">
      <c r="A6209" s="282">
        <v>172</v>
      </c>
      <c r="B6209" s="556"/>
      <c r="C6209" s="260" t="s">
        <v>8063</v>
      </c>
      <c r="D6209" s="260" t="s">
        <v>8022</v>
      </c>
      <c r="E6209" s="260" t="s">
        <v>8074</v>
      </c>
      <c r="F6209" s="387">
        <v>881</v>
      </c>
      <c r="G6209" s="311">
        <v>1983</v>
      </c>
      <c r="H6209" s="472" t="s">
        <v>5462</v>
      </c>
      <c r="I6209" s="470">
        <v>354.5</v>
      </c>
      <c r="J6209" s="496">
        <v>49.61271</v>
      </c>
      <c r="K6209" s="496">
        <v>36.232439999999997</v>
      </c>
      <c r="L6209" s="496">
        <f t="shared" si="76"/>
        <v>13.380270000000003</v>
      </c>
      <c r="M6209" s="337"/>
    </row>
    <row r="6210" spans="1:13" s="71" customFormat="1" ht="39.6">
      <c r="A6210" s="282">
        <v>173</v>
      </c>
      <c r="B6210" s="556"/>
      <c r="C6210" s="260" t="s">
        <v>8063</v>
      </c>
      <c r="D6210" s="260" t="s">
        <v>8022</v>
      </c>
      <c r="E6210" s="260" t="s">
        <v>8075</v>
      </c>
      <c r="F6210" s="387">
        <v>882</v>
      </c>
      <c r="G6210" s="311">
        <v>1983</v>
      </c>
      <c r="H6210" s="472" t="s">
        <v>5462</v>
      </c>
      <c r="I6210" s="470">
        <v>305</v>
      </c>
      <c r="J6210" s="496">
        <v>63.26397</v>
      </c>
      <c r="K6210" s="496">
        <v>63.151470000000003</v>
      </c>
      <c r="L6210" s="496">
        <f t="shared" si="76"/>
        <v>0.11249999999999716</v>
      </c>
      <c r="M6210" s="337"/>
    </row>
    <row r="6211" spans="1:13" s="71" customFormat="1" ht="39.6">
      <c r="A6211" s="282">
        <v>174</v>
      </c>
      <c r="B6211" s="556"/>
      <c r="C6211" s="260" t="s">
        <v>8063</v>
      </c>
      <c r="D6211" s="260" t="s">
        <v>8022</v>
      </c>
      <c r="E6211" s="260" t="s">
        <v>8076</v>
      </c>
      <c r="F6211" s="387">
        <v>883</v>
      </c>
      <c r="G6211" s="311">
        <v>1983</v>
      </c>
      <c r="H6211" s="472" t="s">
        <v>5462</v>
      </c>
      <c r="I6211" s="470">
        <v>2169</v>
      </c>
      <c r="J6211" s="496">
        <v>9.3029299999999999</v>
      </c>
      <c r="K6211" s="496">
        <v>8.0990900000000003</v>
      </c>
      <c r="L6211" s="496">
        <f t="shared" si="76"/>
        <v>1.2038399999999996</v>
      </c>
      <c r="M6211" s="337"/>
    </row>
    <row r="6212" spans="1:13" s="71" customFormat="1" ht="39.6">
      <c r="A6212" s="282">
        <v>175</v>
      </c>
      <c r="B6212" s="556"/>
      <c r="C6212" s="260" t="s">
        <v>8063</v>
      </c>
      <c r="D6212" s="260" t="s">
        <v>8022</v>
      </c>
      <c r="E6212" s="260" t="s">
        <v>8077</v>
      </c>
      <c r="F6212" s="387">
        <v>884</v>
      </c>
      <c r="G6212" s="311">
        <v>1983</v>
      </c>
      <c r="H6212" s="472" t="s">
        <v>5462</v>
      </c>
      <c r="I6212" s="470">
        <v>372.2</v>
      </c>
      <c r="J6212" s="496">
        <v>28.637799999999999</v>
      </c>
      <c r="K6212" s="496">
        <v>27.771360000000001</v>
      </c>
      <c r="L6212" s="496">
        <f t="shared" si="76"/>
        <v>0.86643999999999721</v>
      </c>
      <c r="M6212" s="337"/>
    </row>
    <row r="6213" spans="1:13" s="71" customFormat="1" ht="39.6">
      <c r="A6213" s="282">
        <v>176</v>
      </c>
      <c r="B6213" s="556"/>
      <c r="C6213" s="260" t="s">
        <v>8063</v>
      </c>
      <c r="D6213" s="260" t="s">
        <v>8022</v>
      </c>
      <c r="E6213" s="260" t="s">
        <v>8078</v>
      </c>
      <c r="F6213" s="387">
        <v>885</v>
      </c>
      <c r="G6213" s="311">
        <v>1979</v>
      </c>
      <c r="H6213" s="472" t="s">
        <v>5462</v>
      </c>
      <c r="I6213" s="470">
        <v>1974</v>
      </c>
      <c r="J6213" s="496">
        <v>191.80808999999999</v>
      </c>
      <c r="K6213" s="496">
        <v>189.76161999999999</v>
      </c>
      <c r="L6213" s="496">
        <f t="shared" si="76"/>
        <v>2.0464699999999993</v>
      </c>
      <c r="M6213" s="337"/>
    </row>
    <row r="6214" spans="1:13" s="71" customFormat="1" ht="39.6">
      <c r="A6214" s="282">
        <v>177</v>
      </c>
      <c r="B6214" s="556"/>
      <c r="C6214" s="260" t="s">
        <v>8063</v>
      </c>
      <c r="D6214" s="260" t="s">
        <v>8022</v>
      </c>
      <c r="E6214" s="260" t="s">
        <v>8079</v>
      </c>
      <c r="F6214" s="387">
        <v>886</v>
      </c>
      <c r="G6214" s="311">
        <v>1978</v>
      </c>
      <c r="H6214" s="472" t="s">
        <v>5462</v>
      </c>
      <c r="I6214" s="470">
        <v>1714.5</v>
      </c>
      <c r="J6214" s="496">
        <v>392.03721999999999</v>
      </c>
      <c r="K6214" s="496">
        <v>387.39121</v>
      </c>
      <c r="L6214" s="496">
        <f t="shared" si="76"/>
        <v>4.6460099999999898</v>
      </c>
      <c r="M6214" s="337"/>
    </row>
    <row r="6215" spans="1:13" s="71" customFormat="1" ht="39.6">
      <c r="A6215" s="282">
        <v>178</v>
      </c>
      <c r="B6215" s="556"/>
      <c r="C6215" s="260" t="s">
        <v>8063</v>
      </c>
      <c r="D6215" s="260" t="s">
        <v>8022</v>
      </c>
      <c r="E6215" s="260" t="s">
        <v>8080</v>
      </c>
      <c r="F6215" s="387">
        <v>887</v>
      </c>
      <c r="G6215" s="311">
        <v>1978</v>
      </c>
      <c r="H6215" s="472" t="s">
        <v>5462</v>
      </c>
      <c r="I6215" s="470">
        <v>800</v>
      </c>
      <c r="J6215" s="496">
        <v>32.355840000000001</v>
      </c>
      <c r="K6215" s="496">
        <v>31.090900000000001</v>
      </c>
      <c r="L6215" s="496">
        <f t="shared" si="76"/>
        <v>1.2649399999999993</v>
      </c>
      <c r="M6215" s="337"/>
    </row>
    <row r="6216" spans="1:13" s="71" customFormat="1" ht="39.6">
      <c r="A6216" s="282">
        <v>179</v>
      </c>
      <c r="B6216" s="556"/>
      <c r="C6216" s="260" t="s">
        <v>8063</v>
      </c>
      <c r="D6216" s="260" t="s">
        <v>8022</v>
      </c>
      <c r="E6216" s="260" t="s">
        <v>8081</v>
      </c>
      <c r="F6216" s="387">
        <v>889</v>
      </c>
      <c r="G6216" s="311">
        <v>1964</v>
      </c>
      <c r="H6216" s="472" t="s">
        <v>5462</v>
      </c>
      <c r="I6216" s="470">
        <v>4200</v>
      </c>
      <c r="J6216" s="496">
        <v>193.63210000000001</v>
      </c>
      <c r="K6216" s="496">
        <v>188.38216</v>
      </c>
      <c r="L6216" s="496">
        <f t="shared" si="76"/>
        <v>5.2499400000000094</v>
      </c>
      <c r="M6216" s="337"/>
    </row>
    <row r="6217" spans="1:13" s="71" customFormat="1" ht="39.6">
      <c r="A6217" s="282">
        <v>180</v>
      </c>
      <c r="B6217" s="556"/>
      <c r="C6217" s="260" t="s">
        <v>8063</v>
      </c>
      <c r="D6217" s="260" t="s">
        <v>8022</v>
      </c>
      <c r="E6217" s="260" t="s">
        <v>8082</v>
      </c>
      <c r="F6217" s="387">
        <v>890</v>
      </c>
      <c r="G6217" s="311">
        <v>1983</v>
      </c>
      <c r="H6217" s="472" t="s">
        <v>5462</v>
      </c>
      <c r="I6217" s="470">
        <v>646</v>
      </c>
      <c r="J6217" s="496">
        <v>73.977860000000007</v>
      </c>
      <c r="K6217" s="496">
        <v>66.480119999999999</v>
      </c>
      <c r="L6217" s="496">
        <f t="shared" si="76"/>
        <v>7.4977400000000074</v>
      </c>
      <c r="M6217" s="337"/>
    </row>
    <row r="6218" spans="1:13" s="71" customFormat="1" ht="39.6">
      <c r="A6218" s="282">
        <v>181</v>
      </c>
      <c r="B6218" s="556"/>
      <c r="C6218" s="260" t="s">
        <v>8063</v>
      </c>
      <c r="D6218" s="260" t="s">
        <v>8022</v>
      </c>
      <c r="E6218" s="260" t="s">
        <v>8083</v>
      </c>
      <c r="F6218" s="387">
        <v>891</v>
      </c>
      <c r="G6218" s="311">
        <v>1983</v>
      </c>
      <c r="H6218" s="472" t="s">
        <v>5462</v>
      </c>
      <c r="I6218" s="470">
        <v>855</v>
      </c>
      <c r="J6218" s="496">
        <v>96.567580000000007</v>
      </c>
      <c r="K6218" s="496">
        <v>91.652230000000003</v>
      </c>
      <c r="L6218" s="496">
        <f t="shared" si="76"/>
        <v>4.9153500000000037</v>
      </c>
      <c r="M6218" s="337"/>
    </row>
    <row r="6219" spans="1:13" s="71" customFormat="1" ht="39.6">
      <c r="A6219" s="282">
        <v>182</v>
      </c>
      <c r="B6219" s="556"/>
      <c r="C6219" s="260" t="s">
        <v>8063</v>
      </c>
      <c r="D6219" s="260" t="s">
        <v>8022</v>
      </c>
      <c r="E6219" s="260" t="s">
        <v>8084</v>
      </c>
      <c r="F6219" s="387">
        <v>893</v>
      </c>
      <c r="G6219" s="311">
        <v>1983</v>
      </c>
      <c r="H6219" s="472" t="s">
        <v>5462</v>
      </c>
      <c r="I6219" s="470">
        <v>196.8</v>
      </c>
      <c r="J6219" s="496">
        <v>22.421209999999999</v>
      </c>
      <c r="K6219" s="496">
        <v>21.824059999999999</v>
      </c>
      <c r="L6219" s="496">
        <f t="shared" si="76"/>
        <v>0.59714999999999918</v>
      </c>
      <c r="M6219" s="337"/>
    </row>
    <row r="6220" spans="1:13" s="71" customFormat="1" ht="39.6">
      <c r="A6220" s="282">
        <v>183</v>
      </c>
      <c r="B6220" s="556"/>
      <c r="C6220" s="260" t="s">
        <v>8063</v>
      </c>
      <c r="D6220" s="260" t="s">
        <v>8022</v>
      </c>
      <c r="E6220" s="260" t="s">
        <v>8085</v>
      </c>
      <c r="F6220" s="387">
        <v>894</v>
      </c>
      <c r="G6220" s="311">
        <v>1972</v>
      </c>
      <c r="H6220" s="472" t="s">
        <v>5462</v>
      </c>
      <c r="I6220" s="470">
        <v>2500</v>
      </c>
      <c r="J6220" s="496">
        <v>36.711210000000001</v>
      </c>
      <c r="K6220" s="496">
        <v>36.621209999999998</v>
      </c>
      <c r="L6220" s="496">
        <f t="shared" si="76"/>
        <v>9.0000000000003411E-2</v>
      </c>
      <c r="M6220" s="337"/>
    </row>
    <row r="6221" spans="1:13" s="71" customFormat="1" ht="39.6">
      <c r="A6221" s="282">
        <v>184</v>
      </c>
      <c r="B6221" s="556"/>
      <c r="C6221" s="260" t="s">
        <v>8063</v>
      </c>
      <c r="D6221" s="260" t="s">
        <v>8022</v>
      </c>
      <c r="E6221" s="260" t="s">
        <v>8086</v>
      </c>
      <c r="F6221" s="387">
        <v>896</v>
      </c>
      <c r="G6221" s="311">
        <v>1964</v>
      </c>
      <c r="H6221" s="472" t="s">
        <v>5462</v>
      </c>
      <c r="I6221" s="470">
        <v>299</v>
      </c>
      <c r="J6221" s="496">
        <v>40.9739</v>
      </c>
      <c r="K6221" s="496">
        <v>40.883899999999997</v>
      </c>
      <c r="L6221" s="496">
        <f t="shared" si="76"/>
        <v>9.0000000000003411E-2</v>
      </c>
      <c r="M6221" s="337"/>
    </row>
    <row r="6222" spans="1:13" s="71" customFormat="1" ht="39.6">
      <c r="A6222" s="282">
        <v>185</v>
      </c>
      <c r="B6222" s="556"/>
      <c r="C6222" s="260" t="s">
        <v>8063</v>
      </c>
      <c r="D6222" s="260" t="s">
        <v>8022</v>
      </c>
      <c r="E6222" s="260" t="s">
        <v>8087</v>
      </c>
      <c r="F6222" s="387">
        <v>897</v>
      </c>
      <c r="G6222" s="311">
        <v>1983</v>
      </c>
      <c r="H6222" s="472" t="s">
        <v>5462</v>
      </c>
      <c r="I6222" s="470">
        <v>213.5</v>
      </c>
      <c r="J6222" s="496">
        <v>66.978080000000006</v>
      </c>
      <c r="K6222" s="496">
        <v>64.225189999999998</v>
      </c>
      <c r="L6222" s="496">
        <f t="shared" si="76"/>
        <v>2.7528900000000078</v>
      </c>
      <c r="M6222" s="337"/>
    </row>
    <row r="6223" spans="1:13" s="71" customFormat="1" ht="39.6">
      <c r="A6223" s="282">
        <v>186</v>
      </c>
      <c r="B6223" s="556"/>
      <c r="C6223" s="260" t="s">
        <v>8063</v>
      </c>
      <c r="D6223" s="260" t="s">
        <v>8022</v>
      </c>
      <c r="E6223" s="260" t="s">
        <v>8088</v>
      </c>
      <c r="F6223" s="387">
        <v>898</v>
      </c>
      <c r="G6223" s="311">
        <v>1991</v>
      </c>
      <c r="H6223" s="472" t="s">
        <v>5462</v>
      </c>
      <c r="I6223" s="470">
        <v>215</v>
      </c>
      <c r="J6223" s="496">
        <v>19.828289999999999</v>
      </c>
      <c r="K6223" s="496">
        <v>17.140260000000001</v>
      </c>
      <c r="L6223" s="496">
        <f t="shared" si="76"/>
        <v>2.6880299999999977</v>
      </c>
      <c r="M6223" s="337"/>
    </row>
    <row r="6224" spans="1:13" s="71" customFormat="1" ht="39.6">
      <c r="A6224" s="282">
        <v>187</v>
      </c>
      <c r="B6224" s="556"/>
      <c r="C6224" s="260" t="s">
        <v>8063</v>
      </c>
      <c r="D6224" s="260" t="s">
        <v>8022</v>
      </c>
      <c r="E6224" s="260" t="s">
        <v>8089</v>
      </c>
      <c r="F6224" s="387">
        <v>899</v>
      </c>
      <c r="G6224" s="311">
        <v>1991</v>
      </c>
      <c r="H6224" s="472" t="s">
        <v>5462</v>
      </c>
      <c r="I6224" s="470">
        <v>435</v>
      </c>
      <c r="J6224" s="496">
        <v>17.34695</v>
      </c>
      <c r="K6224" s="496">
        <v>9.5337200000000006</v>
      </c>
      <c r="L6224" s="496">
        <f t="shared" si="76"/>
        <v>7.813229999999999</v>
      </c>
      <c r="M6224" s="337"/>
    </row>
    <row r="6225" spans="1:13" s="71" customFormat="1" ht="39.6">
      <c r="A6225" s="282">
        <v>188</v>
      </c>
      <c r="B6225" s="556"/>
      <c r="C6225" s="260" t="s">
        <v>8063</v>
      </c>
      <c r="D6225" s="260" t="s">
        <v>8022</v>
      </c>
      <c r="E6225" s="260" t="s">
        <v>8090</v>
      </c>
      <c r="F6225" s="387">
        <v>900</v>
      </c>
      <c r="G6225" s="311">
        <v>1991</v>
      </c>
      <c r="H6225" s="472" t="s">
        <v>5462</v>
      </c>
      <c r="I6225" s="470">
        <v>363</v>
      </c>
      <c r="J6225" s="496">
        <v>150.48211000000001</v>
      </c>
      <c r="K6225" s="496">
        <v>106.32478999999999</v>
      </c>
      <c r="L6225" s="496">
        <f t="shared" si="76"/>
        <v>44.157320000000013</v>
      </c>
      <c r="M6225" s="337"/>
    </row>
    <row r="6226" spans="1:13" s="71" customFormat="1" ht="26.4" customHeight="1">
      <c r="A6226" s="282">
        <v>189</v>
      </c>
      <c r="B6226" s="556"/>
      <c r="C6226" s="260" t="s">
        <v>12805</v>
      </c>
      <c r="D6226" s="260" t="s">
        <v>3</v>
      </c>
      <c r="E6226" s="260" t="s">
        <v>8091</v>
      </c>
      <c r="F6226" s="387">
        <v>900</v>
      </c>
      <c r="G6226" s="311">
        <v>1983</v>
      </c>
      <c r="H6226" s="472" t="s">
        <v>5462</v>
      </c>
      <c r="I6226" s="470">
        <v>17880</v>
      </c>
      <c r="J6226" s="496">
        <v>5396.4488899999997</v>
      </c>
      <c r="K6226" s="496">
        <v>4529.3251300000002</v>
      </c>
      <c r="L6226" s="496">
        <f t="shared" si="76"/>
        <v>867.12375999999949</v>
      </c>
      <c r="M6226" s="337"/>
    </row>
    <row r="6227" spans="1:13" s="71" customFormat="1" ht="26.4" customHeight="1">
      <c r="A6227" s="282">
        <v>190</v>
      </c>
      <c r="B6227" s="556"/>
      <c r="C6227" s="441" t="s">
        <v>7903</v>
      </c>
      <c r="D6227" s="260" t="s">
        <v>3</v>
      </c>
      <c r="E6227" s="260" t="s">
        <v>8092</v>
      </c>
      <c r="F6227" s="387">
        <v>901</v>
      </c>
      <c r="G6227" s="311">
        <v>1983</v>
      </c>
      <c r="H6227" s="472" t="s">
        <v>5462</v>
      </c>
      <c r="I6227" s="470">
        <v>4600</v>
      </c>
      <c r="J6227" s="496">
        <v>2961.14023</v>
      </c>
      <c r="K6227" s="496">
        <v>2683.1796100000001</v>
      </c>
      <c r="L6227" s="496">
        <f t="shared" si="76"/>
        <v>277.96061999999984</v>
      </c>
      <c r="M6227" s="337"/>
    </row>
    <row r="6228" spans="1:13" s="71" customFormat="1" ht="26.4" customHeight="1">
      <c r="A6228" s="282">
        <v>191</v>
      </c>
      <c r="B6228" s="556"/>
      <c r="C6228" s="441" t="s">
        <v>7903</v>
      </c>
      <c r="D6228" s="260" t="s">
        <v>3</v>
      </c>
      <c r="E6228" s="260" t="s">
        <v>8093</v>
      </c>
      <c r="F6228" s="387">
        <v>902</v>
      </c>
      <c r="G6228" s="311">
        <v>1983</v>
      </c>
      <c r="H6228" s="472" t="s">
        <v>3243</v>
      </c>
      <c r="I6228" s="470" t="s">
        <v>3243</v>
      </c>
      <c r="J6228" s="496">
        <v>1192.9385600000001</v>
      </c>
      <c r="K6228" s="496">
        <v>1081.47803</v>
      </c>
      <c r="L6228" s="496">
        <f t="shared" si="76"/>
        <v>111.46053000000006</v>
      </c>
      <c r="M6228" s="337"/>
    </row>
    <row r="6229" spans="1:13" s="71" customFormat="1" ht="26.4" customHeight="1">
      <c r="A6229" s="282">
        <v>192</v>
      </c>
      <c r="B6229" s="556"/>
      <c r="C6229" s="441" t="s">
        <v>7903</v>
      </c>
      <c r="D6229" s="260" t="s">
        <v>3</v>
      </c>
      <c r="E6229" s="260" t="s">
        <v>8094</v>
      </c>
      <c r="F6229" s="387">
        <v>903</v>
      </c>
      <c r="G6229" s="311">
        <v>1965</v>
      </c>
      <c r="H6229" s="472" t="s">
        <v>5462</v>
      </c>
      <c r="I6229" s="470">
        <v>4010</v>
      </c>
      <c r="J6229" s="496">
        <v>485.21627000000001</v>
      </c>
      <c r="K6229" s="496">
        <v>485.11619999999999</v>
      </c>
      <c r="L6229" s="496">
        <f t="shared" si="76"/>
        <v>0.10007000000001653</v>
      </c>
      <c r="M6229" s="337"/>
    </row>
    <row r="6230" spans="1:13" s="71" customFormat="1" ht="26.4" customHeight="1">
      <c r="A6230" s="282">
        <v>193</v>
      </c>
      <c r="B6230" s="556"/>
      <c r="C6230" s="441" t="s">
        <v>7903</v>
      </c>
      <c r="D6230" s="260" t="s">
        <v>3</v>
      </c>
      <c r="E6230" s="260" t="s">
        <v>8095</v>
      </c>
      <c r="F6230" s="387">
        <v>904</v>
      </c>
      <c r="G6230" s="311">
        <v>1983</v>
      </c>
      <c r="H6230" s="472" t="s">
        <v>3243</v>
      </c>
      <c r="I6230" s="470" t="s">
        <v>3243</v>
      </c>
      <c r="J6230" s="496">
        <v>996.83840999999995</v>
      </c>
      <c r="K6230" s="496">
        <v>828.55888000000004</v>
      </c>
      <c r="L6230" s="496">
        <f t="shared" ref="L6230:L6293" si="77">J6230-K6230</f>
        <v>168.27952999999991</v>
      </c>
      <c r="M6230" s="337"/>
    </row>
    <row r="6231" spans="1:13" s="71" customFormat="1" ht="26.4" customHeight="1">
      <c r="A6231" s="282">
        <v>194</v>
      </c>
      <c r="B6231" s="556"/>
      <c r="C6231" s="260" t="s">
        <v>7903</v>
      </c>
      <c r="D6231" s="260" t="s">
        <v>12976</v>
      </c>
      <c r="E6231" s="260" t="s">
        <v>8096</v>
      </c>
      <c r="F6231" s="387">
        <v>905</v>
      </c>
      <c r="G6231" s="311">
        <v>1935</v>
      </c>
      <c r="H6231" s="472" t="s">
        <v>5462</v>
      </c>
      <c r="I6231" s="470">
        <v>1651</v>
      </c>
      <c r="J6231" s="496">
        <v>430.15233999999998</v>
      </c>
      <c r="K6231" s="496">
        <v>430.05227000000002</v>
      </c>
      <c r="L6231" s="496">
        <f t="shared" si="77"/>
        <v>0.10006999999995969</v>
      </c>
      <c r="M6231" s="337"/>
    </row>
    <row r="6232" spans="1:13" s="71" customFormat="1" ht="52.8">
      <c r="A6232" s="282">
        <v>195</v>
      </c>
      <c r="B6232" s="556"/>
      <c r="C6232" s="260" t="s">
        <v>12806</v>
      </c>
      <c r="D6232" s="260" t="s">
        <v>3</v>
      </c>
      <c r="E6232" s="260" t="s">
        <v>8097</v>
      </c>
      <c r="F6232" s="387">
        <v>906</v>
      </c>
      <c r="G6232" s="311">
        <v>1974</v>
      </c>
      <c r="H6232" s="472" t="s">
        <v>5462</v>
      </c>
      <c r="I6232" s="470">
        <v>61.5</v>
      </c>
      <c r="J6232" s="496">
        <v>962.03566999999998</v>
      </c>
      <c r="K6232" s="496">
        <v>929.24749999999995</v>
      </c>
      <c r="L6232" s="496">
        <f t="shared" si="77"/>
        <v>32.788170000000036</v>
      </c>
      <c r="M6232" s="337"/>
    </row>
    <row r="6233" spans="1:13" s="71" customFormat="1" ht="26.4" customHeight="1">
      <c r="A6233" s="282">
        <v>196</v>
      </c>
      <c r="B6233" s="556"/>
      <c r="C6233" s="260" t="s">
        <v>7903</v>
      </c>
      <c r="D6233" s="260" t="s">
        <v>3</v>
      </c>
      <c r="E6233" s="260" t="s">
        <v>8098</v>
      </c>
      <c r="F6233" s="387">
        <v>908</v>
      </c>
      <c r="G6233" s="311">
        <v>1958</v>
      </c>
      <c r="H6233" s="472" t="s">
        <v>5462</v>
      </c>
      <c r="I6233" s="470">
        <v>4600</v>
      </c>
      <c r="J6233" s="496">
        <v>1535.9914799999999</v>
      </c>
      <c r="K6233" s="496">
        <v>1478.5971099999999</v>
      </c>
      <c r="L6233" s="496">
        <f t="shared" si="77"/>
        <v>57.394369999999981</v>
      </c>
      <c r="M6233" s="337"/>
    </row>
    <row r="6234" spans="1:13" s="71" customFormat="1" ht="26.4" customHeight="1">
      <c r="A6234" s="282">
        <v>197</v>
      </c>
      <c r="B6234" s="556"/>
      <c r="C6234" s="260" t="s">
        <v>7903</v>
      </c>
      <c r="D6234" s="260" t="s">
        <v>3</v>
      </c>
      <c r="E6234" s="260" t="s">
        <v>13299</v>
      </c>
      <c r="F6234" s="387">
        <v>910</v>
      </c>
      <c r="G6234" s="311">
        <v>1987</v>
      </c>
      <c r="H6234" s="472" t="s">
        <v>5462</v>
      </c>
      <c r="I6234" s="470">
        <v>3298</v>
      </c>
      <c r="J6234" s="496">
        <v>2544.4991399999999</v>
      </c>
      <c r="K6234" s="496">
        <v>2206.29709</v>
      </c>
      <c r="L6234" s="496">
        <f t="shared" si="77"/>
        <v>338.20204999999987</v>
      </c>
      <c r="M6234" s="337"/>
    </row>
    <row r="6235" spans="1:13" s="71" customFormat="1" ht="26.4" customHeight="1">
      <c r="A6235" s="282">
        <v>198</v>
      </c>
      <c r="B6235" s="556"/>
      <c r="C6235" s="260" t="s">
        <v>7903</v>
      </c>
      <c r="D6235" s="260" t="s">
        <v>3</v>
      </c>
      <c r="E6235" s="260" t="s">
        <v>8099</v>
      </c>
      <c r="F6235" s="387">
        <v>911</v>
      </c>
      <c r="G6235" s="311">
        <v>1951</v>
      </c>
      <c r="H6235" s="472" t="s">
        <v>5462</v>
      </c>
      <c r="I6235" s="470">
        <v>14400</v>
      </c>
      <c r="J6235" s="496">
        <v>286.42635000000001</v>
      </c>
      <c r="K6235" s="496">
        <v>232.57605000000001</v>
      </c>
      <c r="L6235" s="496">
        <f t="shared" si="77"/>
        <v>53.850300000000004</v>
      </c>
      <c r="M6235" s="337"/>
    </row>
    <row r="6236" spans="1:13" s="71" customFormat="1" ht="26.4" customHeight="1">
      <c r="A6236" s="282">
        <v>199</v>
      </c>
      <c r="B6236" s="556"/>
      <c r="C6236" s="260" t="s">
        <v>7903</v>
      </c>
      <c r="D6236" s="260" t="s">
        <v>3</v>
      </c>
      <c r="E6236" s="260" t="s">
        <v>8100</v>
      </c>
      <c r="F6236" s="387">
        <v>912</v>
      </c>
      <c r="G6236" s="311">
        <v>1962</v>
      </c>
      <c r="H6236" s="472" t="s">
        <v>5462</v>
      </c>
      <c r="I6236" s="470">
        <v>7785</v>
      </c>
      <c r="J6236" s="496">
        <v>1965.26722</v>
      </c>
      <c r="K6236" s="496">
        <v>1418.1552899999999</v>
      </c>
      <c r="L6236" s="496">
        <f t="shared" si="77"/>
        <v>547.11193000000003</v>
      </c>
      <c r="M6236" s="337"/>
    </row>
    <row r="6237" spans="1:13" s="71" customFormat="1" ht="26.4" customHeight="1">
      <c r="A6237" s="282">
        <v>200</v>
      </c>
      <c r="B6237" s="556"/>
      <c r="C6237" s="260" t="s">
        <v>7903</v>
      </c>
      <c r="D6237" s="260" t="s">
        <v>3</v>
      </c>
      <c r="E6237" s="260" t="s">
        <v>8101</v>
      </c>
      <c r="F6237" s="387">
        <v>913</v>
      </c>
      <c r="G6237" s="311">
        <v>1973</v>
      </c>
      <c r="H6237" s="472" t="s">
        <v>5462</v>
      </c>
      <c r="I6237" s="470">
        <v>6709</v>
      </c>
      <c r="J6237" s="496">
        <v>1744.7193500000001</v>
      </c>
      <c r="K6237" s="496">
        <v>1563.0304000000001</v>
      </c>
      <c r="L6237" s="496">
        <f t="shared" si="77"/>
        <v>181.68894999999998</v>
      </c>
      <c r="M6237" s="337"/>
    </row>
    <row r="6238" spans="1:13" s="71" customFormat="1" ht="26.4" customHeight="1">
      <c r="A6238" s="282">
        <v>201</v>
      </c>
      <c r="B6238" s="556"/>
      <c r="C6238" s="260" t="s">
        <v>7903</v>
      </c>
      <c r="D6238" s="260" t="s">
        <v>3</v>
      </c>
      <c r="E6238" s="260" t="s">
        <v>8102</v>
      </c>
      <c r="F6238" s="387">
        <v>914</v>
      </c>
      <c r="G6238" s="311">
        <v>1964</v>
      </c>
      <c r="H6238" s="472" t="s">
        <v>5462</v>
      </c>
      <c r="I6238" s="470">
        <v>283</v>
      </c>
      <c r="J6238" s="496">
        <v>29.704080000000001</v>
      </c>
      <c r="K6238" s="496">
        <v>29.59158</v>
      </c>
      <c r="L6238" s="496">
        <f t="shared" si="77"/>
        <v>0.11250000000000071</v>
      </c>
      <c r="M6238" s="337"/>
    </row>
    <row r="6239" spans="1:13" s="71" customFormat="1" ht="26.4" customHeight="1">
      <c r="A6239" s="282">
        <v>202</v>
      </c>
      <c r="B6239" s="556"/>
      <c r="C6239" s="260" t="s">
        <v>7903</v>
      </c>
      <c r="D6239" s="260" t="s">
        <v>3</v>
      </c>
      <c r="E6239" s="260" t="s">
        <v>8103</v>
      </c>
      <c r="F6239" s="387">
        <v>915</v>
      </c>
      <c r="G6239" s="311">
        <v>1964</v>
      </c>
      <c r="H6239" s="472" t="s">
        <v>5462</v>
      </c>
      <c r="I6239" s="470">
        <v>1809</v>
      </c>
      <c r="J6239" s="496">
        <v>222.79276999999999</v>
      </c>
      <c r="K6239" s="496">
        <v>222.53031999999999</v>
      </c>
      <c r="L6239" s="496">
        <f t="shared" si="77"/>
        <v>0.26245000000000118</v>
      </c>
      <c r="M6239" s="337"/>
    </row>
    <row r="6240" spans="1:13" s="71" customFormat="1" ht="26.4" customHeight="1">
      <c r="A6240" s="282">
        <v>203</v>
      </c>
      <c r="B6240" s="556"/>
      <c r="C6240" s="260" t="s">
        <v>7903</v>
      </c>
      <c r="D6240" s="260" t="s">
        <v>3</v>
      </c>
      <c r="E6240" s="260" t="s">
        <v>8104</v>
      </c>
      <c r="F6240" s="387">
        <v>916</v>
      </c>
      <c r="G6240" s="311">
        <v>1964</v>
      </c>
      <c r="H6240" s="472" t="s">
        <v>5462</v>
      </c>
      <c r="I6240" s="470">
        <v>752</v>
      </c>
      <c r="J6240" s="496">
        <v>93.349850000000004</v>
      </c>
      <c r="K6240" s="496">
        <v>93.1999</v>
      </c>
      <c r="L6240" s="496">
        <f t="shared" si="77"/>
        <v>0.14995000000000402</v>
      </c>
      <c r="M6240" s="337"/>
    </row>
    <row r="6241" spans="1:13" s="71" customFormat="1" ht="26.4" customHeight="1">
      <c r="A6241" s="282">
        <v>204</v>
      </c>
      <c r="B6241" s="556"/>
      <c r="C6241" s="260" t="s">
        <v>7903</v>
      </c>
      <c r="D6241" s="260" t="s">
        <v>3</v>
      </c>
      <c r="E6241" s="260" t="s">
        <v>8105</v>
      </c>
      <c r="F6241" s="387">
        <v>917</v>
      </c>
      <c r="G6241" s="311">
        <v>1964</v>
      </c>
      <c r="H6241" s="472" t="s">
        <v>5462</v>
      </c>
      <c r="I6241" s="470">
        <v>500</v>
      </c>
      <c r="J6241" s="496">
        <v>49.761159999999997</v>
      </c>
      <c r="K6241" s="496">
        <v>49.161160000000002</v>
      </c>
      <c r="L6241" s="496">
        <f t="shared" si="77"/>
        <v>0.59999999999999432</v>
      </c>
      <c r="M6241" s="337"/>
    </row>
    <row r="6242" spans="1:13" s="71" customFormat="1" ht="26.4" customHeight="1">
      <c r="A6242" s="282">
        <v>205</v>
      </c>
      <c r="B6242" s="556"/>
      <c r="C6242" s="260" t="s">
        <v>7903</v>
      </c>
      <c r="D6242" s="260" t="s">
        <v>3</v>
      </c>
      <c r="E6242" s="260" t="s">
        <v>8106</v>
      </c>
      <c r="F6242" s="387">
        <v>918</v>
      </c>
      <c r="G6242" s="311">
        <v>1965</v>
      </c>
      <c r="H6242" s="472" t="s">
        <v>5462</v>
      </c>
      <c r="I6242" s="470">
        <v>3652</v>
      </c>
      <c r="J6242" s="496">
        <v>328.41476999999998</v>
      </c>
      <c r="K6242" s="496">
        <v>328.31470000000002</v>
      </c>
      <c r="L6242" s="496">
        <f t="shared" si="77"/>
        <v>0.10006999999995969</v>
      </c>
      <c r="M6242" s="337"/>
    </row>
    <row r="6243" spans="1:13" s="71" customFormat="1" ht="26.4" customHeight="1">
      <c r="A6243" s="282">
        <v>206</v>
      </c>
      <c r="B6243" s="556"/>
      <c r="C6243" s="260" t="s">
        <v>7903</v>
      </c>
      <c r="D6243" s="260" t="s">
        <v>3</v>
      </c>
      <c r="E6243" s="260" t="s">
        <v>8107</v>
      </c>
      <c r="F6243" s="387">
        <v>919</v>
      </c>
      <c r="G6243" s="311">
        <v>1970</v>
      </c>
      <c r="H6243" s="472" t="s">
        <v>5462</v>
      </c>
      <c r="I6243" s="470">
        <v>4300</v>
      </c>
      <c r="J6243" s="496">
        <v>987.38063</v>
      </c>
      <c r="K6243" s="496">
        <v>979.48276999999996</v>
      </c>
      <c r="L6243" s="496">
        <f t="shared" si="77"/>
        <v>7.897860000000037</v>
      </c>
      <c r="M6243" s="337"/>
    </row>
    <row r="6244" spans="1:13" s="71" customFormat="1" ht="26.4" customHeight="1">
      <c r="A6244" s="282">
        <v>207</v>
      </c>
      <c r="B6244" s="556"/>
      <c r="C6244" s="260" t="s">
        <v>7903</v>
      </c>
      <c r="D6244" s="260" t="s">
        <v>3</v>
      </c>
      <c r="E6244" s="260" t="s">
        <v>8108</v>
      </c>
      <c r="F6244" s="387">
        <v>920</v>
      </c>
      <c r="G6244" s="311">
        <v>1964</v>
      </c>
      <c r="H6244" s="472" t="s">
        <v>5462</v>
      </c>
      <c r="I6244" s="470">
        <v>4200</v>
      </c>
      <c r="J6244" s="496">
        <v>720.34375</v>
      </c>
      <c r="K6244" s="496">
        <v>719.81875000000002</v>
      </c>
      <c r="L6244" s="496">
        <f t="shared" si="77"/>
        <v>0.52499999999997726</v>
      </c>
      <c r="M6244" s="337"/>
    </row>
    <row r="6245" spans="1:13" s="71" customFormat="1" ht="26.4" customHeight="1">
      <c r="A6245" s="282">
        <v>208</v>
      </c>
      <c r="B6245" s="556"/>
      <c r="C6245" s="260" t="s">
        <v>7903</v>
      </c>
      <c r="D6245" s="260" t="s">
        <v>3</v>
      </c>
      <c r="E6245" s="260" t="s">
        <v>8109</v>
      </c>
      <c r="F6245" s="387">
        <v>921</v>
      </c>
      <c r="G6245" s="311">
        <v>1972</v>
      </c>
      <c r="H6245" s="472" t="s">
        <v>5462</v>
      </c>
      <c r="I6245" s="470">
        <v>7658</v>
      </c>
      <c r="J6245" s="496">
        <v>2673.14536</v>
      </c>
      <c r="K6245" s="496">
        <v>2555.5203099999999</v>
      </c>
      <c r="L6245" s="496">
        <f t="shared" si="77"/>
        <v>117.6250500000001</v>
      </c>
      <c r="M6245" s="337"/>
    </row>
    <row r="6246" spans="1:13" s="71" customFormat="1" ht="52.8">
      <c r="A6246" s="282">
        <v>209</v>
      </c>
      <c r="B6246" s="556"/>
      <c r="C6246" s="260" t="s">
        <v>13250</v>
      </c>
      <c r="D6246" s="260" t="s">
        <v>3</v>
      </c>
      <c r="E6246" s="260" t="s">
        <v>8110</v>
      </c>
      <c r="F6246" s="387">
        <v>922</v>
      </c>
      <c r="G6246" s="311">
        <v>1976</v>
      </c>
      <c r="H6246" s="472" t="s">
        <v>5462</v>
      </c>
      <c r="I6246" s="470">
        <v>914</v>
      </c>
      <c r="J6246" s="496">
        <v>4024.6306199999999</v>
      </c>
      <c r="K6246" s="496">
        <v>3776.4119700000001</v>
      </c>
      <c r="L6246" s="496">
        <f t="shared" si="77"/>
        <v>248.2186499999998</v>
      </c>
      <c r="M6246" s="337"/>
    </row>
    <row r="6247" spans="1:13" s="71" customFormat="1" ht="26.4" customHeight="1">
      <c r="A6247" s="282">
        <v>210</v>
      </c>
      <c r="B6247" s="556"/>
      <c r="C6247" s="260" t="s">
        <v>7903</v>
      </c>
      <c r="D6247" s="260" t="s">
        <v>3</v>
      </c>
      <c r="E6247" s="260" t="s">
        <v>8111</v>
      </c>
      <c r="F6247" s="387">
        <v>923</v>
      </c>
      <c r="G6247" s="311">
        <v>1978</v>
      </c>
      <c r="H6247" s="472" t="s">
        <v>5462</v>
      </c>
      <c r="I6247" s="470">
        <v>18</v>
      </c>
      <c r="J6247" s="496">
        <v>5564.3495999999996</v>
      </c>
      <c r="K6247" s="496">
        <v>5352.6329900000001</v>
      </c>
      <c r="L6247" s="496">
        <f t="shared" si="77"/>
        <v>211.71660999999949</v>
      </c>
      <c r="M6247" s="337"/>
    </row>
    <row r="6248" spans="1:13" s="71" customFormat="1" ht="26.4" customHeight="1">
      <c r="A6248" s="282">
        <v>211</v>
      </c>
      <c r="B6248" s="556"/>
      <c r="C6248" s="260" t="s">
        <v>7903</v>
      </c>
      <c r="D6248" s="260" t="s">
        <v>3</v>
      </c>
      <c r="E6248" s="260" t="s">
        <v>8112</v>
      </c>
      <c r="F6248" s="387">
        <v>924</v>
      </c>
      <c r="G6248" s="311">
        <v>1985</v>
      </c>
      <c r="H6248" s="472" t="s">
        <v>5462</v>
      </c>
      <c r="I6248" s="470">
        <v>2350</v>
      </c>
      <c r="J6248" s="496">
        <v>813.05930000000001</v>
      </c>
      <c r="K6248" s="496">
        <v>757.66377</v>
      </c>
      <c r="L6248" s="496">
        <f t="shared" si="77"/>
        <v>55.395530000000008</v>
      </c>
      <c r="M6248" s="337"/>
    </row>
    <row r="6249" spans="1:13" s="71" customFormat="1" ht="26.4" customHeight="1">
      <c r="A6249" s="282">
        <v>212</v>
      </c>
      <c r="B6249" s="556"/>
      <c r="C6249" s="260" t="s">
        <v>7903</v>
      </c>
      <c r="D6249" s="260" t="s">
        <v>3</v>
      </c>
      <c r="E6249" s="260" t="s">
        <v>8113</v>
      </c>
      <c r="F6249" s="387">
        <v>925</v>
      </c>
      <c r="G6249" s="311">
        <v>1979</v>
      </c>
      <c r="H6249" s="472" t="s">
        <v>5462</v>
      </c>
      <c r="I6249" s="470">
        <v>3100</v>
      </c>
      <c r="J6249" s="496">
        <v>74.393460000000005</v>
      </c>
      <c r="K6249" s="496">
        <v>68.440709999999996</v>
      </c>
      <c r="L6249" s="496">
        <f t="shared" si="77"/>
        <v>5.9527500000000089</v>
      </c>
      <c r="M6249" s="337"/>
    </row>
    <row r="6250" spans="1:13" s="71" customFormat="1" ht="26.4" customHeight="1">
      <c r="A6250" s="282">
        <v>213</v>
      </c>
      <c r="B6250" s="556"/>
      <c r="C6250" s="260" t="s">
        <v>7903</v>
      </c>
      <c r="D6250" s="260" t="s">
        <v>3</v>
      </c>
      <c r="E6250" s="260" t="s">
        <v>8098</v>
      </c>
      <c r="F6250" s="387">
        <v>926</v>
      </c>
      <c r="G6250" s="311">
        <v>1958</v>
      </c>
      <c r="H6250" s="472" t="s">
        <v>5462</v>
      </c>
      <c r="I6250" s="470">
        <v>61.5</v>
      </c>
      <c r="J6250" s="496">
        <v>75.025059999999996</v>
      </c>
      <c r="K6250" s="496">
        <v>73.292429999999996</v>
      </c>
      <c r="L6250" s="496">
        <f t="shared" si="77"/>
        <v>1.7326300000000003</v>
      </c>
      <c r="M6250" s="337"/>
    </row>
    <row r="6251" spans="1:13" s="71" customFormat="1" ht="26.4" customHeight="1">
      <c r="A6251" s="282">
        <v>214</v>
      </c>
      <c r="B6251" s="556"/>
      <c r="C6251" s="260" t="s">
        <v>7903</v>
      </c>
      <c r="D6251" s="260" t="s">
        <v>7934</v>
      </c>
      <c r="E6251" s="260" t="s">
        <v>8114</v>
      </c>
      <c r="F6251" s="387">
        <v>926</v>
      </c>
      <c r="G6251" s="311">
        <v>1991</v>
      </c>
      <c r="H6251" s="472" t="s">
        <v>5462</v>
      </c>
      <c r="I6251" s="470">
        <v>700</v>
      </c>
      <c r="J6251" s="496">
        <v>91.590950000000007</v>
      </c>
      <c r="K6251" s="496">
        <v>82.458629999999999</v>
      </c>
      <c r="L6251" s="496">
        <f t="shared" si="77"/>
        <v>9.1323200000000071</v>
      </c>
      <c r="M6251" s="337"/>
    </row>
    <row r="6252" spans="1:13" s="71" customFormat="1" ht="26.4" customHeight="1">
      <c r="A6252" s="282">
        <v>215</v>
      </c>
      <c r="B6252" s="556"/>
      <c r="C6252" s="260" t="s">
        <v>7903</v>
      </c>
      <c r="D6252" s="260" t="s">
        <v>3</v>
      </c>
      <c r="E6252" s="260" t="s">
        <v>8115</v>
      </c>
      <c r="F6252" s="387">
        <v>927</v>
      </c>
      <c r="G6252" s="311">
        <v>1974</v>
      </c>
      <c r="H6252" s="472" t="s">
        <v>5462</v>
      </c>
      <c r="I6252" s="470">
        <v>61.5</v>
      </c>
      <c r="J6252" s="496">
        <v>10363.192849999999</v>
      </c>
      <c r="K6252" s="496">
        <v>9117.2203499999996</v>
      </c>
      <c r="L6252" s="496">
        <f t="shared" si="77"/>
        <v>1245.9724999999999</v>
      </c>
      <c r="M6252" s="337"/>
    </row>
    <row r="6253" spans="1:13" s="71" customFormat="1" ht="26.4" customHeight="1">
      <c r="A6253" s="282">
        <v>216</v>
      </c>
      <c r="B6253" s="556"/>
      <c r="C6253" s="260" t="s">
        <v>7903</v>
      </c>
      <c r="D6253" s="260" t="s">
        <v>7919</v>
      </c>
      <c r="E6253" s="260" t="s">
        <v>8116</v>
      </c>
      <c r="F6253" s="387">
        <v>927</v>
      </c>
      <c r="G6253" s="311">
        <v>1991</v>
      </c>
      <c r="H6253" s="472" t="s">
        <v>5462</v>
      </c>
      <c r="I6253" s="470">
        <v>225</v>
      </c>
      <c r="J6253" s="496">
        <v>48.636139999999997</v>
      </c>
      <c r="K6253" s="496">
        <v>44.219279999999998</v>
      </c>
      <c r="L6253" s="496">
        <f t="shared" si="77"/>
        <v>4.4168599999999998</v>
      </c>
      <c r="M6253" s="337"/>
    </row>
    <row r="6254" spans="1:13" s="71" customFormat="1" ht="52.8">
      <c r="A6254" s="282">
        <v>217</v>
      </c>
      <c r="B6254" s="556"/>
      <c r="C6254" s="260" t="s">
        <v>13250</v>
      </c>
      <c r="D6254" s="260" t="s">
        <v>3</v>
      </c>
      <c r="E6254" s="260" t="s">
        <v>8117</v>
      </c>
      <c r="F6254" s="387">
        <v>928</v>
      </c>
      <c r="G6254" s="311">
        <v>1976</v>
      </c>
      <c r="H6254" s="472" t="s">
        <v>5462</v>
      </c>
      <c r="I6254" s="470">
        <v>15.8</v>
      </c>
      <c r="J6254" s="496">
        <v>1152.18166</v>
      </c>
      <c r="K6254" s="496">
        <v>1043.57104</v>
      </c>
      <c r="L6254" s="496">
        <f t="shared" si="77"/>
        <v>108.61061999999993</v>
      </c>
      <c r="M6254" s="337"/>
    </row>
    <row r="6255" spans="1:13" s="71" customFormat="1" ht="26.4" customHeight="1">
      <c r="A6255" s="282">
        <v>218</v>
      </c>
      <c r="B6255" s="556"/>
      <c r="C6255" s="260" t="s">
        <v>7903</v>
      </c>
      <c r="D6255" s="260" t="s">
        <v>3</v>
      </c>
      <c r="E6255" s="260" t="s">
        <v>8118</v>
      </c>
      <c r="F6255" s="387">
        <v>929</v>
      </c>
      <c r="G6255" s="311">
        <v>1948</v>
      </c>
      <c r="H6255" s="472" t="s">
        <v>5462</v>
      </c>
      <c r="I6255" s="470">
        <v>7796</v>
      </c>
      <c r="J6255" s="496">
        <v>1229.15975</v>
      </c>
      <c r="K6255" s="496">
        <v>1216.2241100000001</v>
      </c>
      <c r="L6255" s="496">
        <f t="shared" si="77"/>
        <v>12.935639999999921</v>
      </c>
      <c r="M6255" s="337"/>
    </row>
    <row r="6256" spans="1:13" s="71" customFormat="1" ht="26.4" customHeight="1">
      <c r="A6256" s="282">
        <v>219</v>
      </c>
      <c r="B6256" s="556"/>
      <c r="C6256" s="260" t="s">
        <v>7903</v>
      </c>
      <c r="D6256" s="260" t="s">
        <v>3</v>
      </c>
      <c r="E6256" s="260" t="s">
        <v>8119</v>
      </c>
      <c r="F6256" s="387">
        <v>930</v>
      </c>
      <c r="G6256" s="311">
        <v>1993</v>
      </c>
      <c r="H6256" s="472" t="s">
        <v>5462</v>
      </c>
      <c r="I6256" s="470">
        <v>7930</v>
      </c>
      <c r="J6256" s="496">
        <v>4760.4034899999997</v>
      </c>
      <c r="K6256" s="496">
        <v>3505.7353400000002</v>
      </c>
      <c r="L6256" s="496">
        <f t="shared" si="77"/>
        <v>1254.6681499999995</v>
      </c>
      <c r="M6256" s="337"/>
    </row>
    <row r="6257" spans="1:13" s="71" customFormat="1" ht="52.8">
      <c r="A6257" s="282">
        <v>220</v>
      </c>
      <c r="B6257" s="556"/>
      <c r="C6257" s="260" t="s">
        <v>13250</v>
      </c>
      <c r="D6257" s="260" t="s">
        <v>3</v>
      </c>
      <c r="E6257" s="260" t="s">
        <v>8120</v>
      </c>
      <c r="F6257" s="387">
        <v>931</v>
      </c>
      <c r="G6257" s="311">
        <v>1995</v>
      </c>
      <c r="H6257" s="472" t="s">
        <v>5462</v>
      </c>
      <c r="I6257" s="470">
        <v>25.1</v>
      </c>
      <c r="J6257" s="496">
        <v>472.37596000000002</v>
      </c>
      <c r="K6257" s="496">
        <v>314.76240999999999</v>
      </c>
      <c r="L6257" s="496">
        <f t="shared" si="77"/>
        <v>157.61355000000003</v>
      </c>
      <c r="M6257" s="337"/>
    </row>
    <row r="6258" spans="1:13" s="71" customFormat="1" ht="26.4" customHeight="1">
      <c r="A6258" s="282">
        <v>221</v>
      </c>
      <c r="B6258" s="556"/>
      <c r="C6258" s="260" t="s">
        <v>7903</v>
      </c>
      <c r="D6258" s="260" t="s">
        <v>7919</v>
      </c>
      <c r="E6258" s="260" t="s">
        <v>8121</v>
      </c>
      <c r="F6258" s="387">
        <v>950</v>
      </c>
      <c r="G6258" s="311">
        <v>1978</v>
      </c>
      <c r="H6258" s="472" t="s">
        <v>5462</v>
      </c>
      <c r="I6258" s="470">
        <v>17650</v>
      </c>
      <c r="J6258" s="496">
        <v>301.03068000000002</v>
      </c>
      <c r="K6258" s="496">
        <v>300.48068999999998</v>
      </c>
      <c r="L6258" s="496">
        <f t="shared" si="77"/>
        <v>0.54999000000003662</v>
      </c>
      <c r="M6258" s="337"/>
    </row>
    <row r="6259" spans="1:13" s="71" customFormat="1" ht="52.8">
      <c r="A6259" s="282">
        <v>222</v>
      </c>
      <c r="B6259" s="556"/>
      <c r="C6259" s="260" t="s">
        <v>13250</v>
      </c>
      <c r="D6259" s="260" t="s">
        <v>3</v>
      </c>
      <c r="E6259" s="260" t="s">
        <v>8122</v>
      </c>
      <c r="F6259" s="387">
        <v>951</v>
      </c>
      <c r="G6259" s="311">
        <v>1975</v>
      </c>
      <c r="H6259" s="472" t="s">
        <v>5462</v>
      </c>
      <c r="I6259" s="470">
        <v>43145</v>
      </c>
      <c r="J6259" s="496">
        <v>313.92631999999998</v>
      </c>
      <c r="K6259" s="496">
        <v>313.25132000000002</v>
      </c>
      <c r="L6259" s="496">
        <f t="shared" si="77"/>
        <v>0.67499999999995453</v>
      </c>
      <c r="M6259" s="337"/>
    </row>
    <row r="6260" spans="1:13" s="71" customFormat="1" ht="26.4" customHeight="1">
      <c r="A6260" s="282">
        <v>223</v>
      </c>
      <c r="B6260" s="556"/>
      <c r="C6260" s="260" t="s">
        <v>7903</v>
      </c>
      <c r="D6260" s="260" t="s">
        <v>3</v>
      </c>
      <c r="E6260" s="260" t="s">
        <v>8123</v>
      </c>
      <c r="F6260" s="387">
        <v>952</v>
      </c>
      <c r="G6260" s="311">
        <v>1975</v>
      </c>
      <c r="H6260" s="472" t="s">
        <v>5462</v>
      </c>
      <c r="I6260" s="470">
        <v>3700</v>
      </c>
      <c r="J6260" s="496">
        <v>34.078220000000002</v>
      </c>
      <c r="K6260" s="496">
        <v>33.678260000000002</v>
      </c>
      <c r="L6260" s="496">
        <f t="shared" si="77"/>
        <v>0.39996000000000009</v>
      </c>
      <c r="M6260" s="337"/>
    </row>
    <row r="6261" spans="1:13" s="71" customFormat="1" ht="26.4" customHeight="1">
      <c r="A6261" s="282">
        <v>224</v>
      </c>
      <c r="B6261" s="556"/>
      <c r="C6261" s="260" t="s">
        <v>7903</v>
      </c>
      <c r="D6261" s="260" t="s">
        <v>3</v>
      </c>
      <c r="E6261" s="260" t="s">
        <v>8124</v>
      </c>
      <c r="F6261" s="387">
        <v>953</v>
      </c>
      <c r="G6261" s="311">
        <v>1975</v>
      </c>
      <c r="H6261" s="472" t="s">
        <v>5462</v>
      </c>
      <c r="I6261" s="470">
        <v>8400</v>
      </c>
      <c r="J6261" s="496">
        <v>94.390150000000006</v>
      </c>
      <c r="K6261" s="496">
        <v>94.223600000000005</v>
      </c>
      <c r="L6261" s="496">
        <f t="shared" si="77"/>
        <v>0.16655000000000086</v>
      </c>
      <c r="M6261" s="337"/>
    </row>
    <row r="6262" spans="1:13" s="71" customFormat="1" ht="26.4" customHeight="1">
      <c r="A6262" s="282">
        <v>225</v>
      </c>
      <c r="B6262" s="556"/>
      <c r="C6262" s="260" t="s">
        <v>7903</v>
      </c>
      <c r="D6262" s="260" t="s">
        <v>3</v>
      </c>
      <c r="E6262" s="260" t="s">
        <v>8125</v>
      </c>
      <c r="F6262" s="387">
        <v>954</v>
      </c>
      <c r="G6262" s="311">
        <v>1975</v>
      </c>
      <c r="H6262" s="472" t="s">
        <v>5462</v>
      </c>
      <c r="I6262" s="470">
        <v>4300</v>
      </c>
      <c r="J6262" s="496">
        <v>68.389589999999998</v>
      </c>
      <c r="K6262" s="496">
        <v>68.264589999999998</v>
      </c>
      <c r="L6262" s="496">
        <f t="shared" si="77"/>
        <v>0.125</v>
      </c>
      <c r="M6262" s="337"/>
    </row>
    <row r="6263" spans="1:13" s="71" customFormat="1" ht="26.4" customHeight="1">
      <c r="A6263" s="282">
        <v>226</v>
      </c>
      <c r="B6263" s="556"/>
      <c r="C6263" s="260" t="s">
        <v>7903</v>
      </c>
      <c r="D6263" s="260" t="s">
        <v>7919</v>
      </c>
      <c r="E6263" s="260" t="s">
        <v>8126</v>
      </c>
      <c r="F6263" s="387">
        <v>955</v>
      </c>
      <c r="G6263" s="311">
        <v>1975</v>
      </c>
      <c r="H6263" s="472" t="s">
        <v>5462</v>
      </c>
      <c r="I6263" s="470">
        <v>2200</v>
      </c>
      <c r="J6263" s="496">
        <v>71.418980000000005</v>
      </c>
      <c r="K6263" s="496">
        <v>70.718850000000003</v>
      </c>
      <c r="L6263" s="496">
        <f t="shared" si="77"/>
        <v>0.70013000000000147</v>
      </c>
      <c r="M6263" s="337"/>
    </row>
    <row r="6264" spans="1:13" s="71" customFormat="1" ht="26.4" customHeight="1">
      <c r="A6264" s="282">
        <v>227</v>
      </c>
      <c r="B6264" s="556"/>
      <c r="C6264" s="260" t="s">
        <v>7903</v>
      </c>
      <c r="D6264" s="260" t="s">
        <v>3</v>
      </c>
      <c r="E6264" s="260" t="s">
        <v>8127</v>
      </c>
      <c r="F6264" s="387">
        <v>957</v>
      </c>
      <c r="G6264" s="311">
        <v>1983</v>
      </c>
      <c r="H6264" s="472" t="s">
        <v>5462</v>
      </c>
      <c r="I6264" s="470">
        <v>2200</v>
      </c>
      <c r="J6264" s="496">
        <v>63.817770000000003</v>
      </c>
      <c r="K6264" s="496">
        <v>63.351149999999997</v>
      </c>
      <c r="L6264" s="496">
        <f t="shared" si="77"/>
        <v>0.46662000000000603</v>
      </c>
      <c r="M6264" s="337"/>
    </row>
    <row r="6265" spans="1:13" s="71" customFormat="1" ht="26.4" customHeight="1">
      <c r="A6265" s="282">
        <v>228</v>
      </c>
      <c r="B6265" s="556"/>
      <c r="C6265" s="260" t="s">
        <v>7903</v>
      </c>
      <c r="D6265" s="260" t="s">
        <v>3</v>
      </c>
      <c r="E6265" s="260" t="s">
        <v>8128</v>
      </c>
      <c r="F6265" s="387">
        <v>958</v>
      </c>
      <c r="G6265" s="311">
        <v>1983</v>
      </c>
      <c r="H6265" s="472" t="s">
        <v>5462</v>
      </c>
      <c r="I6265" s="470">
        <v>4162</v>
      </c>
      <c r="J6265" s="496">
        <v>126.11194</v>
      </c>
      <c r="K6265" s="496">
        <v>125.73694999999999</v>
      </c>
      <c r="L6265" s="496">
        <f t="shared" si="77"/>
        <v>0.37499000000001104</v>
      </c>
      <c r="M6265" s="337"/>
    </row>
    <row r="6266" spans="1:13" s="71" customFormat="1" ht="26.4" customHeight="1">
      <c r="A6266" s="282">
        <v>229</v>
      </c>
      <c r="B6266" s="556"/>
      <c r="C6266" s="260" t="s">
        <v>7903</v>
      </c>
      <c r="D6266" s="260" t="s">
        <v>3</v>
      </c>
      <c r="E6266" s="260" t="s">
        <v>8129</v>
      </c>
      <c r="F6266" s="387">
        <v>959</v>
      </c>
      <c r="G6266" s="311">
        <v>1983</v>
      </c>
      <c r="H6266" s="472" t="s">
        <v>5462</v>
      </c>
      <c r="I6266" s="470">
        <v>3710</v>
      </c>
      <c r="J6266" s="496">
        <v>38.792520000000003</v>
      </c>
      <c r="K6266" s="496">
        <v>32.130870000000002</v>
      </c>
      <c r="L6266" s="496">
        <f t="shared" si="77"/>
        <v>6.6616500000000016</v>
      </c>
      <c r="M6266" s="337"/>
    </row>
    <row r="6267" spans="1:13" s="71" customFormat="1" ht="26.4" customHeight="1">
      <c r="A6267" s="282">
        <v>230</v>
      </c>
      <c r="B6267" s="556"/>
      <c r="C6267" s="260" t="s">
        <v>7903</v>
      </c>
      <c r="D6267" s="260" t="s">
        <v>8022</v>
      </c>
      <c r="E6267" s="260" t="s">
        <v>8130</v>
      </c>
      <c r="F6267" s="387">
        <v>960</v>
      </c>
      <c r="G6267" s="311">
        <v>1983</v>
      </c>
      <c r="H6267" s="472" t="s">
        <v>5462</v>
      </c>
      <c r="I6267" s="470">
        <v>4090</v>
      </c>
      <c r="J6267" s="496">
        <v>107.49106999999999</v>
      </c>
      <c r="K6267" s="496">
        <v>107.49095</v>
      </c>
      <c r="L6267" s="496">
        <f t="shared" si="77"/>
        <v>1.1999999999545707E-4</v>
      </c>
      <c r="M6267" s="337"/>
    </row>
    <row r="6268" spans="1:13" s="71" customFormat="1" ht="26.4" customHeight="1">
      <c r="A6268" s="282">
        <v>231</v>
      </c>
      <c r="B6268" s="556"/>
      <c r="C6268" s="260" t="s">
        <v>7903</v>
      </c>
      <c r="D6268" s="260" t="s">
        <v>8131</v>
      </c>
      <c r="E6268" s="260" t="s">
        <v>8132</v>
      </c>
      <c r="F6268" s="387">
        <v>961</v>
      </c>
      <c r="G6268" s="311">
        <v>1981</v>
      </c>
      <c r="H6268" s="472" t="s">
        <v>5462</v>
      </c>
      <c r="I6268" s="470">
        <v>1765</v>
      </c>
      <c r="J6268" s="496">
        <v>56.759439999999998</v>
      </c>
      <c r="K6268" s="496">
        <v>56.209449999999997</v>
      </c>
      <c r="L6268" s="496">
        <f t="shared" si="77"/>
        <v>0.54999000000000109</v>
      </c>
      <c r="M6268" s="337"/>
    </row>
    <row r="6269" spans="1:13" s="71" customFormat="1" ht="26.4" customHeight="1">
      <c r="A6269" s="282">
        <v>232</v>
      </c>
      <c r="B6269" s="556"/>
      <c r="C6269" s="260" t="s">
        <v>7903</v>
      </c>
      <c r="D6269" s="260" t="s">
        <v>8131</v>
      </c>
      <c r="E6269" s="260" t="s">
        <v>8133</v>
      </c>
      <c r="F6269" s="387">
        <v>962</v>
      </c>
      <c r="G6269" s="311">
        <v>1976</v>
      </c>
      <c r="H6269" s="472" t="s">
        <v>5462</v>
      </c>
      <c r="I6269" s="470">
        <v>1020</v>
      </c>
      <c r="J6269" s="496">
        <v>38.042180000000002</v>
      </c>
      <c r="K6269" s="496">
        <v>37.708860000000001</v>
      </c>
      <c r="L6269" s="496">
        <f t="shared" si="77"/>
        <v>0.3333200000000005</v>
      </c>
      <c r="M6269" s="337"/>
    </row>
    <row r="6270" spans="1:13" s="71" customFormat="1" ht="26.4" customHeight="1">
      <c r="A6270" s="282">
        <v>233</v>
      </c>
      <c r="B6270" s="556"/>
      <c r="C6270" s="260" t="s">
        <v>7903</v>
      </c>
      <c r="D6270" s="260" t="s">
        <v>8131</v>
      </c>
      <c r="E6270" s="260" t="s">
        <v>8134</v>
      </c>
      <c r="F6270" s="387">
        <v>963</v>
      </c>
      <c r="G6270" s="311">
        <v>1983</v>
      </c>
      <c r="H6270" s="472" t="s">
        <v>5462</v>
      </c>
      <c r="I6270" s="470">
        <v>1300</v>
      </c>
      <c r="J6270" s="496">
        <v>13.424860000000001</v>
      </c>
      <c r="K6270" s="496">
        <v>13.224819999999999</v>
      </c>
      <c r="L6270" s="496">
        <f t="shared" si="77"/>
        <v>0.20004000000000133</v>
      </c>
      <c r="M6270" s="337"/>
    </row>
    <row r="6271" spans="1:13" s="71" customFormat="1" ht="26.4" customHeight="1">
      <c r="A6271" s="282">
        <v>234</v>
      </c>
      <c r="B6271" s="556"/>
      <c r="C6271" s="260" t="s">
        <v>7903</v>
      </c>
      <c r="D6271" s="260" t="s">
        <v>8131</v>
      </c>
      <c r="E6271" s="260" t="s">
        <v>8135</v>
      </c>
      <c r="F6271" s="387">
        <v>964</v>
      </c>
      <c r="G6271" s="311">
        <v>1983</v>
      </c>
      <c r="H6271" s="472" t="s">
        <v>5462</v>
      </c>
      <c r="I6271" s="470">
        <v>3100</v>
      </c>
      <c r="J6271" s="496">
        <v>9.5748099999999994</v>
      </c>
      <c r="K6271" s="496">
        <v>9.4415300000000002</v>
      </c>
      <c r="L6271" s="496">
        <f t="shared" si="77"/>
        <v>0.13327999999999918</v>
      </c>
      <c r="M6271" s="337"/>
    </row>
    <row r="6272" spans="1:13" s="71" customFormat="1" ht="26.4" customHeight="1">
      <c r="A6272" s="282">
        <v>235</v>
      </c>
      <c r="B6272" s="556"/>
      <c r="C6272" s="260" t="s">
        <v>7903</v>
      </c>
      <c r="D6272" s="282" t="s">
        <v>3</v>
      </c>
      <c r="E6272" s="260" t="s">
        <v>8136</v>
      </c>
      <c r="F6272" s="387">
        <v>967</v>
      </c>
      <c r="G6272" s="311">
        <v>1964</v>
      </c>
      <c r="H6272" s="472" t="s">
        <v>5462</v>
      </c>
      <c r="I6272" s="470">
        <v>3900</v>
      </c>
      <c r="J6272" s="496">
        <v>38.094369999999998</v>
      </c>
      <c r="K6272" s="496">
        <v>38.004370000000002</v>
      </c>
      <c r="L6272" s="496">
        <f t="shared" si="77"/>
        <v>8.9999999999996305E-2</v>
      </c>
      <c r="M6272" s="337"/>
    </row>
    <row r="6273" spans="1:13" s="71" customFormat="1" ht="26.4" customHeight="1">
      <c r="A6273" s="282">
        <v>236</v>
      </c>
      <c r="B6273" s="556"/>
      <c r="C6273" s="260" t="s">
        <v>7903</v>
      </c>
      <c r="D6273" s="260" t="s">
        <v>7919</v>
      </c>
      <c r="E6273" s="260" t="s">
        <v>8137</v>
      </c>
      <c r="F6273" s="387">
        <v>1039</v>
      </c>
      <c r="G6273" s="311">
        <v>1996</v>
      </c>
      <c r="H6273" s="472" t="s">
        <v>3243</v>
      </c>
      <c r="I6273" s="473" t="s">
        <v>3243</v>
      </c>
      <c r="J6273" s="496">
        <v>49.133369999999999</v>
      </c>
      <c r="K6273" s="496">
        <v>47.531619999999997</v>
      </c>
      <c r="L6273" s="496">
        <f t="shared" si="77"/>
        <v>1.6017500000000027</v>
      </c>
      <c r="M6273" s="337"/>
    </row>
    <row r="6274" spans="1:13" s="71" customFormat="1" ht="26.4" customHeight="1">
      <c r="A6274" s="282">
        <v>237</v>
      </c>
      <c r="B6274" s="556"/>
      <c r="C6274" s="260" t="s">
        <v>7903</v>
      </c>
      <c r="D6274" s="260" t="s">
        <v>8022</v>
      </c>
      <c r="E6274" s="260" t="s">
        <v>8138</v>
      </c>
      <c r="F6274" s="387">
        <v>207</v>
      </c>
      <c r="G6274" s="311">
        <v>1964</v>
      </c>
      <c r="H6274" s="472" t="s">
        <v>5462</v>
      </c>
      <c r="I6274" s="470">
        <v>55</v>
      </c>
      <c r="J6274" s="496">
        <v>1202.22084</v>
      </c>
      <c r="K6274" s="496">
        <v>1155.3902399999999</v>
      </c>
      <c r="L6274" s="496">
        <f t="shared" si="77"/>
        <v>46.830600000000004</v>
      </c>
      <c r="M6274" s="337"/>
    </row>
    <row r="6275" spans="1:13" s="71" customFormat="1" ht="26.4" customHeight="1">
      <c r="A6275" s="282">
        <v>238</v>
      </c>
      <c r="B6275" s="556"/>
      <c r="C6275" s="260" t="s">
        <v>7903</v>
      </c>
      <c r="D6275" s="260" t="s">
        <v>8022</v>
      </c>
      <c r="E6275" s="260" t="s">
        <v>8139</v>
      </c>
      <c r="F6275" s="387">
        <v>324</v>
      </c>
      <c r="G6275" s="311">
        <v>1978</v>
      </c>
      <c r="H6275" s="472" t="s">
        <v>5462</v>
      </c>
      <c r="I6275" s="470">
        <v>1227.2</v>
      </c>
      <c r="J6275" s="496">
        <v>531.07072000000005</v>
      </c>
      <c r="K6275" s="496">
        <v>524.77778999999998</v>
      </c>
      <c r="L6275" s="496">
        <f t="shared" si="77"/>
        <v>6.2929300000000694</v>
      </c>
      <c r="M6275" s="337"/>
    </row>
    <row r="6276" spans="1:13" s="71" customFormat="1" ht="26.4" customHeight="1">
      <c r="A6276" s="282">
        <v>239</v>
      </c>
      <c r="B6276" s="556"/>
      <c r="C6276" s="260" t="s">
        <v>7903</v>
      </c>
      <c r="D6276" s="260" t="s">
        <v>8022</v>
      </c>
      <c r="E6276" s="260" t="s">
        <v>8140</v>
      </c>
      <c r="F6276" s="387">
        <v>4</v>
      </c>
      <c r="G6276" s="311">
        <v>1964</v>
      </c>
      <c r="H6276" s="472" t="s">
        <v>1149</v>
      </c>
      <c r="I6276" s="473">
        <v>1732</v>
      </c>
      <c r="J6276" s="496">
        <v>98.713579999999993</v>
      </c>
      <c r="K6276" s="496">
        <v>93.524770000000004</v>
      </c>
      <c r="L6276" s="496">
        <f t="shared" si="77"/>
        <v>5.1888099999999895</v>
      </c>
      <c r="M6276" s="337"/>
    </row>
    <row r="6277" spans="1:13" s="71" customFormat="1" ht="26.4" customHeight="1">
      <c r="A6277" s="282">
        <v>240</v>
      </c>
      <c r="B6277" s="556"/>
      <c r="C6277" s="260" t="s">
        <v>7903</v>
      </c>
      <c r="D6277" s="260" t="s">
        <v>8022</v>
      </c>
      <c r="E6277" s="260" t="s">
        <v>8141</v>
      </c>
      <c r="F6277" s="387">
        <v>414</v>
      </c>
      <c r="G6277" s="311">
        <v>1977</v>
      </c>
      <c r="H6277" s="472" t="s">
        <v>5462</v>
      </c>
      <c r="I6277" s="470">
        <v>279</v>
      </c>
      <c r="J6277" s="496">
        <v>384.34472</v>
      </c>
      <c r="K6277" s="496">
        <v>340.18490000000003</v>
      </c>
      <c r="L6277" s="496">
        <f t="shared" si="77"/>
        <v>44.159819999999968</v>
      </c>
      <c r="M6277" s="337"/>
    </row>
    <row r="6278" spans="1:13" s="71" customFormat="1" ht="26.4" customHeight="1">
      <c r="A6278" s="282">
        <v>241</v>
      </c>
      <c r="B6278" s="556"/>
      <c r="C6278" s="260" t="s">
        <v>7903</v>
      </c>
      <c r="D6278" s="260" t="s">
        <v>3</v>
      </c>
      <c r="E6278" s="260" t="s">
        <v>13173</v>
      </c>
      <c r="F6278" s="387">
        <v>4845</v>
      </c>
      <c r="G6278" s="311">
        <v>1983</v>
      </c>
      <c r="H6278" s="472" t="s">
        <v>5462</v>
      </c>
      <c r="I6278" s="470">
        <v>8513</v>
      </c>
      <c r="J6278" s="496">
        <v>2692.4110300000002</v>
      </c>
      <c r="K6278" s="496">
        <v>2551.3793000000001</v>
      </c>
      <c r="L6278" s="496">
        <f t="shared" si="77"/>
        <v>141.03173000000015</v>
      </c>
      <c r="M6278" s="337"/>
    </row>
    <row r="6279" spans="1:13" s="71" customFormat="1" ht="26.4" customHeight="1">
      <c r="A6279" s="282">
        <v>242</v>
      </c>
      <c r="B6279" s="556"/>
      <c r="C6279" s="260" t="s">
        <v>7903</v>
      </c>
      <c r="D6279" s="260" t="s">
        <v>7919</v>
      </c>
      <c r="E6279" s="260" t="s">
        <v>8142</v>
      </c>
      <c r="F6279" s="387">
        <v>4858</v>
      </c>
      <c r="G6279" s="311">
        <v>2002</v>
      </c>
      <c r="H6279" s="472" t="s">
        <v>1149</v>
      </c>
      <c r="I6279" s="473">
        <v>12</v>
      </c>
      <c r="J6279" s="496">
        <v>7.23</v>
      </c>
      <c r="K6279" s="496">
        <v>2.7147100000000002</v>
      </c>
      <c r="L6279" s="496">
        <f t="shared" si="77"/>
        <v>4.5152900000000002</v>
      </c>
      <c r="M6279" s="337"/>
    </row>
    <row r="6280" spans="1:13" s="71" customFormat="1" ht="26.4" customHeight="1">
      <c r="A6280" s="282">
        <v>243</v>
      </c>
      <c r="B6280" s="556"/>
      <c r="C6280" s="260" t="s">
        <v>7903</v>
      </c>
      <c r="D6280" s="260" t="s">
        <v>8143</v>
      </c>
      <c r="E6280" s="260" t="s">
        <v>8144</v>
      </c>
      <c r="F6280" s="387">
        <v>4866</v>
      </c>
      <c r="G6280" s="311">
        <v>2003</v>
      </c>
      <c r="H6280" s="472" t="s">
        <v>3243</v>
      </c>
      <c r="I6280" s="473" t="s">
        <v>3243</v>
      </c>
      <c r="J6280" s="496">
        <v>1.1519999999999999</v>
      </c>
      <c r="K6280" s="496">
        <v>1.13527</v>
      </c>
      <c r="L6280" s="496">
        <f t="shared" si="77"/>
        <v>1.6729999999999912E-2</v>
      </c>
      <c r="M6280" s="337"/>
    </row>
    <row r="6281" spans="1:13" s="71" customFormat="1" ht="26.4" customHeight="1">
      <c r="A6281" s="282">
        <v>244</v>
      </c>
      <c r="B6281" s="556"/>
      <c r="C6281" s="260" t="s">
        <v>7903</v>
      </c>
      <c r="D6281" s="260" t="s">
        <v>8143</v>
      </c>
      <c r="E6281" s="260" t="s">
        <v>8145</v>
      </c>
      <c r="F6281" s="387">
        <v>4867</v>
      </c>
      <c r="G6281" s="311">
        <v>2003</v>
      </c>
      <c r="H6281" s="472" t="s">
        <v>1149</v>
      </c>
      <c r="I6281" s="473">
        <v>98</v>
      </c>
      <c r="J6281" s="496">
        <v>2.9138999999999999</v>
      </c>
      <c r="K6281" s="496">
        <v>2.5679699999999999</v>
      </c>
      <c r="L6281" s="496">
        <f t="shared" si="77"/>
        <v>0.34593000000000007</v>
      </c>
      <c r="M6281" s="337"/>
    </row>
    <row r="6282" spans="1:13" s="71" customFormat="1" ht="26.4" customHeight="1">
      <c r="A6282" s="282">
        <v>245</v>
      </c>
      <c r="B6282" s="556"/>
      <c r="C6282" s="260" t="s">
        <v>7903</v>
      </c>
      <c r="D6282" s="260" t="s">
        <v>8143</v>
      </c>
      <c r="E6282" s="260" t="s">
        <v>8146</v>
      </c>
      <c r="F6282" s="387">
        <v>4868</v>
      </c>
      <c r="G6282" s="311">
        <v>2003</v>
      </c>
      <c r="H6282" s="472" t="s">
        <v>1149</v>
      </c>
      <c r="I6282" s="473">
        <v>5.4</v>
      </c>
      <c r="J6282" s="496">
        <v>6.3749500000000001</v>
      </c>
      <c r="K6282" s="496">
        <v>6.2249499999999998</v>
      </c>
      <c r="L6282" s="496">
        <f t="shared" si="77"/>
        <v>0.15000000000000036</v>
      </c>
      <c r="M6282" s="337"/>
    </row>
    <row r="6283" spans="1:13" s="71" customFormat="1" ht="26.4" customHeight="1">
      <c r="A6283" s="282">
        <v>246</v>
      </c>
      <c r="B6283" s="556"/>
      <c r="C6283" s="260" t="s">
        <v>7903</v>
      </c>
      <c r="D6283" s="282" t="s">
        <v>3</v>
      </c>
      <c r="E6283" s="260" t="s">
        <v>8147</v>
      </c>
      <c r="F6283" s="387">
        <v>4869</v>
      </c>
      <c r="G6283" s="311">
        <v>2003</v>
      </c>
      <c r="H6283" s="472" t="s">
        <v>5462</v>
      </c>
      <c r="I6283" s="473">
        <v>332</v>
      </c>
      <c r="J6283" s="496">
        <v>2.4695999999999998</v>
      </c>
      <c r="K6283" s="496">
        <v>2.3598400000000002</v>
      </c>
      <c r="L6283" s="496">
        <f t="shared" si="77"/>
        <v>0.10975999999999964</v>
      </c>
      <c r="M6283" s="337"/>
    </row>
    <row r="6284" spans="1:13" s="71" customFormat="1" ht="26.4" customHeight="1">
      <c r="A6284" s="282">
        <v>247</v>
      </c>
      <c r="B6284" s="556"/>
      <c r="C6284" s="260" t="s">
        <v>7903</v>
      </c>
      <c r="D6284" s="260" t="s">
        <v>7919</v>
      </c>
      <c r="E6284" s="260" t="s">
        <v>8148</v>
      </c>
      <c r="F6284" s="387">
        <v>4878</v>
      </c>
      <c r="G6284" s="311">
        <v>2003</v>
      </c>
      <c r="H6284" s="472" t="s">
        <v>3243</v>
      </c>
      <c r="I6284" s="473" t="s">
        <v>3243</v>
      </c>
      <c r="J6284" s="496">
        <v>1.1744399999999999</v>
      </c>
      <c r="K6284" s="496">
        <v>1.04444</v>
      </c>
      <c r="L6284" s="496">
        <f t="shared" si="77"/>
        <v>0.12999999999999989</v>
      </c>
      <c r="M6284" s="337"/>
    </row>
    <row r="6285" spans="1:13" s="71" customFormat="1" ht="26.4" customHeight="1">
      <c r="A6285" s="282">
        <v>248</v>
      </c>
      <c r="B6285" s="556"/>
      <c r="C6285" s="260" t="s">
        <v>7903</v>
      </c>
      <c r="D6285" s="260" t="s">
        <v>7934</v>
      </c>
      <c r="E6285" s="260" t="s">
        <v>8149</v>
      </c>
      <c r="F6285" s="387">
        <v>4924</v>
      </c>
      <c r="G6285" s="311">
        <v>2003</v>
      </c>
      <c r="H6285" s="472" t="s">
        <v>1149</v>
      </c>
      <c r="I6285" s="473">
        <v>18</v>
      </c>
      <c r="J6285" s="496">
        <v>4.6946099999999999</v>
      </c>
      <c r="K6285" s="496">
        <v>4.0437500000000002</v>
      </c>
      <c r="L6285" s="496">
        <f t="shared" si="77"/>
        <v>0.65085999999999977</v>
      </c>
      <c r="M6285" s="337"/>
    </row>
    <row r="6286" spans="1:13" s="71" customFormat="1" ht="26.4" customHeight="1">
      <c r="A6286" s="282">
        <v>249</v>
      </c>
      <c r="B6286" s="556"/>
      <c r="C6286" s="260" t="s">
        <v>7903</v>
      </c>
      <c r="D6286" s="260" t="s">
        <v>7919</v>
      </c>
      <c r="E6286" s="260" t="s">
        <v>8150</v>
      </c>
      <c r="F6286" s="387">
        <v>5082</v>
      </c>
      <c r="G6286" s="311">
        <v>2004</v>
      </c>
      <c r="H6286" s="472" t="s">
        <v>3243</v>
      </c>
      <c r="I6286" s="473" t="s">
        <v>3243</v>
      </c>
      <c r="J6286" s="496">
        <v>5.77</v>
      </c>
      <c r="K6286" s="496">
        <v>5.7534799999999997</v>
      </c>
      <c r="L6286" s="496">
        <f t="shared" si="77"/>
        <v>1.6519999999999868E-2</v>
      </c>
      <c r="M6286" s="337"/>
    </row>
    <row r="6287" spans="1:13" s="71" customFormat="1" ht="26.4" customHeight="1">
      <c r="A6287" s="282">
        <v>250</v>
      </c>
      <c r="B6287" s="556"/>
      <c r="C6287" s="260" t="s">
        <v>7903</v>
      </c>
      <c r="D6287" s="260" t="s">
        <v>7934</v>
      </c>
      <c r="E6287" s="260" t="s">
        <v>7953</v>
      </c>
      <c r="F6287" s="387">
        <v>51</v>
      </c>
      <c r="G6287" s="311">
        <v>1958</v>
      </c>
      <c r="H6287" s="472" t="s">
        <v>1149</v>
      </c>
      <c r="I6287" s="473">
        <v>360</v>
      </c>
      <c r="J6287" s="496">
        <v>70.112790000000004</v>
      </c>
      <c r="K6287" s="496">
        <v>69.812709999999996</v>
      </c>
      <c r="L6287" s="496">
        <f t="shared" si="77"/>
        <v>0.30008000000000834</v>
      </c>
      <c r="M6287" s="337"/>
    </row>
    <row r="6288" spans="1:13" s="71" customFormat="1" ht="26.4" customHeight="1">
      <c r="A6288" s="282">
        <v>251</v>
      </c>
      <c r="B6288" s="556"/>
      <c r="C6288" s="260" t="s">
        <v>7903</v>
      </c>
      <c r="D6288" s="260" t="s">
        <v>8151</v>
      </c>
      <c r="E6288" s="260" t="s">
        <v>8152</v>
      </c>
      <c r="F6288" s="387">
        <v>5154</v>
      </c>
      <c r="G6288" s="311">
        <v>2004</v>
      </c>
      <c r="H6288" s="472" t="s">
        <v>1149</v>
      </c>
      <c r="I6288" s="473">
        <v>78.3</v>
      </c>
      <c r="J6288" s="496">
        <v>219.29929999999999</v>
      </c>
      <c r="K6288" s="496">
        <v>207.7244</v>
      </c>
      <c r="L6288" s="496">
        <f t="shared" si="77"/>
        <v>11.574899999999985</v>
      </c>
      <c r="M6288" s="337"/>
    </row>
    <row r="6289" spans="1:13" s="71" customFormat="1" ht="26.4" customHeight="1">
      <c r="A6289" s="282">
        <v>252</v>
      </c>
      <c r="B6289" s="556"/>
      <c r="C6289" s="260" t="s">
        <v>7903</v>
      </c>
      <c r="D6289" s="260" t="s">
        <v>7919</v>
      </c>
      <c r="E6289" s="260" t="s">
        <v>8153</v>
      </c>
      <c r="F6289" s="387">
        <v>5159</v>
      </c>
      <c r="G6289" s="311">
        <v>2004</v>
      </c>
      <c r="H6289" s="472" t="s">
        <v>1149</v>
      </c>
      <c r="I6289" s="473">
        <v>54</v>
      </c>
      <c r="J6289" s="496">
        <v>120.96017000000001</v>
      </c>
      <c r="K6289" s="496">
        <v>103.65808</v>
      </c>
      <c r="L6289" s="496">
        <f t="shared" si="77"/>
        <v>17.302090000000007</v>
      </c>
      <c r="M6289" s="337"/>
    </row>
    <row r="6290" spans="1:13" s="71" customFormat="1" ht="26.4" customHeight="1">
      <c r="A6290" s="282">
        <v>253</v>
      </c>
      <c r="B6290" s="556"/>
      <c r="C6290" s="260" t="s">
        <v>7903</v>
      </c>
      <c r="D6290" s="260" t="s">
        <v>3</v>
      </c>
      <c r="E6290" s="260" t="s">
        <v>8154</v>
      </c>
      <c r="F6290" s="387">
        <v>5196</v>
      </c>
      <c r="G6290" s="311">
        <v>2004</v>
      </c>
      <c r="H6290" s="472" t="s">
        <v>5462</v>
      </c>
      <c r="I6290" s="470">
        <v>4787</v>
      </c>
      <c r="J6290" s="496">
        <v>1087.60971</v>
      </c>
      <c r="K6290" s="496">
        <v>1078.0993000000001</v>
      </c>
      <c r="L6290" s="496">
        <f t="shared" si="77"/>
        <v>9.5104099999998652</v>
      </c>
      <c r="M6290" s="337"/>
    </row>
    <row r="6291" spans="1:13" s="71" customFormat="1" ht="26.4" customHeight="1">
      <c r="A6291" s="282">
        <v>254</v>
      </c>
      <c r="B6291" s="556"/>
      <c r="C6291" s="260" t="s">
        <v>7903</v>
      </c>
      <c r="D6291" s="260" t="s">
        <v>3</v>
      </c>
      <c r="E6291" s="260" t="s">
        <v>8155</v>
      </c>
      <c r="F6291" s="387">
        <v>5197</v>
      </c>
      <c r="G6291" s="311">
        <v>2004</v>
      </c>
      <c r="H6291" s="472" t="s">
        <v>5462</v>
      </c>
      <c r="I6291" s="470">
        <v>8250</v>
      </c>
      <c r="J6291" s="496">
        <v>921.75851999999998</v>
      </c>
      <c r="K6291" s="496">
        <v>918.61811999999998</v>
      </c>
      <c r="L6291" s="496">
        <f t="shared" si="77"/>
        <v>3.1403999999999996</v>
      </c>
      <c r="M6291" s="337"/>
    </row>
    <row r="6292" spans="1:13" s="71" customFormat="1" ht="26.4" customHeight="1">
      <c r="A6292" s="282">
        <v>255</v>
      </c>
      <c r="B6292" s="556"/>
      <c r="C6292" s="260" t="s">
        <v>7903</v>
      </c>
      <c r="D6292" s="260" t="s">
        <v>3</v>
      </c>
      <c r="E6292" s="260" t="s">
        <v>8156</v>
      </c>
      <c r="F6292" s="387">
        <v>5198</v>
      </c>
      <c r="G6292" s="311">
        <v>2004</v>
      </c>
      <c r="H6292" s="472" t="s">
        <v>5462</v>
      </c>
      <c r="I6292" s="470">
        <v>17650</v>
      </c>
      <c r="J6292" s="496">
        <v>234.14909</v>
      </c>
      <c r="K6292" s="496">
        <v>209.45590999999999</v>
      </c>
      <c r="L6292" s="496">
        <f t="shared" si="77"/>
        <v>24.693180000000012</v>
      </c>
      <c r="M6292" s="337"/>
    </row>
    <row r="6293" spans="1:13" s="71" customFormat="1" ht="26.4" customHeight="1">
      <c r="A6293" s="282">
        <v>256</v>
      </c>
      <c r="B6293" s="556"/>
      <c r="C6293" s="260" t="s">
        <v>7903</v>
      </c>
      <c r="D6293" s="260" t="s">
        <v>3</v>
      </c>
      <c r="E6293" s="260" t="s">
        <v>8157</v>
      </c>
      <c r="F6293" s="387">
        <v>5199</v>
      </c>
      <c r="G6293" s="311">
        <v>2004</v>
      </c>
      <c r="H6293" s="472" t="s">
        <v>5462</v>
      </c>
      <c r="I6293" s="473">
        <v>20000</v>
      </c>
      <c r="J6293" s="496">
        <v>155.96764999999999</v>
      </c>
      <c r="K6293" s="496">
        <v>155.56769</v>
      </c>
      <c r="L6293" s="496">
        <f t="shared" si="77"/>
        <v>0.39995999999999299</v>
      </c>
      <c r="M6293" s="337"/>
    </row>
    <row r="6294" spans="1:13" s="71" customFormat="1" ht="26.4" customHeight="1">
      <c r="A6294" s="282">
        <v>257</v>
      </c>
      <c r="B6294" s="556"/>
      <c r="C6294" s="260" t="s">
        <v>7903</v>
      </c>
      <c r="D6294" s="260" t="s">
        <v>8143</v>
      </c>
      <c r="E6294" s="260" t="s">
        <v>8158</v>
      </c>
      <c r="F6294" s="387">
        <v>5232</v>
      </c>
      <c r="G6294" s="311">
        <v>2005</v>
      </c>
      <c r="H6294" s="472" t="s">
        <v>5462</v>
      </c>
      <c r="I6294" s="473">
        <v>40</v>
      </c>
      <c r="J6294" s="496">
        <v>144.51510999999999</v>
      </c>
      <c r="K6294" s="496">
        <v>141.40280999999999</v>
      </c>
      <c r="L6294" s="496">
        <f t="shared" ref="L6294:L6357" si="78">J6294-K6294</f>
        <v>3.1123000000000047</v>
      </c>
      <c r="M6294" s="337"/>
    </row>
    <row r="6295" spans="1:13" s="71" customFormat="1" ht="26.4" customHeight="1">
      <c r="A6295" s="282">
        <v>258</v>
      </c>
      <c r="B6295" s="556"/>
      <c r="C6295" s="260" t="s">
        <v>7903</v>
      </c>
      <c r="D6295" s="260" t="s">
        <v>7919</v>
      </c>
      <c r="E6295" s="260" t="s">
        <v>8159</v>
      </c>
      <c r="F6295" s="387">
        <v>5237</v>
      </c>
      <c r="G6295" s="311">
        <v>2005</v>
      </c>
      <c r="H6295" s="472" t="s">
        <v>3243</v>
      </c>
      <c r="I6295" s="473" t="s">
        <v>3243</v>
      </c>
      <c r="J6295" s="496">
        <v>23.890059999999998</v>
      </c>
      <c r="K6295" s="496">
        <v>14.930999999999999</v>
      </c>
      <c r="L6295" s="496">
        <f t="shared" si="78"/>
        <v>8.9590599999999991</v>
      </c>
      <c r="M6295" s="337"/>
    </row>
    <row r="6296" spans="1:13" s="71" customFormat="1" ht="26.4" customHeight="1">
      <c r="A6296" s="282">
        <v>259</v>
      </c>
      <c r="B6296" s="556"/>
      <c r="C6296" s="260" t="s">
        <v>7903</v>
      </c>
      <c r="D6296" s="260" t="s">
        <v>7932</v>
      </c>
      <c r="E6296" s="260" t="s">
        <v>8160</v>
      </c>
      <c r="F6296" s="387">
        <v>5252</v>
      </c>
      <c r="G6296" s="311">
        <v>2005</v>
      </c>
      <c r="H6296" s="472" t="s">
        <v>1149</v>
      </c>
      <c r="I6296" s="473">
        <v>22.7</v>
      </c>
      <c r="J6296" s="496">
        <v>3.96</v>
      </c>
      <c r="K6296" s="496">
        <v>3.5800100000000001</v>
      </c>
      <c r="L6296" s="496">
        <f t="shared" si="78"/>
        <v>0.37998999999999983</v>
      </c>
      <c r="M6296" s="337"/>
    </row>
    <row r="6297" spans="1:13" s="71" customFormat="1" ht="26.4" customHeight="1">
      <c r="A6297" s="282">
        <v>260</v>
      </c>
      <c r="B6297" s="556"/>
      <c r="C6297" s="260" t="s">
        <v>7903</v>
      </c>
      <c r="D6297" s="260" t="s">
        <v>7932</v>
      </c>
      <c r="E6297" s="260" t="s">
        <v>8161</v>
      </c>
      <c r="F6297" s="387">
        <v>5253</v>
      </c>
      <c r="G6297" s="311">
        <v>2005</v>
      </c>
      <c r="H6297" s="472" t="s">
        <v>1149</v>
      </c>
      <c r="I6297" s="473">
        <v>31.5</v>
      </c>
      <c r="J6297" s="496">
        <v>20</v>
      </c>
      <c r="K6297" s="496">
        <v>16.444279999999999</v>
      </c>
      <c r="L6297" s="496">
        <f t="shared" si="78"/>
        <v>3.5557200000000009</v>
      </c>
      <c r="M6297" s="337"/>
    </row>
    <row r="6298" spans="1:13" s="71" customFormat="1" ht="26.4" customHeight="1">
      <c r="A6298" s="282">
        <v>261</v>
      </c>
      <c r="B6298" s="556"/>
      <c r="C6298" s="260" t="s">
        <v>7903</v>
      </c>
      <c r="D6298" s="260" t="s">
        <v>7941</v>
      </c>
      <c r="E6298" s="260" t="s">
        <v>8162</v>
      </c>
      <c r="F6298" s="387">
        <v>5368</v>
      </c>
      <c r="G6298" s="311">
        <v>2006</v>
      </c>
      <c r="H6298" s="472" t="s">
        <v>5462</v>
      </c>
      <c r="I6298" s="470">
        <v>57.2</v>
      </c>
      <c r="J6298" s="496">
        <v>293.03665999999998</v>
      </c>
      <c r="K6298" s="496">
        <v>292.94265999999999</v>
      </c>
      <c r="L6298" s="496">
        <f t="shared" si="78"/>
        <v>9.3999999999994088E-2</v>
      </c>
      <c r="M6298" s="337"/>
    </row>
    <row r="6299" spans="1:13" s="71" customFormat="1" ht="26.4" customHeight="1">
      <c r="A6299" s="282">
        <v>262</v>
      </c>
      <c r="B6299" s="556"/>
      <c r="C6299" s="260" t="s">
        <v>7903</v>
      </c>
      <c r="D6299" s="260" t="s">
        <v>7934</v>
      </c>
      <c r="E6299" s="260" t="s">
        <v>8163</v>
      </c>
      <c r="F6299" s="387">
        <v>5411</v>
      </c>
      <c r="G6299" s="311">
        <v>2006</v>
      </c>
      <c r="H6299" s="472" t="s">
        <v>1149</v>
      </c>
      <c r="I6299" s="473">
        <v>58</v>
      </c>
      <c r="J6299" s="496">
        <v>663.47342000000003</v>
      </c>
      <c r="K6299" s="496">
        <v>243.12844000000001</v>
      </c>
      <c r="L6299" s="496">
        <f t="shared" si="78"/>
        <v>420.34498000000002</v>
      </c>
      <c r="M6299" s="337"/>
    </row>
    <row r="6300" spans="1:13" s="71" customFormat="1" ht="26.4" customHeight="1">
      <c r="A6300" s="282">
        <v>263</v>
      </c>
      <c r="B6300" s="556"/>
      <c r="C6300" s="260" t="s">
        <v>7903</v>
      </c>
      <c r="D6300" s="260" t="s">
        <v>8164</v>
      </c>
      <c r="E6300" s="260" t="s">
        <v>8165</v>
      </c>
      <c r="F6300" s="387">
        <v>5483</v>
      </c>
      <c r="G6300" s="311">
        <v>2007</v>
      </c>
      <c r="H6300" s="472" t="s">
        <v>1149</v>
      </c>
      <c r="I6300" s="473">
        <v>15</v>
      </c>
      <c r="J6300" s="496">
        <v>10.45661</v>
      </c>
      <c r="K6300" s="496">
        <v>9.7373100000000008</v>
      </c>
      <c r="L6300" s="496">
        <f t="shared" si="78"/>
        <v>0.71929999999999872</v>
      </c>
      <c r="M6300" s="337"/>
    </row>
    <row r="6301" spans="1:13" s="71" customFormat="1" ht="26.4" customHeight="1">
      <c r="A6301" s="282">
        <v>264</v>
      </c>
      <c r="B6301" s="556"/>
      <c r="C6301" s="260" t="s">
        <v>7903</v>
      </c>
      <c r="D6301" s="260" t="s">
        <v>7919</v>
      </c>
      <c r="E6301" s="260" t="s">
        <v>7901</v>
      </c>
      <c r="F6301" s="387">
        <v>56</v>
      </c>
      <c r="G6301" s="311">
        <v>1981</v>
      </c>
      <c r="H6301" s="472" t="s">
        <v>1149</v>
      </c>
      <c r="I6301" s="473">
        <v>3670</v>
      </c>
      <c r="J6301" s="496">
        <v>967.90427</v>
      </c>
      <c r="K6301" s="496">
        <v>848.07277999999997</v>
      </c>
      <c r="L6301" s="496">
        <f t="shared" si="78"/>
        <v>119.83149000000003</v>
      </c>
      <c r="M6301" s="337"/>
    </row>
    <row r="6302" spans="1:13" s="71" customFormat="1" ht="26.4" customHeight="1">
      <c r="A6302" s="282">
        <v>265</v>
      </c>
      <c r="B6302" s="556"/>
      <c r="C6302" s="260" t="s">
        <v>7903</v>
      </c>
      <c r="D6302" s="260" t="s">
        <v>7919</v>
      </c>
      <c r="E6302" s="260" t="s">
        <v>8166</v>
      </c>
      <c r="F6302" s="387">
        <v>5789</v>
      </c>
      <c r="G6302" s="311">
        <v>1952</v>
      </c>
      <c r="H6302" s="472" t="s">
        <v>1149</v>
      </c>
      <c r="I6302" s="473">
        <v>2.4</v>
      </c>
      <c r="J6302" s="496">
        <v>18.890809999999998</v>
      </c>
      <c r="K6302" s="496">
        <v>18.872769999999999</v>
      </c>
      <c r="L6302" s="496">
        <f t="shared" si="78"/>
        <v>1.8039999999999168E-2</v>
      </c>
      <c r="M6302" s="337"/>
    </row>
    <row r="6303" spans="1:13" s="71" customFormat="1" ht="26.4" customHeight="1">
      <c r="A6303" s="282">
        <v>266</v>
      </c>
      <c r="B6303" s="556"/>
      <c r="C6303" s="260" t="s">
        <v>7903</v>
      </c>
      <c r="D6303" s="260" t="s">
        <v>7919</v>
      </c>
      <c r="E6303" s="260" t="s">
        <v>8167</v>
      </c>
      <c r="F6303" s="387">
        <v>5790</v>
      </c>
      <c r="G6303" s="311">
        <v>1967</v>
      </c>
      <c r="H6303" s="472" t="s">
        <v>5462</v>
      </c>
      <c r="I6303" s="473">
        <v>800</v>
      </c>
      <c r="J6303" s="496">
        <v>130.48898</v>
      </c>
      <c r="K6303" s="496">
        <v>129.98894999999999</v>
      </c>
      <c r="L6303" s="496">
        <f t="shared" si="78"/>
        <v>0.50003000000000952</v>
      </c>
      <c r="M6303" s="337"/>
    </row>
    <row r="6304" spans="1:13" s="71" customFormat="1" ht="26.4" customHeight="1">
      <c r="A6304" s="282">
        <v>267</v>
      </c>
      <c r="B6304" s="556"/>
      <c r="C6304" s="260" t="s">
        <v>7903</v>
      </c>
      <c r="D6304" s="260" t="s">
        <v>7919</v>
      </c>
      <c r="E6304" s="260" t="s">
        <v>8168</v>
      </c>
      <c r="F6304" s="387">
        <v>5791</v>
      </c>
      <c r="G6304" s="311">
        <v>1967</v>
      </c>
      <c r="H6304" s="472" t="s">
        <v>5462</v>
      </c>
      <c r="I6304" s="473">
        <v>4200</v>
      </c>
      <c r="J6304" s="496">
        <v>31.06832</v>
      </c>
      <c r="K6304" s="496">
        <v>30.848759999999999</v>
      </c>
      <c r="L6304" s="496">
        <f t="shared" si="78"/>
        <v>0.21956000000000131</v>
      </c>
      <c r="M6304" s="337"/>
    </row>
    <row r="6305" spans="1:13" s="71" customFormat="1" ht="26.4" customHeight="1">
      <c r="A6305" s="282">
        <v>268</v>
      </c>
      <c r="B6305" s="556"/>
      <c r="C6305" s="260" t="s">
        <v>7903</v>
      </c>
      <c r="D6305" s="260" t="s">
        <v>7919</v>
      </c>
      <c r="E6305" s="260" t="s">
        <v>8169</v>
      </c>
      <c r="F6305" s="387">
        <v>5792</v>
      </c>
      <c r="G6305" s="311">
        <v>1953</v>
      </c>
      <c r="H6305" s="472" t="s">
        <v>5462</v>
      </c>
      <c r="I6305" s="470">
        <v>2840</v>
      </c>
      <c r="J6305" s="496">
        <v>183.34213</v>
      </c>
      <c r="K6305" s="496">
        <v>181.22812999999999</v>
      </c>
      <c r="L6305" s="496">
        <f t="shared" si="78"/>
        <v>2.1140000000000043</v>
      </c>
      <c r="M6305" s="337"/>
    </row>
    <row r="6306" spans="1:13" s="71" customFormat="1" ht="26.4" customHeight="1">
      <c r="A6306" s="282">
        <v>269</v>
      </c>
      <c r="B6306" s="556"/>
      <c r="C6306" s="260" t="s">
        <v>7903</v>
      </c>
      <c r="D6306" s="260" t="s">
        <v>3</v>
      </c>
      <c r="E6306" s="260" t="s">
        <v>8170</v>
      </c>
      <c r="F6306" s="387">
        <v>5792</v>
      </c>
      <c r="G6306" s="311">
        <v>1991</v>
      </c>
      <c r="H6306" s="472" t="s">
        <v>1149</v>
      </c>
      <c r="I6306" s="473">
        <v>42</v>
      </c>
      <c r="J6306" s="496">
        <v>44.303429999999999</v>
      </c>
      <c r="K6306" s="496">
        <v>44.153480000000002</v>
      </c>
      <c r="L6306" s="496">
        <f t="shared" si="78"/>
        <v>0.14994999999999692</v>
      </c>
      <c r="M6306" s="337"/>
    </row>
    <row r="6307" spans="1:13" s="71" customFormat="1" ht="26.4" customHeight="1">
      <c r="A6307" s="282">
        <v>270</v>
      </c>
      <c r="B6307" s="556"/>
      <c r="C6307" s="260" t="s">
        <v>7903</v>
      </c>
      <c r="D6307" s="260" t="s">
        <v>3</v>
      </c>
      <c r="E6307" s="260" t="s">
        <v>8171</v>
      </c>
      <c r="F6307" s="387">
        <v>5793</v>
      </c>
      <c r="G6307" s="311">
        <v>1953</v>
      </c>
      <c r="H6307" s="472" t="s">
        <v>5462</v>
      </c>
      <c r="I6307" s="470">
        <v>1033</v>
      </c>
      <c r="J6307" s="496">
        <v>262.36678000000001</v>
      </c>
      <c r="K6307" s="496">
        <v>207.97058999999999</v>
      </c>
      <c r="L6307" s="496">
        <f t="shared" si="78"/>
        <v>54.396190000000018</v>
      </c>
      <c r="M6307" s="337"/>
    </row>
    <row r="6308" spans="1:13" s="71" customFormat="1" ht="26.4" customHeight="1">
      <c r="A6308" s="282">
        <v>271</v>
      </c>
      <c r="B6308" s="556"/>
      <c r="C6308" s="260" t="s">
        <v>7903</v>
      </c>
      <c r="D6308" s="260" t="s">
        <v>8172</v>
      </c>
      <c r="E6308" s="260" t="s">
        <v>8173</v>
      </c>
      <c r="F6308" s="387">
        <v>5800</v>
      </c>
      <c r="G6308" s="311">
        <v>1962</v>
      </c>
      <c r="H6308" s="472" t="s">
        <v>1149</v>
      </c>
      <c r="I6308" s="470">
        <v>77</v>
      </c>
      <c r="J6308" s="496">
        <v>124.06335</v>
      </c>
      <c r="K6308" s="496">
        <v>46.41075</v>
      </c>
      <c r="L6308" s="496">
        <f t="shared" si="78"/>
        <v>77.652600000000007</v>
      </c>
      <c r="M6308" s="337"/>
    </row>
    <row r="6309" spans="1:13" s="71" customFormat="1" ht="26.4" customHeight="1">
      <c r="A6309" s="282">
        <v>272</v>
      </c>
      <c r="B6309" s="556"/>
      <c r="C6309" s="260" t="s">
        <v>7903</v>
      </c>
      <c r="D6309" s="260" t="s">
        <v>8172</v>
      </c>
      <c r="E6309" s="260" t="s">
        <v>8174</v>
      </c>
      <c r="F6309" s="387">
        <v>5801</v>
      </c>
      <c r="G6309" s="311">
        <v>1959</v>
      </c>
      <c r="H6309" s="472" t="s">
        <v>1149</v>
      </c>
      <c r="I6309" s="470">
        <v>35</v>
      </c>
      <c r="J6309" s="496">
        <v>34.194569999999999</v>
      </c>
      <c r="K6309" s="496">
        <v>19.507960000000001</v>
      </c>
      <c r="L6309" s="496">
        <f t="shared" si="78"/>
        <v>14.686609999999998</v>
      </c>
      <c r="M6309" s="337"/>
    </row>
    <row r="6310" spans="1:13" s="71" customFormat="1" ht="26.4" customHeight="1">
      <c r="A6310" s="282">
        <v>273</v>
      </c>
      <c r="B6310" s="556"/>
      <c r="C6310" s="260" t="s">
        <v>7903</v>
      </c>
      <c r="D6310" s="260" t="s">
        <v>8172</v>
      </c>
      <c r="E6310" s="260" t="s">
        <v>8175</v>
      </c>
      <c r="F6310" s="387">
        <v>5802</v>
      </c>
      <c r="G6310" s="311">
        <v>1959</v>
      </c>
      <c r="H6310" s="472" t="s">
        <v>1149</v>
      </c>
      <c r="I6310" s="470">
        <v>603.79999999999995</v>
      </c>
      <c r="J6310" s="496">
        <v>613.52518999999995</v>
      </c>
      <c r="K6310" s="496">
        <v>310.93040000000002</v>
      </c>
      <c r="L6310" s="496">
        <f t="shared" si="78"/>
        <v>302.59478999999993</v>
      </c>
      <c r="M6310" s="337"/>
    </row>
    <row r="6311" spans="1:13" s="71" customFormat="1" ht="26.4" customHeight="1">
      <c r="A6311" s="282">
        <v>274</v>
      </c>
      <c r="B6311" s="556"/>
      <c r="C6311" s="260" t="s">
        <v>7903</v>
      </c>
      <c r="D6311" s="260" t="s">
        <v>8172</v>
      </c>
      <c r="E6311" s="260" t="s">
        <v>8176</v>
      </c>
      <c r="F6311" s="387">
        <v>5803</v>
      </c>
      <c r="G6311" s="311">
        <v>1959</v>
      </c>
      <c r="H6311" s="472" t="s">
        <v>1149</v>
      </c>
      <c r="I6311" s="470">
        <v>121.4</v>
      </c>
      <c r="J6311" s="496">
        <v>129.47674000000001</v>
      </c>
      <c r="K6311" s="496">
        <v>45.16789</v>
      </c>
      <c r="L6311" s="496">
        <f t="shared" si="78"/>
        <v>84.308850000000007</v>
      </c>
      <c r="M6311" s="337"/>
    </row>
    <row r="6312" spans="1:13" s="71" customFormat="1" ht="26.4" customHeight="1">
      <c r="A6312" s="282">
        <v>275</v>
      </c>
      <c r="B6312" s="556"/>
      <c r="C6312" s="260" t="s">
        <v>7903</v>
      </c>
      <c r="D6312" s="260" t="s">
        <v>8172</v>
      </c>
      <c r="E6312" s="260" t="s">
        <v>8177</v>
      </c>
      <c r="F6312" s="387">
        <v>5804</v>
      </c>
      <c r="G6312" s="311">
        <v>1960</v>
      </c>
      <c r="H6312" s="472" t="s">
        <v>1149</v>
      </c>
      <c r="I6312" s="470">
        <v>96.3</v>
      </c>
      <c r="J6312" s="496">
        <v>86.854910000000004</v>
      </c>
      <c r="K6312" s="496">
        <v>34.733069999999998</v>
      </c>
      <c r="L6312" s="496">
        <f t="shared" si="78"/>
        <v>52.121840000000006</v>
      </c>
      <c r="M6312" s="337"/>
    </row>
    <row r="6313" spans="1:13" s="71" customFormat="1" ht="26.4" customHeight="1">
      <c r="A6313" s="282">
        <v>276</v>
      </c>
      <c r="B6313" s="556"/>
      <c r="C6313" s="260" t="s">
        <v>7903</v>
      </c>
      <c r="D6313" s="260" t="s">
        <v>8172</v>
      </c>
      <c r="E6313" s="260" t="s">
        <v>8178</v>
      </c>
      <c r="F6313" s="387">
        <v>5805</v>
      </c>
      <c r="G6313" s="311">
        <v>1961</v>
      </c>
      <c r="H6313" s="472" t="s">
        <v>1149</v>
      </c>
      <c r="I6313" s="470">
        <v>305</v>
      </c>
      <c r="J6313" s="496">
        <v>297.16586000000001</v>
      </c>
      <c r="K6313" s="496">
        <v>111.27861</v>
      </c>
      <c r="L6313" s="496">
        <f t="shared" si="78"/>
        <v>185.88724999999999</v>
      </c>
      <c r="M6313" s="337"/>
    </row>
    <row r="6314" spans="1:13" s="71" customFormat="1" ht="26.4" customHeight="1">
      <c r="A6314" s="282">
        <v>277</v>
      </c>
      <c r="B6314" s="556"/>
      <c r="C6314" s="260" t="s">
        <v>7903</v>
      </c>
      <c r="D6314" s="260" t="s">
        <v>8172</v>
      </c>
      <c r="E6314" s="260" t="s">
        <v>8179</v>
      </c>
      <c r="F6314" s="387">
        <v>5806</v>
      </c>
      <c r="G6314" s="311">
        <v>1962</v>
      </c>
      <c r="H6314" s="472" t="s">
        <v>1149</v>
      </c>
      <c r="I6314" s="470">
        <v>141.1</v>
      </c>
      <c r="J6314" s="496">
        <v>125.20273</v>
      </c>
      <c r="K6314" s="496">
        <v>65.006079999999997</v>
      </c>
      <c r="L6314" s="496">
        <f t="shared" si="78"/>
        <v>60.196650000000005</v>
      </c>
      <c r="M6314" s="337"/>
    </row>
    <row r="6315" spans="1:13" s="71" customFormat="1" ht="26.4" customHeight="1">
      <c r="A6315" s="282">
        <v>278</v>
      </c>
      <c r="B6315" s="556"/>
      <c r="C6315" s="260" t="s">
        <v>7903</v>
      </c>
      <c r="D6315" s="260" t="s">
        <v>8172</v>
      </c>
      <c r="E6315" s="260" t="s">
        <v>8180</v>
      </c>
      <c r="F6315" s="387">
        <v>5807</v>
      </c>
      <c r="G6315" s="311">
        <v>1960</v>
      </c>
      <c r="H6315" s="472" t="s">
        <v>1149</v>
      </c>
      <c r="I6315" s="470">
        <v>217.1</v>
      </c>
      <c r="J6315" s="496">
        <v>288.27883000000003</v>
      </c>
      <c r="K6315" s="496">
        <v>140.57193000000001</v>
      </c>
      <c r="L6315" s="496">
        <f t="shared" si="78"/>
        <v>147.70690000000002</v>
      </c>
      <c r="M6315" s="337"/>
    </row>
    <row r="6316" spans="1:13" s="71" customFormat="1" ht="26.4" customHeight="1">
      <c r="A6316" s="282">
        <v>279</v>
      </c>
      <c r="B6316" s="556"/>
      <c r="C6316" s="260" t="s">
        <v>7903</v>
      </c>
      <c r="D6316" s="260" t="s">
        <v>8172</v>
      </c>
      <c r="E6316" s="260" t="s">
        <v>8181</v>
      </c>
      <c r="F6316" s="387">
        <v>5808</v>
      </c>
      <c r="G6316" s="311">
        <v>1959</v>
      </c>
      <c r="H6316" s="472" t="s">
        <v>1149</v>
      </c>
      <c r="I6316" s="470">
        <v>214.5</v>
      </c>
      <c r="J6316" s="496">
        <v>286.21447000000001</v>
      </c>
      <c r="K6316" s="496">
        <v>144.10708</v>
      </c>
      <c r="L6316" s="496">
        <f t="shared" si="78"/>
        <v>142.10739000000001</v>
      </c>
      <c r="M6316" s="337"/>
    </row>
    <row r="6317" spans="1:13" s="71" customFormat="1" ht="26.4" customHeight="1">
      <c r="A6317" s="282">
        <v>280</v>
      </c>
      <c r="B6317" s="556"/>
      <c r="C6317" s="260" t="s">
        <v>7903</v>
      </c>
      <c r="D6317" s="260" t="s">
        <v>8172</v>
      </c>
      <c r="E6317" s="260" t="s">
        <v>8182</v>
      </c>
      <c r="F6317" s="387">
        <v>5809</v>
      </c>
      <c r="G6317" s="311">
        <v>1959</v>
      </c>
      <c r="H6317" s="472" t="s">
        <v>1149</v>
      </c>
      <c r="I6317" s="470">
        <v>220.8</v>
      </c>
      <c r="J6317" s="496">
        <v>292.83273000000003</v>
      </c>
      <c r="K6317" s="496">
        <v>144.89660000000001</v>
      </c>
      <c r="L6317" s="496">
        <f t="shared" si="78"/>
        <v>147.93613000000002</v>
      </c>
      <c r="M6317" s="337"/>
    </row>
    <row r="6318" spans="1:13" s="71" customFormat="1" ht="26.4" customHeight="1">
      <c r="A6318" s="282">
        <v>281</v>
      </c>
      <c r="B6318" s="556"/>
      <c r="C6318" s="260" t="s">
        <v>7903</v>
      </c>
      <c r="D6318" s="260" t="s">
        <v>8172</v>
      </c>
      <c r="E6318" s="260" t="s">
        <v>8183</v>
      </c>
      <c r="F6318" s="387">
        <v>5810</v>
      </c>
      <c r="G6318" s="311">
        <v>1959</v>
      </c>
      <c r="H6318" s="472" t="s">
        <v>1149</v>
      </c>
      <c r="I6318" s="470">
        <v>213.3</v>
      </c>
      <c r="J6318" s="496">
        <v>292.92205999999999</v>
      </c>
      <c r="K6318" s="496">
        <v>146.97354000000001</v>
      </c>
      <c r="L6318" s="496">
        <f t="shared" si="78"/>
        <v>145.94851999999997</v>
      </c>
      <c r="M6318" s="337"/>
    </row>
    <row r="6319" spans="1:13" s="71" customFormat="1" ht="26.4" customHeight="1">
      <c r="A6319" s="282">
        <v>282</v>
      </c>
      <c r="B6319" s="556"/>
      <c r="C6319" s="260" t="s">
        <v>7903</v>
      </c>
      <c r="D6319" s="260" t="s">
        <v>8172</v>
      </c>
      <c r="E6319" s="260" t="s">
        <v>8184</v>
      </c>
      <c r="F6319" s="387">
        <v>5811</v>
      </c>
      <c r="G6319" s="311">
        <v>1959</v>
      </c>
      <c r="H6319" s="472" t="s">
        <v>1149</v>
      </c>
      <c r="I6319" s="470">
        <v>220.8</v>
      </c>
      <c r="J6319" s="496">
        <v>282.17326000000003</v>
      </c>
      <c r="K6319" s="496">
        <v>140.69492</v>
      </c>
      <c r="L6319" s="496">
        <f t="shared" si="78"/>
        <v>141.47834000000003</v>
      </c>
      <c r="M6319" s="337"/>
    </row>
    <row r="6320" spans="1:13" s="71" customFormat="1" ht="26.4" customHeight="1">
      <c r="A6320" s="282">
        <v>283</v>
      </c>
      <c r="B6320" s="556"/>
      <c r="C6320" s="260" t="s">
        <v>7903</v>
      </c>
      <c r="D6320" s="260" t="s">
        <v>8172</v>
      </c>
      <c r="E6320" s="260" t="s">
        <v>8185</v>
      </c>
      <c r="F6320" s="387">
        <v>5812</v>
      </c>
      <c r="G6320" s="311">
        <v>1958</v>
      </c>
      <c r="H6320" s="472" t="s">
        <v>1149</v>
      </c>
      <c r="I6320" s="470">
        <v>168.2</v>
      </c>
      <c r="J6320" s="496">
        <v>65.423969999999997</v>
      </c>
      <c r="K6320" s="496">
        <v>65.098969999999994</v>
      </c>
      <c r="L6320" s="496">
        <f t="shared" si="78"/>
        <v>0.32500000000000284</v>
      </c>
      <c r="M6320" s="337"/>
    </row>
    <row r="6321" spans="1:13" s="71" customFormat="1" ht="26.4" customHeight="1">
      <c r="A6321" s="282">
        <v>284</v>
      </c>
      <c r="B6321" s="556"/>
      <c r="C6321" s="260" t="s">
        <v>7903</v>
      </c>
      <c r="D6321" s="260" t="s">
        <v>8172</v>
      </c>
      <c r="E6321" s="260" t="s">
        <v>8186</v>
      </c>
      <c r="F6321" s="387">
        <v>5813</v>
      </c>
      <c r="G6321" s="311">
        <v>1959</v>
      </c>
      <c r="H6321" s="472" t="s">
        <v>1149</v>
      </c>
      <c r="I6321" s="470">
        <v>23.8</v>
      </c>
      <c r="J6321" s="496">
        <v>27.745830000000002</v>
      </c>
      <c r="K6321" s="496">
        <v>23.515830000000001</v>
      </c>
      <c r="L6321" s="496">
        <f t="shared" si="78"/>
        <v>4.2300000000000004</v>
      </c>
      <c r="M6321" s="337"/>
    </row>
    <row r="6322" spans="1:13" s="71" customFormat="1" ht="26.4" customHeight="1">
      <c r="A6322" s="282">
        <v>285</v>
      </c>
      <c r="B6322" s="556"/>
      <c r="C6322" s="260" t="s">
        <v>7903</v>
      </c>
      <c r="D6322" s="260" t="s">
        <v>8172</v>
      </c>
      <c r="E6322" s="260" t="s">
        <v>8186</v>
      </c>
      <c r="F6322" s="387">
        <v>5814</v>
      </c>
      <c r="G6322" s="311">
        <v>1959</v>
      </c>
      <c r="H6322" s="472" t="s">
        <v>1149</v>
      </c>
      <c r="I6322" s="470">
        <v>20.9</v>
      </c>
      <c r="J6322" s="496">
        <v>27.747119999999999</v>
      </c>
      <c r="K6322" s="496">
        <v>23.517119999999998</v>
      </c>
      <c r="L6322" s="496">
        <f t="shared" si="78"/>
        <v>4.2300000000000004</v>
      </c>
      <c r="M6322" s="337"/>
    </row>
    <row r="6323" spans="1:13" s="71" customFormat="1" ht="26.4" customHeight="1">
      <c r="A6323" s="282">
        <v>286</v>
      </c>
      <c r="B6323" s="556"/>
      <c r="C6323" s="260" t="s">
        <v>7903</v>
      </c>
      <c r="D6323" s="260" t="s">
        <v>8172</v>
      </c>
      <c r="E6323" s="260" t="s">
        <v>8187</v>
      </c>
      <c r="F6323" s="387">
        <v>5815</v>
      </c>
      <c r="G6323" s="311">
        <v>1962</v>
      </c>
      <c r="H6323" s="472" t="s">
        <v>1149</v>
      </c>
      <c r="I6323" s="470">
        <v>218.2</v>
      </c>
      <c r="J6323" s="496">
        <v>342.35059999999999</v>
      </c>
      <c r="K6323" s="496">
        <v>120.40805</v>
      </c>
      <c r="L6323" s="496">
        <f t="shared" si="78"/>
        <v>221.94254999999998</v>
      </c>
      <c r="M6323" s="337"/>
    </row>
    <row r="6324" spans="1:13" s="71" customFormat="1" ht="26.4" customHeight="1">
      <c r="A6324" s="282">
        <v>287</v>
      </c>
      <c r="B6324" s="556"/>
      <c r="C6324" s="260" t="s">
        <v>7903</v>
      </c>
      <c r="D6324" s="260" t="s">
        <v>8172</v>
      </c>
      <c r="E6324" s="260" t="s">
        <v>8188</v>
      </c>
      <c r="F6324" s="387">
        <v>5816</v>
      </c>
      <c r="G6324" s="311">
        <v>1962</v>
      </c>
      <c r="H6324" s="472" t="s">
        <v>1149</v>
      </c>
      <c r="I6324" s="470">
        <v>214.6</v>
      </c>
      <c r="J6324" s="496">
        <v>350.40240999999997</v>
      </c>
      <c r="K6324" s="496">
        <v>120.54018000000001</v>
      </c>
      <c r="L6324" s="496">
        <f t="shared" si="78"/>
        <v>229.86222999999995</v>
      </c>
      <c r="M6324" s="337"/>
    </row>
    <row r="6325" spans="1:13" s="71" customFormat="1" ht="26.4" customHeight="1">
      <c r="A6325" s="282">
        <v>288</v>
      </c>
      <c r="B6325" s="556"/>
      <c r="C6325" s="260" t="s">
        <v>7903</v>
      </c>
      <c r="D6325" s="260" t="s">
        <v>8172</v>
      </c>
      <c r="E6325" s="260" t="s">
        <v>8189</v>
      </c>
      <c r="F6325" s="387">
        <v>5817</v>
      </c>
      <c r="G6325" s="311">
        <v>1962</v>
      </c>
      <c r="H6325" s="472" t="s">
        <v>1149</v>
      </c>
      <c r="I6325" s="470">
        <v>77.599999999999994</v>
      </c>
      <c r="J6325" s="496">
        <v>70.786799999999999</v>
      </c>
      <c r="K6325" s="496">
        <v>35.422980000000003</v>
      </c>
      <c r="L6325" s="496">
        <f t="shared" si="78"/>
        <v>35.363819999999997</v>
      </c>
      <c r="M6325" s="337"/>
    </row>
    <row r="6326" spans="1:13" s="71" customFormat="1" ht="26.4" customHeight="1">
      <c r="A6326" s="282">
        <v>289</v>
      </c>
      <c r="B6326" s="556"/>
      <c r="C6326" s="260" t="s">
        <v>7903</v>
      </c>
      <c r="D6326" s="260" t="s">
        <v>8172</v>
      </c>
      <c r="E6326" s="260" t="s">
        <v>8190</v>
      </c>
      <c r="F6326" s="387">
        <v>5819</v>
      </c>
      <c r="G6326" s="311">
        <v>1959</v>
      </c>
      <c r="H6326" s="472" t="s">
        <v>1149</v>
      </c>
      <c r="I6326" s="470">
        <v>8.6</v>
      </c>
      <c r="J6326" s="496">
        <v>15.07372</v>
      </c>
      <c r="K6326" s="496">
        <v>13.136990000000001</v>
      </c>
      <c r="L6326" s="496">
        <f t="shared" si="78"/>
        <v>1.936729999999999</v>
      </c>
      <c r="M6326" s="337"/>
    </row>
    <row r="6327" spans="1:13" s="71" customFormat="1" ht="26.4" customHeight="1">
      <c r="A6327" s="282">
        <v>290</v>
      </c>
      <c r="B6327" s="556"/>
      <c r="C6327" s="260" t="s">
        <v>7903</v>
      </c>
      <c r="D6327" s="260" t="s">
        <v>8172</v>
      </c>
      <c r="E6327" s="260" t="s">
        <v>8191</v>
      </c>
      <c r="F6327" s="387">
        <v>5820</v>
      </c>
      <c r="G6327" s="311">
        <v>1959</v>
      </c>
      <c r="H6327" s="472" t="s">
        <v>1149</v>
      </c>
      <c r="I6327" s="470">
        <v>23.8</v>
      </c>
      <c r="J6327" s="496">
        <v>14.68411</v>
      </c>
      <c r="K6327" s="496">
        <v>14.46748</v>
      </c>
      <c r="L6327" s="496">
        <f t="shared" si="78"/>
        <v>0.21663000000000032</v>
      </c>
      <c r="M6327" s="337"/>
    </row>
    <row r="6328" spans="1:13" s="71" customFormat="1" ht="26.4" customHeight="1">
      <c r="A6328" s="282">
        <v>291</v>
      </c>
      <c r="B6328" s="556"/>
      <c r="C6328" s="260" t="s">
        <v>7903</v>
      </c>
      <c r="D6328" s="260" t="s">
        <v>8172</v>
      </c>
      <c r="E6328" s="260" t="s">
        <v>8192</v>
      </c>
      <c r="F6328" s="387">
        <v>5821</v>
      </c>
      <c r="G6328" s="311">
        <v>1959</v>
      </c>
      <c r="H6328" s="472" t="s">
        <v>3243</v>
      </c>
      <c r="I6328" s="470" t="s">
        <v>3243</v>
      </c>
      <c r="J6328" s="496">
        <v>51.678310000000003</v>
      </c>
      <c r="K6328" s="496">
        <v>25.236599999999999</v>
      </c>
      <c r="L6328" s="496">
        <f t="shared" si="78"/>
        <v>26.441710000000004</v>
      </c>
      <c r="M6328" s="337"/>
    </row>
    <row r="6329" spans="1:13" s="71" customFormat="1" ht="26.4" customHeight="1">
      <c r="A6329" s="282">
        <v>292</v>
      </c>
      <c r="B6329" s="556"/>
      <c r="C6329" s="260" t="s">
        <v>7903</v>
      </c>
      <c r="D6329" s="260" t="s">
        <v>8172</v>
      </c>
      <c r="E6329" s="260" t="s">
        <v>8193</v>
      </c>
      <c r="F6329" s="387">
        <v>5822</v>
      </c>
      <c r="G6329" s="311">
        <v>1959</v>
      </c>
      <c r="H6329" s="472" t="s">
        <v>1149</v>
      </c>
      <c r="I6329" s="470">
        <v>37.1</v>
      </c>
      <c r="J6329" s="496">
        <v>16.48734</v>
      </c>
      <c r="K6329" s="496">
        <v>13.553940000000001</v>
      </c>
      <c r="L6329" s="496">
        <f t="shared" si="78"/>
        <v>2.9333999999999989</v>
      </c>
      <c r="M6329" s="337"/>
    </row>
    <row r="6330" spans="1:13" s="71" customFormat="1" ht="26.4" customHeight="1">
      <c r="A6330" s="282">
        <v>293</v>
      </c>
      <c r="B6330" s="556"/>
      <c r="C6330" s="260" t="s">
        <v>7903</v>
      </c>
      <c r="D6330" s="260" t="s">
        <v>8172</v>
      </c>
      <c r="E6330" s="260" t="s">
        <v>8194</v>
      </c>
      <c r="F6330" s="387">
        <v>5823</v>
      </c>
      <c r="G6330" s="311">
        <v>1959</v>
      </c>
      <c r="H6330" s="472" t="s">
        <v>1136</v>
      </c>
      <c r="I6330" s="470">
        <v>120</v>
      </c>
      <c r="J6330" s="496">
        <v>6.8329599999999999</v>
      </c>
      <c r="K6330" s="496">
        <v>6.7929599999999999</v>
      </c>
      <c r="L6330" s="496">
        <f t="shared" si="78"/>
        <v>4.0000000000000036E-2</v>
      </c>
      <c r="M6330" s="337"/>
    </row>
    <row r="6331" spans="1:13" s="71" customFormat="1" ht="26.4" customHeight="1">
      <c r="A6331" s="282">
        <v>294</v>
      </c>
      <c r="B6331" s="556"/>
      <c r="C6331" s="260" t="s">
        <v>7903</v>
      </c>
      <c r="D6331" s="260" t="s">
        <v>8172</v>
      </c>
      <c r="E6331" s="260" t="s">
        <v>8195</v>
      </c>
      <c r="F6331" s="387">
        <v>5824</v>
      </c>
      <c r="G6331" s="311">
        <v>1959</v>
      </c>
      <c r="H6331" s="472" t="s">
        <v>1136</v>
      </c>
      <c r="I6331" s="470">
        <v>15</v>
      </c>
      <c r="J6331" s="496">
        <v>12.068289999999999</v>
      </c>
      <c r="K6331" s="496">
        <v>11.86829</v>
      </c>
      <c r="L6331" s="496">
        <f t="shared" si="78"/>
        <v>0.19999999999999929</v>
      </c>
      <c r="M6331" s="337"/>
    </row>
    <row r="6332" spans="1:13" s="71" customFormat="1" ht="26.4" customHeight="1">
      <c r="A6332" s="282">
        <v>295</v>
      </c>
      <c r="B6332" s="556"/>
      <c r="C6332" s="260" t="s">
        <v>7903</v>
      </c>
      <c r="D6332" s="260" t="s">
        <v>8172</v>
      </c>
      <c r="E6332" s="260" t="s">
        <v>8196</v>
      </c>
      <c r="F6332" s="387">
        <v>5825</v>
      </c>
      <c r="G6332" s="311">
        <v>1961</v>
      </c>
      <c r="H6332" s="472" t="s">
        <v>1136</v>
      </c>
      <c r="I6332" s="470">
        <v>2500</v>
      </c>
      <c r="J6332" s="496">
        <v>92.982200000000006</v>
      </c>
      <c r="K6332" s="496">
        <v>92.90719</v>
      </c>
      <c r="L6332" s="496">
        <f t="shared" si="78"/>
        <v>7.5010000000006016E-2</v>
      </c>
      <c r="M6332" s="337"/>
    </row>
    <row r="6333" spans="1:13" s="71" customFormat="1" ht="26.4" customHeight="1">
      <c r="A6333" s="282">
        <v>296</v>
      </c>
      <c r="B6333" s="556"/>
      <c r="C6333" s="260" t="s">
        <v>7903</v>
      </c>
      <c r="D6333" s="260" t="s">
        <v>8172</v>
      </c>
      <c r="E6333" s="260" t="s">
        <v>8197</v>
      </c>
      <c r="F6333" s="387">
        <v>5831</v>
      </c>
      <c r="G6333" s="311">
        <v>1959</v>
      </c>
      <c r="H6333" s="472" t="s">
        <v>1149</v>
      </c>
      <c r="I6333" s="470">
        <v>20.9</v>
      </c>
      <c r="J6333" s="496">
        <v>14.658110000000001</v>
      </c>
      <c r="K6333" s="496">
        <v>14.44148</v>
      </c>
      <c r="L6333" s="496">
        <f t="shared" si="78"/>
        <v>0.21663000000000032</v>
      </c>
      <c r="M6333" s="337"/>
    </row>
    <row r="6334" spans="1:13" s="71" customFormat="1" ht="26.4" customHeight="1">
      <c r="A6334" s="282">
        <v>297</v>
      </c>
      <c r="B6334" s="556"/>
      <c r="C6334" s="260" t="s">
        <v>7903</v>
      </c>
      <c r="D6334" s="260" t="s">
        <v>8172</v>
      </c>
      <c r="E6334" s="260" t="s">
        <v>8198</v>
      </c>
      <c r="F6334" s="387">
        <v>5849</v>
      </c>
      <c r="G6334" s="311">
        <v>1981</v>
      </c>
      <c r="H6334" s="472" t="s">
        <v>3243</v>
      </c>
      <c r="I6334" s="470" t="s">
        <v>3243</v>
      </c>
      <c r="J6334" s="496">
        <v>5.7643899999999997</v>
      </c>
      <c r="K6334" s="496">
        <v>5.7577100000000003</v>
      </c>
      <c r="L6334" s="496">
        <f t="shared" si="78"/>
        <v>6.6799999999993531E-3</v>
      </c>
      <c r="M6334" s="337"/>
    </row>
    <row r="6335" spans="1:13" s="71" customFormat="1" ht="26.4" customHeight="1">
      <c r="A6335" s="282">
        <v>298</v>
      </c>
      <c r="B6335" s="556"/>
      <c r="C6335" s="260" t="s">
        <v>7903</v>
      </c>
      <c r="D6335" s="260" t="s">
        <v>8172</v>
      </c>
      <c r="E6335" s="260" t="s">
        <v>8199</v>
      </c>
      <c r="F6335" s="387">
        <v>5854</v>
      </c>
      <c r="G6335" s="311">
        <v>1959</v>
      </c>
      <c r="H6335" s="472" t="s">
        <v>5462</v>
      </c>
      <c r="I6335" s="470">
        <v>80</v>
      </c>
      <c r="J6335" s="496">
        <v>6.2636799999999999</v>
      </c>
      <c r="K6335" s="496">
        <v>6.2011799999999999</v>
      </c>
      <c r="L6335" s="496">
        <f t="shared" si="78"/>
        <v>6.25E-2</v>
      </c>
      <c r="M6335" s="337"/>
    </row>
    <row r="6336" spans="1:13" s="71" customFormat="1" ht="26.4" customHeight="1">
      <c r="A6336" s="282">
        <v>299</v>
      </c>
      <c r="B6336" s="556"/>
      <c r="C6336" s="260" t="s">
        <v>7903</v>
      </c>
      <c r="D6336" s="260" t="s">
        <v>8172</v>
      </c>
      <c r="E6336" s="260" t="s">
        <v>8200</v>
      </c>
      <c r="F6336" s="387">
        <v>5855</v>
      </c>
      <c r="G6336" s="311">
        <v>1959</v>
      </c>
      <c r="H6336" s="472" t="s">
        <v>5462</v>
      </c>
      <c r="I6336" s="470">
        <v>1000</v>
      </c>
      <c r="J6336" s="496">
        <v>7.4664000000000001</v>
      </c>
      <c r="K6336" s="496">
        <v>7.4247199999999998</v>
      </c>
      <c r="L6336" s="496">
        <f t="shared" si="78"/>
        <v>4.1680000000000383E-2</v>
      </c>
      <c r="M6336" s="337"/>
    </row>
    <row r="6337" spans="1:13" s="71" customFormat="1" ht="26.4" customHeight="1">
      <c r="A6337" s="282">
        <v>300</v>
      </c>
      <c r="B6337" s="556"/>
      <c r="C6337" s="260" t="s">
        <v>7903</v>
      </c>
      <c r="D6337" s="260" t="s">
        <v>8172</v>
      </c>
      <c r="E6337" s="260" t="s">
        <v>8201</v>
      </c>
      <c r="F6337" s="387">
        <v>5856</v>
      </c>
      <c r="G6337" s="311">
        <v>1959</v>
      </c>
      <c r="H6337" s="472" t="s">
        <v>5462</v>
      </c>
      <c r="I6337" s="470">
        <v>811</v>
      </c>
      <c r="J6337" s="496">
        <v>64.749930000000006</v>
      </c>
      <c r="K6337" s="496">
        <v>64.624930000000006</v>
      </c>
      <c r="L6337" s="496">
        <f t="shared" si="78"/>
        <v>0.125</v>
      </c>
      <c r="M6337" s="337"/>
    </row>
    <row r="6338" spans="1:13" s="71" customFormat="1" ht="26.4" customHeight="1">
      <c r="A6338" s="282">
        <v>301</v>
      </c>
      <c r="B6338" s="556"/>
      <c r="C6338" s="260" t="s">
        <v>7903</v>
      </c>
      <c r="D6338" s="260" t="s">
        <v>8202</v>
      </c>
      <c r="E6338" s="260" t="s">
        <v>8203</v>
      </c>
      <c r="F6338" s="387">
        <v>5968</v>
      </c>
      <c r="G6338" s="311">
        <v>2008</v>
      </c>
      <c r="H6338" s="472" t="s">
        <v>1149</v>
      </c>
      <c r="I6338" s="473">
        <v>98.2</v>
      </c>
      <c r="J6338" s="496">
        <v>23.254069999999999</v>
      </c>
      <c r="K6338" s="496">
        <v>23.137460000000001</v>
      </c>
      <c r="L6338" s="496">
        <f t="shared" si="78"/>
        <v>0.11660999999999788</v>
      </c>
      <c r="M6338" s="337"/>
    </row>
    <row r="6339" spans="1:13" s="71" customFormat="1" ht="26.4" customHeight="1">
      <c r="A6339" s="282">
        <v>302</v>
      </c>
      <c r="B6339" s="556"/>
      <c r="C6339" s="260" t="s">
        <v>7903</v>
      </c>
      <c r="D6339" s="260" t="s">
        <v>8172</v>
      </c>
      <c r="E6339" s="260" t="s">
        <v>8204</v>
      </c>
      <c r="F6339" s="387">
        <v>5983</v>
      </c>
      <c r="G6339" s="311">
        <v>1988</v>
      </c>
      <c r="H6339" s="472" t="s">
        <v>3243</v>
      </c>
      <c r="I6339" s="473" t="s">
        <v>3243</v>
      </c>
      <c r="J6339" s="496">
        <v>12.42015</v>
      </c>
      <c r="K6339" s="496">
        <v>12.41192</v>
      </c>
      <c r="L6339" s="496">
        <f t="shared" si="78"/>
        <v>8.2299999999992934E-3</v>
      </c>
      <c r="M6339" s="337"/>
    </row>
    <row r="6340" spans="1:13" s="71" customFormat="1" ht="26.4" customHeight="1">
      <c r="A6340" s="282">
        <v>303</v>
      </c>
      <c r="B6340" s="556"/>
      <c r="C6340" s="260" t="s">
        <v>7903</v>
      </c>
      <c r="D6340" s="260" t="s">
        <v>8172</v>
      </c>
      <c r="E6340" s="260" t="s">
        <v>8204</v>
      </c>
      <c r="F6340" s="387">
        <v>5984</v>
      </c>
      <c r="G6340" s="311">
        <v>1988</v>
      </c>
      <c r="H6340" s="472" t="s">
        <v>4930</v>
      </c>
      <c r="I6340" s="473" t="s">
        <v>3243</v>
      </c>
      <c r="J6340" s="496">
        <v>9.0081500000000005</v>
      </c>
      <c r="K6340" s="496">
        <v>8.9681499999999996</v>
      </c>
      <c r="L6340" s="496">
        <f t="shared" si="78"/>
        <v>4.0000000000000924E-2</v>
      </c>
      <c r="M6340" s="337"/>
    </row>
    <row r="6341" spans="1:13" s="71" customFormat="1" ht="26.4" customHeight="1">
      <c r="A6341" s="282">
        <v>304</v>
      </c>
      <c r="B6341" s="556"/>
      <c r="C6341" s="260" t="s">
        <v>7903</v>
      </c>
      <c r="D6341" s="260" t="s">
        <v>8202</v>
      </c>
      <c r="E6341" s="260" t="s">
        <v>8205</v>
      </c>
      <c r="F6341" s="387">
        <v>5985</v>
      </c>
      <c r="G6341" s="311">
        <v>2008</v>
      </c>
      <c r="H6341" s="472" t="s">
        <v>1149</v>
      </c>
      <c r="I6341" s="473">
        <v>77.8</v>
      </c>
      <c r="J6341" s="496">
        <v>0.99911000000000005</v>
      </c>
      <c r="K6341" s="496">
        <v>0.98251999999999995</v>
      </c>
      <c r="L6341" s="496">
        <f t="shared" si="78"/>
        <v>1.6590000000000105E-2</v>
      </c>
      <c r="M6341" s="337"/>
    </row>
    <row r="6342" spans="1:13" s="71" customFormat="1" ht="26.4" customHeight="1">
      <c r="A6342" s="282">
        <v>305</v>
      </c>
      <c r="B6342" s="556"/>
      <c r="C6342" s="260" t="s">
        <v>7903</v>
      </c>
      <c r="D6342" s="260" t="s">
        <v>8172</v>
      </c>
      <c r="E6342" s="260" t="s">
        <v>8206</v>
      </c>
      <c r="F6342" s="387">
        <v>5987</v>
      </c>
      <c r="G6342" s="311">
        <v>1989</v>
      </c>
      <c r="H6342" s="472" t="s">
        <v>1149</v>
      </c>
      <c r="I6342" s="473">
        <v>89.9</v>
      </c>
      <c r="J6342" s="496">
        <v>29.154450000000001</v>
      </c>
      <c r="K6342" s="496">
        <v>14.515219999999999</v>
      </c>
      <c r="L6342" s="496">
        <f t="shared" si="78"/>
        <v>14.639230000000001</v>
      </c>
      <c r="M6342" s="337"/>
    </row>
    <row r="6343" spans="1:13" s="71" customFormat="1" ht="26.4" customHeight="1">
      <c r="A6343" s="282">
        <v>306</v>
      </c>
      <c r="B6343" s="556"/>
      <c r="C6343" s="260" t="s">
        <v>7903</v>
      </c>
      <c r="D6343" s="260" t="s">
        <v>8202</v>
      </c>
      <c r="E6343" s="260" t="s">
        <v>8207</v>
      </c>
      <c r="F6343" s="387">
        <v>6010</v>
      </c>
      <c r="G6343" s="311">
        <v>2008</v>
      </c>
      <c r="H6343" s="472" t="s">
        <v>1149</v>
      </c>
      <c r="I6343" s="470">
        <v>22.7</v>
      </c>
      <c r="J6343" s="496">
        <v>12.74029</v>
      </c>
      <c r="K6343" s="496">
        <v>8.9410600000000002</v>
      </c>
      <c r="L6343" s="496">
        <f t="shared" si="78"/>
        <v>3.7992299999999997</v>
      </c>
      <c r="M6343" s="337"/>
    </row>
    <row r="6344" spans="1:13" s="71" customFormat="1" ht="26.4" customHeight="1">
      <c r="A6344" s="282">
        <v>307</v>
      </c>
      <c r="B6344" s="556"/>
      <c r="C6344" s="260" t="s">
        <v>7903</v>
      </c>
      <c r="D6344" s="260" t="s">
        <v>8202</v>
      </c>
      <c r="E6344" s="260" t="s">
        <v>8207</v>
      </c>
      <c r="F6344" s="387">
        <v>6011</v>
      </c>
      <c r="G6344" s="311">
        <v>2008</v>
      </c>
      <c r="H6344" s="472" t="s">
        <v>1149</v>
      </c>
      <c r="I6344" s="470">
        <v>22.7</v>
      </c>
      <c r="J6344" s="496">
        <v>12.74029</v>
      </c>
      <c r="K6344" s="496">
        <v>8.9410600000000002</v>
      </c>
      <c r="L6344" s="496">
        <f t="shared" si="78"/>
        <v>3.7992299999999997</v>
      </c>
      <c r="M6344" s="337"/>
    </row>
    <row r="6345" spans="1:13" s="71" customFormat="1" ht="26.4" customHeight="1">
      <c r="A6345" s="282">
        <v>308</v>
      </c>
      <c r="B6345" s="556"/>
      <c r="C6345" s="260" t="s">
        <v>7903</v>
      </c>
      <c r="D6345" s="260" t="s">
        <v>8202</v>
      </c>
      <c r="E6345" s="260" t="s">
        <v>8207</v>
      </c>
      <c r="F6345" s="387">
        <v>6012</v>
      </c>
      <c r="G6345" s="311">
        <v>2008</v>
      </c>
      <c r="H6345" s="472" t="s">
        <v>1149</v>
      </c>
      <c r="I6345" s="470">
        <v>22.7</v>
      </c>
      <c r="J6345" s="496">
        <v>12.74029</v>
      </c>
      <c r="K6345" s="496">
        <v>8.9410600000000002</v>
      </c>
      <c r="L6345" s="496">
        <f t="shared" si="78"/>
        <v>3.7992299999999997</v>
      </c>
      <c r="M6345" s="337"/>
    </row>
    <row r="6346" spans="1:13" s="71" customFormat="1" ht="26.4" customHeight="1">
      <c r="A6346" s="282">
        <v>309</v>
      </c>
      <c r="B6346" s="556"/>
      <c r="C6346" s="260" t="s">
        <v>7903</v>
      </c>
      <c r="D6346" s="260" t="s">
        <v>8202</v>
      </c>
      <c r="E6346" s="260" t="s">
        <v>8207</v>
      </c>
      <c r="F6346" s="387">
        <v>6013</v>
      </c>
      <c r="G6346" s="311">
        <v>2008</v>
      </c>
      <c r="H6346" s="472" t="s">
        <v>1149</v>
      </c>
      <c r="I6346" s="470">
        <v>22.7</v>
      </c>
      <c r="J6346" s="496">
        <v>12.74029</v>
      </c>
      <c r="K6346" s="496">
        <v>8.9410600000000002</v>
      </c>
      <c r="L6346" s="496">
        <f t="shared" si="78"/>
        <v>3.7992299999999997</v>
      </c>
      <c r="M6346" s="337"/>
    </row>
    <row r="6347" spans="1:13" s="71" customFormat="1" ht="26.4" customHeight="1">
      <c r="A6347" s="282">
        <v>310</v>
      </c>
      <c r="B6347" s="556"/>
      <c r="C6347" s="260" t="s">
        <v>7903</v>
      </c>
      <c r="D6347" s="260" t="s">
        <v>8202</v>
      </c>
      <c r="E6347" s="260" t="s">
        <v>8207</v>
      </c>
      <c r="F6347" s="387">
        <v>6015</v>
      </c>
      <c r="G6347" s="311">
        <v>2008</v>
      </c>
      <c r="H6347" s="472" t="s">
        <v>1149</v>
      </c>
      <c r="I6347" s="470">
        <v>22.7</v>
      </c>
      <c r="J6347" s="496">
        <v>12.75043</v>
      </c>
      <c r="K6347" s="496">
        <v>8.9446100000000008</v>
      </c>
      <c r="L6347" s="496">
        <f t="shared" si="78"/>
        <v>3.8058199999999989</v>
      </c>
      <c r="M6347" s="337"/>
    </row>
    <row r="6348" spans="1:13" s="71" customFormat="1" ht="26.4" customHeight="1">
      <c r="A6348" s="282">
        <v>311</v>
      </c>
      <c r="B6348" s="556"/>
      <c r="C6348" s="260" t="s">
        <v>7903</v>
      </c>
      <c r="D6348" s="260" t="s">
        <v>8202</v>
      </c>
      <c r="E6348" s="260" t="s">
        <v>8208</v>
      </c>
      <c r="F6348" s="387">
        <v>6016</v>
      </c>
      <c r="G6348" s="311">
        <v>2008</v>
      </c>
      <c r="H6348" s="472" t="s">
        <v>1149</v>
      </c>
      <c r="I6348" s="470">
        <v>3.19</v>
      </c>
      <c r="J6348" s="496">
        <v>9.0999999999999998E-2</v>
      </c>
      <c r="K6348" s="496">
        <v>8.9929999999999996E-2</v>
      </c>
      <c r="L6348" s="496">
        <f t="shared" si="78"/>
        <v>1.0700000000000015E-3</v>
      </c>
      <c r="M6348" s="337"/>
    </row>
    <row r="6349" spans="1:13" s="71" customFormat="1" ht="26.4" customHeight="1">
      <c r="A6349" s="282">
        <v>312</v>
      </c>
      <c r="B6349" s="556"/>
      <c r="C6349" s="260" t="s">
        <v>7903</v>
      </c>
      <c r="D6349" s="260" t="s">
        <v>8202</v>
      </c>
      <c r="E6349" s="260" t="s">
        <v>8209</v>
      </c>
      <c r="F6349" s="387">
        <v>6017</v>
      </c>
      <c r="G6349" s="311">
        <v>2008</v>
      </c>
      <c r="H6349" s="472" t="s">
        <v>5462</v>
      </c>
      <c r="I6349" s="470">
        <v>980</v>
      </c>
      <c r="J6349" s="496">
        <v>4.5903999999999998</v>
      </c>
      <c r="K6349" s="496">
        <v>4.3838999999999997</v>
      </c>
      <c r="L6349" s="496">
        <f t="shared" si="78"/>
        <v>0.20650000000000013</v>
      </c>
      <c r="M6349" s="337"/>
    </row>
    <row r="6350" spans="1:13" s="71" customFormat="1" ht="26.4" customHeight="1">
      <c r="A6350" s="282">
        <v>313</v>
      </c>
      <c r="B6350" s="556"/>
      <c r="C6350" s="260" t="s">
        <v>7903</v>
      </c>
      <c r="D6350" s="260" t="s">
        <v>8202</v>
      </c>
      <c r="E6350" s="260" t="s">
        <v>8210</v>
      </c>
      <c r="F6350" s="387">
        <v>6018</v>
      </c>
      <c r="G6350" s="311">
        <v>2008</v>
      </c>
      <c r="H6350" s="472" t="s">
        <v>5462</v>
      </c>
      <c r="I6350" s="470">
        <v>1800</v>
      </c>
      <c r="J6350" s="496">
        <v>85.946969999999993</v>
      </c>
      <c r="K6350" s="496">
        <v>85.818560000000005</v>
      </c>
      <c r="L6350" s="496">
        <f t="shared" si="78"/>
        <v>0.12840999999998814</v>
      </c>
      <c r="M6350" s="337"/>
    </row>
    <row r="6351" spans="1:13" s="71" customFormat="1" ht="26.4" customHeight="1">
      <c r="A6351" s="282">
        <v>314</v>
      </c>
      <c r="B6351" s="556"/>
      <c r="C6351" s="260" t="s">
        <v>7903</v>
      </c>
      <c r="D6351" s="260" t="s">
        <v>8211</v>
      </c>
      <c r="E6351" s="260" t="s">
        <v>8212</v>
      </c>
      <c r="F6351" s="387">
        <v>6026</v>
      </c>
      <c r="G6351" s="311">
        <v>1992</v>
      </c>
      <c r="H6351" s="472" t="s">
        <v>3243</v>
      </c>
      <c r="I6351" s="470" t="s">
        <v>3243</v>
      </c>
      <c r="J6351" s="496">
        <v>4.1331800000000003</v>
      </c>
      <c r="K6351" s="496">
        <v>3.7504</v>
      </c>
      <c r="L6351" s="496">
        <f t="shared" si="78"/>
        <v>0.38278000000000034</v>
      </c>
      <c r="M6351" s="337"/>
    </row>
    <row r="6352" spans="1:13" s="71" customFormat="1" ht="26.4" customHeight="1">
      <c r="A6352" s="282">
        <v>315</v>
      </c>
      <c r="B6352" s="556"/>
      <c r="C6352" s="260" t="s">
        <v>7903</v>
      </c>
      <c r="D6352" s="260" t="s">
        <v>8211</v>
      </c>
      <c r="E6352" s="260" t="s">
        <v>8148</v>
      </c>
      <c r="F6352" s="387">
        <v>6051</v>
      </c>
      <c r="G6352" s="311">
        <v>1996</v>
      </c>
      <c r="H6352" s="472" t="s">
        <v>3243</v>
      </c>
      <c r="I6352" s="470" t="s">
        <v>3243</v>
      </c>
      <c r="J6352" s="496">
        <v>11.935919999999999</v>
      </c>
      <c r="K6352" s="496">
        <v>11.280060000000001</v>
      </c>
      <c r="L6352" s="496">
        <f t="shared" si="78"/>
        <v>0.65585999999999878</v>
      </c>
      <c r="M6352" s="337"/>
    </row>
    <row r="6353" spans="1:13" s="71" customFormat="1" ht="26.4" customHeight="1">
      <c r="A6353" s="282">
        <v>316</v>
      </c>
      <c r="B6353" s="556"/>
      <c r="C6353" s="260" t="s">
        <v>7903</v>
      </c>
      <c r="D6353" s="260" t="s">
        <v>8211</v>
      </c>
      <c r="E6353" s="260" t="s">
        <v>8213</v>
      </c>
      <c r="F6353" s="387">
        <v>6061</v>
      </c>
      <c r="G6353" s="311">
        <v>1999</v>
      </c>
      <c r="H6353" s="472" t="s">
        <v>1149</v>
      </c>
      <c r="I6353" s="470">
        <v>62.4</v>
      </c>
      <c r="J6353" s="496">
        <v>46.833590000000001</v>
      </c>
      <c r="K6353" s="496">
        <v>13.35867</v>
      </c>
      <c r="L6353" s="496">
        <f t="shared" si="78"/>
        <v>33.474919999999997</v>
      </c>
      <c r="M6353" s="337"/>
    </row>
    <row r="6354" spans="1:13" s="71" customFormat="1" ht="26.4" customHeight="1">
      <c r="A6354" s="282">
        <v>317</v>
      </c>
      <c r="B6354" s="556"/>
      <c r="C6354" s="260" t="s">
        <v>7903</v>
      </c>
      <c r="D6354" s="260" t="s">
        <v>8211</v>
      </c>
      <c r="E6354" s="260" t="s">
        <v>8214</v>
      </c>
      <c r="F6354" s="387">
        <v>6108</v>
      </c>
      <c r="G6354" s="311">
        <v>2001</v>
      </c>
      <c r="H6354" s="472" t="s">
        <v>1149</v>
      </c>
      <c r="I6354" s="470">
        <v>93</v>
      </c>
      <c r="J6354" s="496">
        <v>13.789</v>
      </c>
      <c r="K6354" s="496">
        <v>2.3816999999999999</v>
      </c>
      <c r="L6354" s="496">
        <f t="shared" si="78"/>
        <v>11.407299999999999</v>
      </c>
      <c r="M6354" s="337"/>
    </row>
    <row r="6355" spans="1:13" s="71" customFormat="1" ht="26.4" customHeight="1">
      <c r="A6355" s="282">
        <v>318</v>
      </c>
      <c r="B6355" s="556"/>
      <c r="C6355" s="260" t="s">
        <v>7903</v>
      </c>
      <c r="D6355" s="260" t="s">
        <v>8211</v>
      </c>
      <c r="E6355" s="260" t="s">
        <v>8215</v>
      </c>
      <c r="F6355" s="387">
        <v>6109</v>
      </c>
      <c r="G6355" s="311">
        <v>2001</v>
      </c>
      <c r="H6355" s="472" t="s">
        <v>3243</v>
      </c>
      <c r="I6355" s="470" t="s">
        <v>3243</v>
      </c>
      <c r="J6355" s="496">
        <v>14.507999999999999</v>
      </c>
      <c r="K6355" s="496">
        <v>14.499739999999999</v>
      </c>
      <c r="L6355" s="496">
        <f t="shared" si="78"/>
        <v>8.2599999999999341E-3</v>
      </c>
      <c r="M6355" s="337"/>
    </row>
    <row r="6356" spans="1:13" s="71" customFormat="1" ht="26.4" customHeight="1">
      <c r="A6356" s="282">
        <v>319</v>
      </c>
      <c r="B6356" s="556"/>
      <c r="C6356" s="260" t="s">
        <v>7903</v>
      </c>
      <c r="D6356" s="260" t="s">
        <v>8211</v>
      </c>
      <c r="E6356" s="260" t="s">
        <v>8216</v>
      </c>
      <c r="F6356" s="387">
        <v>6110</v>
      </c>
      <c r="G6356" s="311">
        <v>2001</v>
      </c>
      <c r="H6356" s="472" t="s">
        <v>3243</v>
      </c>
      <c r="I6356" s="470" t="s">
        <v>3243</v>
      </c>
      <c r="J6356" s="496">
        <v>7.5609999999999999</v>
      </c>
      <c r="K6356" s="496">
        <v>1.6739200000000001</v>
      </c>
      <c r="L6356" s="496">
        <f t="shared" si="78"/>
        <v>5.8870800000000001</v>
      </c>
      <c r="M6356" s="337"/>
    </row>
    <row r="6357" spans="1:13" s="71" customFormat="1" ht="26.4" customHeight="1">
      <c r="A6357" s="282">
        <v>320</v>
      </c>
      <c r="B6357" s="556"/>
      <c r="C6357" s="260" t="s">
        <v>7903</v>
      </c>
      <c r="D6357" s="260" t="s">
        <v>8211</v>
      </c>
      <c r="E6357" s="260" t="s">
        <v>8217</v>
      </c>
      <c r="F6357" s="387">
        <v>6111</v>
      </c>
      <c r="G6357" s="311">
        <v>2001</v>
      </c>
      <c r="H6357" s="472" t="s">
        <v>1149</v>
      </c>
      <c r="I6357" s="470">
        <v>112.2</v>
      </c>
      <c r="J6357" s="496">
        <v>15.397209999999999</v>
      </c>
      <c r="K6357" s="496">
        <v>2.0579499999999999</v>
      </c>
      <c r="L6357" s="496">
        <f t="shared" si="78"/>
        <v>13.339259999999999</v>
      </c>
      <c r="M6357" s="337"/>
    </row>
    <row r="6358" spans="1:13" s="71" customFormat="1" ht="26.4" customHeight="1">
      <c r="A6358" s="282">
        <v>321</v>
      </c>
      <c r="B6358" s="556"/>
      <c r="C6358" s="260" t="s">
        <v>7903</v>
      </c>
      <c r="D6358" s="260" t="s">
        <v>8211</v>
      </c>
      <c r="E6358" s="260" t="s">
        <v>8218</v>
      </c>
      <c r="F6358" s="387">
        <v>6112</v>
      </c>
      <c r="G6358" s="311">
        <v>2001</v>
      </c>
      <c r="H6358" s="472" t="s">
        <v>1149</v>
      </c>
      <c r="I6358" s="470">
        <v>37.1</v>
      </c>
      <c r="J6358" s="496">
        <v>16.312760000000001</v>
      </c>
      <c r="K6358" s="496">
        <v>2.9944799999999998</v>
      </c>
      <c r="L6358" s="496">
        <f t="shared" ref="L6358:L6421" si="79">J6358-K6358</f>
        <v>13.318280000000001</v>
      </c>
      <c r="M6358" s="337"/>
    </row>
    <row r="6359" spans="1:13" s="71" customFormat="1" ht="26.4" customHeight="1">
      <c r="A6359" s="282">
        <v>322</v>
      </c>
      <c r="B6359" s="556"/>
      <c r="C6359" s="260" t="s">
        <v>7903</v>
      </c>
      <c r="D6359" s="260" t="s">
        <v>8219</v>
      </c>
      <c r="E6359" s="260" t="s">
        <v>8220</v>
      </c>
      <c r="F6359" s="387">
        <v>6194</v>
      </c>
      <c r="G6359" s="311">
        <v>2008</v>
      </c>
      <c r="H6359" s="472" t="s">
        <v>1149</v>
      </c>
      <c r="I6359" s="470">
        <v>98.2</v>
      </c>
      <c r="J6359" s="496">
        <v>28.818999999999999</v>
      </c>
      <c r="K6359" s="496">
        <v>28.569030000000001</v>
      </c>
      <c r="L6359" s="496">
        <f t="shared" si="79"/>
        <v>0.24996999999999758</v>
      </c>
      <c r="M6359" s="337"/>
    </row>
    <row r="6360" spans="1:13" s="71" customFormat="1" ht="26.4" customHeight="1">
      <c r="A6360" s="282">
        <v>323</v>
      </c>
      <c r="B6360" s="556"/>
      <c r="C6360" s="260" t="s">
        <v>7903</v>
      </c>
      <c r="D6360" s="260" t="s">
        <v>8219</v>
      </c>
      <c r="E6360" s="260" t="s">
        <v>8203</v>
      </c>
      <c r="F6360" s="387">
        <v>6195</v>
      </c>
      <c r="G6360" s="311">
        <v>2008</v>
      </c>
      <c r="H6360" s="472" t="s">
        <v>1149</v>
      </c>
      <c r="I6360" s="470">
        <v>98.2</v>
      </c>
      <c r="J6360" s="496">
        <v>29.580380000000002</v>
      </c>
      <c r="K6360" s="496">
        <v>29.563790000000001</v>
      </c>
      <c r="L6360" s="496">
        <f t="shared" si="79"/>
        <v>1.6590000000000771E-2</v>
      </c>
      <c r="M6360" s="337"/>
    </row>
    <row r="6361" spans="1:13" s="71" customFormat="1" ht="26.4" customHeight="1">
      <c r="A6361" s="282">
        <v>324</v>
      </c>
      <c r="B6361" s="556"/>
      <c r="C6361" s="260" t="s">
        <v>7903</v>
      </c>
      <c r="D6361" s="260" t="s">
        <v>8219</v>
      </c>
      <c r="E6361" s="260" t="s">
        <v>8203</v>
      </c>
      <c r="F6361" s="387">
        <v>6196</v>
      </c>
      <c r="G6361" s="311">
        <v>2008</v>
      </c>
      <c r="H6361" s="472" t="s">
        <v>1149</v>
      </c>
      <c r="I6361" s="470">
        <v>98.2</v>
      </c>
      <c r="J6361" s="496">
        <v>22.69679</v>
      </c>
      <c r="K6361" s="496">
        <v>22.580179999999999</v>
      </c>
      <c r="L6361" s="496">
        <f t="shared" si="79"/>
        <v>0.11661000000000143</v>
      </c>
      <c r="M6361" s="337"/>
    </row>
    <row r="6362" spans="1:13" s="71" customFormat="1" ht="26.4" customHeight="1">
      <c r="A6362" s="282">
        <v>325</v>
      </c>
      <c r="B6362" s="556"/>
      <c r="C6362" s="260" t="s">
        <v>7903</v>
      </c>
      <c r="D6362" s="260" t="s">
        <v>8219</v>
      </c>
      <c r="E6362" s="260" t="s">
        <v>8203</v>
      </c>
      <c r="F6362" s="387">
        <v>6197</v>
      </c>
      <c r="G6362" s="311">
        <v>2008</v>
      </c>
      <c r="H6362" s="472" t="s">
        <v>1149</v>
      </c>
      <c r="I6362" s="470">
        <v>98.2</v>
      </c>
      <c r="J6362" s="496">
        <v>29.68159</v>
      </c>
      <c r="K6362" s="496">
        <v>25.734770000000001</v>
      </c>
      <c r="L6362" s="496">
        <f t="shared" si="79"/>
        <v>3.9468199999999989</v>
      </c>
      <c r="M6362" s="337"/>
    </row>
    <row r="6363" spans="1:13" s="71" customFormat="1" ht="26.4" customHeight="1">
      <c r="A6363" s="282">
        <v>326</v>
      </c>
      <c r="B6363" s="556"/>
      <c r="C6363" s="260" t="s">
        <v>7903</v>
      </c>
      <c r="D6363" s="260" t="s">
        <v>8219</v>
      </c>
      <c r="E6363" s="260" t="s">
        <v>8203</v>
      </c>
      <c r="F6363" s="387">
        <v>6198</v>
      </c>
      <c r="G6363" s="311">
        <v>2008</v>
      </c>
      <c r="H6363" s="472" t="s">
        <v>1149</v>
      </c>
      <c r="I6363" s="470">
        <v>98.2</v>
      </c>
      <c r="J6363" s="496">
        <v>57.32461</v>
      </c>
      <c r="K6363" s="496">
        <v>47.523960000000002</v>
      </c>
      <c r="L6363" s="496">
        <f t="shared" si="79"/>
        <v>9.8006499999999974</v>
      </c>
      <c r="M6363" s="337"/>
    </row>
    <row r="6364" spans="1:13" s="71" customFormat="1" ht="26.4" customHeight="1">
      <c r="A6364" s="282">
        <v>327</v>
      </c>
      <c r="B6364" s="556"/>
      <c r="C6364" s="260" t="s">
        <v>7903</v>
      </c>
      <c r="D6364" s="260" t="s">
        <v>8219</v>
      </c>
      <c r="E6364" s="260" t="s">
        <v>8203</v>
      </c>
      <c r="F6364" s="387">
        <v>6199</v>
      </c>
      <c r="G6364" s="311">
        <v>2008</v>
      </c>
      <c r="H6364" s="472" t="s">
        <v>1149</v>
      </c>
      <c r="I6364" s="470">
        <v>98.2</v>
      </c>
      <c r="J6364" s="496">
        <v>27.240379999999998</v>
      </c>
      <c r="K6364" s="496">
        <v>27.073689999999999</v>
      </c>
      <c r="L6364" s="496">
        <f t="shared" si="79"/>
        <v>0.16668999999999912</v>
      </c>
      <c r="M6364" s="337"/>
    </row>
    <row r="6365" spans="1:13" s="71" customFormat="1" ht="26.4" customHeight="1">
      <c r="A6365" s="282">
        <v>328</v>
      </c>
      <c r="B6365" s="556"/>
      <c r="C6365" s="260" t="s">
        <v>7903</v>
      </c>
      <c r="D6365" s="260" t="s">
        <v>8219</v>
      </c>
      <c r="E6365" s="260" t="s">
        <v>8203</v>
      </c>
      <c r="F6365" s="387">
        <v>6200</v>
      </c>
      <c r="G6365" s="311">
        <v>2008</v>
      </c>
      <c r="H6365" s="472" t="s">
        <v>1149</v>
      </c>
      <c r="I6365" s="470">
        <v>98.2</v>
      </c>
      <c r="J6365" s="496">
        <v>46.180979999999998</v>
      </c>
      <c r="K6365" s="496">
        <v>42.20364</v>
      </c>
      <c r="L6365" s="496">
        <f t="shared" si="79"/>
        <v>3.9773399999999981</v>
      </c>
      <c r="M6365" s="337"/>
    </row>
    <row r="6366" spans="1:13" s="71" customFormat="1" ht="26.4" customHeight="1">
      <c r="A6366" s="282">
        <v>329</v>
      </c>
      <c r="B6366" s="556"/>
      <c r="C6366" s="260" t="s">
        <v>7903</v>
      </c>
      <c r="D6366" s="260" t="s">
        <v>8219</v>
      </c>
      <c r="E6366" s="260" t="s">
        <v>8203</v>
      </c>
      <c r="F6366" s="387">
        <v>6201</v>
      </c>
      <c r="G6366" s="311">
        <v>2008</v>
      </c>
      <c r="H6366" s="472" t="s">
        <v>1149</v>
      </c>
      <c r="I6366" s="470">
        <v>98.2</v>
      </c>
      <c r="J6366" s="496">
        <v>21.01679</v>
      </c>
      <c r="K6366" s="496">
        <v>19.83849</v>
      </c>
      <c r="L6366" s="496">
        <f t="shared" si="79"/>
        <v>1.1783000000000001</v>
      </c>
      <c r="M6366" s="337"/>
    </row>
    <row r="6367" spans="1:13" s="71" customFormat="1" ht="26.4" customHeight="1">
      <c r="A6367" s="282">
        <v>330</v>
      </c>
      <c r="B6367" s="556"/>
      <c r="C6367" s="260" t="s">
        <v>7903</v>
      </c>
      <c r="D6367" s="260" t="s">
        <v>8219</v>
      </c>
      <c r="E6367" s="260" t="s">
        <v>8221</v>
      </c>
      <c r="F6367" s="387">
        <v>6202</v>
      </c>
      <c r="G6367" s="311">
        <v>2008</v>
      </c>
      <c r="H6367" s="472" t="s">
        <v>1149</v>
      </c>
      <c r="I6367" s="470">
        <v>90.8</v>
      </c>
      <c r="J6367" s="496">
        <v>6.0052399999999997</v>
      </c>
      <c r="K6367" s="496">
        <v>5.9886499999999998</v>
      </c>
      <c r="L6367" s="496">
        <f t="shared" si="79"/>
        <v>1.6589999999999883E-2</v>
      </c>
      <c r="M6367" s="337"/>
    </row>
    <row r="6368" spans="1:13" s="71" customFormat="1" ht="26.4" customHeight="1">
      <c r="A6368" s="282">
        <v>331</v>
      </c>
      <c r="B6368" s="556"/>
      <c r="C6368" s="260" t="s">
        <v>7903</v>
      </c>
      <c r="D6368" s="260" t="s">
        <v>8219</v>
      </c>
      <c r="E6368" s="260" t="s">
        <v>8221</v>
      </c>
      <c r="F6368" s="387">
        <v>6203</v>
      </c>
      <c r="G6368" s="311">
        <v>2008</v>
      </c>
      <c r="H6368" s="472" t="s">
        <v>1149</v>
      </c>
      <c r="I6368" s="470">
        <v>90.8</v>
      </c>
      <c r="J6368" s="496">
        <v>48.819920000000003</v>
      </c>
      <c r="K6368" s="496">
        <v>48.803330000000003</v>
      </c>
      <c r="L6368" s="496">
        <f t="shared" si="79"/>
        <v>1.6590000000000771E-2</v>
      </c>
      <c r="M6368" s="337"/>
    </row>
    <row r="6369" spans="1:13" s="71" customFormat="1" ht="26.4" customHeight="1">
      <c r="A6369" s="282">
        <v>332</v>
      </c>
      <c r="B6369" s="556"/>
      <c r="C6369" s="260" t="s">
        <v>7903</v>
      </c>
      <c r="D6369" s="260" t="s">
        <v>8219</v>
      </c>
      <c r="E6369" s="260" t="s">
        <v>8221</v>
      </c>
      <c r="F6369" s="387">
        <v>6204</v>
      </c>
      <c r="G6369" s="311">
        <v>2008</v>
      </c>
      <c r="H6369" s="472" t="s">
        <v>1149</v>
      </c>
      <c r="I6369" s="470">
        <v>90.8</v>
      </c>
      <c r="J6369" s="496">
        <v>40.759520000000002</v>
      </c>
      <c r="K6369" s="496">
        <v>40.742930000000001</v>
      </c>
      <c r="L6369" s="496">
        <f t="shared" si="79"/>
        <v>1.6590000000000771E-2</v>
      </c>
      <c r="M6369" s="337"/>
    </row>
    <row r="6370" spans="1:13" s="71" customFormat="1" ht="26.4" customHeight="1">
      <c r="A6370" s="282">
        <v>333</v>
      </c>
      <c r="B6370" s="556"/>
      <c r="C6370" s="260" t="s">
        <v>7903</v>
      </c>
      <c r="D6370" s="260" t="s">
        <v>8219</v>
      </c>
      <c r="E6370" s="260" t="s">
        <v>8221</v>
      </c>
      <c r="F6370" s="387">
        <v>6205</v>
      </c>
      <c r="G6370" s="311">
        <v>2008</v>
      </c>
      <c r="H6370" s="472" t="s">
        <v>1149</v>
      </c>
      <c r="I6370" s="470">
        <v>90.8</v>
      </c>
      <c r="J6370" s="496">
        <v>0.82830999999999999</v>
      </c>
      <c r="K6370" s="496">
        <v>0.82411999999999996</v>
      </c>
      <c r="L6370" s="496">
        <f t="shared" si="79"/>
        <v>4.190000000000027E-3</v>
      </c>
      <c r="M6370" s="337"/>
    </row>
    <row r="6371" spans="1:13" s="71" customFormat="1" ht="26.4" customHeight="1">
      <c r="A6371" s="282">
        <v>334</v>
      </c>
      <c r="B6371" s="556"/>
      <c r="C6371" s="260" t="s">
        <v>7903</v>
      </c>
      <c r="D6371" s="260" t="s">
        <v>8219</v>
      </c>
      <c r="E6371" s="260" t="s">
        <v>8221</v>
      </c>
      <c r="F6371" s="387">
        <v>6206</v>
      </c>
      <c r="G6371" s="311">
        <v>2008</v>
      </c>
      <c r="H6371" s="472" t="s">
        <v>1149</v>
      </c>
      <c r="I6371" s="470">
        <v>90.8</v>
      </c>
      <c r="J6371" s="496">
        <v>2.2391100000000002</v>
      </c>
      <c r="K6371" s="496">
        <v>2.2349199999999998</v>
      </c>
      <c r="L6371" s="496">
        <f t="shared" si="79"/>
        <v>4.1900000000003601E-3</v>
      </c>
      <c r="M6371" s="337"/>
    </row>
    <row r="6372" spans="1:13" s="71" customFormat="1" ht="26.4" customHeight="1">
      <c r="A6372" s="282">
        <v>335</v>
      </c>
      <c r="B6372" s="556"/>
      <c r="C6372" s="260" t="s">
        <v>7903</v>
      </c>
      <c r="D6372" s="260" t="s">
        <v>8219</v>
      </c>
      <c r="E6372" s="260" t="s">
        <v>8221</v>
      </c>
      <c r="F6372" s="387">
        <v>6207</v>
      </c>
      <c r="G6372" s="311">
        <v>2008</v>
      </c>
      <c r="H6372" s="472" t="s">
        <v>1149</v>
      </c>
      <c r="I6372" s="470">
        <v>77.8</v>
      </c>
      <c r="J6372" s="496">
        <v>2.6295199999999999</v>
      </c>
      <c r="K6372" s="496">
        <v>2.61293</v>
      </c>
      <c r="L6372" s="496">
        <f t="shared" si="79"/>
        <v>1.6589999999999883E-2</v>
      </c>
      <c r="M6372" s="337"/>
    </row>
    <row r="6373" spans="1:13" s="71" customFormat="1" ht="26.4" customHeight="1">
      <c r="A6373" s="282">
        <v>336</v>
      </c>
      <c r="B6373" s="556"/>
      <c r="C6373" s="260" t="s">
        <v>7903</v>
      </c>
      <c r="D6373" s="260" t="s">
        <v>8219</v>
      </c>
      <c r="E6373" s="260" t="s">
        <v>8221</v>
      </c>
      <c r="F6373" s="387">
        <v>6208</v>
      </c>
      <c r="G6373" s="311">
        <v>2008</v>
      </c>
      <c r="H6373" s="472" t="s">
        <v>1149</v>
      </c>
      <c r="I6373" s="470">
        <v>90.8</v>
      </c>
      <c r="J6373" s="496">
        <v>2.6295199999999999</v>
      </c>
      <c r="K6373" s="496">
        <v>2.61293</v>
      </c>
      <c r="L6373" s="496">
        <f t="shared" si="79"/>
        <v>1.6589999999999883E-2</v>
      </c>
      <c r="M6373" s="337"/>
    </row>
    <row r="6374" spans="1:13" s="71" customFormat="1" ht="26.4" customHeight="1">
      <c r="A6374" s="282">
        <v>337</v>
      </c>
      <c r="B6374" s="556"/>
      <c r="C6374" s="260" t="s">
        <v>7903</v>
      </c>
      <c r="D6374" s="260" t="s">
        <v>8219</v>
      </c>
      <c r="E6374" s="260" t="s">
        <v>8221</v>
      </c>
      <c r="F6374" s="387">
        <v>6209</v>
      </c>
      <c r="G6374" s="311">
        <v>2008</v>
      </c>
      <c r="H6374" s="472" t="s">
        <v>1149</v>
      </c>
      <c r="I6374" s="470">
        <v>77.8</v>
      </c>
      <c r="J6374" s="496">
        <v>5.3695199999999996</v>
      </c>
      <c r="K6374" s="496">
        <v>5.1195500000000003</v>
      </c>
      <c r="L6374" s="496">
        <f t="shared" si="79"/>
        <v>0.24996999999999936</v>
      </c>
      <c r="M6374" s="337"/>
    </row>
    <row r="6375" spans="1:13" s="71" customFormat="1" ht="26.4" customHeight="1">
      <c r="A6375" s="282">
        <v>338</v>
      </c>
      <c r="B6375" s="556"/>
      <c r="C6375" s="260" t="s">
        <v>7903</v>
      </c>
      <c r="D6375" s="260" t="s">
        <v>8219</v>
      </c>
      <c r="E6375" s="260" t="s">
        <v>8221</v>
      </c>
      <c r="F6375" s="387">
        <v>6210</v>
      </c>
      <c r="G6375" s="311">
        <v>2008</v>
      </c>
      <c r="H6375" s="472" t="s">
        <v>1149</v>
      </c>
      <c r="I6375" s="470">
        <v>90.8</v>
      </c>
      <c r="J6375" s="496">
        <v>24.684809999999999</v>
      </c>
      <c r="K6375" s="496">
        <v>24.568200000000001</v>
      </c>
      <c r="L6375" s="496">
        <f t="shared" si="79"/>
        <v>0.11660999999999788</v>
      </c>
      <c r="M6375" s="337"/>
    </row>
    <row r="6376" spans="1:13" s="71" customFormat="1" ht="26.4" customHeight="1">
      <c r="A6376" s="282">
        <v>339</v>
      </c>
      <c r="B6376" s="556"/>
      <c r="C6376" s="260" t="s">
        <v>7903</v>
      </c>
      <c r="D6376" s="260" t="s">
        <v>8219</v>
      </c>
      <c r="E6376" s="260" t="s">
        <v>8221</v>
      </c>
      <c r="F6376" s="387">
        <v>6211</v>
      </c>
      <c r="G6376" s="311">
        <v>2008</v>
      </c>
      <c r="H6376" s="472" t="s">
        <v>1149</v>
      </c>
      <c r="I6376" s="470">
        <v>90.8</v>
      </c>
      <c r="J6376" s="496">
        <v>16.629519999999999</v>
      </c>
      <c r="K6376" s="496">
        <v>16.612929999999999</v>
      </c>
      <c r="L6376" s="496">
        <f t="shared" si="79"/>
        <v>1.6590000000000771E-2</v>
      </c>
      <c r="M6376" s="337"/>
    </row>
    <row r="6377" spans="1:13" s="71" customFormat="1" ht="26.4" customHeight="1">
      <c r="A6377" s="282">
        <v>340</v>
      </c>
      <c r="B6377" s="556"/>
      <c r="C6377" s="260" t="s">
        <v>7903</v>
      </c>
      <c r="D6377" s="260" t="s">
        <v>8219</v>
      </c>
      <c r="E6377" s="260" t="s">
        <v>8221</v>
      </c>
      <c r="F6377" s="387">
        <v>6212</v>
      </c>
      <c r="G6377" s="311">
        <v>2008</v>
      </c>
      <c r="H6377" s="472" t="s">
        <v>1149</v>
      </c>
      <c r="I6377" s="470">
        <v>90.8</v>
      </c>
      <c r="J6377" s="496">
        <v>10.89992</v>
      </c>
      <c r="K6377" s="496">
        <v>10.78331</v>
      </c>
      <c r="L6377" s="496">
        <f t="shared" si="79"/>
        <v>0.11660999999999966</v>
      </c>
      <c r="M6377" s="337"/>
    </row>
    <row r="6378" spans="1:13" s="71" customFormat="1" ht="26.4" customHeight="1">
      <c r="A6378" s="282">
        <v>341</v>
      </c>
      <c r="B6378" s="556"/>
      <c r="C6378" s="260" t="s">
        <v>7903</v>
      </c>
      <c r="D6378" s="260" t="s">
        <v>8219</v>
      </c>
      <c r="E6378" s="260" t="s">
        <v>8221</v>
      </c>
      <c r="F6378" s="387">
        <v>6213</v>
      </c>
      <c r="G6378" s="311">
        <v>2008</v>
      </c>
      <c r="H6378" s="472" t="s">
        <v>1149</v>
      </c>
      <c r="I6378" s="470">
        <v>90.8</v>
      </c>
      <c r="J6378" s="496">
        <v>11.9754</v>
      </c>
      <c r="K6378" s="496">
        <v>11.858790000000001</v>
      </c>
      <c r="L6378" s="496">
        <f t="shared" si="79"/>
        <v>0.11660999999999966</v>
      </c>
      <c r="M6378" s="337"/>
    </row>
    <row r="6379" spans="1:13" s="71" customFormat="1" ht="26.4" customHeight="1">
      <c r="A6379" s="282">
        <v>342</v>
      </c>
      <c r="B6379" s="556"/>
      <c r="C6379" s="260" t="s">
        <v>7903</v>
      </c>
      <c r="D6379" s="260" t="s">
        <v>8219</v>
      </c>
      <c r="E6379" s="260" t="s">
        <v>8221</v>
      </c>
      <c r="F6379" s="387">
        <v>6214</v>
      </c>
      <c r="G6379" s="311">
        <v>2008</v>
      </c>
      <c r="H6379" s="472" t="s">
        <v>1149</v>
      </c>
      <c r="I6379" s="470">
        <v>72.099999999999994</v>
      </c>
      <c r="J6379" s="496">
        <v>15.58806</v>
      </c>
      <c r="K6379" s="496">
        <v>15.471450000000001</v>
      </c>
      <c r="L6379" s="496">
        <f t="shared" si="79"/>
        <v>0.11660999999999966</v>
      </c>
      <c r="M6379" s="337"/>
    </row>
    <row r="6380" spans="1:13" s="71" customFormat="1" ht="26.4" customHeight="1">
      <c r="A6380" s="282">
        <v>343</v>
      </c>
      <c r="B6380" s="556"/>
      <c r="C6380" s="260" t="s">
        <v>7903</v>
      </c>
      <c r="D6380" s="260" t="s">
        <v>8219</v>
      </c>
      <c r="E6380" s="260" t="s">
        <v>8221</v>
      </c>
      <c r="F6380" s="387">
        <v>6215</v>
      </c>
      <c r="G6380" s="311">
        <v>2008</v>
      </c>
      <c r="H6380" s="472" t="s">
        <v>1149</v>
      </c>
      <c r="I6380" s="470">
        <v>90.8</v>
      </c>
      <c r="J6380" s="496">
        <v>2.6295199999999999</v>
      </c>
      <c r="K6380" s="496">
        <v>2.61293</v>
      </c>
      <c r="L6380" s="496">
        <f t="shared" si="79"/>
        <v>1.6589999999999883E-2</v>
      </c>
      <c r="M6380" s="337"/>
    </row>
    <row r="6381" spans="1:13" s="71" customFormat="1" ht="26.4" customHeight="1">
      <c r="A6381" s="282">
        <v>344</v>
      </c>
      <c r="B6381" s="556"/>
      <c r="C6381" s="260" t="s">
        <v>7903</v>
      </c>
      <c r="D6381" s="260" t="s">
        <v>8219</v>
      </c>
      <c r="E6381" s="260" t="s">
        <v>8221</v>
      </c>
      <c r="F6381" s="387">
        <v>6216</v>
      </c>
      <c r="G6381" s="311">
        <v>2008</v>
      </c>
      <c r="H6381" s="472" t="s">
        <v>1149</v>
      </c>
      <c r="I6381" s="470">
        <v>67.3</v>
      </c>
      <c r="J6381" s="496">
        <v>9.9331099999999992</v>
      </c>
      <c r="K6381" s="496">
        <v>3.8835199999999999</v>
      </c>
      <c r="L6381" s="496">
        <f t="shared" si="79"/>
        <v>6.0495899999999994</v>
      </c>
      <c r="M6381" s="337"/>
    </row>
    <row r="6382" spans="1:13" s="71" customFormat="1" ht="26.4" customHeight="1">
      <c r="A6382" s="282">
        <v>345</v>
      </c>
      <c r="B6382" s="556"/>
      <c r="C6382" s="260" t="s">
        <v>7903</v>
      </c>
      <c r="D6382" s="260" t="s">
        <v>8219</v>
      </c>
      <c r="E6382" s="260" t="s">
        <v>8221</v>
      </c>
      <c r="F6382" s="387">
        <v>6217</v>
      </c>
      <c r="G6382" s="311">
        <v>2008</v>
      </c>
      <c r="H6382" s="472" t="s">
        <v>1149</v>
      </c>
      <c r="I6382" s="470">
        <v>108.6</v>
      </c>
      <c r="J6382" s="496">
        <v>24.584759999999999</v>
      </c>
      <c r="K6382" s="496">
        <v>24.580570000000002</v>
      </c>
      <c r="L6382" s="496">
        <f t="shared" si="79"/>
        <v>4.1899999999976956E-3</v>
      </c>
      <c r="M6382" s="337"/>
    </row>
    <row r="6383" spans="1:13" s="71" customFormat="1" ht="26.4" customHeight="1">
      <c r="A6383" s="282">
        <v>346</v>
      </c>
      <c r="B6383" s="556"/>
      <c r="C6383" s="260" t="s">
        <v>7903</v>
      </c>
      <c r="D6383" s="260" t="s">
        <v>8219</v>
      </c>
      <c r="E6383" s="260" t="s">
        <v>8221</v>
      </c>
      <c r="F6383" s="387">
        <v>6218</v>
      </c>
      <c r="G6383" s="311">
        <v>2008</v>
      </c>
      <c r="H6383" s="472" t="s">
        <v>1149</v>
      </c>
      <c r="I6383" s="470">
        <v>90.8</v>
      </c>
      <c r="J6383" s="496">
        <v>21.879480000000001</v>
      </c>
      <c r="K6383" s="496">
        <v>21.86289</v>
      </c>
      <c r="L6383" s="496">
        <f t="shared" si="79"/>
        <v>1.6590000000000771E-2</v>
      </c>
      <c r="M6383" s="337"/>
    </row>
    <row r="6384" spans="1:13" s="71" customFormat="1" ht="26.4" customHeight="1">
      <c r="A6384" s="282">
        <v>347</v>
      </c>
      <c r="B6384" s="556"/>
      <c r="C6384" s="260" t="s">
        <v>7903</v>
      </c>
      <c r="D6384" s="260" t="s">
        <v>8219</v>
      </c>
      <c r="E6384" s="260" t="s">
        <v>8221</v>
      </c>
      <c r="F6384" s="387">
        <v>6219</v>
      </c>
      <c r="G6384" s="311">
        <v>2008</v>
      </c>
      <c r="H6384" s="472" t="s">
        <v>1149</v>
      </c>
      <c r="I6384" s="470">
        <v>77.8</v>
      </c>
      <c r="J6384" s="496">
        <v>0.23910999999999999</v>
      </c>
      <c r="K6384" s="496">
        <v>0.23491999999999999</v>
      </c>
      <c r="L6384" s="496">
        <f t="shared" si="79"/>
        <v>4.1899999999999993E-3</v>
      </c>
      <c r="M6384" s="337"/>
    </row>
    <row r="6385" spans="1:13" s="71" customFormat="1" ht="26.4" customHeight="1">
      <c r="A6385" s="282">
        <v>348</v>
      </c>
      <c r="B6385" s="556"/>
      <c r="C6385" s="260" t="s">
        <v>7903</v>
      </c>
      <c r="D6385" s="260" t="s">
        <v>8219</v>
      </c>
      <c r="E6385" s="260" t="s">
        <v>8221</v>
      </c>
      <c r="F6385" s="387">
        <v>6220</v>
      </c>
      <c r="G6385" s="311">
        <v>2008</v>
      </c>
      <c r="H6385" s="472" t="s">
        <v>1149</v>
      </c>
      <c r="I6385" s="470">
        <v>90.8</v>
      </c>
      <c r="J6385" s="496">
        <v>5.4591099999999999</v>
      </c>
      <c r="K6385" s="496">
        <v>5.35921</v>
      </c>
      <c r="L6385" s="496">
        <f t="shared" si="79"/>
        <v>9.9899999999999878E-2</v>
      </c>
      <c r="M6385" s="337"/>
    </row>
    <row r="6386" spans="1:13" s="71" customFormat="1" ht="26.4" customHeight="1">
      <c r="A6386" s="282">
        <v>349</v>
      </c>
      <c r="B6386" s="556"/>
      <c r="C6386" s="260" t="s">
        <v>7903</v>
      </c>
      <c r="D6386" s="260" t="s">
        <v>8219</v>
      </c>
      <c r="E6386" s="260" t="s">
        <v>8221</v>
      </c>
      <c r="F6386" s="387">
        <v>6221</v>
      </c>
      <c r="G6386" s="311">
        <v>2008</v>
      </c>
      <c r="H6386" s="472" t="s">
        <v>1149</v>
      </c>
      <c r="I6386" s="470">
        <v>90.8</v>
      </c>
      <c r="J6386" s="496">
        <v>28.689109999999999</v>
      </c>
      <c r="K6386" s="496">
        <v>28.64742</v>
      </c>
      <c r="L6386" s="496">
        <f t="shared" si="79"/>
        <v>4.1689999999999117E-2</v>
      </c>
      <c r="M6386" s="337"/>
    </row>
    <row r="6387" spans="1:13" s="71" customFormat="1" ht="26.4" customHeight="1">
      <c r="A6387" s="282">
        <v>350</v>
      </c>
      <c r="B6387" s="556"/>
      <c r="C6387" s="260" t="s">
        <v>7903</v>
      </c>
      <c r="D6387" s="260" t="s">
        <v>8219</v>
      </c>
      <c r="E6387" s="260" t="s">
        <v>8221</v>
      </c>
      <c r="F6387" s="387">
        <v>6222</v>
      </c>
      <c r="G6387" s="311">
        <v>2008</v>
      </c>
      <c r="H6387" s="472" t="s">
        <v>1149</v>
      </c>
      <c r="I6387" s="470">
        <v>76.2</v>
      </c>
      <c r="J6387" s="496">
        <v>2.6295199999999999</v>
      </c>
      <c r="K6387" s="496">
        <v>2.61293</v>
      </c>
      <c r="L6387" s="496">
        <f t="shared" si="79"/>
        <v>1.6589999999999883E-2</v>
      </c>
      <c r="M6387" s="337"/>
    </row>
    <row r="6388" spans="1:13" s="71" customFormat="1" ht="26.4" customHeight="1">
      <c r="A6388" s="282">
        <v>351</v>
      </c>
      <c r="B6388" s="556"/>
      <c r="C6388" s="260" t="s">
        <v>7903</v>
      </c>
      <c r="D6388" s="260" t="s">
        <v>8219</v>
      </c>
      <c r="E6388" s="260" t="s">
        <v>8221</v>
      </c>
      <c r="F6388" s="387">
        <v>6223</v>
      </c>
      <c r="G6388" s="311">
        <v>2008</v>
      </c>
      <c r="H6388" s="472" t="s">
        <v>1149</v>
      </c>
      <c r="I6388" s="470">
        <v>90.8</v>
      </c>
      <c r="J6388" s="496">
        <v>43.017519999999998</v>
      </c>
      <c r="K6388" s="496">
        <v>43.000929999999997</v>
      </c>
      <c r="L6388" s="496">
        <f t="shared" si="79"/>
        <v>1.6590000000000771E-2</v>
      </c>
      <c r="M6388" s="337"/>
    </row>
    <row r="6389" spans="1:13" s="71" customFormat="1" ht="26.4" customHeight="1">
      <c r="A6389" s="282">
        <v>352</v>
      </c>
      <c r="B6389" s="556"/>
      <c r="C6389" s="260" t="s">
        <v>7903</v>
      </c>
      <c r="D6389" s="260" t="s">
        <v>8219</v>
      </c>
      <c r="E6389" s="260" t="s">
        <v>8221</v>
      </c>
      <c r="F6389" s="387">
        <v>6224</v>
      </c>
      <c r="G6389" s="311">
        <v>2008</v>
      </c>
      <c r="H6389" s="472" t="s">
        <v>1149</v>
      </c>
      <c r="I6389" s="470">
        <v>88.6</v>
      </c>
      <c r="J6389" s="496">
        <v>2.6295199999999999</v>
      </c>
      <c r="K6389" s="496">
        <v>2.61293</v>
      </c>
      <c r="L6389" s="496">
        <f t="shared" si="79"/>
        <v>1.6589999999999883E-2</v>
      </c>
      <c r="M6389" s="337"/>
    </row>
    <row r="6390" spans="1:13" s="71" customFormat="1" ht="26.4" customHeight="1">
      <c r="A6390" s="282">
        <v>353</v>
      </c>
      <c r="B6390" s="556"/>
      <c r="C6390" s="260" t="s">
        <v>7903</v>
      </c>
      <c r="D6390" s="260" t="s">
        <v>8219</v>
      </c>
      <c r="E6390" s="260" t="s">
        <v>8221</v>
      </c>
      <c r="F6390" s="387">
        <v>6225</v>
      </c>
      <c r="G6390" s="311">
        <v>2008</v>
      </c>
      <c r="H6390" s="472" t="s">
        <v>1149</v>
      </c>
      <c r="I6390" s="470">
        <v>90.8</v>
      </c>
      <c r="J6390" s="496">
        <v>7.9095199999999997</v>
      </c>
      <c r="K6390" s="496">
        <v>7.79291</v>
      </c>
      <c r="L6390" s="496">
        <f t="shared" si="79"/>
        <v>0.11660999999999966</v>
      </c>
      <c r="M6390" s="337"/>
    </row>
    <row r="6391" spans="1:13" s="71" customFormat="1" ht="26.4" customHeight="1">
      <c r="A6391" s="282">
        <v>354</v>
      </c>
      <c r="B6391" s="556"/>
      <c r="C6391" s="260" t="s">
        <v>7903</v>
      </c>
      <c r="D6391" s="260" t="s">
        <v>8219</v>
      </c>
      <c r="E6391" s="260" t="s">
        <v>8221</v>
      </c>
      <c r="F6391" s="387">
        <v>6226</v>
      </c>
      <c r="G6391" s="311">
        <v>2008</v>
      </c>
      <c r="H6391" s="472" t="s">
        <v>1149</v>
      </c>
      <c r="I6391" s="470">
        <v>85.3</v>
      </c>
      <c r="J6391" s="496">
        <v>15.629519999999999</v>
      </c>
      <c r="K6391" s="496">
        <v>15.61293</v>
      </c>
      <c r="L6391" s="496">
        <f t="shared" si="79"/>
        <v>1.6589999999998994E-2</v>
      </c>
      <c r="M6391" s="337"/>
    </row>
    <row r="6392" spans="1:13" s="71" customFormat="1" ht="26.4" customHeight="1">
      <c r="A6392" s="282">
        <v>355</v>
      </c>
      <c r="B6392" s="556"/>
      <c r="C6392" s="260" t="s">
        <v>7903</v>
      </c>
      <c r="D6392" s="260" t="s">
        <v>8219</v>
      </c>
      <c r="E6392" s="260" t="s">
        <v>8221</v>
      </c>
      <c r="F6392" s="387">
        <v>6227</v>
      </c>
      <c r="G6392" s="311">
        <v>2008</v>
      </c>
      <c r="H6392" s="472" t="s">
        <v>1149</v>
      </c>
      <c r="I6392" s="470">
        <v>72.8</v>
      </c>
      <c r="J6392" s="496">
        <v>15.629519999999999</v>
      </c>
      <c r="K6392" s="496">
        <v>15.61293</v>
      </c>
      <c r="L6392" s="496">
        <f t="shared" si="79"/>
        <v>1.6589999999998994E-2</v>
      </c>
      <c r="M6392" s="337"/>
    </row>
    <row r="6393" spans="1:13" s="71" customFormat="1" ht="26.4" customHeight="1">
      <c r="A6393" s="282">
        <v>356</v>
      </c>
      <c r="B6393" s="556"/>
      <c r="C6393" s="260" t="s">
        <v>7903</v>
      </c>
      <c r="D6393" s="260" t="s">
        <v>8219</v>
      </c>
      <c r="E6393" s="260" t="s">
        <v>8222</v>
      </c>
      <c r="F6393" s="387">
        <v>6228</v>
      </c>
      <c r="G6393" s="311">
        <v>2008</v>
      </c>
      <c r="H6393" s="472" t="s">
        <v>1149</v>
      </c>
      <c r="I6393" s="470">
        <v>10.199999999999999</v>
      </c>
      <c r="J6393" s="496">
        <v>8.4220799999999993</v>
      </c>
      <c r="K6393" s="496">
        <v>8.4170800000000003</v>
      </c>
      <c r="L6393" s="496">
        <f t="shared" si="79"/>
        <v>4.9999999999990052E-3</v>
      </c>
      <c r="M6393" s="337"/>
    </row>
    <row r="6394" spans="1:13" s="71" customFormat="1" ht="26.4" customHeight="1">
      <c r="A6394" s="282">
        <v>357</v>
      </c>
      <c r="B6394" s="556"/>
      <c r="C6394" s="260" t="s">
        <v>7903</v>
      </c>
      <c r="D6394" s="260" t="s">
        <v>8219</v>
      </c>
      <c r="E6394" s="260" t="s">
        <v>8222</v>
      </c>
      <c r="F6394" s="387">
        <v>6229</v>
      </c>
      <c r="G6394" s="311">
        <v>2008</v>
      </c>
      <c r="H6394" s="472" t="s">
        <v>1149</v>
      </c>
      <c r="I6394" s="470">
        <v>10.199999999999999</v>
      </c>
      <c r="J6394" s="496">
        <v>8.3882499999999993</v>
      </c>
      <c r="K6394" s="496">
        <v>8.3832500000000003</v>
      </c>
      <c r="L6394" s="496">
        <f t="shared" si="79"/>
        <v>4.9999999999990052E-3</v>
      </c>
      <c r="M6394" s="337"/>
    </row>
    <row r="6395" spans="1:13" s="71" customFormat="1" ht="26.4" customHeight="1">
      <c r="A6395" s="282">
        <v>358</v>
      </c>
      <c r="B6395" s="556"/>
      <c r="C6395" s="260" t="s">
        <v>7903</v>
      </c>
      <c r="D6395" s="260" t="s">
        <v>8219</v>
      </c>
      <c r="E6395" s="260" t="s">
        <v>8222</v>
      </c>
      <c r="F6395" s="387">
        <v>6230</v>
      </c>
      <c r="G6395" s="311">
        <v>2008</v>
      </c>
      <c r="H6395" s="472" t="s">
        <v>1149</v>
      </c>
      <c r="I6395" s="470">
        <v>10.199999999999999</v>
      </c>
      <c r="J6395" s="496">
        <v>9.4942499999999992</v>
      </c>
      <c r="K6395" s="496">
        <v>8.4943299999999997</v>
      </c>
      <c r="L6395" s="496">
        <f t="shared" si="79"/>
        <v>0.99991999999999948</v>
      </c>
      <c r="M6395" s="337"/>
    </row>
    <row r="6396" spans="1:13" s="71" customFormat="1" ht="26.4" customHeight="1">
      <c r="A6396" s="282">
        <v>359</v>
      </c>
      <c r="B6396" s="556"/>
      <c r="C6396" s="260" t="s">
        <v>7903</v>
      </c>
      <c r="D6396" s="260" t="s">
        <v>8219</v>
      </c>
      <c r="E6396" s="260" t="s">
        <v>8222</v>
      </c>
      <c r="F6396" s="387">
        <v>6231</v>
      </c>
      <c r="G6396" s="311">
        <v>2008</v>
      </c>
      <c r="H6396" s="472" t="s">
        <v>1149</v>
      </c>
      <c r="I6396" s="470">
        <v>10.199999999999999</v>
      </c>
      <c r="J6396" s="496">
        <v>9.4942499999999992</v>
      </c>
      <c r="K6396" s="496">
        <v>8.4943299999999997</v>
      </c>
      <c r="L6396" s="496">
        <f t="shared" si="79"/>
        <v>0.99991999999999948</v>
      </c>
      <c r="M6396" s="337"/>
    </row>
    <row r="6397" spans="1:13" s="71" customFormat="1" ht="26.4" customHeight="1">
      <c r="A6397" s="282">
        <v>360</v>
      </c>
      <c r="B6397" s="556"/>
      <c r="C6397" s="260" t="s">
        <v>7903</v>
      </c>
      <c r="D6397" s="260" t="s">
        <v>8219</v>
      </c>
      <c r="E6397" s="260" t="s">
        <v>8207</v>
      </c>
      <c r="F6397" s="387">
        <v>6232</v>
      </c>
      <c r="G6397" s="311">
        <v>2008</v>
      </c>
      <c r="H6397" s="472" t="s">
        <v>1149</v>
      </c>
      <c r="I6397" s="470">
        <v>22.7</v>
      </c>
      <c r="J6397" s="496">
        <v>22.493790000000001</v>
      </c>
      <c r="K6397" s="496">
        <v>21.098230000000001</v>
      </c>
      <c r="L6397" s="496">
        <f t="shared" si="79"/>
        <v>1.3955599999999997</v>
      </c>
      <c r="M6397" s="337"/>
    </row>
    <row r="6398" spans="1:13" s="71" customFormat="1" ht="26.4" customHeight="1">
      <c r="A6398" s="282">
        <v>361</v>
      </c>
      <c r="B6398" s="556"/>
      <c r="C6398" s="260" t="s">
        <v>7903</v>
      </c>
      <c r="D6398" s="260" t="s">
        <v>8219</v>
      </c>
      <c r="E6398" s="260" t="s">
        <v>8207</v>
      </c>
      <c r="F6398" s="387">
        <v>6233</v>
      </c>
      <c r="G6398" s="311">
        <v>2008</v>
      </c>
      <c r="H6398" s="472" t="s">
        <v>1149</v>
      </c>
      <c r="I6398" s="470">
        <v>22.7</v>
      </c>
      <c r="J6398" s="496">
        <v>20.13869</v>
      </c>
      <c r="K6398" s="496">
        <v>14.958880000000001</v>
      </c>
      <c r="L6398" s="496">
        <f t="shared" si="79"/>
        <v>5.1798099999999998</v>
      </c>
      <c r="M6398" s="337"/>
    </row>
    <row r="6399" spans="1:13" s="71" customFormat="1" ht="26.4" customHeight="1">
      <c r="A6399" s="282">
        <v>362</v>
      </c>
      <c r="B6399" s="556"/>
      <c r="C6399" s="260" t="s">
        <v>7903</v>
      </c>
      <c r="D6399" s="260" t="s">
        <v>8219</v>
      </c>
      <c r="E6399" s="260" t="s">
        <v>8207</v>
      </c>
      <c r="F6399" s="387">
        <v>6234</v>
      </c>
      <c r="G6399" s="311">
        <v>2008</v>
      </c>
      <c r="H6399" s="472" t="s">
        <v>1149</v>
      </c>
      <c r="I6399" s="470">
        <v>22.7</v>
      </c>
      <c r="J6399" s="496">
        <v>15.81029</v>
      </c>
      <c r="K6399" s="496">
        <v>14.771990000000001</v>
      </c>
      <c r="L6399" s="496">
        <f t="shared" si="79"/>
        <v>1.0382999999999996</v>
      </c>
      <c r="M6399" s="337"/>
    </row>
    <row r="6400" spans="1:13" s="71" customFormat="1" ht="26.4" customHeight="1">
      <c r="A6400" s="282">
        <v>363</v>
      </c>
      <c r="B6400" s="556"/>
      <c r="C6400" s="260" t="s">
        <v>7903</v>
      </c>
      <c r="D6400" s="260" t="s">
        <v>8219</v>
      </c>
      <c r="E6400" s="260" t="s">
        <v>8207</v>
      </c>
      <c r="F6400" s="387">
        <v>6235</v>
      </c>
      <c r="G6400" s="311">
        <v>2008</v>
      </c>
      <c r="H6400" s="472" t="s">
        <v>1149</v>
      </c>
      <c r="I6400" s="470">
        <v>22.7</v>
      </c>
      <c r="J6400" s="496">
        <v>13.191240000000001</v>
      </c>
      <c r="K6400" s="496">
        <v>9.3920100000000009</v>
      </c>
      <c r="L6400" s="496">
        <f t="shared" si="79"/>
        <v>3.7992299999999997</v>
      </c>
      <c r="M6400" s="337"/>
    </row>
    <row r="6401" spans="1:13" s="71" customFormat="1" ht="26.4" customHeight="1">
      <c r="A6401" s="282">
        <v>364</v>
      </c>
      <c r="B6401" s="556"/>
      <c r="C6401" s="260" t="s">
        <v>7903</v>
      </c>
      <c r="D6401" s="260" t="s">
        <v>8219</v>
      </c>
      <c r="E6401" s="260" t="s">
        <v>8207</v>
      </c>
      <c r="F6401" s="387">
        <v>6236</v>
      </c>
      <c r="G6401" s="311">
        <v>2008</v>
      </c>
      <c r="H6401" s="472" t="s">
        <v>1149</v>
      </c>
      <c r="I6401" s="470">
        <v>22.7</v>
      </c>
      <c r="J6401" s="496">
        <v>12.74029</v>
      </c>
      <c r="K6401" s="496">
        <v>8.9410600000000002</v>
      </c>
      <c r="L6401" s="496">
        <f t="shared" si="79"/>
        <v>3.7992299999999997</v>
      </c>
      <c r="M6401" s="337"/>
    </row>
    <row r="6402" spans="1:13" s="71" customFormat="1" ht="26.4" customHeight="1">
      <c r="A6402" s="282">
        <v>365</v>
      </c>
      <c r="B6402" s="556"/>
      <c r="C6402" s="260" t="s">
        <v>7903</v>
      </c>
      <c r="D6402" s="260" t="s">
        <v>8219</v>
      </c>
      <c r="E6402" s="260" t="s">
        <v>8207</v>
      </c>
      <c r="F6402" s="387">
        <v>6237</v>
      </c>
      <c r="G6402" s="311">
        <v>2008</v>
      </c>
      <c r="H6402" s="472" t="s">
        <v>1149</v>
      </c>
      <c r="I6402" s="470">
        <v>22.7</v>
      </c>
      <c r="J6402" s="496">
        <v>12.74029</v>
      </c>
      <c r="K6402" s="496">
        <v>8.9410600000000002</v>
      </c>
      <c r="L6402" s="496">
        <f t="shared" si="79"/>
        <v>3.7992299999999997</v>
      </c>
      <c r="M6402" s="337"/>
    </row>
    <row r="6403" spans="1:13" s="71" customFormat="1" ht="26.4" customHeight="1">
      <c r="A6403" s="282">
        <v>366</v>
      </c>
      <c r="B6403" s="556"/>
      <c r="C6403" s="260" t="s">
        <v>7903</v>
      </c>
      <c r="D6403" s="260" t="s">
        <v>8219</v>
      </c>
      <c r="E6403" s="260" t="s">
        <v>8223</v>
      </c>
      <c r="F6403" s="387">
        <v>6238</v>
      </c>
      <c r="G6403" s="311">
        <v>2008</v>
      </c>
      <c r="H6403" s="472" t="s">
        <v>3243</v>
      </c>
      <c r="I6403" s="470" t="s">
        <v>3243</v>
      </c>
      <c r="J6403" s="496">
        <v>1.0725</v>
      </c>
      <c r="K6403" s="496">
        <v>1.06582</v>
      </c>
      <c r="L6403" s="496">
        <f t="shared" si="79"/>
        <v>6.6800000000000193E-3</v>
      </c>
      <c r="M6403" s="337"/>
    </row>
    <row r="6404" spans="1:13" s="71" customFormat="1" ht="26.4" customHeight="1">
      <c r="A6404" s="282">
        <v>367</v>
      </c>
      <c r="B6404" s="556"/>
      <c r="C6404" s="260" t="s">
        <v>7903</v>
      </c>
      <c r="D6404" s="260" t="s">
        <v>8219</v>
      </c>
      <c r="E6404" s="260" t="s">
        <v>8224</v>
      </c>
      <c r="F6404" s="387">
        <v>6239</v>
      </c>
      <c r="G6404" s="311">
        <v>2008</v>
      </c>
      <c r="H6404" s="472" t="s">
        <v>3243</v>
      </c>
      <c r="I6404" s="470" t="s">
        <v>3243</v>
      </c>
      <c r="J6404" s="496">
        <v>1.0674999999999999</v>
      </c>
      <c r="K6404" s="496">
        <v>1.0608200000000001</v>
      </c>
      <c r="L6404" s="496">
        <f t="shared" si="79"/>
        <v>6.6799999999997972E-3</v>
      </c>
      <c r="M6404" s="337"/>
    </row>
    <row r="6405" spans="1:13" s="71" customFormat="1" ht="26.4" customHeight="1">
      <c r="A6405" s="282">
        <v>368</v>
      </c>
      <c r="B6405" s="556"/>
      <c r="C6405" s="260" t="s">
        <v>7903</v>
      </c>
      <c r="D6405" s="260" t="s">
        <v>8219</v>
      </c>
      <c r="E6405" s="260" t="s">
        <v>8204</v>
      </c>
      <c r="F6405" s="387">
        <v>6240</v>
      </c>
      <c r="G6405" s="311">
        <v>2008</v>
      </c>
      <c r="H6405" s="472" t="s">
        <v>1149</v>
      </c>
      <c r="I6405" s="470">
        <v>4.5999999999999996</v>
      </c>
      <c r="J6405" s="496">
        <v>13.7475</v>
      </c>
      <c r="K6405" s="496">
        <v>13.7475</v>
      </c>
      <c r="L6405" s="496">
        <f t="shared" si="79"/>
        <v>0</v>
      </c>
      <c r="M6405" s="337"/>
    </row>
    <row r="6406" spans="1:13" s="71" customFormat="1" ht="26.4" customHeight="1">
      <c r="A6406" s="282">
        <v>369</v>
      </c>
      <c r="B6406" s="556"/>
      <c r="C6406" s="260" t="s">
        <v>7903</v>
      </c>
      <c r="D6406" s="260" t="s">
        <v>8219</v>
      </c>
      <c r="E6406" s="260" t="s">
        <v>8204</v>
      </c>
      <c r="F6406" s="387">
        <v>6241</v>
      </c>
      <c r="G6406" s="311">
        <v>2008</v>
      </c>
      <c r="H6406" s="472" t="s">
        <v>1149</v>
      </c>
      <c r="I6406" s="470">
        <v>4.5999999999999996</v>
      </c>
      <c r="J6406" s="496">
        <v>13.7475</v>
      </c>
      <c r="K6406" s="496">
        <v>13.7475</v>
      </c>
      <c r="L6406" s="496">
        <f t="shared" si="79"/>
        <v>0</v>
      </c>
      <c r="M6406" s="337"/>
    </row>
    <row r="6407" spans="1:13" s="71" customFormat="1" ht="26.4" customHeight="1">
      <c r="A6407" s="282">
        <v>370</v>
      </c>
      <c r="B6407" s="556"/>
      <c r="C6407" s="260" t="s">
        <v>7903</v>
      </c>
      <c r="D6407" s="260" t="s">
        <v>8219</v>
      </c>
      <c r="E6407" s="260" t="s">
        <v>8225</v>
      </c>
      <c r="F6407" s="387">
        <v>6242</v>
      </c>
      <c r="G6407" s="311">
        <v>2008</v>
      </c>
      <c r="H6407" s="472" t="s">
        <v>1149</v>
      </c>
      <c r="I6407" s="470">
        <v>5.2</v>
      </c>
      <c r="J6407" s="496">
        <v>20.515740000000001</v>
      </c>
      <c r="K6407" s="496">
        <v>20.474049999999998</v>
      </c>
      <c r="L6407" s="496">
        <f t="shared" si="79"/>
        <v>4.1690000000002669E-2</v>
      </c>
      <c r="M6407" s="337"/>
    </row>
    <row r="6408" spans="1:13" s="71" customFormat="1" ht="26.4" customHeight="1">
      <c r="A6408" s="282">
        <v>371</v>
      </c>
      <c r="B6408" s="556"/>
      <c r="C6408" s="260" t="s">
        <v>7903</v>
      </c>
      <c r="D6408" s="260" t="s">
        <v>8219</v>
      </c>
      <c r="E6408" s="260" t="s">
        <v>8226</v>
      </c>
      <c r="F6408" s="387">
        <v>6243</v>
      </c>
      <c r="G6408" s="311">
        <v>2008</v>
      </c>
      <c r="H6408" s="472" t="s">
        <v>1149</v>
      </c>
      <c r="I6408" s="470">
        <v>42</v>
      </c>
      <c r="J6408" s="496">
        <v>20.831</v>
      </c>
      <c r="K6408" s="496">
        <v>20.831</v>
      </c>
      <c r="L6408" s="496">
        <f t="shared" si="79"/>
        <v>0</v>
      </c>
      <c r="M6408" s="337"/>
    </row>
    <row r="6409" spans="1:13" s="71" customFormat="1" ht="26.4" customHeight="1">
      <c r="A6409" s="282">
        <v>372</v>
      </c>
      <c r="B6409" s="556"/>
      <c r="C6409" s="260" t="s">
        <v>7903</v>
      </c>
      <c r="D6409" s="260" t="s">
        <v>8219</v>
      </c>
      <c r="E6409" s="260" t="s">
        <v>8227</v>
      </c>
      <c r="F6409" s="387">
        <v>6244</v>
      </c>
      <c r="G6409" s="311">
        <v>2008</v>
      </c>
      <c r="H6409" s="472" t="s">
        <v>5462</v>
      </c>
      <c r="I6409" s="470">
        <v>250</v>
      </c>
      <c r="J6409" s="496">
        <v>39.587060000000001</v>
      </c>
      <c r="K6409" s="496">
        <v>39.578650000000003</v>
      </c>
      <c r="L6409" s="496">
        <f t="shared" si="79"/>
        <v>8.4099999999978081E-3</v>
      </c>
      <c r="M6409" s="337"/>
    </row>
    <row r="6410" spans="1:13" s="71" customFormat="1" ht="26.4" customHeight="1">
      <c r="A6410" s="282">
        <v>373</v>
      </c>
      <c r="B6410" s="556"/>
      <c r="C6410" s="260" t="s">
        <v>7903</v>
      </c>
      <c r="D6410" s="260" t="s">
        <v>8219</v>
      </c>
      <c r="E6410" s="260" t="s">
        <v>8228</v>
      </c>
      <c r="F6410" s="387">
        <v>6439</v>
      </c>
      <c r="G6410" s="311">
        <v>2008</v>
      </c>
      <c r="H6410" s="472" t="s">
        <v>1149</v>
      </c>
      <c r="I6410" s="470">
        <v>145.19999999999999</v>
      </c>
      <c r="J6410" s="496">
        <v>50.034480000000002</v>
      </c>
      <c r="K6410" s="496">
        <v>49.976179999999999</v>
      </c>
      <c r="L6410" s="496">
        <f t="shared" si="79"/>
        <v>5.8300000000002683E-2</v>
      </c>
      <c r="M6410" s="337"/>
    </row>
    <row r="6411" spans="1:13" s="71" customFormat="1" ht="26.4" customHeight="1">
      <c r="A6411" s="282">
        <v>374</v>
      </c>
      <c r="B6411" s="556"/>
      <c r="C6411" s="260" t="s">
        <v>7903</v>
      </c>
      <c r="D6411" s="260" t="s">
        <v>7934</v>
      </c>
      <c r="E6411" s="260" t="s">
        <v>8229</v>
      </c>
      <c r="F6411" s="387">
        <v>7293</v>
      </c>
      <c r="G6411" s="311">
        <v>2009</v>
      </c>
      <c r="H6411" s="472" t="s">
        <v>1149</v>
      </c>
      <c r="I6411" s="473">
        <v>26</v>
      </c>
      <c r="J6411" s="496">
        <v>30.148</v>
      </c>
      <c r="K6411" s="496">
        <v>25.784659999999999</v>
      </c>
      <c r="L6411" s="496">
        <f t="shared" si="79"/>
        <v>4.3633400000000009</v>
      </c>
      <c r="M6411" s="337"/>
    </row>
    <row r="6412" spans="1:13" s="71" customFormat="1" ht="26.4" customHeight="1">
      <c r="A6412" s="282">
        <v>375</v>
      </c>
      <c r="B6412" s="556"/>
      <c r="C6412" s="260" t="s">
        <v>7903</v>
      </c>
      <c r="D6412" s="260" t="s">
        <v>7934</v>
      </c>
      <c r="E6412" s="260" t="s">
        <v>8230</v>
      </c>
      <c r="F6412" s="387">
        <v>7560</v>
      </c>
      <c r="G6412" s="311">
        <v>2010</v>
      </c>
      <c r="H6412" s="472" t="s">
        <v>1149</v>
      </c>
      <c r="I6412" s="473">
        <v>78.900000000000006</v>
      </c>
      <c r="J6412" s="496">
        <v>649.72024999999996</v>
      </c>
      <c r="K6412" s="496">
        <v>317.64127000000002</v>
      </c>
      <c r="L6412" s="496">
        <f t="shared" si="79"/>
        <v>332.07897999999994</v>
      </c>
      <c r="M6412" s="337"/>
    </row>
    <row r="6413" spans="1:13" s="71" customFormat="1" ht="26.4" customHeight="1">
      <c r="A6413" s="282">
        <v>376</v>
      </c>
      <c r="B6413" s="556"/>
      <c r="C6413" s="260" t="s">
        <v>7903</v>
      </c>
      <c r="D6413" s="260" t="s">
        <v>7934</v>
      </c>
      <c r="E6413" s="260" t="s">
        <v>13300</v>
      </c>
      <c r="F6413" s="387">
        <v>7722</v>
      </c>
      <c r="G6413" s="311">
        <v>2012</v>
      </c>
      <c r="H6413" s="472" t="s">
        <v>1149</v>
      </c>
      <c r="I6413" s="470">
        <v>13.9</v>
      </c>
      <c r="J6413" s="496">
        <v>18</v>
      </c>
      <c r="K6413" s="496">
        <v>9.9</v>
      </c>
      <c r="L6413" s="496">
        <f t="shared" si="79"/>
        <v>8.1</v>
      </c>
      <c r="M6413" s="337"/>
    </row>
    <row r="6414" spans="1:13" s="71" customFormat="1" ht="26.4" customHeight="1">
      <c r="A6414" s="282">
        <v>377</v>
      </c>
      <c r="B6414" s="556"/>
      <c r="C6414" s="260" t="s">
        <v>7903</v>
      </c>
      <c r="D6414" s="260" t="s">
        <v>7934</v>
      </c>
      <c r="E6414" s="260" t="s">
        <v>8231</v>
      </c>
      <c r="F6414" s="387">
        <v>7864</v>
      </c>
      <c r="G6414" s="311">
        <v>2016</v>
      </c>
      <c r="H6414" s="472" t="s">
        <v>3243</v>
      </c>
      <c r="I6414" s="470" t="s">
        <v>3243</v>
      </c>
      <c r="J6414" s="496">
        <v>3.06379</v>
      </c>
      <c r="K6414" s="496">
        <v>2.9963500000000001</v>
      </c>
      <c r="L6414" s="496">
        <f t="shared" si="79"/>
        <v>6.7439999999999944E-2</v>
      </c>
      <c r="M6414" s="337"/>
    </row>
    <row r="6415" spans="1:13" s="71" customFormat="1" ht="26.4" customHeight="1">
      <c r="A6415" s="282">
        <v>378</v>
      </c>
      <c r="B6415" s="556"/>
      <c r="C6415" s="260" t="s">
        <v>7903</v>
      </c>
      <c r="D6415" s="260" t="s">
        <v>7934</v>
      </c>
      <c r="E6415" s="260" t="s">
        <v>8232</v>
      </c>
      <c r="F6415" s="387">
        <v>7865</v>
      </c>
      <c r="G6415" s="311">
        <v>2016</v>
      </c>
      <c r="H6415" s="472" t="s">
        <v>1149</v>
      </c>
      <c r="I6415" s="470">
        <v>98.4</v>
      </c>
      <c r="J6415" s="496">
        <v>11.35</v>
      </c>
      <c r="K6415" s="496">
        <v>5.32857</v>
      </c>
      <c r="L6415" s="496">
        <f t="shared" si="79"/>
        <v>6.0214299999999996</v>
      </c>
      <c r="M6415" s="337"/>
    </row>
    <row r="6416" spans="1:13" s="71" customFormat="1" ht="26.4" customHeight="1">
      <c r="A6416" s="282">
        <v>379</v>
      </c>
      <c r="B6416" s="556"/>
      <c r="C6416" s="260" t="s">
        <v>7903</v>
      </c>
      <c r="D6416" s="260" t="s">
        <v>7934</v>
      </c>
      <c r="E6416" s="260" t="s">
        <v>8233</v>
      </c>
      <c r="F6416" s="387">
        <v>7866</v>
      </c>
      <c r="G6416" s="311">
        <v>2016</v>
      </c>
      <c r="H6416" s="472" t="s">
        <v>1149</v>
      </c>
      <c r="I6416" s="470">
        <v>52.04</v>
      </c>
      <c r="J6416" s="496">
        <v>3.9449999999999998</v>
      </c>
      <c r="K6416" s="496">
        <v>2.7781500000000001</v>
      </c>
      <c r="L6416" s="496">
        <f t="shared" si="79"/>
        <v>1.1668499999999997</v>
      </c>
      <c r="M6416" s="337"/>
    </row>
    <row r="6417" spans="1:13" s="71" customFormat="1" ht="26.4" customHeight="1">
      <c r="A6417" s="282">
        <v>380</v>
      </c>
      <c r="B6417" s="556"/>
      <c r="C6417" s="260" t="s">
        <v>7903</v>
      </c>
      <c r="D6417" s="260" t="s">
        <v>7934</v>
      </c>
      <c r="E6417" s="260" t="s">
        <v>8234</v>
      </c>
      <c r="F6417" s="387">
        <v>7867</v>
      </c>
      <c r="G6417" s="311">
        <v>2016</v>
      </c>
      <c r="H6417" s="472" t="s">
        <v>1149</v>
      </c>
      <c r="I6417" s="470">
        <v>196</v>
      </c>
      <c r="J6417" s="496">
        <v>32.64687</v>
      </c>
      <c r="K6417" s="496">
        <v>32.11347</v>
      </c>
      <c r="L6417" s="496">
        <f t="shared" si="79"/>
        <v>0.53340000000000032</v>
      </c>
      <c r="M6417" s="337"/>
    </row>
    <row r="6418" spans="1:13" s="71" customFormat="1" ht="26.4" customHeight="1">
      <c r="A6418" s="282">
        <v>381</v>
      </c>
      <c r="B6418" s="556"/>
      <c r="C6418" s="260" t="s">
        <v>7903</v>
      </c>
      <c r="D6418" s="260" t="s">
        <v>7934</v>
      </c>
      <c r="E6418" s="260" t="s">
        <v>8235</v>
      </c>
      <c r="F6418" s="387">
        <v>7873</v>
      </c>
      <c r="G6418" s="311">
        <v>2016</v>
      </c>
      <c r="H6418" s="472" t="s">
        <v>3243</v>
      </c>
      <c r="I6418" s="470" t="s">
        <v>3243</v>
      </c>
      <c r="J6418" s="496">
        <v>1.57531</v>
      </c>
      <c r="K6418" s="496">
        <v>1.55871</v>
      </c>
      <c r="L6418" s="496">
        <f t="shared" si="79"/>
        <v>1.6599999999999948E-2</v>
      </c>
      <c r="M6418" s="337"/>
    </row>
    <row r="6419" spans="1:13" s="71" customFormat="1" ht="26.4" customHeight="1">
      <c r="A6419" s="282">
        <v>382</v>
      </c>
      <c r="B6419" s="556"/>
      <c r="C6419" s="260" t="s">
        <v>7903</v>
      </c>
      <c r="D6419" s="260" t="s">
        <v>7934</v>
      </c>
      <c r="E6419" s="260" t="s">
        <v>8236</v>
      </c>
      <c r="F6419" s="387">
        <v>7878</v>
      </c>
      <c r="G6419" s="311">
        <v>2016</v>
      </c>
      <c r="H6419" s="472" t="s">
        <v>1149</v>
      </c>
      <c r="I6419" s="470">
        <v>20.3</v>
      </c>
      <c r="J6419" s="496">
        <v>2.1244000000000001</v>
      </c>
      <c r="K6419" s="496">
        <v>1.98292</v>
      </c>
      <c r="L6419" s="496">
        <f t="shared" si="79"/>
        <v>0.14148000000000005</v>
      </c>
      <c r="M6419" s="337"/>
    </row>
    <row r="6420" spans="1:13" s="71" customFormat="1" ht="26.4" customHeight="1">
      <c r="A6420" s="282">
        <v>383</v>
      </c>
      <c r="B6420" s="556"/>
      <c r="C6420" s="260" t="s">
        <v>7903</v>
      </c>
      <c r="D6420" s="260" t="s">
        <v>8237</v>
      </c>
      <c r="E6420" s="260" t="s">
        <v>8238</v>
      </c>
      <c r="F6420" s="387">
        <v>7897</v>
      </c>
      <c r="G6420" s="311">
        <v>2017</v>
      </c>
      <c r="H6420" s="472" t="s">
        <v>3243</v>
      </c>
      <c r="I6420" s="473" t="s">
        <v>3243</v>
      </c>
      <c r="J6420" s="496">
        <v>145.66494</v>
      </c>
      <c r="K6420" s="496">
        <v>1.6972700000000001</v>
      </c>
      <c r="L6420" s="496">
        <f t="shared" si="79"/>
        <v>143.96767</v>
      </c>
      <c r="M6420" s="337"/>
    </row>
    <row r="6421" spans="1:13" s="71" customFormat="1" ht="26.4" customHeight="1">
      <c r="A6421" s="282">
        <v>384</v>
      </c>
      <c r="B6421" s="556"/>
      <c r="C6421" s="260" t="s">
        <v>7903</v>
      </c>
      <c r="D6421" s="260" t="s">
        <v>8022</v>
      </c>
      <c r="E6421" s="260" t="s">
        <v>8069</v>
      </c>
      <c r="F6421" s="387">
        <v>873</v>
      </c>
      <c r="G6421" s="311">
        <v>1983</v>
      </c>
      <c r="H6421" s="472" t="s">
        <v>5462</v>
      </c>
      <c r="I6421" s="470">
        <v>137.5</v>
      </c>
      <c r="J6421" s="496">
        <v>13.2712</v>
      </c>
      <c r="K6421" s="496">
        <v>12.286199999999999</v>
      </c>
      <c r="L6421" s="496">
        <f t="shared" si="79"/>
        <v>0.98500000000000121</v>
      </c>
      <c r="M6421" s="337"/>
    </row>
    <row r="6422" spans="1:13" s="71" customFormat="1" ht="26.4" customHeight="1">
      <c r="A6422" s="282">
        <v>385</v>
      </c>
      <c r="B6422" s="556"/>
      <c r="C6422" s="260" t="s">
        <v>7903</v>
      </c>
      <c r="D6422" s="260" t="s">
        <v>8022</v>
      </c>
      <c r="E6422" s="260" t="s">
        <v>8069</v>
      </c>
      <c r="F6422" s="387">
        <v>876</v>
      </c>
      <c r="G6422" s="311">
        <v>1983</v>
      </c>
      <c r="H6422" s="472" t="s">
        <v>5462</v>
      </c>
      <c r="I6422" s="470">
        <v>228</v>
      </c>
      <c r="J6422" s="496">
        <v>53.214669999999998</v>
      </c>
      <c r="K6422" s="496">
        <v>50.471089999999997</v>
      </c>
      <c r="L6422" s="496">
        <f>J6422-K6422</f>
        <v>2.7435800000000015</v>
      </c>
      <c r="M6422" s="337"/>
    </row>
    <row r="6423" spans="1:13" s="71" customFormat="1" ht="26.4" customHeight="1">
      <c r="A6423" s="282">
        <v>386</v>
      </c>
      <c r="B6423" s="556"/>
      <c r="C6423" s="260" t="s">
        <v>7903</v>
      </c>
      <c r="D6423" s="260" t="s">
        <v>8022</v>
      </c>
      <c r="E6423" s="260" t="s">
        <v>8239</v>
      </c>
      <c r="F6423" s="387">
        <v>88</v>
      </c>
      <c r="G6423" s="311">
        <v>1963</v>
      </c>
      <c r="H6423" s="472" t="s">
        <v>5462</v>
      </c>
      <c r="I6423" s="470">
        <v>50</v>
      </c>
      <c r="J6423" s="496">
        <v>11.27576</v>
      </c>
      <c r="K6423" s="496">
        <v>11.08826</v>
      </c>
      <c r="L6423" s="496">
        <f>J6423-K6423</f>
        <v>0.1875</v>
      </c>
      <c r="M6423" s="337"/>
    </row>
    <row r="6424" spans="1:13" s="71" customFormat="1" ht="26.4" customHeight="1">
      <c r="A6424" s="282">
        <v>387</v>
      </c>
      <c r="B6424" s="556"/>
      <c r="C6424" s="260" t="s">
        <v>7903</v>
      </c>
      <c r="D6424" s="260" t="s">
        <v>8022</v>
      </c>
      <c r="E6424" s="260" t="s">
        <v>8240</v>
      </c>
      <c r="F6424" s="387">
        <v>888</v>
      </c>
      <c r="G6424" s="311">
        <v>1968</v>
      </c>
      <c r="H6424" s="472" t="s">
        <v>5462</v>
      </c>
      <c r="I6424" s="470">
        <v>3000</v>
      </c>
      <c r="J6424" s="496">
        <v>44.095950000000002</v>
      </c>
      <c r="K6424" s="496">
        <v>42.900379999999998</v>
      </c>
      <c r="L6424" s="496">
        <f>J6424-K6424</f>
        <v>1.1955700000000036</v>
      </c>
      <c r="M6424" s="337"/>
    </row>
    <row r="6425" spans="1:13" s="71" customFormat="1" ht="26.4" customHeight="1">
      <c r="A6425" s="282">
        <v>388</v>
      </c>
      <c r="B6425" s="556"/>
      <c r="C6425" s="260" t="s">
        <v>7903</v>
      </c>
      <c r="D6425" s="260" t="s">
        <v>8022</v>
      </c>
      <c r="E6425" s="260" t="s">
        <v>8083</v>
      </c>
      <c r="F6425" s="387">
        <v>892</v>
      </c>
      <c r="G6425" s="311">
        <v>1983</v>
      </c>
      <c r="H6425" s="472" t="s">
        <v>5462</v>
      </c>
      <c r="I6425" s="470">
        <v>292</v>
      </c>
      <c r="J6425" s="496">
        <v>16.955690000000001</v>
      </c>
      <c r="K6425" s="496">
        <v>16.538989999999998</v>
      </c>
      <c r="L6425" s="496">
        <f>J6425-K6425</f>
        <v>0.41670000000000229</v>
      </c>
      <c r="M6425" s="337"/>
    </row>
    <row r="6426" spans="1:13" s="71" customFormat="1" ht="26.4" customHeight="1">
      <c r="A6426" s="282">
        <v>389</v>
      </c>
      <c r="B6426" s="556"/>
      <c r="C6426" s="260" t="s">
        <v>7903</v>
      </c>
      <c r="D6426" s="260" t="s">
        <v>8022</v>
      </c>
      <c r="E6426" s="260" t="s">
        <v>8241</v>
      </c>
      <c r="F6426" s="387">
        <v>956</v>
      </c>
      <c r="G6426" s="311">
        <v>1980</v>
      </c>
      <c r="H6426" s="472" t="s">
        <v>3243</v>
      </c>
      <c r="I6426" s="473" t="s">
        <v>3243</v>
      </c>
      <c r="J6426" s="496">
        <v>164.70679999999999</v>
      </c>
      <c r="K6426" s="496">
        <v>164.69002</v>
      </c>
      <c r="L6426" s="496">
        <f>J6426-K6426</f>
        <v>1.677999999998292E-2</v>
      </c>
      <c r="M6426" s="337"/>
    </row>
    <row r="6427" spans="1:13" s="71" customFormat="1" ht="26.4" customHeight="1">
      <c r="A6427" s="324" t="s">
        <v>3</v>
      </c>
      <c r="B6427" s="341" t="s">
        <v>4</v>
      </c>
      <c r="C6427" s="341" t="s">
        <v>3</v>
      </c>
      <c r="D6427" s="341" t="s">
        <v>3</v>
      </c>
      <c r="E6427" s="341" t="s">
        <v>3</v>
      </c>
      <c r="F6427" s="326" t="s">
        <v>3</v>
      </c>
      <c r="G6427" s="325" t="s">
        <v>3</v>
      </c>
      <c r="H6427" s="327" t="s">
        <v>3</v>
      </c>
      <c r="I6427" s="325" t="s">
        <v>3</v>
      </c>
      <c r="J6427" s="403">
        <f>SUM(J6038:J6426)</f>
        <v>152522.30398999952</v>
      </c>
      <c r="K6427" s="403">
        <f>SUM(K6038:K6426)</f>
        <v>130197.70450000004</v>
      </c>
      <c r="L6427" s="403">
        <f>SUM(L6038:L6426)</f>
        <v>22324.599490000004</v>
      </c>
      <c r="M6427" s="337"/>
    </row>
    <row r="6428" spans="1:13" s="71" customFormat="1" ht="26.4" customHeight="1">
      <c r="A6428" s="282">
        <v>1</v>
      </c>
      <c r="B6428" s="534" t="s">
        <v>8242</v>
      </c>
      <c r="C6428" s="260" t="s">
        <v>8243</v>
      </c>
      <c r="D6428" s="260" t="s">
        <v>8244</v>
      </c>
      <c r="E6428" s="260" t="s">
        <v>8245</v>
      </c>
      <c r="F6428" s="372">
        <v>392</v>
      </c>
      <c r="G6428" s="371" t="s">
        <v>1565</v>
      </c>
      <c r="H6428" s="396" t="s">
        <v>1149</v>
      </c>
      <c r="I6428" s="470">
        <v>49.1</v>
      </c>
      <c r="J6428" s="496">
        <v>173.55</v>
      </c>
      <c r="K6428" s="496">
        <v>140.54535000000001</v>
      </c>
      <c r="L6428" s="496">
        <f t="shared" ref="L6428:L6491" si="80">J6428-K6428</f>
        <v>33.004649999999998</v>
      </c>
      <c r="M6428" s="337"/>
    </row>
    <row r="6429" spans="1:13" s="71" customFormat="1" ht="26.4" customHeight="1">
      <c r="A6429" s="282">
        <v>2</v>
      </c>
      <c r="B6429" s="534"/>
      <c r="C6429" s="260" t="s">
        <v>8243</v>
      </c>
      <c r="D6429" s="260" t="s">
        <v>8246</v>
      </c>
      <c r="E6429" s="260" t="s">
        <v>8247</v>
      </c>
      <c r="F6429" s="372">
        <v>10024</v>
      </c>
      <c r="G6429" s="371" t="s">
        <v>1565</v>
      </c>
      <c r="H6429" s="396" t="s">
        <v>3</v>
      </c>
      <c r="I6429" s="470" t="s">
        <v>3</v>
      </c>
      <c r="J6429" s="497">
        <v>61.164490000000001</v>
      </c>
      <c r="K6429" s="497">
        <v>58.377920000000003</v>
      </c>
      <c r="L6429" s="496">
        <f t="shared" si="80"/>
        <v>2.7865699999999975</v>
      </c>
      <c r="M6429" s="337"/>
    </row>
    <row r="6430" spans="1:13" s="71" customFormat="1" ht="26.4" customHeight="1">
      <c r="A6430" s="282">
        <v>3</v>
      </c>
      <c r="B6430" s="534"/>
      <c r="C6430" s="260" t="s">
        <v>8243</v>
      </c>
      <c r="D6430" s="260" t="s">
        <v>8246</v>
      </c>
      <c r="E6430" s="260" t="s">
        <v>13174</v>
      </c>
      <c r="F6430" s="372">
        <v>10023</v>
      </c>
      <c r="G6430" s="371" t="s">
        <v>8248</v>
      </c>
      <c r="H6430" s="396" t="s">
        <v>1149</v>
      </c>
      <c r="I6430" s="470">
        <v>130.94</v>
      </c>
      <c r="J6430" s="496">
        <v>30.644310000000001</v>
      </c>
      <c r="K6430" s="496">
        <v>29.4</v>
      </c>
      <c r="L6430" s="496">
        <f t="shared" si="80"/>
        <v>1.2443100000000022</v>
      </c>
      <c r="M6430" s="337"/>
    </row>
    <row r="6431" spans="1:13" s="71" customFormat="1" ht="26.4" customHeight="1">
      <c r="A6431" s="282">
        <v>4</v>
      </c>
      <c r="B6431" s="534"/>
      <c r="C6431" s="260" t="s">
        <v>8243</v>
      </c>
      <c r="D6431" s="260" t="s">
        <v>8246</v>
      </c>
      <c r="E6431" s="260" t="s">
        <v>8249</v>
      </c>
      <c r="F6431" s="372">
        <v>10022</v>
      </c>
      <c r="G6431" s="371" t="s">
        <v>8248</v>
      </c>
      <c r="H6431" s="396" t="s">
        <v>1149</v>
      </c>
      <c r="I6431" s="470">
        <v>566</v>
      </c>
      <c r="J6431" s="496">
        <v>86.345740000000006</v>
      </c>
      <c r="K6431" s="496">
        <v>82.8</v>
      </c>
      <c r="L6431" s="496">
        <f t="shared" si="80"/>
        <v>3.5457400000000092</v>
      </c>
      <c r="M6431" s="337"/>
    </row>
    <row r="6432" spans="1:13" s="71" customFormat="1" ht="26.4" customHeight="1">
      <c r="A6432" s="282">
        <v>5</v>
      </c>
      <c r="B6432" s="534"/>
      <c r="C6432" s="260" t="s">
        <v>8243</v>
      </c>
      <c r="D6432" s="260" t="s">
        <v>8246</v>
      </c>
      <c r="E6432" s="260" t="s">
        <v>13432</v>
      </c>
      <c r="F6432" s="372">
        <v>129</v>
      </c>
      <c r="G6432" s="371" t="s">
        <v>8248</v>
      </c>
      <c r="H6432" s="396" t="s">
        <v>1149</v>
      </c>
      <c r="I6432" s="470">
        <v>180</v>
      </c>
      <c r="J6432" s="496">
        <v>23.849219999999999</v>
      </c>
      <c r="K6432" s="496">
        <v>22.9</v>
      </c>
      <c r="L6432" s="496">
        <f t="shared" si="80"/>
        <v>0.9492200000000004</v>
      </c>
      <c r="M6432" s="337"/>
    </row>
    <row r="6433" spans="1:13" s="71" customFormat="1" ht="26.4" customHeight="1">
      <c r="A6433" s="282">
        <v>6</v>
      </c>
      <c r="B6433" s="534"/>
      <c r="C6433" s="260" t="s">
        <v>8243</v>
      </c>
      <c r="D6433" s="260" t="s">
        <v>8246</v>
      </c>
      <c r="E6433" s="260" t="s">
        <v>8250</v>
      </c>
      <c r="F6433" s="372">
        <v>130</v>
      </c>
      <c r="G6433" s="371" t="s">
        <v>6026</v>
      </c>
      <c r="H6433" s="396" t="s">
        <v>1149</v>
      </c>
      <c r="I6433" s="470">
        <v>32.5</v>
      </c>
      <c r="J6433" s="496">
        <v>7.2827799999999998</v>
      </c>
      <c r="K6433" s="496">
        <v>6.7</v>
      </c>
      <c r="L6433" s="496">
        <f t="shared" si="80"/>
        <v>0.58277999999999963</v>
      </c>
      <c r="M6433" s="337"/>
    </row>
    <row r="6434" spans="1:13" s="71" customFormat="1" ht="26.4" customHeight="1">
      <c r="A6434" s="282">
        <v>6</v>
      </c>
      <c r="B6434" s="534"/>
      <c r="C6434" s="260" t="s">
        <v>8243</v>
      </c>
      <c r="D6434" s="260" t="s">
        <v>8251</v>
      </c>
      <c r="E6434" s="260" t="s">
        <v>13175</v>
      </c>
      <c r="F6434" s="372">
        <v>134</v>
      </c>
      <c r="G6434" s="371" t="s">
        <v>1578</v>
      </c>
      <c r="H6434" s="396" t="s">
        <v>1149</v>
      </c>
      <c r="I6434" s="470">
        <v>25</v>
      </c>
      <c r="J6434" s="496">
        <v>6.7315899999999997</v>
      </c>
      <c r="K6434" s="496">
        <v>6.3</v>
      </c>
      <c r="L6434" s="496">
        <f t="shared" si="80"/>
        <v>0.43158999999999992</v>
      </c>
      <c r="M6434" s="337"/>
    </row>
    <row r="6435" spans="1:13" s="71" customFormat="1" ht="26.4" customHeight="1">
      <c r="A6435" s="282">
        <v>7</v>
      </c>
      <c r="B6435" s="534"/>
      <c r="C6435" s="260" t="s">
        <v>8243</v>
      </c>
      <c r="D6435" s="260" t="s">
        <v>8246</v>
      </c>
      <c r="E6435" s="260" t="s">
        <v>8252</v>
      </c>
      <c r="F6435" s="387">
        <v>237</v>
      </c>
      <c r="G6435" s="371" t="s">
        <v>1568</v>
      </c>
      <c r="H6435" s="396" t="s">
        <v>1149</v>
      </c>
      <c r="I6435" s="470">
        <v>130.69999999999999</v>
      </c>
      <c r="J6435" s="496">
        <v>108.81215</v>
      </c>
      <c r="K6435" s="496">
        <v>53.9</v>
      </c>
      <c r="L6435" s="496">
        <f t="shared" si="80"/>
        <v>54.912150000000004</v>
      </c>
      <c r="M6435" s="337"/>
    </row>
    <row r="6436" spans="1:13" s="71" customFormat="1" ht="26.4" customHeight="1">
      <c r="A6436" s="282">
        <v>8</v>
      </c>
      <c r="B6436" s="534"/>
      <c r="C6436" s="260" t="s">
        <v>8243</v>
      </c>
      <c r="D6436" s="260" t="s">
        <v>8246</v>
      </c>
      <c r="E6436" s="260" t="s">
        <v>8253</v>
      </c>
      <c r="F6436" s="387">
        <v>4637</v>
      </c>
      <c r="G6436" s="371" t="s">
        <v>1558</v>
      </c>
      <c r="H6436" s="396" t="s">
        <v>1149</v>
      </c>
      <c r="I6436" s="470">
        <v>95.9</v>
      </c>
      <c r="J6436" s="496">
        <v>9.9</v>
      </c>
      <c r="K6436" s="496">
        <v>5.5</v>
      </c>
      <c r="L6436" s="496">
        <f t="shared" si="80"/>
        <v>4.4000000000000004</v>
      </c>
      <c r="M6436" s="337"/>
    </row>
    <row r="6437" spans="1:13" s="71" customFormat="1" ht="26.4" customHeight="1">
      <c r="A6437" s="282">
        <v>9</v>
      </c>
      <c r="B6437" s="534"/>
      <c r="C6437" s="260" t="s">
        <v>8243</v>
      </c>
      <c r="D6437" s="260" t="s">
        <v>8246</v>
      </c>
      <c r="E6437" s="260" t="s">
        <v>8254</v>
      </c>
      <c r="F6437" s="387">
        <v>156</v>
      </c>
      <c r="G6437" s="371" t="s">
        <v>1584</v>
      </c>
      <c r="H6437" s="396" t="s">
        <v>1149</v>
      </c>
      <c r="I6437" s="470">
        <v>975.6</v>
      </c>
      <c r="J6437" s="496">
        <v>28150.77275</v>
      </c>
      <c r="K6437" s="496">
        <v>15596.3</v>
      </c>
      <c r="L6437" s="496">
        <f t="shared" si="80"/>
        <v>12554.472750000001</v>
      </c>
      <c r="M6437" s="337"/>
    </row>
    <row r="6438" spans="1:13" s="71" customFormat="1" ht="26.4" customHeight="1">
      <c r="A6438" s="282">
        <v>10</v>
      </c>
      <c r="B6438" s="534"/>
      <c r="C6438" s="260" t="s">
        <v>8243</v>
      </c>
      <c r="D6438" s="260" t="s">
        <v>8246</v>
      </c>
      <c r="E6438" s="260" t="s">
        <v>8255</v>
      </c>
      <c r="F6438" s="387">
        <v>9999990227</v>
      </c>
      <c r="G6438" s="371" t="s">
        <v>1568</v>
      </c>
      <c r="H6438" s="396" t="s">
        <v>3</v>
      </c>
      <c r="I6438" s="470" t="s">
        <v>3</v>
      </c>
      <c r="J6438" s="496">
        <v>53.6</v>
      </c>
      <c r="K6438" s="496">
        <v>32.6</v>
      </c>
      <c r="L6438" s="496">
        <f t="shared" si="80"/>
        <v>21</v>
      </c>
      <c r="M6438" s="337"/>
    </row>
    <row r="6439" spans="1:13" s="71" customFormat="1" ht="26.4" customHeight="1">
      <c r="A6439" s="282">
        <v>11</v>
      </c>
      <c r="B6439" s="534"/>
      <c r="C6439" s="260" t="s">
        <v>8243</v>
      </c>
      <c r="D6439" s="260" t="s">
        <v>8246</v>
      </c>
      <c r="E6439" s="260" t="s">
        <v>8256</v>
      </c>
      <c r="F6439" s="387">
        <v>10015</v>
      </c>
      <c r="G6439" s="371" t="s">
        <v>1543</v>
      </c>
      <c r="H6439" s="396" t="s">
        <v>1149</v>
      </c>
      <c r="I6439" s="470">
        <v>4</v>
      </c>
      <c r="J6439" s="496">
        <v>6.9454000000000002</v>
      </c>
      <c r="K6439" s="496">
        <v>5.6</v>
      </c>
      <c r="L6439" s="496">
        <f t="shared" si="80"/>
        <v>1.3454000000000006</v>
      </c>
      <c r="M6439" s="337"/>
    </row>
    <row r="6440" spans="1:13" s="71" customFormat="1" ht="26.4" customHeight="1">
      <c r="A6440" s="282">
        <v>12</v>
      </c>
      <c r="B6440" s="534"/>
      <c r="C6440" s="260" t="s">
        <v>8257</v>
      </c>
      <c r="D6440" s="260" t="s">
        <v>8258</v>
      </c>
      <c r="E6440" s="260" t="s">
        <v>8259</v>
      </c>
      <c r="F6440" s="387">
        <v>10016</v>
      </c>
      <c r="G6440" s="371" t="s">
        <v>1539</v>
      </c>
      <c r="H6440" s="396" t="s">
        <v>1149</v>
      </c>
      <c r="I6440" s="470">
        <v>270</v>
      </c>
      <c r="J6440" s="496">
        <v>181.9</v>
      </c>
      <c r="K6440" s="496">
        <v>58.6</v>
      </c>
      <c r="L6440" s="496">
        <f t="shared" si="80"/>
        <v>123.30000000000001</v>
      </c>
      <c r="M6440" s="337"/>
    </row>
    <row r="6441" spans="1:13" s="71" customFormat="1" ht="26.4" customHeight="1">
      <c r="A6441" s="282">
        <v>13</v>
      </c>
      <c r="B6441" s="534"/>
      <c r="C6441" s="260" t="s">
        <v>8257</v>
      </c>
      <c r="D6441" s="260" t="s">
        <v>8258</v>
      </c>
      <c r="E6441" s="260" t="s">
        <v>8260</v>
      </c>
      <c r="F6441" s="387">
        <v>4565</v>
      </c>
      <c r="G6441" s="371" t="s">
        <v>1535</v>
      </c>
      <c r="H6441" s="396" t="s">
        <v>1149</v>
      </c>
      <c r="I6441" s="470">
        <v>122.6</v>
      </c>
      <c r="J6441" s="496">
        <v>3.4</v>
      </c>
      <c r="K6441" s="496">
        <v>3.3</v>
      </c>
      <c r="L6441" s="496">
        <f t="shared" si="80"/>
        <v>0.10000000000000009</v>
      </c>
      <c r="M6441" s="337"/>
    </row>
    <row r="6442" spans="1:13" s="71" customFormat="1" ht="26.4" customHeight="1">
      <c r="A6442" s="282">
        <v>14</v>
      </c>
      <c r="B6442" s="534"/>
      <c r="C6442" s="260" t="s">
        <v>8257</v>
      </c>
      <c r="D6442" s="260" t="s">
        <v>8258</v>
      </c>
      <c r="E6442" s="260" t="s">
        <v>8261</v>
      </c>
      <c r="F6442" s="387">
        <v>20235</v>
      </c>
      <c r="G6442" s="371" t="s">
        <v>1585</v>
      </c>
      <c r="H6442" s="396" t="s">
        <v>1149</v>
      </c>
      <c r="I6442" s="470">
        <v>862</v>
      </c>
      <c r="J6442" s="496">
        <v>9984.7437800000007</v>
      </c>
      <c r="K6442" s="496">
        <v>6859.2</v>
      </c>
      <c r="L6442" s="496">
        <f t="shared" si="80"/>
        <v>3125.5437800000009</v>
      </c>
      <c r="M6442" s="337"/>
    </row>
    <row r="6443" spans="1:13" s="71" customFormat="1" ht="26.4" customHeight="1">
      <c r="A6443" s="282">
        <v>15</v>
      </c>
      <c r="B6443" s="534"/>
      <c r="C6443" s="260" t="s">
        <v>8257</v>
      </c>
      <c r="D6443" s="260" t="s">
        <v>8258</v>
      </c>
      <c r="E6443" s="260" t="s">
        <v>8262</v>
      </c>
      <c r="F6443" s="387">
        <v>277</v>
      </c>
      <c r="G6443" s="371" t="s">
        <v>1560</v>
      </c>
      <c r="H6443" s="396" t="s">
        <v>1149</v>
      </c>
      <c r="I6443" s="470">
        <v>8</v>
      </c>
      <c r="J6443" s="496">
        <v>2.8271299999999999</v>
      </c>
      <c r="K6443" s="496">
        <v>2.6382599999999998</v>
      </c>
      <c r="L6443" s="496">
        <f t="shared" si="80"/>
        <v>0.18887000000000009</v>
      </c>
      <c r="M6443" s="337"/>
    </row>
    <row r="6444" spans="1:13" s="71" customFormat="1" ht="26.4" customHeight="1">
      <c r="A6444" s="282">
        <v>16</v>
      </c>
      <c r="B6444" s="534"/>
      <c r="C6444" s="260" t="s">
        <v>21</v>
      </c>
      <c r="D6444" s="260" t="s">
        <v>8263</v>
      </c>
      <c r="E6444" s="260" t="s">
        <v>8264</v>
      </c>
      <c r="F6444" s="387">
        <v>10090</v>
      </c>
      <c r="G6444" s="371" t="s">
        <v>1585</v>
      </c>
      <c r="H6444" s="396" t="s">
        <v>1149</v>
      </c>
      <c r="I6444" s="470">
        <v>535</v>
      </c>
      <c r="J6444" s="496">
        <v>94.997810000000001</v>
      </c>
      <c r="K6444" s="496">
        <v>84.2</v>
      </c>
      <c r="L6444" s="496">
        <f t="shared" si="80"/>
        <v>10.797809999999998</v>
      </c>
      <c r="M6444" s="337"/>
    </row>
    <row r="6445" spans="1:13" s="71" customFormat="1" ht="26.4" customHeight="1">
      <c r="A6445" s="282">
        <v>17</v>
      </c>
      <c r="B6445" s="534"/>
      <c r="C6445" s="260" t="s">
        <v>21</v>
      </c>
      <c r="D6445" s="260" t="s">
        <v>8263</v>
      </c>
      <c r="E6445" s="260" t="s">
        <v>8265</v>
      </c>
      <c r="F6445" s="387">
        <v>10093</v>
      </c>
      <c r="G6445" s="371" t="s">
        <v>1585</v>
      </c>
      <c r="H6445" s="396" t="s">
        <v>1149</v>
      </c>
      <c r="I6445" s="470">
        <v>468</v>
      </c>
      <c r="J6445" s="496">
        <v>63.584670000000003</v>
      </c>
      <c r="K6445" s="496">
        <v>54.6</v>
      </c>
      <c r="L6445" s="496">
        <f t="shared" si="80"/>
        <v>8.9846700000000013</v>
      </c>
      <c r="M6445" s="337"/>
    </row>
    <row r="6446" spans="1:13" s="71" customFormat="1" ht="26.4" customHeight="1">
      <c r="A6446" s="282">
        <v>18</v>
      </c>
      <c r="B6446" s="534"/>
      <c r="C6446" s="260" t="s">
        <v>21</v>
      </c>
      <c r="D6446" s="260" t="s">
        <v>8263</v>
      </c>
      <c r="E6446" s="260" t="s">
        <v>8266</v>
      </c>
      <c r="F6446" s="387">
        <v>10091</v>
      </c>
      <c r="G6446" s="371" t="s">
        <v>1585</v>
      </c>
      <c r="H6446" s="396" t="s">
        <v>1149</v>
      </c>
      <c r="I6446" s="470">
        <v>14.4</v>
      </c>
      <c r="J6446" s="496">
        <v>1.8664000000000001</v>
      </c>
      <c r="K6446" s="496">
        <v>1.8383799999999999</v>
      </c>
      <c r="L6446" s="496">
        <f t="shared" si="80"/>
        <v>2.8020000000000156E-2</v>
      </c>
      <c r="M6446" s="337"/>
    </row>
    <row r="6447" spans="1:13" s="71" customFormat="1" ht="26.4" customHeight="1">
      <c r="A6447" s="282">
        <v>19</v>
      </c>
      <c r="B6447" s="534"/>
      <c r="C6447" s="260" t="s">
        <v>21</v>
      </c>
      <c r="D6447" s="260" t="s">
        <v>8263</v>
      </c>
      <c r="E6447" s="260" t="s">
        <v>8267</v>
      </c>
      <c r="F6447" s="387">
        <v>357</v>
      </c>
      <c r="G6447" s="371" t="s">
        <v>1528</v>
      </c>
      <c r="H6447" s="396" t="s">
        <v>1149</v>
      </c>
      <c r="I6447" s="470">
        <v>78.8</v>
      </c>
      <c r="J6447" s="496">
        <v>17.666350000000001</v>
      </c>
      <c r="K6447" s="496">
        <v>14.2</v>
      </c>
      <c r="L6447" s="496">
        <f t="shared" si="80"/>
        <v>3.466350000000002</v>
      </c>
      <c r="M6447" s="337"/>
    </row>
    <row r="6448" spans="1:13" s="71" customFormat="1" ht="26.4" customHeight="1">
      <c r="A6448" s="282">
        <v>20</v>
      </c>
      <c r="B6448" s="534"/>
      <c r="C6448" s="260" t="s">
        <v>21</v>
      </c>
      <c r="D6448" s="260" t="s">
        <v>8263</v>
      </c>
      <c r="E6448" s="260" t="s">
        <v>8268</v>
      </c>
      <c r="F6448" s="387">
        <v>366</v>
      </c>
      <c r="G6448" s="371" t="s">
        <v>1560</v>
      </c>
      <c r="H6448" s="396" t="s">
        <v>1149</v>
      </c>
      <c r="I6448" s="470">
        <v>499.28</v>
      </c>
      <c r="J6448" s="496">
        <v>482.7</v>
      </c>
      <c r="K6448" s="496">
        <v>286.39999999999998</v>
      </c>
      <c r="L6448" s="496">
        <f t="shared" si="80"/>
        <v>196.3</v>
      </c>
      <c r="M6448" s="337"/>
    </row>
    <row r="6449" spans="1:13" s="71" customFormat="1" ht="26.4" customHeight="1">
      <c r="A6449" s="282">
        <v>21</v>
      </c>
      <c r="B6449" s="534"/>
      <c r="C6449" s="260" t="s">
        <v>21</v>
      </c>
      <c r="D6449" s="260" t="s">
        <v>8263</v>
      </c>
      <c r="E6449" s="260" t="s">
        <v>8269</v>
      </c>
      <c r="F6449" s="387">
        <v>20222</v>
      </c>
      <c r="G6449" s="371" t="s">
        <v>1566</v>
      </c>
      <c r="H6449" s="396" t="s">
        <v>1149</v>
      </c>
      <c r="I6449" s="470">
        <v>61.75</v>
      </c>
      <c r="J6449" s="496">
        <v>57.273780000000002</v>
      </c>
      <c r="K6449" s="496">
        <v>55.2</v>
      </c>
      <c r="L6449" s="496">
        <f t="shared" si="80"/>
        <v>2.0737799999999993</v>
      </c>
      <c r="M6449" s="337"/>
    </row>
    <row r="6450" spans="1:13" s="71" customFormat="1" ht="26.4" customHeight="1">
      <c r="A6450" s="282">
        <v>22</v>
      </c>
      <c r="B6450" s="534"/>
      <c r="C6450" s="260" t="s">
        <v>21</v>
      </c>
      <c r="D6450" s="260" t="s">
        <v>8263</v>
      </c>
      <c r="E6450" s="260" t="s">
        <v>8270</v>
      </c>
      <c r="F6450" s="387">
        <v>397</v>
      </c>
      <c r="G6450" s="371" t="s">
        <v>1529</v>
      </c>
      <c r="H6450" s="396" t="s">
        <v>1149</v>
      </c>
      <c r="I6450" s="470">
        <v>141.80000000000001</v>
      </c>
      <c r="J6450" s="496">
        <v>29.4</v>
      </c>
      <c r="K6450" s="496">
        <v>12.79942</v>
      </c>
      <c r="L6450" s="496">
        <f t="shared" si="80"/>
        <v>16.600580000000001</v>
      </c>
      <c r="M6450" s="337"/>
    </row>
    <row r="6451" spans="1:13" s="71" customFormat="1" ht="26.4" customHeight="1">
      <c r="A6451" s="282">
        <v>23</v>
      </c>
      <c r="B6451" s="534"/>
      <c r="C6451" s="260" t="s">
        <v>21</v>
      </c>
      <c r="D6451" s="260" t="s">
        <v>8263</v>
      </c>
      <c r="E6451" s="260" t="s">
        <v>8271</v>
      </c>
      <c r="F6451" s="387">
        <v>393</v>
      </c>
      <c r="G6451" s="371" t="s">
        <v>1585</v>
      </c>
      <c r="H6451" s="396" t="s">
        <v>1149</v>
      </c>
      <c r="I6451" s="470">
        <v>70</v>
      </c>
      <c r="J6451" s="496">
        <v>6.3552400000000002</v>
      </c>
      <c r="K6451" s="496">
        <v>5.7258100000000001</v>
      </c>
      <c r="L6451" s="496">
        <f t="shared" si="80"/>
        <v>0.62943000000000016</v>
      </c>
      <c r="M6451" s="337"/>
    </row>
    <row r="6452" spans="1:13" s="71" customFormat="1" ht="26.4" customHeight="1">
      <c r="A6452" s="282">
        <v>24</v>
      </c>
      <c r="B6452" s="534"/>
      <c r="C6452" s="260" t="s">
        <v>21</v>
      </c>
      <c r="D6452" s="260" t="s">
        <v>8263</v>
      </c>
      <c r="E6452" s="260" t="s">
        <v>8272</v>
      </c>
      <c r="F6452" s="387">
        <v>394</v>
      </c>
      <c r="G6452" s="371" t="s">
        <v>1585</v>
      </c>
      <c r="H6452" s="396" t="s">
        <v>1149</v>
      </c>
      <c r="I6452" s="470">
        <v>13.8</v>
      </c>
      <c r="J6452" s="496">
        <v>1.056</v>
      </c>
      <c r="K6452" s="496">
        <v>0.95194999999999996</v>
      </c>
      <c r="L6452" s="496">
        <f t="shared" si="80"/>
        <v>0.10405000000000009</v>
      </c>
      <c r="M6452" s="337"/>
    </row>
    <row r="6453" spans="1:13" s="71" customFormat="1" ht="26.4" customHeight="1">
      <c r="A6453" s="282">
        <v>25</v>
      </c>
      <c r="B6453" s="534"/>
      <c r="C6453" s="260" t="s">
        <v>21</v>
      </c>
      <c r="D6453" s="260" t="s">
        <v>8263</v>
      </c>
      <c r="E6453" s="260" t="s">
        <v>8273</v>
      </c>
      <c r="F6453" s="387">
        <v>395</v>
      </c>
      <c r="G6453" s="371" t="s">
        <v>1585</v>
      </c>
      <c r="H6453" s="396" t="s">
        <v>1149</v>
      </c>
      <c r="I6453" s="470">
        <v>70</v>
      </c>
      <c r="J6453" s="496">
        <v>2.2879999999999998</v>
      </c>
      <c r="K6453" s="496">
        <v>2.06108</v>
      </c>
      <c r="L6453" s="496">
        <f t="shared" si="80"/>
        <v>0.22691999999999979</v>
      </c>
      <c r="M6453" s="337"/>
    </row>
    <row r="6454" spans="1:13" s="71" customFormat="1" ht="26.4" customHeight="1">
      <c r="A6454" s="282">
        <v>26</v>
      </c>
      <c r="B6454" s="534"/>
      <c r="C6454" s="260" t="s">
        <v>21</v>
      </c>
      <c r="D6454" s="282" t="s">
        <v>3</v>
      </c>
      <c r="E6454" s="441" t="s">
        <v>8274</v>
      </c>
      <c r="F6454" s="404">
        <v>13</v>
      </c>
      <c r="G6454" s="371" t="s">
        <v>1585</v>
      </c>
      <c r="H6454" s="396" t="s">
        <v>8275</v>
      </c>
      <c r="I6454" s="470">
        <v>15.53</v>
      </c>
      <c r="J6454" s="496">
        <v>11163.68381</v>
      </c>
      <c r="K6454" s="496">
        <v>10483.299999999999</v>
      </c>
      <c r="L6454" s="496">
        <f t="shared" si="80"/>
        <v>680.38381000000118</v>
      </c>
      <c r="M6454" s="337"/>
    </row>
    <row r="6455" spans="1:13" s="71" customFormat="1" ht="26.4" customHeight="1">
      <c r="A6455" s="282">
        <v>27</v>
      </c>
      <c r="B6455" s="534"/>
      <c r="C6455" s="260" t="s">
        <v>21</v>
      </c>
      <c r="D6455" s="282" t="s">
        <v>3</v>
      </c>
      <c r="E6455" s="441" t="s">
        <v>8274</v>
      </c>
      <c r="F6455" s="405">
        <v>7006566</v>
      </c>
      <c r="G6455" s="371" t="s">
        <v>1569</v>
      </c>
      <c r="H6455" s="396" t="s">
        <v>8275</v>
      </c>
      <c r="I6455" s="470">
        <v>15.53</v>
      </c>
      <c r="J6455" s="496">
        <v>9541.1446599999999</v>
      </c>
      <c r="K6455" s="496">
        <v>1717.4</v>
      </c>
      <c r="L6455" s="496">
        <f t="shared" si="80"/>
        <v>7823.7446600000003</v>
      </c>
      <c r="M6455" s="337"/>
    </row>
    <row r="6456" spans="1:13" s="71" customFormat="1" ht="26.4" customHeight="1">
      <c r="A6456" s="282">
        <v>28</v>
      </c>
      <c r="B6456" s="534"/>
      <c r="C6456" s="260" t="s">
        <v>21</v>
      </c>
      <c r="D6456" s="282" t="s">
        <v>3</v>
      </c>
      <c r="E6456" s="441" t="s">
        <v>8274</v>
      </c>
      <c r="F6456" s="405">
        <v>207</v>
      </c>
      <c r="G6456" s="371" t="s">
        <v>1549</v>
      </c>
      <c r="H6456" s="396" t="s">
        <v>8275</v>
      </c>
      <c r="I6456" s="470">
        <v>15.53</v>
      </c>
      <c r="J6456" s="496">
        <v>53.230319999999999</v>
      </c>
      <c r="K6456" s="496">
        <v>38.1</v>
      </c>
      <c r="L6456" s="496">
        <f t="shared" si="80"/>
        <v>15.130319999999998</v>
      </c>
      <c r="M6456" s="337"/>
    </row>
    <row r="6457" spans="1:13" s="71" customFormat="1" ht="26.4" customHeight="1">
      <c r="A6457" s="282">
        <v>29</v>
      </c>
      <c r="B6457" s="534"/>
      <c r="C6457" s="260" t="s">
        <v>21</v>
      </c>
      <c r="D6457" s="282" t="s">
        <v>3</v>
      </c>
      <c r="E6457" s="441" t="s">
        <v>8276</v>
      </c>
      <c r="F6457" s="404">
        <v>20218</v>
      </c>
      <c r="G6457" s="371" t="s">
        <v>1585</v>
      </c>
      <c r="H6457" s="396" t="s">
        <v>8275</v>
      </c>
      <c r="I6457" s="470">
        <v>0.6</v>
      </c>
      <c r="J6457" s="496">
        <v>4108.9112800000003</v>
      </c>
      <c r="K6457" s="496">
        <v>3617.5</v>
      </c>
      <c r="L6457" s="496">
        <f t="shared" si="80"/>
        <v>491.41128000000026</v>
      </c>
      <c r="M6457" s="337"/>
    </row>
    <row r="6458" spans="1:13" s="71" customFormat="1" ht="26.4" customHeight="1">
      <c r="A6458" s="282">
        <v>30</v>
      </c>
      <c r="B6458" s="534"/>
      <c r="C6458" s="260" t="s">
        <v>21</v>
      </c>
      <c r="D6458" s="282" t="s">
        <v>3</v>
      </c>
      <c r="E6458" s="441" t="s">
        <v>8276</v>
      </c>
      <c r="F6458" s="404">
        <v>197</v>
      </c>
      <c r="G6458" s="371" t="s">
        <v>1549</v>
      </c>
      <c r="H6458" s="396" t="s">
        <v>8275</v>
      </c>
      <c r="I6458" s="470">
        <v>0.43</v>
      </c>
      <c r="J6458" s="496">
        <v>3001.0404600000002</v>
      </c>
      <c r="K6458" s="496">
        <v>2667</v>
      </c>
      <c r="L6458" s="496">
        <f t="shared" si="80"/>
        <v>334.04046000000017</v>
      </c>
      <c r="M6458" s="337"/>
    </row>
    <row r="6459" spans="1:13" s="71" customFormat="1" ht="26.4" customHeight="1">
      <c r="A6459" s="282">
        <v>31</v>
      </c>
      <c r="B6459" s="534"/>
      <c r="C6459" s="260" t="s">
        <v>21</v>
      </c>
      <c r="D6459" s="282" t="s">
        <v>3</v>
      </c>
      <c r="E6459" s="441" t="s">
        <v>8277</v>
      </c>
      <c r="F6459" s="404">
        <v>3</v>
      </c>
      <c r="G6459" s="371" t="s">
        <v>1585</v>
      </c>
      <c r="H6459" s="396" t="s">
        <v>8275</v>
      </c>
      <c r="I6459" s="470">
        <v>0.111</v>
      </c>
      <c r="J6459" s="496">
        <v>308.17901000000001</v>
      </c>
      <c r="K6459" s="496">
        <v>232.3</v>
      </c>
      <c r="L6459" s="496">
        <f t="shared" si="80"/>
        <v>75.879009999999994</v>
      </c>
      <c r="M6459" s="337"/>
    </row>
    <row r="6460" spans="1:13" s="71" customFormat="1" ht="26.4" customHeight="1">
      <c r="A6460" s="282">
        <v>32</v>
      </c>
      <c r="B6460" s="534"/>
      <c r="C6460" s="260" t="s">
        <v>21</v>
      </c>
      <c r="D6460" s="282" t="s">
        <v>3</v>
      </c>
      <c r="E6460" s="260" t="s">
        <v>8278</v>
      </c>
      <c r="F6460" s="387">
        <v>17</v>
      </c>
      <c r="G6460" s="371" t="s">
        <v>1585</v>
      </c>
      <c r="H6460" s="396" t="s">
        <v>1149</v>
      </c>
      <c r="I6460" s="470">
        <v>69.3</v>
      </c>
      <c r="J6460" s="496">
        <v>158.69254000000001</v>
      </c>
      <c r="K6460" s="496">
        <v>146.1</v>
      </c>
      <c r="L6460" s="496">
        <f t="shared" si="80"/>
        <v>12.592540000000014</v>
      </c>
      <c r="M6460" s="337"/>
    </row>
    <row r="6461" spans="1:13" s="71" customFormat="1" ht="26.4" customHeight="1">
      <c r="A6461" s="282">
        <v>33</v>
      </c>
      <c r="B6461" s="534"/>
      <c r="C6461" s="260" t="s">
        <v>21</v>
      </c>
      <c r="D6461" s="282" t="s">
        <v>3</v>
      </c>
      <c r="E6461" s="260" t="s">
        <v>8279</v>
      </c>
      <c r="F6461" s="387">
        <v>20217</v>
      </c>
      <c r="G6461" s="371" t="s">
        <v>1585</v>
      </c>
      <c r="H6461" s="396" t="s">
        <v>1149</v>
      </c>
      <c r="I6461" s="470">
        <v>13.8</v>
      </c>
      <c r="J6461" s="557">
        <v>3310.4134199999999</v>
      </c>
      <c r="K6461" s="557">
        <v>3042.3</v>
      </c>
      <c r="L6461" s="496">
        <f t="shared" si="80"/>
        <v>268.11341999999968</v>
      </c>
      <c r="M6461" s="337"/>
    </row>
    <row r="6462" spans="1:13" s="71" customFormat="1" ht="26.4" customHeight="1">
      <c r="A6462" s="282">
        <v>34</v>
      </c>
      <c r="B6462" s="534"/>
      <c r="C6462" s="260" t="s">
        <v>21</v>
      </c>
      <c r="D6462" s="282" t="s">
        <v>3</v>
      </c>
      <c r="E6462" s="441" t="s">
        <v>8280</v>
      </c>
      <c r="F6462" s="404">
        <v>20217</v>
      </c>
      <c r="G6462" s="371" t="s">
        <v>1585</v>
      </c>
      <c r="H6462" s="396" t="s">
        <v>8275</v>
      </c>
      <c r="I6462" s="470">
        <v>1.1499999999999999</v>
      </c>
      <c r="J6462" s="557"/>
      <c r="K6462" s="557"/>
      <c r="L6462" s="496">
        <f t="shared" si="80"/>
        <v>0</v>
      </c>
      <c r="M6462" s="337"/>
    </row>
    <row r="6463" spans="1:13" s="71" customFormat="1" ht="26.4" customHeight="1">
      <c r="A6463" s="282">
        <v>35</v>
      </c>
      <c r="B6463" s="534"/>
      <c r="C6463" s="260" t="s">
        <v>21</v>
      </c>
      <c r="D6463" s="282" t="s">
        <v>3</v>
      </c>
      <c r="E6463" s="260" t="s">
        <v>8281</v>
      </c>
      <c r="F6463" s="387">
        <v>198</v>
      </c>
      <c r="G6463" s="371" t="s">
        <v>1549</v>
      </c>
      <c r="H6463" s="396" t="s">
        <v>1149</v>
      </c>
      <c r="I6463" s="470">
        <v>25.2</v>
      </c>
      <c r="J6463" s="558">
        <v>2708.8497900000002</v>
      </c>
      <c r="K6463" s="558">
        <v>2443.6628799999999</v>
      </c>
      <c r="L6463" s="496">
        <f t="shared" si="80"/>
        <v>265.18691000000035</v>
      </c>
      <c r="M6463" s="337"/>
    </row>
    <row r="6464" spans="1:13" s="71" customFormat="1" ht="26.4" customHeight="1">
      <c r="A6464" s="282">
        <v>36</v>
      </c>
      <c r="B6464" s="534"/>
      <c r="C6464" s="260" t="s">
        <v>21</v>
      </c>
      <c r="D6464" s="282" t="s">
        <v>3</v>
      </c>
      <c r="E6464" s="441" t="s">
        <v>8280</v>
      </c>
      <c r="F6464" s="404">
        <v>198</v>
      </c>
      <c r="G6464" s="371" t="s">
        <v>1549</v>
      </c>
      <c r="H6464" s="396" t="s">
        <v>8275</v>
      </c>
      <c r="I6464" s="470">
        <v>1.54</v>
      </c>
      <c r="J6464" s="558"/>
      <c r="K6464" s="558"/>
      <c r="L6464" s="496">
        <f t="shared" si="80"/>
        <v>0</v>
      </c>
      <c r="M6464" s="337"/>
    </row>
    <row r="6465" spans="1:13" s="71" customFormat="1" ht="26.4" customHeight="1">
      <c r="A6465" s="282">
        <v>37</v>
      </c>
      <c r="B6465" s="534"/>
      <c r="C6465" s="260" t="s">
        <v>21</v>
      </c>
      <c r="D6465" s="282" t="s">
        <v>3</v>
      </c>
      <c r="E6465" s="260" t="s">
        <v>8282</v>
      </c>
      <c r="F6465" s="387">
        <v>3850</v>
      </c>
      <c r="G6465" s="371" t="s">
        <v>1543</v>
      </c>
      <c r="H6465" s="396" t="s">
        <v>1149</v>
      </c>
      <c r="I6465" s="470">
        <v>157.5</v>
      </c>
      <c r="J6465" s="496">
        <v>93.878020000000006</v>
      </c>
      <c r="K6465" s="496">
        <v>53.9</v>
      </c>
      <c r="L6465" s="496">
        <f t="shared" si="80"/>
        <v>39.978020000000008</v>
      </c>
      <c r="M6465" s="337"/>
    </row>
    <row r="6466" spans="1:13" s="71" customFormat="1" ht="26.4" customHeight="1">
      <c r="A6466" s="282">
        <v>38</v>
      </c>
      <c r="B6466" s="534"/>
      <c r="C6466" s="260" t="s">
        <v>21</v>
      </c>
      <c r="D6466" s="282" t="s">
        <v>3</v>
      </c>
      <c r="E6466" s="260" t="s">
        <v>8283</v>
      </c>
      <c r="F6466" s="387">
        <v>1350</v>
      </c>
      <c r="G6466" s="371" t="s">
        <v>1549</v>
      </c>
      <c r="H6466" s="396" t="s">
        <v>1149</v>
      </c>
      <c r="I6466" s="470">
        <v>587.79999999999995</v>
      </c>
      <c r="J6466" s="496">
        <v>6675.2279799999997</v>
      </c>
      <c r="K6466" s="496">
        <v>6317</v>
      </c>
      <c r="L6466" s="496">
        <f t="shared" si="80"/>
        <v>358.22797999999966</v>
      </c>
      <c r="M6466" s="337"/>
    </row>
    <row r="6467" spans="1:13" s="71" customFormat="1" ht="26.4" customHeight="1">
      <c r="A6467" s="282">
        <v>39</v>
      </c>
      <c r="B6467" s="534"/>
      <c r="C6467" s="260" t="s">
        <v>21</v>
      </c>
      <c r="D6467" s="282" t="s">
        <v>3</v>
      </c>
      <c r="E6467" s="441" t="s">
        <v>8284</v>
      </c>
      <c r="F6467" s="404" t="s">
        <v>8285</v>
      </c>
      <c r="G6467" s="371" t="s">
        <v>1549</v>
      </c>
      <c r="H6467" s="396" t="s">
        <v>8275</v>
      </c>
      <c r="I6467" s="470">
        <v>1.36</v>
      </c>
      <c r="J6467" s="496">
        <v>8108.9032500000003</v>
      </c>
      <c r="K6467" s="496">
        <v>8032.1</v>
      </c>
      <c r="L6467" s="496">
        <f t="shared" si="80"/>
        <v>76.803249999999935</v>
      </c>
      <c r="M6467" s="337"/>
    </row>
    <row r="6468" spans="1:13" s="71" customFormat="1" ht="26.4" customHeight="1">
      <c r="A6468" s="282">
        <v>40</v>
      </c>
      <c r="B6468" s="534"/>
      <c r="C6468" s="260" t="s">
        <v>21</v>
      </c>
      <c r="D6468" s="282" t="s">
        <v>3</v>
      </c>
      <c r="E6468" s="260" t="s">
        <v>8286</v>
      </c>
      <c r="F6468" s="387">
        <v>1370</v>
      </c>
      <c r="G6468" s="371" t="s">
        <v>1549</v>
      </c>
      <c r="H6468" s="396" t="s">
        <v>1149</v>
      </c>
      <c r="I6468" s="470">
        <v>50</v>
      </c>
      <c r="J6468" s="496">
        <v>5.875</v>
      </c>
      <c r="K6468" s="496">
        <v>4.6583600000000001</v>
      </c>
      <c r="L6468" s="496">
        <f t="shared" si="80"/>
        <v>1.2166399999999999</v>
      </c>
      <c r="M6468" s="337"/>
    </row>
    <row r="6469" spans="1:13" s="71" customFormat="1" ht="26.4" customHeight="1">
      <c r="A6469" s="282">
        <v>41</v>
      </c>
      <c r="B6469" s="534"/>
      <c r="C6469" s="260" t="s">
        <v>21</v>
      </c>
      <c r="D6469" s="282" t="s">
        <v>3</v>
      </c>
      <c r="E6469" s="260" t="s">
        <v>8287</v>
      </c>
      <c r="F6469" s="387">
        <v>20219</v>
      </c>
      <c r="G6469" s="371" t="s">
        <v>1585</v>
      </c>
      <c r="H6469" s="396" t="s">
        <v>1149</v>
      </c>
      <c r="I6469" s="470">
        <v>148.12</v>
      </c>
      <c r="J6469" s="496">
        <v>299.11038000000002</v>
      </c>
      <c r="K6469" s="496">
        <v>263.39999999999998</v>
      </c>
      <c r="L6469" s="496">
        <f t="shared" si="80"/>
        <v>35.710380000000043</v>
      </c>
      <c r="M6469" s="337"/>
    </row>
    <row r="6470" spans="1:13" s="71" customFormat="1" ht="26.4" customHeight="1">
      <c r="A6470" s="282">
        <v>42</v>
      </c>
      <c r="B6470" s="534"/>
      <c r="C6470" s="260" t="s">
        <v>21</v>
      </c>
      <c r="D6470" s="282" t="s">
        <v>3</v>
      </c>
      <c r="E6470" s="260" t="s">
        <v>8288</v>
      </c>
      <c r="F6470" s="387">
        <v>209</v>
      </c>
      <c r="G6470" s="371" t="s">
        <v>1549</v>
      </c>
      <c r="H6470" s="396" t="s">
        <v>1149</v>
      </c>
      <c r="I6470" s="470">
        <v>140</v>
      </c>
      <c r="J6470" s="496">
        <v>407.00724000000002</v>
      </c>
      <c r="K6470" s="496">
        <v>337.1</v>
      </c>
      <c r="L6470" s="496">
        <f t="shared" si="80"/>
        <v>69.907240000000002</v>
      </c>
      <c r="M6470" s="337"/>
    </row>
    <row r="6471" spans="1:13" s="71" customFormat="1" ht="26.4" customHeight="1">
      <c r="A6471" s="282">
        <v>43</v>
      </c>
      <c r="B6471" s="534"/>
      <c r="C6471" s="260" t="s">
        <v>21</v>
      </c>
      <c r="D6471" s="282" t="s">
        <v>3</v>
      </c>
      <c r="E6471" s="260" t="s">
        <v>8289</v>
      </c>
      <c r="F6471" s="387">
        <v>7</v>
      </c>
      <c r="G6471" s="371" t="s">
        <v>1585</v>
      </c>
      <c r="H6471" s="396" t="s">
        <v>1149</v>
      </c>
      <c r="I6471" s="470">
        <v>20.14</v>
      </c>
      <c r="J6471" s="496">
        <v>2.9247700000000001</v>
      </c>
      <c r="K6471" s="496">
        <v>2.8808400000000001</v>
      </c>
      <c r="L6471" s="496">
        <f t="shared" si="80"/>
        <v>4.3930000000000025E-2</v>
      </c>
      <c r="M6471" s="337"/>
    </row>
    <row r="6472" spans="1:13" s="71" customFormat="1" ht="26.4" customHeight="1">
      <c r="A6472" s="282">
        <v>44</v>
      </c>
      <c r="B6472" s="534"/>
      <c r="C6472" s="260" t="s">
        <v>21</v>
      </c>
      <c r="D6472" s="282" t="s">
        <v>3</v>
      </c>
      <c r="E6472" s="260" t="s">
        <v>8290</v>
      </c>
      <c r="F6472" s="387">
        <v>10095</v>
      </c>
      <c r="G6472" s="371" t="s">
        <v>1585</v>
      </c>
      <c r="H6472" s="396" t="s">
        <v>1149</v>
      </c>
      <c r="I6472" s="470">
        <v>1078.5</v>
      </c>
      <c r="J6472" s="496">
        <v>1923.89589</v>
      </c>
      <c r="K6472" s="496">
        <v>1425.8</v>
      </c>
      <c r="L6472" s="496">
        <f t="shared" si="80"/>
        <v>498.09589000000005</v>
      </c>
      <c r="M6472" s="337"/>
    </row>
    <row r="6473" spans="1:13" s="71" customFormat="1" ht="26.4" customHeight="1">
      <c r="A6473" s="282">
        <v>45</v>
      </c>
      <c r="B6473" s="534"/>
      <c r="C6473" s="260" t="s">
        <v>21</v>
      </c>
      <c r="D6473" s="282" t="s">
        <v>3</v>
      </c>
      <c r="E6473" s="441" t="s">
        <v>8291</v>
      </c>
      <c r="F6473" s="404">
        <v>1</v>
      </c>
      <c r="G6473" s="371" t="s">
        <v>1585</v>
      </c>
      <c r="H6473" s="396" t="s">
        <v>8275</v>
      </c>
      <c r="I6473" s="470">
        <v>1.98</v>
      </c>
      <c r="J6473" s="496">
        <v>2629.6801700000001</v>
      </c>
      <c r="K6473" s="496">
        <v>2626.8</v>
      </c>
      <c r="L6473" s="496">
        <f t="shared" si="80"/>
        <v>2.8801699999999073</v>
      </c>
      <c r="M6473" s="337"/>
    </row>
    <row r="6474" spans="1:13" s="71" customFormat="1" ht="26.4" customHeight="1">
      <c r="A6474" s="282">
        <v>46</v>
      </c>
      <c r="B6474" s="534"/>
      <c r="C6474" s="260" t="s">
        <v>21</v>
      </c>
      <c r="D6474" s="282" t="s">
        <v>3</v>
      </c>
      <c r="E6474" s="260" t="s">
        <v>8292</v>
      </c>
      <c r="F6474" s="387">
        <v>10096</v>
      </c>
      <c r="G6474" s="371" t="s">
        <v>1529</v>
      </c>
      <c r="H6474" s="396" t="s">
        <v>1149</v>
      </c>
      <c r="I6474" s="470">
        <v>43.52</v>
      </c>
      <c r="J6474" s="496">
        <v>5.7720000000000002</v>
      </c>
      <c r="K6474" s="496">
        <v>5.1879400000000002</v>
      </c>
      <c r="L6474" s="496">
        <f t="shared" si="80"/>
        <v>0.58406000000000002</v>
      </c>
      <c r="M6474" s="337"/>
    </row>
    <row r="6475" spans="1:13" s="71" customFormat="1" ht="26.4" customHeight="1">
      <c r="A6475" s="282">
        <v>47</v>
      </c>
      <c r="B6475" s="534"/>
      <c r="C6475" s="260" t="s">
        <v>21</v>
      </c>
      <c r="D6475" s="282" t="s">
        <v>3</v>
      </c>
      <c r="E6475" s="260" t="s">
        <v>8293</v>
      </c>
      <c r="F6475" s="387">
        <v>4525</v>
      </c>
      <c r="G6475" s="371" t="s">
        <v>1585</v>
      </c>
      <c r="H6475" s="396" t="s">
        <v>1149</v>
      </c>
      <c r="I6475" s="470">
        <v>20.16</v>
      </c>
      <c r="J6475" s="496">
        <v>9.1630000000000003</v>
      </c>
      <c r="K6475" s="496">
        <v>7</v>
      </c>
      <c r="L6475" s="496">
        <f t="shared" si="80"/>
        <v>2.1630000000000003</v>
      </c>
      <c r="M6475" s="337"/>
    </row>
    <row r="6476" spans="1:13" s="71" customFormat="1" ht="26.4" customHeight="1">
      <c r="A6476" s="282">
        <v>48</v>
      </c>
      <c r="B6476" s="534"/>
      <c r="C6476" s="260" t="s">
        <v>8294</v>
      </c>
      <c r="D6476" s="282" t="s">
        <v>3</v>
      </c>
      <c r="E6476" s="260" t="s">
        <v>8295</v>
      </c>
      <c r="F6476" s="387">
        <v>136</v>
      </c>
      <c r="G6476" s="371" t="s">
        <v>1549</v>
      </c>
      <c r="H6476" s="396" t="s">
        <v>1149</v>
      </c>
      <c r="I6476" s="470">
        <v>835.2</v>
      </c>
      <c r="J6476" s="496">
        <v>4869.3</v>
      </c>
      <c r="K6476" s="496">
        <v>4395.7</v>
      </c>
      <c r="L6476" s="496">
        <f t="shared" si="80"/>
        <v>473.60000000000036</v>
      </c>
      <c r="M6476" s="337"/>
    </row>
    <row r="6477" spans="1:13" s="71" customFormat="1" ht="26.4" customHeight="1">
      <c r="A6477" s="282">
        <v>49</v>
      </c>
      <c r="B6477" s="534"/>
      <c r="C6477" s="260" t="s">
        <v>8294</v>
      </c>
      <c r="D6477" s="282" t="s">
        <v>3</v>
      </c>
      <c r="E6477" s="441" t="s">
        <v>8296</v>
      </c>
      <c r="F6477" s="404">
        <v>125</v>
      </c>
      <c r="G6477" s="371" t="s">
        <v>1549</v>
      </c>
      <c r="H6477" s="396" t="s">
        <v>8275</v>
      </c>
      <c r="I6477" s="470">
        <v>2.2999999999999998</v>
      </c>
      <c r="J6477" s="496">
        <v>13721.629499999999</v>
      </c>
      <c r="K6477" s="496">
        <v>13249.3</v>
      </c>
      <c r="L6477" s="496">
        <f t="shared" si="80"/>
        <v>472.32949999999983</v>
      </c>
      <c r="M6477" s="337"/>
    </row>
    <row r="6478" spans="1:13" s="71" customFormat="1" ht="26.4" customHeight="1">
      <c r="A6478" s="282">
        <v>50</v>
      </c>
      <c r="B6478" s="534"/>
      <c r="C6478" s="260" t="s">
        <v>8294</v>
      </c>
      <c r="D6478" s="282" t="s">
        <v>3</v>
      </c>
      <c r="E6478" s="260" t="s">
        <v>8297</v>
      </c>
      <c r="F6478" s="387">
        <v>138</v>
      </c>
      <c r="G6478" s="371" t="s">
        <v>1549</v>
      </c>
      <c r="H6478" s="396" t="s">
        <v>1149</v>
      </c>
      <c r="I6478" s="470">
        <v>50</v>
      </c>
      <c r="J6478" s="496">
        <v>5.6749999999999998</v>
      </c>
      <c r="K6478" s="496">
        <v>5.0949099999999996</v>
      </c>
      <c r="L6478" s="496">
        <f t="shared" si="80"/>
        <v>0.58009000000000022</v>
      </c>
      <c r="M6478" s="337"/>
    </row>
    <row r="6479" spans="1:13" s="71" customFormat="1" ht="26.4" customHeight="1">
      <c r="A6479" s="282">
        <v>51</v>
      </c>
      <c r="B6479" s="534"/>
      <c r="C6479" s="260" t="s">
        <v>8294</v>
      </c>
      <c r="D6479" s="282" t="s">
        <v>3</v>
      </c>
      <c r="E6479" s="260" t="s">
        <v>8298</v>
      </c>
      <c r="F6479" s="387">
        <v>496</v>
      </c>
      <c r="G6479" s="371" t="s">
        <v>1529</v>
      </c>
      <c r="H6479" s="396" t="s">
        <v>1149</v>
      </c>
      <c r="I6479" s="470">
        <v>43.52</v>
      </c>
      <c r="J6479" s="496">
        <v>5.7720000000000002</v>
      </c>
      <c r="K6479" s="496">
        <v>4.9291900000000002</v>
      </c>
      <c r="L6479" s="496">
        <f t="shared" si="80"/>
        <v>0.84281000000000006</v>
      </c>
      <c r="M6479" s="337"/>
    </row>
    <row r="6480" spans="1:13" s="71" customFormat="1" ht="26.4" customHeight="1">
      <c r="A6480" s="282">
        <v>52</v>
      </c>
      <c r="B6480" s="534"/>
      <c r="C6480" s="260" t="s">
        <v>8294</v>
      </c>
      <c r="D6480" s="282" t="s">
        <v>3</v>
      </c>
      <c r="E6480" s="260" t="s">
        <v>8299</v>
      </c>
      <c r="F6480" s="387">
        <v>10092</v>
      </c>
      <c r="G6480" s="371" t="s">
        <v>1585</v>
      </c>
      <c r="H6480" s="396" t="s">
        <v>1149</v>
      </c>
      <c r="I6480" s="470">
        <v>20.14</v>
      </c>
      <c r="J6480" s="496">
        <v>2.9247700000000001</v>
      </c>
      <c r="K6480" s="496">
        <v>2.8808400000000001</v>
      </c>
      <c r="L6480" s="496">
        <f t="shared" si="80"/>
        <v>4.3930000000000025E-2</v>
      </c>
      <c r="M6480" s="337"/>
    </row>
    <row r="6481" spans="1:13" s="71" customFormat="1" ht="26.4" customHeight="1">
      <c r="A6481" s="282">
        <v>53</v>
      </c>
      <c r="B6481" s="534"/>
      <c r="C6481" s="260" t="s">
        <v>8294</v>
      </c>
      <c r="D6481" s="282" t="s">
        <v>3</v>
      </c>
      <c r="E6481" s="260" t="s">
        <v>8300</v>
      </c>
      <c r="F6481" s="387">
        <v>385</v>
      </c>
      <c r="G6481" s="371" t="s">
        <v>1529</v>
      </c>
      <c r="H6481" s="396" t="s">
        <v>1149</v>
      </c>
      <c r="I6481" s="470">
        <v>52.56</v>
      </c>
      <c r="J6481" s="496">
        <v>4.2779999999999996</v>
      </c>
      <c r="K6481" s="496">
        <v>3.2</v>
      </c>
      <c r="L6481" s="496">
        <f t="shared" si="80"/>
        <v>1.0779999999999994</v>
      </c>
      <c r="M6481" s="337"/>
    </row>
    <row r="6482" spans="1:13" s="71" customFormat="1" ht="26.4" customHeight="1">
      <c r="A6482" s="282">
        <v>54</v>
      </c>
      <c r="B6482" s="534"/>
      <c r="C6482" s="260" t="s">
        <v>8294</v>
      </c>
      <c r="D6482" s="282" t="s">
        <v>3</v>
      </c>
      <c r="E6482" s="260" t="s">
        <v>8301</v>
      </c>
      <c r="F6482" s="387">
        <v>10094</v>
      </c>
      <c r="G6482" s="371" t="s">
        <v>1585</v>
      </c>
      <c r="H6482" s="396" t="s">
        <v>1149</v>
      </c>
      <c r="I6482" s="470">
        <v>645.5</v>
      </c>
      <c r="J6482" s="496">
        <v>1416.5294100000001</v>
      </c>
      <c r="K6482" s="496">
        <v>1190</v>
      </c>
      <c r="L6482" s="496">
        <f t="shared" si="80"/>
        <v>226.5294100000001</v>
      </c>
      <c r="M6482" s="337"/>
    </row>
    <row r="6483" spans="1:13" s="71" customFormat="1" ht="26.4" customHeight="1">
      <c r="A6483" s="282">
        <v>55</v>
      </c>
      <c r="B6483" s="534"/>
      <c r="C6483" s="260" t="s">
        <v>8294</v>
      </c>
      <c r="D6483" s="282" t="s">
        <v>3</v>
      </c>
      <c r="E6483" s="441" t="s">
        <v>8302</v>
      </c>
      <c r="F6483" s="404">
        <v>2</v>
      </c>
      <c r="G6483" s="371" t="s">
        <v>1585</v>
      </c>
      <c r="H6483" s="396" t="s">
        <v>8275</v>
      </c>
      <c r="I6483" s="470" t="s">
        <v>13230</v>
      </c>
      <c r="J6483" s="496">
        <v>3985.23531</v>
      </c>
      <c r="K6483" s="496">
        <v>3678.8</v>
      </c>
      <c r="L6483" s="496">
        <f t="shared" si="80"/>
        <v>306.43530999999984</v>
      </c>
      <c r="M6483" s="337"/>
    </row>
    <row r="6484" spans="1:13" s="71" customFormat="1" ht="26.4" customHeight="1">
      <c r="A6484" s="282">
        <v>56</v>
      </c>
      <c r="B6484" s="534"/>
      <c r="C6484" s="260" t="s">
        <v>21</v>
      </c>
      <c r="D6484" s="282" t="s">
        <v>3</v>
      </c>
      <c r="E6484" s="260" t="s">
        <v>8303</v>
      </c>
      <c r="F6484" s="387">
        <v>14</v>
      </c>
      <c r="G6484" s="371" t="s">
        <v>1585</v>
      </c>
      <c r="H6484" s="396" t="s">
        <v>1149</v>
      </c>
      <c r="I6484" s="470">
        <v>36</v>
      </c>
      <c r="J6484" s="496">
        <v>88.838459999999998</v>
      </c>
      <c r="K6484" s="496">
        <v>67</v>
      </c>
      <c r="L6484" s="496">
        <f t="shared" si="80"/>
        <v>21.838459999999998</v>
      </c>
      <c r="M6484" s="337"/>
    </row>
    <row r="6485" spans="1:13" s="71" customFormat="1" ht="26.4" customHeight="1">
      <c r="A6485" s="282">
        <v>57</v>
      </c>
      <c r="B6485" s="534"/>
      <c r="C6485" s="260" t="s">
        <v>8304</v>
      </c>
      <c r="D6485" s="282" t="s">
        <v>3</v>
      </c>
      <c r="E6485" s="260" t="s">
        <v>8305</v>
      </c>
      <c r="F6485" s="405">
        <v>4</v>
      </c>
      <c r="G6485" s="371" t="s">
        <v>1568</v>
      </c>
      <c r="H6485" s="396" t="s">
        <v>1149</v>
      </c>
      <c r="I6485" s="470">
        <v>232470</v>
      </c>
      <c r="J6485" s="496">
        <v>2637.1601799999999</v>
      </c>
      <c r="K6485" s="496">
        <v>2588.1999999999998</v>
      </c>
      <c r="L6485" s="496">
        <f t="shared" si="80"/>
        <v>48.960180000000037</v>
      </c>
      <c r="M6485" s="337"/>
    </row>
    <row r="6486" spans="1:13" s="71" customFormat="1" ht="26.4" customHeight="1">
      <c r="A6486" s="282">
        <v>58</v>
      </c>
      <c r="B6486" s="534"/>
      <c r="C6486" s="260" t="s">
        <v>8304</v>
      </c>
      <c r="D6486" s="282" t="s">
        <v>3</v>
      </c>
      <c r="E6486" s="441" t="s">
        <v>8306</v>
      </c>
      <c r="F6486" s="404">
        <v>231</v>
      </c>
      <c r="G6486" s="371" t="s">
        <v>1566</v>
      </c>
      <c r="H6486" s="396" t="s">
        <v>1149</v>
      </c>
      <c r="I6486" s="470">
        <v>6510</v>
      </c>
      <c r="J6486" s="496">
        <v>48.785589999999999</v>
      </c>
      <c r="K6486" s="496">
        <v>47</v>
      </c>
      <c r="L6486" s="496">
        <f t="shared" si="80"/>
        <v>1.7855899999999991</v>
      </c>
      <c r="M6486" s="337"/>
    </row>
    <row r="6487" spans="1:13" s="71" customFormat="1" ht="26.4" customHeight="1">
      <c r="A6487" s="282">
        <v>59</v>
      </c>
      <c r="B6487" s="534"/>
      <c r="C6487" s="260" t="s">
        <v>8304</v>
      </c>
      <c r="D6487" s="282" t="s">
        <v>3</v>
      </c>
      <c r="E6487" s="441" t="s">
        <v>8307</v>
      </c>
      <c r="F6487" s="404">
        <v>230</v>
      </c>
      <c r="G6487" s="371" t="s">
        <v>1529</v>
      </c>
      <c r="H6487" s="396" t="s">
        <v>1149</v>
      </c>
      <c r="I6487" s="470">
        <v>12501</v>
      </c>
      <c r="J6487" s="496">
        <v>427.27566999999999</v>
      </c>
      <c r="K6487" s="496">
        <v>394.1</v>
      </c>
      <c r="L6487" s="496">
        <f t="shared" si="80"/>
        <v>33.175669999999968</v>
      </c>
      <c r="M6487" s="337"/>
    </row>
    <row r="6488" spans="1:13" s="332" customFormat="1" ht="26.4" customHeight="1">
      <c r="A6488" s="445">
        <v>60</v>
      </c>
      <c r="B6488" s="534"/>
      <c r="C6488" s="260" t="s">
        <v>8257</v>
      </c>
      <c r="D6488" s="282" t="s">
        <v>3</v>
      </c>
      <c r="E6488" s="440" t="s">
        <v>8308</v>
      </c>
      <c r="F6488" s="404">
        <v>4705</v>
      </c>
      <c r="G6488" s="371" t="s">
        <v>1585</v>
      </c>
      <c r="H6488" s="396" t="s">
        <v>631</v>
      </c>
      <c r="I6488" s="473">
        <v>63.2</v>
      </c>
      <c r="J6488" s="496">
        <v>169.25334000000001</v>
      </c>
      <c r="K6488" s="496">
        <v>144.9</v>
      </c>
      <c r="L6488" s="496">
        <f t="shared" si="80"/>
        <v>24.353340000000003</v>
      </c>
      <c r="M6488" s="331"/>
    </row>
    <row r="6489" spans="1:13" s="71" customFormat="1" ht="26.4" customHeight="1">
      <c r="A6489" s="282">
        <v>61</v>
      </c>
      <c r="B6489" s="534"/>
      <c r="C6489" s="260" t="s">
        <v>8294</v>
      </c>
      <c r="D6489" s="282" t="s">
        <v>3</v>
      </c>
      <c r="E6489" s="441" t="s">
        <v>8309</v>
      </c>
      <c r="F6489" s="404">
        <v>270</v>
      </c>
      <c r="G6489" s="371" t="s">
        <v>1585</v>
      </c>
      <c r="H6489" s="396" t="s">
        <v>631</v>
      </c>
      <c r="I6489" s="473">
        <v>34.200000000000003</v>
      </c>
      <c r="J6489" s="496">
        <v>82.285870000000003</v>
      </c>
      <c r="K6489" s="496">
        <v>63.855040000000002</v>
      </c>
      <c r="L6489" s="496">
        <f t="shared" si="80"/>
        <v>18.43083</v>
      </c>
      <c r="M6489" s="337"/>
    </row>
    <row r="6490" spans="1:13" s="71" customFormat="1" ht="26.4" customHeight="1">
      <c r="A6490" s="282">
        <v>62</v>
      </c>
      <c r="B6490" s="534"/>
      <c r="C6490" s="260" t="s">
        <v>8294</v>
      </c>
      <c r="D6490" s="282" t="s">
        <v>3</v>
      </c>
      <c r="E6490" s="441" t="s">
        <v>8310</v>
      </c>
      <c r="F6490" s="404">
        <v>269</v>
      </c>
      <c r="G6490" s="371" t="s">
        <v>1585</v>
      </c>
      <c r="H6490" s="396" t="s">
        <v>631</v>
      </c>
      <c r="I6490" s="473">
        <v>34</v>
      </c>
      <c r="J6490" s="496">
        <v>142.97664</v>
      </c>
      <c r="K6490" s="496">
        <v>120.2</v>
      </c>
      <c r="L6490" s="496">
        <f t="shared" si="80"/>
        <v>22.77664</v>
      </c>
      <c r="M6490" s="337"/>
    </row>
    <row r="6491" spans="1:13" s="71" customFormat="1" ht="26.4" customHeight="1">
      <c r="A6491" s="282">
        <v>63</v>
      </c>
      <c r="B6491" s="534"/>
      <c r="C6491" s="260" t="s">
        <v>8294</v>
      </c>
      <c r="D6491" s="282" t="s">
        <v>3</v>
      </c>
      <c r="E6491" s="441" t="s">
        <v>8311</v>
      </c>
      <c r="F6491" s="404">
        <v>6</v>
      </c>
      <c r="G6491" s="371" t="s">
        <v>1585</v>
      </c>
      <c r="H6491" s="396" t="s">
        <v>631</v>
      </c>
      <c r="I6491" s="470">
        <v>9.5</v>
      </c>
      <c r="J6491" s="496">
        <v>158.01686000000001</v>
      </c>
      <c r="K6491" s="496">
        <v>137.30000000000001</v>
      </c>
      <c r="L6491" s="496">
        <f t="shared" si="80"/>
        <v>20.716859999999997</v>
      </c>
      <c r="M6491" s="337"/>
    </row>
    <row r="6492" spans="1:13" s="71" customFormat="1" ht="26.4" customHeight="1">
      <c r="A6492" s="282">
        <v>64</v>
      </c>
      <c r="B6492" s="534"/>
      <c r="C6492" s="260" t="s">
        <v>8294</v>
      </c>
      <c r="D6492" s="282" t="s">
        <v>3</v>
      </c>
      <c r="E6492" s="441" t="s">
        <v>8312</v>
      </c>
      <c r="F6492" s="404">
        <v>268</v>
      </c>
      <c r="G6492" s="371" t="s">
        <v>1585</v>
      </c>
      <c r="H6492" s="396" t="s">
        <v>631</v>
      </c>
      <c r="I6492" s="470">
        <v>70</v>
      </c>
      <c r="J6492" s="496">
        <v>168.05509000000001</v>
      </c>
      <c r="K6492" s="496">
        <v>167.2</v>
      </c>
      <c r="L6492" s="496">
        <f t="shared" ref="L6492:L6507" si="81">J6492-K6492</f>
        <v>0.85509000000001834</v>
      </c>
      <c r="M6492" s="337"/>
    </row>
    <row r="6493" spans="1:13" s="71" customFormat="1" ht="26.4" customHeight="1">
      <c r="A6493" s="282">
        <v>65</v>
      </c>
      <c r="B6493" s="534"/>
      <c r="C6493" s="260" t="s">
        <v>8294</v>
      </c>
      <c r="D6493" s="282" t="s">
        <v>3</v>
      </c>
      <c r="E6493" s="441" t="s">
        <v>8313</v>
      </c>
      <c r="F6493" s="404">
        <v>266</v>
      </c>
      <c r="G6493" s="371" t="s">
        <v>1584</v>
      </c>
      <c r="H6493" s="396" t="s">
        <v>8275</v>
      </c>
      <c r="I6493" s="470">
        <v>4.72</v>
      </c>
      <c r="J6493" s="496">
        <v>4117.4062199999998</v>
      </c>
      <c r="K6493" s="496">
        <v>3855.1</v>
      </c>
      <c r="L6493" s="496">
        <f t="shared" si="81"/>
        <v>262.30621999999994</v>
      </c>
      <c r="M6493" s="337"/>
    </row>
    <row r="6494" spans="1:13" s="71" customFormat="1" ht="26.4" customHeight="1">
      <c r="A6494" s="282">
        <v>66</v>
      </c>
      <c r="B6494" s="534"/>
      <c r="C6494" s="260" t="s">
        <v>8314</v>
      </c>
      <c r="D6494" s="282" t="s">
        <v>3</v>
      </c>
      <c r="E6494" s="441" t="s">
        <v>8315</v>
      </c>
      <c r="F6494" s="404">
        <v>20311</v>
      </c>
      <c r="G6494" s="371" t="s">
        <v>1584</v>
      </c>
      <c r="H6494" s="396" t="s">
        <v>8275</v>
      </c>
      <c r="I6494" s="470">
        <v>42.93</v>
      </c>
      <c r="J6494" s="496">
        <v>39861.372289999999</v>
      </c>
      <c r="K6494" s="496">
        <v>34668.199999999997</v>
      </c>
      <c r="L6494" s="496">
        <f t="shared" si="81"/>
        <v>5193.1722900000022</v>
      </c>
      <c r="M6494" s="337"/>
    </row>
    <row r="6495" spans="1:13" s="71" customFormat="1" ht="26.4" customHeight="1">
      <c r="A6495" s="282">
        <v>67</v>
      </c>
      <c r="B6495" s="534"/>
      <c r="C6495" s="260" t="s">
        <v>8314</v>
      </c>
      <c r="D6495" s="282" t="s">
        <v>3</v>
      </c>
      <c r="E6495" s="441" t="s">
        <v>8316</v>
      </c>
      <c r="F6495" s="404">
        <v>20278</v>
      </c>
      <c r="G6495" s="371" t="s">
        <v>1584</v>
      </c>
      <c r="H6495" s="396" t="s">
        <v>1149</v>
      </c>
      <c r="I6495" s="470">
        <v>264600</v>
      </c>
      <c r="J6495" s="496">
        <v>8201.5229999999992</v>
      </c>
      <c r="K6495" s="496">
        <v>7844.7</v>
      </c>
      <c r="L6495" s="496">
        <f t="shared" si="81"/>
        <v>356.82299999999941</v>
      </c>
      <c r="M6495" s="337"/>
    </row>
    <row r="6496" spans="1:13" s="71" customFormat="1" ht="26.4" customHeight="1">
      <c r="A6496" s="282">
        <v>68</v>
      </c>
      <c r="B6496" s="534"/>
      <c r="C6496" s="260" t="s">
        <v>8317</v>
      </c>
      <c r="D6496" s="282" t="s">
        <v>3</v>
      </c>
      <c r="E6496" s="260" t="s">
        <v>12636</v>
      </c>
      <c r="F6496" s="406" t="s">
        <v>8318</v>
      </c>
      <c r="G6496" s="371" t="s">
        <v>1549</v>
      </c>
      <c r="H6496" s="396" t="s">
        <v>1149</v>
      </c>
      <c r="I6496" s="470">
        <v>172.6</v>
      </c>
      <c r="J6496" s="496">
        <v>104.53617</v>
      </c>
      <c r="K6496" s="496">
        <v>74</v>
      </c>
      <c r="L6496" s="496">
        <f t="shared" si="81"/>
        <v>30.536169999999998</v>
      </c>
      <c r="M6496" s="337"/>
    </row>
    <row r="6497" spans="1:13" s="71" customFormat="1" ht="26.4" customHeight="1">
      <c r="A6497" s="282">
        <v>69</v>
      </c>
      <c r="B6497" s="534"/>
      <c r="C6497" s="260" t="s">
        <v>8319</v>
      </c>
      <c r="D6497" s="282" t="s">
        <v>3</v>
      </c>
      <c r="E6497" s="260" t="s">
        <v>13176</v>
      </c>
      <c r="F6497" s="406" t="s">
        <v>8320</v>
      </c>
      <c r="G6497" s="371" t="s">
        <v>1549</v>
      </c>
      <c r="H6497" s="396" t="s">
        <v>1149</v>
      </c>
      <c r="I6497" s="470">
        <v>41</v>
      </c>
      <c r="J6497" s="496">
        <v>58.758069999999996</v>
      </c>
      <c r="K6497" s="496">
        <v>41.6</v>
      </c>
      <c r="L6497" s="496">
        <f t="shared" si="81"/>
        <v>17.158069999999995</v>
      </c>
      <c r="M6497" s="337"/>
    </row>
    <row r="6498" spans="1:13" s="71" customFormat="1" ht="26.4" customHeight="1">
      <c r="A6498" s="282">
        <v>70</v>
      </c>
      <c r="B6498" s="534"/>
      <c r="C6498" s="260" t="s">
        <v>8321</v>
      </c>
      <c r="D6498" s="282" t="s">
        <v>3</v>
      </c>
      <c r="E6498" s="260" t="s">
        <v>12637</v>
      </c>
      <c r="F6498" s="406" t="s">
        <v>8322</v>
      </c>
      <c r="G6498" s="371" t="s">
        <v>1549</v>
      </c>
      <c r="H6498" s="396" t="s">
        <v>1149</v>
      </c>
      <c r="I6498" s="470">
        <v>172.6</v>
      </c>
      <c r="J6498" s="496">
        <v>98.414670000000001</v>
      </c>
      <c r="K6498" s="496">
        <v>69.7</v>
      </c>
      <c r="L6498" s="496">
        <f t="shared" si="81"/>
        <v>28.714669999999998</v>
      </c>
      <c r="M6498" s="337"/>
    </row>
    <row r="6499" spans="1:13" s="71" customFormat="1" ht="26.4" customHeight="1">
      <c r="A6499" s="282">
        <v>71</v>
      </c>
      <c r="B6499" s="534"/>
      <c r="C6499" s="260" t="s">
        <v>8323</v>
      </c>
      <c r="D6499" s="282" t="s">
        <v>3</v>
      </c>
      <c r="E6499" s="260" t="s">
        <v>13177</v>
      </c>
      <c r="F6499" s="406" t="s">
        <v>8324</v>
      </c>
      <c r="G6499" s="371" t="s">
        <v>1549</v>
      </c>
      <c r="H6499" s="396" t="s">
        <v>1149</v>
      </c>
      <c r="I6499" s="470">
        <v>172.6</v>
      </c>
      <c r="J6499" s="496">
        <v>60.273099999999999</v>
      </c>
      <c r="K6499" s="496">
        <v>42.7</v>
      </c>
      <c r="L6499" s="496">
        <f t="shared" si="81"/>
        <v>17.573099999999997</v>
      </c>
      <c r="M6499" s="337"/>
    </row>
    <row r="6500" spans="1:13" s="71" customFormat="1" ht="26.4" customHeight="1">
      <c r="A6500" s="282">
        <v>72</v>
      </c>
      <c r="B6500" s="534"/>
      <c r="C6500" s="260" t="s">
        <v>8325</v>
      </c>
      <c r="D6500" s="282" t="s">
        <v>3</v>
      </c>
      <c r="E6500" s="260" t="s">
        <v>8326</v>
      </c>
      <c r="F6500" s="387">
        <v>10027</v>
      </c>
      <c r="G6500" s="371" t="s">
        <v>1556</v>
      </c>
      <c r="H6500" s="396" t="s">
        <v>1149</v>
      </c>
      <c r="I6500" s="470">
        <v>503</v>
      </c>
      <c r="J6500" s="496">
        <v>293.7</v>
      </c>
      <c r="K6500" s="496">
        <v>101.8</v>
      </c>
      <c r="L6500" s="496">
        <f t="shared" si="81"/>
        <v>191.89999999999998</v>
      </c>
      <c r="M6500" s="337"/>
    </row>
    <row r="6501" spans="1:13" s="71" customFormat="1" ht="26.4" customHeight="1">
      <c r="A6501" s="282">
        <v>73</v>
      </c>
      <c r="B6501" s="534"/>
      <c r="C6501" s="260" t="s">
        <v>8327</v>
      </c>
      <c r="D6501" s="282" t="s">
        <v>3</v>
      </c>
      <c r="E6501" s="260" t="s">
        <v>8328</v>
      </c>
      <c r="F6501" s="404">
        <v>20270</v>
      </c>
      <c r="G6501" s="371" t="s">
        <v>1584</v>
      </c>
      <c r="H6501" s="396" t="s">
        <v>8329</v>
      </c>
      <c r="I6501" s="473">
        <v>34.299999999999997</v>
      </c>
      <c r="J6501" s="496">
        <v>99.129199999999997</v>
      </c>
      <c r="K6501" s="496">
        <v>78.5</v>
      </c>
      <c r="L6501" s="496">
        <f t="shared" si="81"/>
        <v>20.629199999999997</v>
      </c>
      <c r="M6501" s="337"/>
    </row>
    <row r="6502" spans="1:13" s="71" customFormat="1" ht="26.4" customHeight="1">
      <c r="A6502" s="282">
        <v>74</v>
      </c>
      <c r="B6502" s="534"/>
      <c r="C6502" s="260" t="s">
        <v>8327</v>
      </c>
      <c r="D6502" s="282" t="s">
        <v>3</v>
      </c>
      <c r="E6502" s="260" t="s">
        <v>13178</v>
      </c>
      <c r="F6502" s="406" t="s">
        <v>8330</v>
      </c>
      <c r="G6502" s="371" t="s">
        <v>1584</v>
      </c>
      <c r="H6502" s="396" t="s">
        <v>1149</v>
      </c>
      <c r="I6502" s="470">
        <v>214</v>
      </c>
      <c r="J6502" s="496">
        <v>102.20224</v>
      </c>
      <c r="K6502" s="496">
        <v>91.9</v>
      </c>
      <c r="L6502" s="496">
        <f t="shared" si="81"/>
        <v>10.302239999999998</v>
      </c>
      <c r="M6502" s="337"/>
    </row>
    <row r="6503" spans="1:13" s="71" customFormat="1" ht="26.4" customHeight="1">
      <c r="A6503" s="282">
        <v>75</v>
      </c>
      <c r="B6503" s="534"/>
      <c r="C6503" s="260" t="s">
        <v>8327</v>
      </c>
      <c r="D6503" s="282" t="s">
        <v>3</v>
      </c>
      <c r="E6503" s="260" t="s">
        <v>8331</v>
      </c>
      <c r="F6503" s="404">
        <v>20298</v>
      </c>
      <c r="G6503" s="318" t="s">
        <v>8332</v>
      </c>
      <c r="H6503" s="407" t="s">
        <v>8275</v>
      </c>
      <c r="I6503" s="470">
        <v>2.96</v>
      </c>
      <c r="J6503" s="496">
        <v>5524.8102399999998</v>
      </c>
      <c r="K6503" s="496">
        <v>5247</v>
      </c>
      <c r="L6503" s="496">
        <f t="shared" si="81"/>
        <v>277.81023999999979</v>
      </c>
      <c r="M6503" s="337"/>
    </row>
    <row r="6504" spans="1:13" s="71" customFormat="1" ht="26.4" customHeight="1">
      <c r="A6504" s="282">
        <v>76</v>
      </c>
      <c r="B6504" s="534"/>
      <c r="C6504" s="260" t="s">
        <v>8319</v>
      </c>
      <c r="D6504" s="282" t="s">
        <v>3</v>
      </c>
      <c r="E6504" s="260" t="s">
        <v>8333</v>
      </c>
      <c r="F6504" s="404">
        <v>20268</v>
      </c>
      <c r="G6504" s="371" t="s">
        <v>1584</v>
      </c>
      <c r="H6504" s="396" t="s">
        <v>631</v>
      </c>
      <c r="I6504" s="473">
        <v>72.5</v>
      </c>
      <c r="J6504" s="496">
        <v>369.01508000000001</v>
      </c>
      <c r="K6504" s="496">
        <v>286.7</v>
      </c>
      <c r="L6504" s="496">
        <f t="shared" si="81"/>
        <v>82.315080000000023</v>
      </c>
      <c r="M6504" s="337"/>
    </row>
    <row r="6505" spans="1:13" s="71" customFormat="1" ht="26.4" customHeight="1">
      <c r="A6505" s="282">
        <v>77</v>
      </c>
      <c r="B6505" s="534"/>
      <c r="C6505" s="260" t="s">
        <v>8319</v>
      </c>
      <c r="D6505" s="282" t="s">
        <v>3</v>
      </c>
      <c r="E6505" s="260" t="s">
        <v>13179</v>
      </c>
      <c r="F6505" s="406" t="s">
        <v>8334</v>
      </c>
      <c r="G6505" s="371" t="s">
        <v>1584</v>
      </c>
      <c r="H6505" s="396" t="s">
        <v>1149</v>
      </c>
      <c r="I6505" s="470">
        <v>87.5</v>
      </c>
      <c r="J6505" s="496">
        <v>31.446860000000001</v>
      </c>
      <c r="K6505" s="496">
        <v>28.3</v>
      </c>
      <c r="L6505" s="496">
        <f t="shared" si="81"/>
        <v>3.1468600000000002</v>
      </c>
      <c r="M6505" s="337"/>
    </row>
    <row r="6506" spans="1:13" s="71" customFormat="1" ht="26.4" customHeight="1">
      <c r="A6506" s="282">
        <v>78</v>
      </c>
      <c r="B6506" s="534"/>
      <c r="C6506" s="260" t="s">
        <v>8319</v>
      </c>
      <c r="D6506" s="282" t="s">
        <v>3</v>
      </c>
      <c r="E6506" s="441" t="s">
        <v>8335</v>
      </c>
      <c r="F6506" s="404">
        <v>20299</v>
      </c>
      <c r="G6506" s="371" t="s">
        <v>1584</v>
      </c>
      <c r="H6506" s="396" t="s">
        <v>8275</v>
      </c>
      <c r="I6506" s="470">
        <v>1.88</v>
      </c>
      <c r="J6506" s="496">
        <v>2860.5848299999998</v>
      </c>
      <c r="K6506" s="496">
        <v>2613.4</v>
      </c>
      <c r="L6506" s="496">
        <f t="shared" si="81"/>
        <v>247.18482999999969</v>
      </c>
      <c r="M6506" s="337"/>
    </row>
    <row r="6507" spans="1:13" s="71" customFormat="1" ht="26.4" customHeight="1">
      <c r="A6507" s="282">
        <v>79</v>
      </c>
      <c r="B6507" s="534"/>
      <c r="C6507" s="260" t="s">
        <v>8319</v>
      </c>
      <c r="D6507" s="282" t="s">
        <v>3</v>
      </c>
      <c r="E6507" s="441" t="s">
        <v>8335</v>
      </c>
      <c r="F6507" s="404">
        <v>20300</v>
      </c>
      <c r="G6507" s="371" t="s">
        <v>1543</v>
      </c>
      <c r="H6507" s="396" t="s">
        <v>8275</v>
      </c>
      <c r="I6507" s="470">
        <v>1.98</v>
      </c>
      <c r="J6507" s="496">
        <v>3765.4318400000002</v>
      </c>
      <c r="K6507" s="496">
        <v>3524.3</v>
      </c>
      <c r="L6507" s="496">
        <f t="shared" si="81"/>
        <v>241.13184000000001</v>
      </c>
      <c r="M6507" s="337"/>
    </row>
    <row r="6508" spans="1:13" s="71" customFormat="1" ht="26.4" customHeight="1">
      <c r="A6508" s="282">
        <v>80</v>
      </c>
      <c r="B6508" s="534"/>
      <c r="C6508" s="260" t="s">
        <v>8319</v>
      </c>
      <c r="D6508" s="282" t="s">
        <v>3</v>
      </c>
      <c r="E6508" s="260" t="s">
        <v>13180</v>
      </c>
      <c r="F6508" s="406" t="s">
        <v>8336</v>
      </c>
      <c r="G6508" s="311"/>
      <c r="H6508" s="396" t="s">
        <v>1149</v>
      </c>
      <c r="I6508" s="470">
        <v>62</v>
      </c>
      <c r="J6508" s="497" t="s">
        <v>3</v>
      </c>
      <c r="K6508" s="497" t="s">
        <v>3</v>
      </c>
      <c r="L6508" s="496">
        <v>0</v>
      </c>
      <c r="M6508" s="337"/>
    </row>
    <row r="6509" spans="1:13" s="71" customFormat="1" ht="26.4" customHeight="1">
      <c r="A6509" s="282">
        <v>81</v>
      </c>
      <c r="B6509" s="534"/>
      <c r="C6509" s="260" t="s">
        <v>8321</v>
      </c>
      <c r="D6509" s="282" t="s">
        <v>3</v>
      </c>
      <c r="E6509" s="441" t="s">
        <v>8337</v>
      </c>
      <c r="F6509" s="404">
        <v>20267</v>
      </c>
      <c r="G6509" s="371" t="s">
        <v>1584</v>
      </c>
      <c r="H6509" s="396" t="s">
        <v>8329</v>
      </c>
      <c r="I6509" s="473">
        <v>72.5</v>
      </c>
      <c r="J6509" s="496">
        <v>412.54728</v>
      </c>
      <c r="K6509" s="496">
        <v>330.8</v>
      </c>
      <c r="L6509" s="496">
        <f t="shared" ref="L6509:L6572" si="82">J6509-K6509</f>
        <v>81.747279999999989</v>
      </c>
      <c r="M6509" s="337"/>
    </row>
    <row r="6510" spans="1:13" s="71" customFormat="1" ht="26.4" customHeight="1">
      <c r="A6510" s="282">
        <v>82</v>
      </c>
      <c r="B6510" s="534"/>
      <c r="C6510" s="260" t="s">
        <v>8321</v>
      </c>
      <c r="D6510" s="282" t="s">
        <v>3</v>
      </c>
      <c r="E6510" s="441" t="s">
        <v>8338</v>
      </c>
      <c r="F6510" s="404">
        <v>20294</v>
      </c>
      <c r="G6510" s="371" t="s">
        <v>1584</v>
      </c>
      <c r="H6510" s="396" t="s">
        <v>8329</v>
      </c>
      <c r="I6510" s="470">
        <v>69</v>
      </c>
      <c r="J6510" s="496">
        <v>35.811770000000003</v>
      </c>
      <c r="K6510" s="496">
        <v>32.799999999999997</v>
      </c>
      <c r="L6510" s="496">
        <f t="shared" si="82"/>
        <v>3.0117700000000056</v>
      </c>
      <c r="M6510" s="337"/>
    </row>
    <row r="6511" spans="1:13" s="71" customFormat="1" ht="26.4" customHeight="1">
      <c r="A6511" s="282">
        <v>83</v>
      </c>
      <c r="B6511" s="534"/>
      <c r="C6511" s="260" t="s">
        <v>8321</v>
      </c>
      <c r="D6511" s="282" t="s">
        <v>3</v>
      </c>
      <c r="E6511" s="441" t="s">
        <v>8339</v>
      </c>
      <c r="F6511" s="404">
        <v>20295</v>
      </c>
      <c r="G6511" s="371" t="s">
        <v>1584</v>
      </c>
      <c r="H6511" s="396" t="s">
        <v>8329</v>
      </c>
      <c r="I6511" s="470">
        <v>34.299999999999997</v>
      </c>
      <c r="J6511" s="496">
        <v>21.838740000000001</v>
      </c>
      <c r="K6511" s="496">
        <v>20</v>
      </c>
      <c r="L6511" s="496">
        <f t="shared" si="82"/>
        <v>1.8387400000000014</v>
      </c>
      <c r="M6511" s="337"/>
    </row>
    <row r="6512" spans="1:13" s="71" customFormat="1" ht="26.4" customHeight="1">
      <c r="A6512" s="282">
        <v>84</v>
      </c>
      <c r="B6512" s="534"/>
      <c r="C6512" s="260" t="s">
        <v>8321</v>
      </c>
      <c r="D6512" s="282" t="s">
        <v>3</v>
      </c>
      <c r="E6512" s="260" t="s">
        <v>12638</v>
      </c>
      <c r="F6512" s="406" t="s">
        <v>8340</v>
      </c>
      <c r="G6512" s="371" t="s">
        <v>1584</v>
      </c>
      <c r="H6512" s="396" t="s">
        <v>1149</v>
      </c>
      <c r="I6512" s="470">
        <v>87.5</v>
      </c>
      <c r="J6512" s="496">
        <v>57</v>
      </c>
      <c r="K6512" s="496">
        <v>28.4</v>
      </c>
      <c r="L6512" s="496">
        <f t="shared" si="82"/>
        <v>28.6</v>
      </c>
      <c r="M6512" s="337"/>
    </row>
    <row r="6513" spans="1:13" s="71" customFormat="1" ht="26.4" customHeight="1">
      <c r="A6513" s="282">
        <v>85</v>
      </c>
      <c r="B6513" s="534"/>
      <c r="C6513" s="260" t="s">
        <v>8321</v>
      </c>
      <c r="D6513" s="282" t="s">
        <v>3</v>
      </c>
      <c r="E6513" s="441" t="s">
        <v>8341</v>
      </c>
      <c r="F6513" s="404">
        <v>20301</v>
      </c>
      <c r="G6513" s="318" t="s">
        <v>8332</v>
      </c>
      <c r="H6513" s="396" t="s">
        <v>8329</v>
      </c>
      <c r="I6513" s="470">
        <v>2.4300000000000002</v>
      </c>
      <c r="J6513" s="496">
        <v>4479.5320700000002</v>
      </c>
      <c r="K6513" s="496">
        <v>3920.2</v>
      </c>
      <c r="L6513" s="496">
        <f t="shared" si="82"/>
        <v>559.33207000000039</v>
      </c>
      <c r="M6513" s="337"/>
    </row>
    <row r="6514" spans="1:13" s="71" customFormat="1" ht="26.4" customHeight="1">
      <c r="A6514" s="282">
        <v>86</v>
      </c>
      <c r="B6514" s="534"/>
      <c r="C6514" s="260" t="s">
        <v>8323</v>
      </c>
      <c r="D6514" s="282" t="s">
        <v>3</v>
      </c>
      <c r="E6514" s="441" t="s">
        <v>8342</v>
      </c>
      <c r="F6514" s="404">
        <v>20271</v>
      </c>
      <c r="G6514" s="371" t="s">
        <v>1584</v>
      </c>
      <c r="H6514" s="396" t="s">
        <v>8329</v>
      </c>
      <c r="I6514" s="473">
        <v>34.299999999999997</v>
      </c>
      <c r="J6514" s="496">
        <v>99.129199999999997</v>
      </c>
      <c r="K6514" s="496">
        <v>78.5</v>
      </c>
      <c r="L6514" s="496">
        <f t="shared" si="82"/>
        <v>20.629199999999997</v>
      </c>
      <c r="M6514" s="337"/>
    </row>
    <row r="6515" spans="1:13" s="71" customFormat="1" ht="26.4" customHeight="1">
      <c r="A6515" s="282">
        <v>87</v>
      </c>
      <c r="B6515" s="534"/>
      <c r="C6515" s="260" t="s">
        <v>8343</v>
      </c>
      <c r="D6515" s="282" t="s">
        <v>3</v>
      </c>
      <c r="E6515" s="441" t="s">
        <v>8344</v>
      </c>
      <c r="F6515" s="404">
        <v>20296</v>
      </c>
      <c r="G6515" s="371" t="s">
        <v>1584</v>
      </c>
      <c r="H6515" s="396" t="s">
        <v>8329</v>
      </c>
      <c r="I6515" s="470">
        <v>34.299999999999997</v>
      </c>
      <c r="J6515" s="496">
        <v>21.838740000000001</v>
      </c>
      <c r="K6515" s="496">
        <v>20</v>
      </c>
      <c r="L6515" s="496">
        <f t="shared" si="82"/>
        <v>1.8387400000000014</v>
      </c>
      <c r="M6515" s="337"/>
    </row>
    <row r="6516" spans="1:13" s="71" customFormat="1" ht="26.4" customHeight="1">
      <c r="A6516" s="282">
        <v>88</v>
      </c>
      <c r="B6516" s="534"/>
      <c r="C6516" s="260" t="s">
        <v>8343</v>
      </c>
      <c r="D6516" s="282" t="s">
        <v>3</v>
      </c>
      <c r="E6516" s="441" t="s">
        <v>8345</v>
      </c>
      <c r="F6516" s="404">
        <v>20297</v>
      </c>
      <c r="G6516" s="371" t="s">
        <v>1584</v>
      </c>
      <c r="H6516" s="396" t="s">
        <v>8329</v>
      </c>
      <c r="I6516" s="470">
        <v>35.200000000000003</v>
      </c>
      <c r="J6516" s="496">
        <v>22.412040000000001</v>
      </c>
      <c r="K6516" s="496">
        <v>20.6</v>
      </c>
      <c r="L6516" s="496">
        <f t="shared" si="82"/>
        <v>1.8120399999999997</v>
      </c>
      <c r="M6516" s="337"/>
    </row>
    <row r="6517" spans="1:13" s="71" customFormat="1" ht="26.4" customHeight="1">
      <c r="A6517" s="282">
        <v>89</v>
      </c>
      <c r="B6517" s="534"/>
      <c r="C6517" s="260" t="s">
        <v>8346</v>
      </c>
      <c r="D6517" s="282" t="s">
        <v>3</v>
      </c>
      <c r="E6517" s="260" t="s">
        <v>8347</v>
      </c>
      <c r="F6517" s="406" t="s">
        <v>8348</v>
      </c>
      <c r="G6517" s="371" t="s">
        <v>1584</v>
      </c>
      <c r="H6517" s="396" t="s">
        <v>1149</v>
      </c>
      <c r="I6517" s="470">
        <v>87.5</v>
      </c>
      <c r="J6517" s="496">
        <v>64.599999999999994</v>
      </c>
      <c r="K6517" s="496">
        <v>28.4</v>
      </c>
      <c r="L6517" s="496">
        <f t="shared" si="82"/>
        <v>36.199999999999996</v>
      </c>
      <c r="M6517" s="337"/>
    </row>
    <row r="6518" spans="1:13" s="71" customFormat="1" ht="26.4" customHeight="1">
      <c r="A6518" s="282">
        <v>90</v>
      </c>
      <c r="B6518" s="534"/>
      <c r="C6518" s="260" t="s">
        <v>8323</v>
      </c>
      <c r="D6518" s="282" t="s">
        <v>3</v>
      </c>
      <c r="E6518" s="441" t="s">
        <v>8349</v>
      </c>
      <c r="F6518" s="404">
        <v>20302</v>
      </c>
      <c r="G6518" s="318" t="s">
        <v>8332</v>
      </c>
      <c r="H6518" s="396" t="s">
        <v>631</v>
      </c>
      <c r="I6518" s="470">
        <v>1.1000000000000001</v>
      </c>
      <c r="J6518" s="496">
        <v>3138.21729</v>
      </c>
      <c r="K6518" s="496">
        <v>2735.3</v>
      </c>
      <c r="L6518" s="496">
        <f t="shared" si="82"/>
        <v>402.91728999999987</v>
      </c>
      <c r="M6518" s="337"/>
    </row>
    <row r="6519" spans="1:13" s="71" customFormat="1" ht="26.4" customHeight="1">
      <c r="A6519" s="282">
        <v>91</v>
      </c>
      <c r="B6519" s="534"/>
      <c r="C6519" s="260" t="s">
        <v>8350</v>
      </c>
      <c r="D6519" s="282" t="s">
        <v>3</v>
      </c>
      <c r="E6519" s="441" t="s">
        <v>8351</v>
      </c>
      <c r="F6519" s="404">
        <v>20303</v>
      </c>
      <c r="G6519" s="318" t="s">
        <v>8332</v>
      </c>
      <c r="H6519" s="396" t="s">
        <v>631</v>
      </c>
      <c r="I6519" s="470">
        <v>0.46</v>
      </c>
      <c r="J6519" s="496">
        <v>1886.07016</v>
      </c>
      <c r="K6519" s="496">
        <v>1614.2</v>
      </c>
      <c r="L6519" s="496">
        <f t="shared" si="82"/>
        <v>271.87015999999994</v>
      </c>
      <c r="M6519" s="337"/>
    </row>
    <row r="6520" spans="1:13" s="71" customFormat="1" ht="26.4" customHeight="1">
      <c r="A6520" s="282">
        <v>92</v>
      </c>
      <c r="B6520" s="534"/>
      <c r="C6520" s="260" t="s">
        <v>8319</v>
      </c>
      <c r="D6520" s="282" t="s">
        <v>3</v>
      </c>
      <c r="E6520" s="441" t="s">
        <v>8352</v>
      </c>
      <c r="F6520" s="404">
        <v>20286</v>
      </c>
      <c r="G6520" s="371" t="s">
        <v>1584</v>
      </c>
      <c r="H6520" s="396" t="s">
        <v>631</v>
      </c>
      <c r="I6520" s="470">
        <v>36</v>
      </c>
      <c r="J6520" s="496">
        <v>22.921800000000001</v>
      </c>
      <c r="K6520" s="496">
        <v>21.1</v>
      </c>
      <c r="L6520" s="496">
        <f t="shared" si="82"/>
        <v>1.8217999999999996</v>
      </c>
      <c r="M6520" s="337"/>
    </row>
    <row r="6521" spans="1:13" s="71" customFormat="1" ht="26.4" customHeight="1">
      <c r="A6521" s="282">
        <v>93</v>
      </c>
      <c r="B6521" s="534"/>
      <c r="C6521" s="260" t="s">
        <v>8319</v>
      </c>
      <c r="D6521" s="282" t="s">
        <v>3</v>
      </c>
      <c r="E6521" s="441" t="s">
        <v>8353</v>
      </c>
      <c r="F6521" s="404">
        <v>20287</v>
      </c>
      <c r="G6521" s="371" t="s">
        <v>1584</v>
      </c>
      <c r="H6521" s="396" t="s">
        <v>631</v>
      </c>
      <c r="I6521" s="470">
        <v>36</v>
      </c>
      <c r="J6521" s="496">
        <v>22.921800000000001</v>
      </c>
      <c r="K6521" s="496">
        <v>21.1</v>
      </c>
      <c r="L6521" s="496">
        <f t="shared" si="82"/>
        <v>1.8217999999999996</v>
      </c>
      <c r="M6521" s="337"/>
    </row>
    <row r="6522" spans="1:13" s="71" customFormat="1" ht="26.4" customHeight="1">
      <c r="A6522" s="282">
        <v>94</v>
      </c>
      <c r="B6522" s="534"/>
      <c r="C6522" s="260" t="s">
        <v>8319</v>
      </c>
      <c r="D6522" s="282" t="s">
        <v>3</v>
      </c>
      <c r="E6522" s="441" t="s">
        <v>8354</v>
      </c>
      <c r="F6522" s="404">
        <v>20269</v>
      </c>
      <c r="G6522" s="371" t="s">
        <v>1584</v>
      </c>
      <c r="H6522" s="396" t="s">
        <v>631</v>
      </c>
      <c r="I6522" s="473">
        <v>34.299999999999997</v>
      </c>
      <c r="J6522" s="496">
        <v>99.129199999999997</v>
      </c>
      <c r="K6522" s="496">
        <v>78.5</v>
      </c>
      <c r="L6522" s="496">
        <f t="shared" si="82"/>
        <v>20.629199999999997</v>
      </c>
      <c r="M6522" s="337"/>
    </row>
    <row r="6523" spans="1:13" s="71" customFormat="1" ht="26.4" customHeight="1">
      <c r="A6523" s="282">
        <v>95</v>
      </c>
      <c r="B6523" s="534"/>
      <c r="C6523" s="260" t="s">
        <v>8319</v>
      </c>
      <c r="D6523" s="282" t="s">
        <v>3</v>
      </c>
      <c r="E6523" s="260" t="s">
        <v>8355</v>
      </c>
      <c r="F6523" s="387">
        <v>20309</v>
      </c>
      <c r="G6523" s="371" t="s">
        <v>1584</v>
      </c>
      <c r="H6523" s="396" t="s">
        <v>1149</v>
      </c>
      <c r="I6523" s="470">
        <v>80.64</v>
      </c>
      <c r="J6523" s="496">
        <v>739.59434999999996</v>
      </c>
      <c r="K6523" s="496">
        <v>639.9</v>
      </c>
      <c r="L6523" s="496">
        <f t="shared" si="82"/>
        <v>99.694349999999986</v>
      </c>
      <c r="M6523" s="337"/>
    </row>
    <row r="6524" spans="1:13" s="71" customFormat="1" ht="26.4" customHeight="1">
      <c r="A6524" s="282">
        <v>96</v>
      </c>
      <c r="B6524" s="534"/>
      <c r="C6524" s="260" t="s">
        <v>8319</v>
      </c>
      <c r="D6524" s="282" t="s">
        <v>3</v>
      </c>
      <c r="E6524" s="441" t="s">
        <v>8356</v>
      </c>
      <c r="F6524" s="404">
        <v>20288</v>
      </c>
      <c r="G6524" s="371" t="s">
        <v>1584</v>
      </c>
      <c r="H6524" s="396" t="s">
        <v>631</v>
      </c>
      <c r="I6524" s="470">
        <v>36</v>
      </c>
      <c r="J6524" s="496">
        <v>22.921800000000001</v>
      </c>
      <c r="K6524" s="496">
        <v>21.1</v>
      </c>
      <c r="L6524" s="496">
        <f t="shared" si="82"/>
        <v>1.8217999999999996</v>
      </c>
      <c r="M6524" s="337"/>
    </row>
    <row r="6525" spans="1:13" s="71" customFormat="1" ht="26.4" customHeight="1">
      <c r="A6525" s="282">
        <v>97</v>
      </c>
      <c r="B6525" s="534"/>
      <c r="C6525" s="260" t="s">
        <v>8319</v>
      </c>
      <c r="D6525" s="282" t="s">
        <v>3</v>
      </c>
      <c r="E6525" s="441" t="s">
        <v>8357</v>
      </c>
      <c r="F6525" s="404">
        <v>20289</v>
      </c>
      <c r="G6525" s="371" t="s">
        <v>1584</v>
      </c>
      <c r="H6525" s="396" t="s">
        <v>631</v>
      </c>
      <c r="I6525" s="470">
        <v>36</v>
      </c>
      <c r="J6525" s="496">
        <v>22.921800000000001</v>
      </c>
      <c r="K6525" s="496">
        <v>21.1</v>
      </c>
      <c r="L6525" s="496">
        <f t="shared" si="82"/>
        <v>1.8217999999999996</v>
      </c>
      <c r="M6525" s="337"/>
    </row>
    <row r="6526" spans="1:13" s="71" customFormat="1" ht="26.4" customHeight="1">
      <c r="A6526" s="282">
        <v>98</v>
      </c>
      <c r="B6526" s="534"/>
      <c r="C6526" s="260" t="s">
        <v>8319</v>
      </c>
      <c r="D6526" s="282" t="s">
        <v>3</v>
      </c>
      <c r="E6526" s="441" t="s">
        <v>8358</v>
      </c>
      <c r="F6526" s="404">
        <v>20290</v>
      </c>
      <c r="G6526" s="371" t="s">
        <v>1584</v>
      </c>
      <c r="H6526" s="396" t="s">
        <v>631</v>
      </c>
      <c r="I6526" s="470">
        <v>36</v>
      </c>
      <c r="J6526" s="496">
        <v>22.921800000000001</v>
      </c>
      <c r="K6526" s="496">
        <v>21.1</v>
      </c>
      <c r="L6526" s="496">
        <f t="shared" si="82"/>
        <v>1.8217999999999996</v>
      </c>
      <c r="M6526" s="337"/>
    </row>
    <row r="6527" spans="1:13" s="71" customFormat="1" ht="26.4" customHeight="1">
      <c r="A6527" s="282">
        <v>99</v>
      </c>
      <c r="B6527" s="534"/>
      <c r="C6527" s="260" t="s">
        <v>8319</v>
      </c>
      <c r="D6527" s="282" t="s">
        <v>3</v>
      </c>
      <c r="E6527" s="441" t="s">
        <v>8359</v>
      </c>
      <c r="F6527" s="404">
        <v>20291</v>
      </c>
      <c r="G6527" s="371" t="s">
        <v>1584</v>
      </c>
      <c r="H6527" s="396" t="s">
        <v>631</v>
      </c>
      <c r="I6527" s="470">
        <v>36</v>
      </c>
      <c r="J6527" s="496">
        <v>22.921800000000001</v>
      </c>
      <c r="K6527" s="496">
        <v>21.1</v>
      </c>
      <c r="L6527" s="496">
        <f t="shared" si="82"/>
        <v>1.8217999999999996</v>
      </c>
      <c r="M6527" s="337"/>
    </row>
    <row r="6528" spans="1:13" s="71" customFormat="1" ht="26.4" customHeight="1">
      <c r="A6528" s="282">
        <v>100</v>
      </c>
      <c r="B6528" s="534"/>
      <c r="C6528" s="260" t="s">
        <v>8319</v>
      </c>
      <c r="D6528" s="282" t="s">
        <v>3</v>
      </c>
      <c r="E6528" s="441" t="s">
        <v>8360</v>
      </c>
      <c r="F6528" s="404">
        <v>20292</v>
      </c>
      <c r="G6528" s="371" t="s">
        <v>1584</v>
      </c>
      <c r="H6528" s="396" t="s">
        <v>631</v>
      </c>
      <c r="I6528" s="470">
        <v>36</v>
      </c>
      <c r="J6528" s="496">
        <v>22.921800000000001</v>
      </c>
      <c r="K6528" s="496">
        <v>21.1</v>
      </c>
      <c r="L6528" s="496">
        <f t="shared" si="82"/>
        <v>1.8217999999999996</v>
      </c>
      <c r="M6528" s="337"/>
    </row>
    <row r="6529" spans="1:13" s="71" customFormat="1" ht="26.4" customHeight="1">
      <c r="A6529" s="282">
        <v>101</v>
      </c>
      <c r="B6529" s="534"/>
      <c r="C6529" s="260" t="s">
        <v>8319</v>
      </c>
      <c r="D6529" s="282" t="s">
        <v>3</v>
      </c>
      <c r="E6529" s="260" t="s">
        <v>8361</v>
      </c>
      <c r="F6529" s="387">
        <v>20310</v>
      </c>
      <c r="G6529" s="371" t="s">
        <v>1584</v>
      </c>
      <c r="H6529" s="396" t="s">
        <v>631</v>
      </c>
      <c r="I6529" s="470">
        <v>80.64</v>
      </c>
      <c r="J6529" s="496">
        <v>603.65233999999998</v>
      </c>
      <c r="K6529" s="496">
        <v>523.70000000000005</v>
      </c>
      <c r="L6529" s="496">
        <f t="shared" si="82"/>
        <v>79.952339999999936</v>
      </c>
      <c r="M6529" s="337"/>
    </row>
    <row r="6530" spans="1:13" s="71" customFormat="1" ht="26.4" customHeight="1">
      <c r="A6530" s="282">
        <v>102</v>
      </c>
      <c r="B6530" s="534"/>
      <c r="C6530" s="260" t="s">
        <v>8319</v>
      </c>
      <c r="D6530" s="282" t="s">
        <v>3</v>
      </c>
      <c r="E6530" s="441" t="s">
        <v>8362</v>
      </c>
      <c r="F6530" s="404">
        <v>20293</v>
      </c>
      <c r="G6530" s="371" t="s">
        <v>1584</v>
      </c>
      <c r="H6530" s="396" t="s">
        <v>631</v>
      </c>
      <c r="I6530" s="470">
        <v>36</v>
      </c>
      <c r="J6530" s="496">
        <v>22.921800000000001</v>
      </c>
      <c r="K6530" s="496">
        <v>21.1</v>
      </c>
      <c r="L6530" s="496">
        <f t="shared" si="82"/>
        <v>1.8217999999999996</v>
      </c>
      <c r="M6530" s="337"/>
    </row>
    <row r="6531" spans="1:13" s="71" customFormat="1" ht="26.4">
      <c r="A6531" s="282">
        <v>103</v>
      </c>
      <c r="B6531" s="534"/>
      <c r="C6531" s="260" t="s">
        <v>12807</v>
      </c>
      <c r="D6531" s="282" t="s">
        <v>3</v>
      </c>
      <c r="E6531" s="441" t="s">
        <v>8363</v>
      </c>
      <c r="F6531" s="404">
        <v>20167</v>
      </c>
      <c r="G6531" s="371" t="s">
        <v>1584</v>
      </c>
      <c r="H6531" s="407" t="s">
        <v>8275</v>
      </c>
      <c r="I6531" s="470">
        <v>17.36</v>
      </c>
      <c r="J6531" s="497">
        <v>25390.225480000001</v>
      </c>
      <c r="K6531" s="497">
        <v>19695.885979999999</v>
      </c>
      <c r="L6531" s="496">
        <f t="shared" si="82"/>
        <v>5694.3395000000019</v>
      </c>
      <c r="M6531" s="337"/>
    </row>
    <row r="6532" spans="1:13" s="71" customFormat="1" ht="26.4" customHeight="1">
      <c r="A6532" s="282">
        <v>104</v>
      </c>
      <c r="B6532" s="534"/>
      <c r="C6532" s="260" t="s">
        <v>12808</v>
      </c>
      <c r="D6532" s="282" t="s">
        <v>3</v>
      </c>
      <c r="E6532" s="441" t="s">
        <v>8364</v>
      </c>
      <c r="F6532" s="404">
        <v>20125</v>
      </c>
      <c r="G6532" s="371" t="s">
        <v>1584</v>
      </c>
      <c r="H6532" s="396" t="s">
        <v>1149</v>
      </c>
      <c r="I6532" s="470">
        <v>72300</v>
      </c>
      <c r="J6532" s="496">
        <v>2026.1279500000001</v>
      </c>
      <c r="K6532" s="496">
        <v>1584.2</v>
      </c>
      <c r="L6532" s="496">
        <f t="shared" si="82"/>
        <v>441.92795000000001</v>
      </c>
      <c r="M6532" s="337"/>
    </row>
    <row r="6533" spans="1:13" s="71" customFormat="1" ht="26.4" customHeight="1">
      <c r="A6533" s="282">
        <v>105</v>
      </c>
      <c r="B6533" s="534"/>
      <c r="C6533" s="260" t="s">
        <v>12808</v>
      </c>
      <c r="D6533" s="282" t="s">
        <v>3</v>
      </c>
      <c r="E6533" s="441" t="s">
        <v>13301</v>
      </c>
      <c r="F6533" s="404">
        <v>20168</v>
      </c>
      <c r="G6533" s="371" t="s">
        <v>1550</v>
      </c>
      <c r="H6533" s="396" t="s">
        <v>1149</v>
      </c>
      <c r="I6533" s="470">
        <v>4000</v>
      </c>
      <c r="J6533" s="496">
        <v>227.94540000000001</v>
      </c>
      <c r="K6533" s="496">
        <v>218.6</v>
      </c>
      <c r="L6533" s="496">
        <f t="shared" si="82"/>
        <v>9.3454000000000121</v>
      </c>
      <c r="M6533" s="337"/>
    </row>
    <row r="6534" spans="1:13" s="71" customFormat="1" ht="26.4" customHeight="1">
      <c r="A6534" s="282">
        <v>106</v>
      </c>
      <c r="B6534" s="534"/>
      <c r="C6534" s="260" t="s">
        <v>12808</v>
      </c>
      <c r="D6534" s="282" t="s">
        <v>3</v>
      </c>
      <c r="E6534" s="260" t="s">
        <v>8365</v>
      </c>
      <c r="F6534" s="387">
        <v>10004</v>
      </c>
      <c r="G6534" s="371" t="s">
        <v>1584</v>
      </c>
      <c r="H6534" s="396" t="s">
        <v>1149</v>
      </c>
      <c r="I6534" s="470">
        <v>601.70000000000005</v>
      </c>
      <c r="J6534" s="496">
        <v>1714.9856500000001</v>
      </c>
      <c r="K6534" s="496">
        <v>941.1</v>
      </c>
      <c r="L6534" s="496">
        <f t="shared" si="82"/>
        <v>773.88565000000006</v>
      </c>
      <c r="M6534" s="337"/>
    </row>
    <row r="6535" spans="1:13" s="71" customFormat="1" ht="26.4" customHeight="1">
      <c r="A6535" s="282">
        <v>107</v>
      </c>
      <c r="B6535" s="534"/>
      <c r="C6535" s="260" t="s">
        <v>12808</v>
      </c>
      <c r="D6535" s="282" t="s">
        <v>3</v>
      </c>
      <c r="E6535" s="260" t="s">
        <v>8366</v>
      </c>
      <c r="F6535" s="387">
        <v>10061</v>
      </c>
      <c r="G6535" s="371" t="s">
        <v>1550</v>
      </c>
      <c r="H6535" s="396" t="s">
        <v>1149</v>
      </c>
      <c r="I6535" s="470">
        <v>634.4</v>
      </c>
      <c r="J6535" s="496">
        <v>1117.5171499999999</v>
      </c>
      <c r="K6535" s="496">
        <v>708.7</v>
      </c>
      <c r="L6535" s="496">
        <f t="shared" si="82"/>
        <v>408.81714999999986</v>
      </c>
      <c r="M6535" s="337"/>
    </row>
    <row r="6536" spans="1:13" s="71" customFormat="1" ht="26.4" customHeight="1">
      <c r="A6536" s="282">
        <v>108</v>
      </c>
      <c r="B6536" s="534"/>
      <c r="C6536" s="260" t="s">
        <v>12808</v>
      </c>
      <c r="D6536" s="282" t="s">
        <v>3</v>
      </c>
      <c r="E6536" s="260" t="s">
        <v>8367</v>
      </c>
      <c r="F6536" s="404">
        <v>30378</v>
      </c>
      <c r="G6536" s="371" t="s">
        <v>1543</v>
      </c>
      <c r="H6536" s="396" t="s">
        <v>8275</v>
      </c>
      <c r="I6536" s="470">
        <v>6.83</v>
      </c>
      <c r="J6536" s="496">
        <v>3249.1955899999998</v>
      </c>
      <c r="K6536" s="496">
        <v>2064.6</v>
      </c>
      <c r="L6536" s="496">
        <f t="shared" si="82"/>
        <v>1184.5955899999999</v>
      </c>
      <c r="M6536" s="337"/>
    </row>
    <row r="6537" spans="1:13" s="71" customFormat="1" ht="26.4" customHeight="1">
      <c r="A6537" s="282">
        <v>109</v>
      </c>
      <c r="B6537" s="534"/>
      <c r="C6537" s="260" t="s">
        <v>12808</v>
      </c>
      <c r="D6537" s="282" t="s">
        <v>3</v>
      </c>
      <c r="E6537" s="260" t="s">
        <v>8368</v>
      </c>
      <c r="F6537" s="387">
        <v>10063</v>
      </c>
      <c r="G6537" s="371" t="s">
        <v>1549</v>
      </c>
      <c r="H6537" s="396" t="s">
        <v>1149</v>
      </c>
      <c r="I6537" s="470">
        <v>723.1</v>
      </c>
      <c r="J6537" s="496">
        <v>5942.7</v>
      </c>
      <c r="K6537" s="496">
        <v>3338</v>
      </c>
      <c r="L6537" s="496">
        <f t="shared" si="82"/>
        <v>2604.6999999999998</v>
      </c>
      <c r="M6537" s="337"/>
    </row>
    <row r="6538" spans="1:13" s="71" customFormat="1" ht="26.4" customHeight="1">
      <c r="A6538" s="282">
        <v>110</v>
      </c>
      <c r="B6538" s="534"/>
      <c r="C6538" s="260" t="s">
        <v>12808</v>
      </c>
      <c r="D6538" s="282" t="s">
        <v>3</v>
      </c>
      <c r="E6538" s="441" t="s">
        <v>8369</v>
      </c>
      <c r="F6538" s="404" t="s">
        <v>8370</v>
      </c>
      <c r="G6538" s="371" t="s">
        <v>1549</v>
      </c>
      <c r="H6538" s="396" t="s">
        <v>8275</v>
      </c>
      <c r="I6538" s="470" t="s">
        <v>8371</v>
      </c>
      <c r="J6538" s="496">
        <v>9575.6260600000005</v>
      </c>
      <c r="K6538" s="496">
        <v>7435.6</v>
      </c>
      <c r="L6538" s="496">
        <f t="shared" si="82"/>
        <v>2140.0260600000001</v>
      </c>
      <c r="M6538" s="337"/>
    </row>
    <row r="6539" spans="1:13" s="71" customFormat="1" ht="26.4" customHeight="1">
      <c r="A6539" s="282">
        <v>111</v>
      </c>
      <c r="B6539" s="534"/>
      <c r="C6539" s="260" t="s">
        <v>12808</v>
      </c>
      <c r="D6539" s="282" t="s">
        <v>3</v>
      </c>
      <c r="E6539" s="441" t="s">
        <v>8372</v>
      </c>
      <c r="F6539" s="404">
        <v>30412</v>
      </c>
      <c r="G6539" s="371" t="s">
        <v>1542</v>
      </c>
      <c r="H6539" s="396" t="s">
        <v>8275</v>
      </c>
      <c r="I6539" s="470">
        <v>6.06</v>
      </c>
      <c r="J6539" s="496">
        <v>27833.053380000001</v>
      </c>
      <c r="K6539" s="496">
        <v>26457.200000000001</v>
      </c>
      <c r="L6539" s="496">
        <f t="shared" si="82"/>
        <v>1375.8533800000005</v>
      </c>
      <c r="M6539" s="337"/>
    </row>
    <row r="6540" spans="1:13" s="71" customFormat="1" ht="26.4" customHeight="1">
      <c r="A6540" s="282">
        <v>112</v>
      </c>
      <c r="B6540" s="534"/>
      <c r="C6540" s="260" t="s">
        <v>12808</v>
      </c>
      <c r="D6540" s="282" t="s">
        <v>3</v>
      </c>
      <c r="E6540" s="260" t="s">
        <v>8373</v>
      </c>
      <c r="F6540" s="387">
        <v>10003</v>
      </c>
      <c r="G6540" s="371" t="s">
        <v>1561</v>
      </c>
      <c r="H6540" s="396" t="s">
        <v>1149</v>
      </c>
      <c r="I6540" s="470">
        <v>228</v>
      </c>
      <c r="J6540" s="496">
        <v>37.666609999999999</v>
      </c>
      <c r="K6540" s="496">
        <v>34.799999999999997</v>
      </c>
      <c r="L6540" s="496">
        <f t="shared" si="82"/>
        <v>2.8666100000000014</v>
      </c>
      <c r="M6540" s="337"/>
    </row>
    <row r="6541" spans="1:13" s="71" customFormat="1" ht="26.4" customHeight="1">
      <c r="A6541" s="282">
        <v>113</v>
      </c>
      <c r="B6541" s="534"/>
      <c r="C6541" s="260" t="s">
        <v>12808</v>
      </c>
      <c r="D6541" s="282" t="s">
        <v>3</v>
      </c>
      <c r="E6541" s="260" t="s">
        <v>8374</v>
      </c>
      <c r="F6541" s="387">
        <v>10066</v>
      </c>
      <c r="G6541" s="371" t="s">
        <v>1529</v>
      </c>
      <c r="H6541" s="396" t="s">
        <v>1149</v>
      </c>
      <c r="I6541" s="470">
        <v>268.2</v>
      </c>
      <c r="J6541" s="496">
        <v>227.47774999999999</v>
      </c>
      <c r="K6541" s="496">
        <v>204.7</v>
      </c>
      <c r="L6541" s="496">
        <f t="shared" si="82"/>
        <v>22.777749999999997</v>
      </c>
      <c r="M6541" s="337"/>
    </row>
    <row r="6542" spans="1:13" s="71" customFormat="1" ht="26.4" customHeight="1">
      <c r="A6542" s="282">
        <v>114</v>
      </c>
      <c r="B6542" s="534"/>
      <c r="C6542" s="260" t="s">
        <v>12808</v>
      </c>
      <c r="D6542" s="282" t="s">
        <v>3</v>
      </c>
      <c r="E6542" s="260" t="s">
        <v>8375</v>
      </c>
      <c r="F6542" s="387">
        <v>20135</v>
      </c>
      <c r="G6542" s="371" t="s">
        <v>1545</v>
      </c>
      <c r="H6542" s="396" t="s">
        <v>1149</v>
      </c>
      <c r="I6542" s="470">
        <v>124.9</v>
      </c>
      <c r="J6542" s="496">
        <v>218.88306</v>
      </c>
      <c r="K6542" s="496">
        <v>203</v>
      </c>
      <c r="L6542" s="496">
        <f t="shared" si="82"/>
        <v>15.88306</v>
      </c>
      <c r="M6542" s="337"/>
    </row>
    <row r="6543" spans="1:13" s="71" customFormat="1" ht="26.4" customHeight="1">
      <c r="A6543" s="282">
        <v>115</v>
      </c>
      <c r="B6543" s="534"/>
      <c r="C6543" s="260" t="s">
        <v>12808</v>
      </c>
      <c r="D6543" s="282" t="s">
        <v>3</v>
      </c>
      <c r="E6543" s="260" t="s">
        <v>8376</v>
      </c>
      <c r="F6543" s="387">
        <v>20147</v>
      </c>
      <c r="G6543" s="371" t="s">
        <v>1545</v>
      </c>
      <c r="H6543" s="396" t="s">
        <v>1149</v>
      </c>
      <c r="I6543" s="470">
        <v>266.42</v>
      </c>
      <c r="J6543" s="496">
        <v>341.85327000000001</v>
      </c>
      <c r="K6543" s="496">
        <v>317</v>
      </c>
      <c r="L6543" s="496">
        <f t="shared" si="82"/>
        <v>24.853270000000009</v>
      </c>
      <c r="M6543" s="337"/>
    </row>
    <row r="6544" spans="1:13" s="71" customFormat="1" ht="26.4" customHeight="1">
      <c r="A6544" s="282">
        <v>116</v>
      </c>
      <c r="B6544" s="534"/>
      <c r="C6544" s="260" t="s">
        <v>12808</v>
      </c>
      <c r="D6544" s="282" t="s">
        <v>3</v>
      </c>
      <c r="E6544" s="441" t="s">
        <v>13302</v>
      </c>
      <c r="F6544" s="404">
        <v>20119</v>
      </c>
      <c r="G6544" s="371" t="s">
        <v>1545</v>
      </c>
      <c r="H6544" s="396" t="s">
        <v>631</v>
      </c>
      <c r="I6544" s="473">
        <v>34.299999999999997</v>
      </c>
      <c r="J6544" s="496">
        <v>83.65352</v>
      </c>
      <c r="K6544" s="496">
        <v>55.3</v>
      </c>
      <c r="L6544" s="496">
        <f t="shared" si="82"/>
        <v>28.353520000000003</v>
      </c>
      <c r="M6544" s="337"/>
    </row>
    <row r="6545" spans="1:13" s="71" customFormat="1" ht="26.4" customHeight="1">
      <c r="A6545" s="282">
        <v>117</v>
      </c>
      <c r="B6545" s="534"/>
      <c r="C6545" s="260" t="s">
        <v>12808</v>
      </c>
      <c r="D6545" s="282" t="s">
        <v>3</v>
      </c>
      <c r="E6545" s="260" t="s">
        <v>8377</v>
      </c>
      <c r="F6545" s="387">
        <v>20149</v>
      </c>
      <c r="G6545" s="371" t="s">
        <v>1545</v>
      </c>
      <c r="H6545" s="396" t="s">
        <v>1149</v>
      </c>
      <c r="I6545" s="470">
        <v>397.07</v>
      </c>
      <c r="J6545" s="496">
        <v>439.62921</v>
      </c>
      <c r="K6545" s="496">
        <v>428.1</v>
      </c>
      <c r="L6545" s="496">
        <f t="shared" si="82"/>
        <v>11.529209999999978</v>
      </c>
      <c r="M6545" s="337"/>
    </row>
    <row r="6546" spans="1:13" s="71" customFormat="1" ht="26.4" customHeight="1">
      <c r="A6546" s="282">
        <v>118</v>
      </c>
      <c r="B6546" s="534"/>
      <c r="C6546" s="260" t="s">
        <v>12808</v>
      </c>
      <c r="D6546" s="282" t="s">
        <v>3</v>
      </c>
      <c r="E6546" s="260" t="s">
        <v>8378</v>
      </c>
      <c r="F6546" s="387">
        <v>20148</v>
      </c>
      <c r="G6546" s="371" t="s">
        <v>1545</v>
      </c>
      <c r="H6546" s="396" t="s">
        <v>1149</v>
      </c>
      <c r="I6546" s="470">
        <v>266.42</v>
      </c>
      <c r="J6546" s="496">
        <v>341.85327000000001</v>
      </c>
      <c r="K6546" s="496">
        <v>317</v>
      </c>
      <c r="L6546" s="496">
        <f t="shared" si="82"/>
        <v>24.853270000000009</v>
      </c>
      <c r="M6546" s="337"/>
    </row>
    <row r="6547" spans="1:13" s="71" customFormat="1" ht="26.4" customHeight="1">
      <c r="A6547" s="282">
        <v>119</v>
      </c>
      <c r="B6547" s="534"/>
      <c r="C6547" s="260" t="s">
        <v>12808</v>
      </c>
      <c r="D6547" s="282" t="s">
        <v>3</v>
      </c>
      <c r="E6547" s="260" t="s">
        <v>738</v>
      </c>
      <c r="F6547" s="387">
        <v>10081</v>
      </c>
      <c r="G6547" s="371" t="s">
        <v>1536</v>
      </c>
      <c r="H6547" s="396" t="s">
        <v>1149</v>
      </c>
      <c r="I6547" s="470">
        <v>216</v>
      </c>
      <c r="J6547" s="496">
        <v>9.9510000000000005</v>
      </c>
      <c r="K6547" s="496">
        <v>6.9</v>
      </c>
      <c r="L6547" s="496">
        <f t="shared" si="82"/>
        <v>3.0510000000000002</v>
      </c>
      <c r="M6547" s="337"/>
    </row>
    <row r="6548" spans="1:13" s="71" customFormat="1" ht="26.4" customHeight="1">
      <c r="A6548" s="282">
        <v>120</v>
      </c>
      <c r="B6548" s="534"/>
      <c r="C6548" s="260" t="s">
        <v>12808</v>
      </c>
      <c r="D6548" s="282" t="s">
        <v>3</v>
      </c>
      <c r="E6548" s="260" t="s">
        <v>8379</v>
      </c>
      <c r="F6548" s="406" t="s">
        <v>8380</v>
      </c>
      <c r="G6548" s="371" t="s">
        <v>1536</v>
      </c>
      <c r="H6548" s="396" t="s">
        <v>1149</v>
      </c>
      <c r="I6548" s="470">
        <v>336</v>
      </c>
      <c r="J6548" s="496">
        <v>37.290999999999997</v>
      </c>
      <c r="K6548" s="496">
        <v>25.9</v>
      </c>
      <c r="L6548" s="496">
        <f t="shared" si="82"/>
        <v>11.390999999999998</v>
      </c>
      <c r="M6548" s="337"/>
    </row>
    <row r="6549" spans="1:13" s="71" customFormat="1" ht="26.4" customHeight="1">
      <c r="A6549" s="282">
        <v>121</v>
      </c>
      <c r="B6549" s="534"/>
      <c r="C6549" s="260" t="s">
        <v>12808</v>
      </c>
      <c r="D6549" s="282" t="s">
        <v>3</v>
      </c>
      <c r="E6549" s="260" t="s">
        <v>8381</v>
      </c>
      <c r="F6549" s="387">
        <v>10083</v>
      </c>
      <c r="G6549" s="371" t="s">
        <v>1536</v>
      </c>
      <c r="H6549" s="396" t="s">
        <v>1149</v>
      </c>
      <c r="I6549" s="470">
        <v>51.4</v>
      </c>
      <c r="J6549" s="496">
        <v>5.5250000000000004</v>
      </c>
      <c r="K6549" s="496">
        <v>3.77528</v>
      </c>
      <c r="L6549" s="496">
        <f t="shared" si="82"/>
        <v>1.7497200000000004</v>
      </c>
      <c r="M6549" s="337"/>
    </row>
    <row r="6550" spans="1:13" s="71" customFormat="1" ht="26.4" customHeight="1">
      <c r="A6550" s="282">
        <v>122</v>
      </c>
      <c r="B6550" s="534"/>
      <c r="C6550" s="260" t="s">
        <v>8382</v>
      </c>
      <c r="D6550" s="282" t="s">
        <v>8383</v>
      </c>
      <c r="E6550" s="441" t="s">
        <v>8384</v>
      </c>
      <c r="F6550" s="404">
        <v>4609</v>
      </c>
      <c r="G6550" s="371" t="s">
        <v>1572</v>
      </c>
      <c r="H6550" s="472" t="s">
        <v>631</v>
      </c>
      <c r="I6550" s="473">
        <v>405</v>
      </c>
      <c r="J6550" s="496">
        <v>38.360219999999998</v>
      </c>
      <c r="K6550" s="496">
        <v>38.26014</v>
      </c>
      <c r="L6550" s="496">
        <f t="shared" si="82"/>
        <v>0.10007999999999839</v>
      </c>
      <c r="M6550" s="337"/>
    </row>
    <row r="6551" spans="1:13" s="71" customFormat="1" ht="26.4" customHeight="1">
      <c r="A6551" s="282">
        <v>123</v>
      </c>
      <c r="B6551" s="534"/>
      <c r="C6551" s="260" t="s">
        <v>8382</v>
      </c>
      <c r="D6551" s="282" t="s">
        <v>8383</v>
      </c>
      <c r="E6551" s="441" t="s">
        <v>8385</v>
      </c>
      <c r="F6551" s="404">
        <v>104</v>
      </c>
      <c r="G6551" s="371" t="s">
        <v>1568</v>
      </c>
      <c r="H6551" s="472" t="s">
        <v>722</v>
      </c>
      <c r="I6551" s="473">
        <v>1.7</v>
      </c>
      <c r="J6551" s="496">
        <v>20.141179999999999</v>
      </c>
      <c r="K6551" s="496">
        <v>18.720140000000001</v>
      </c>
      <c r="L6551" s="496">
        <f t="shared" si="82"/>
        <v>1.4210399999999979</v>
      </c>
      <c r="M6551" s="337"/>
    </row>
    <row r="6552" spans="1:13" s="71" customFormat="1" ht="26.4" customHeight="1">
      <c r="A6552" s="282">
        <v>124</v>
      </c>
      <c r="B6552" s="534"/>
      <c r="C6552" s="260" t="s">
        <v>8382</v>
      </c>
      <c r="D6552" s="260" t="s">
        <v>3</v>
      </c>
      <c r="E6552" s="441" t="s">
        <v>8386</v>
      </c>
      <c r="F6552" s="404">
        <v>20229</v>
      </c>
      <c r="G6552" s="371" t="s">
        <v>1529</v>
      </c>
      <c r="H6552" s="408" t="s">
        <v>3</v>
      </c>
      <c r="I6552" s="470" t="s">
        <v>3</v>
      </c>
      <c r="J6552" s="497">
        <v>125.50073999999999</v>
      </c>
      <c r="K6552" s="497">
        <v>94.452680000000001</v>
      </c>
      <c r="L6552" s="496">
        <f t="shared" si="82"/>
        <v>31.048059999999992</v>
      </c>
      <c r="M6552" s="337"/>
    </row>
    <row r="6553" spans="1:13" s="71" customFormat="1" ht="26.4" customHeight="1">
      <c r="A6553" s="282">
        <v>125</v>
      </c>
      <c r="B6553" s="534"/>
      <c r="C6553" s="260" t="s">
        <v>8382</v>
      </c>
      <c r="D6553" s="260" t="s">
        <v>3</v>
      </c>
      <c r="E6553" s="441" t="s">
        <v>8387</v>
      </c>
      <c r="F6553" s="404">
        <v>20226</v>
      </c>
      <c r="G6553" s="371" t="s">
        <v>1529</v>
      </c>
      <c r="H6553" s="408" t="s">
        <v>3</v>
      </c>
      <c r="I6553" s="470" t="s">
        <v>3</v>
      </c>
      <c r="J6553" s="497">
        <v>210.25976</v>
      </c>
      <c r="K6553" s="497">
        <v>158.24372</v>
      </c>
      <c r="L6553" s="496">
        <f t="shared" si="82"/>
        <v>52.016040000000004</v>
      </c>
      <c r="M6553" s="337"/>
    </row>
    <row r="6554" spans="1:13" s="71" customFormat="1" ht="26.4" customHeight="1">
      <c r="A6554" s="282">
        <v>126</v>
      </c>
      <c r="B6554" s="534"/>
      <c r="C6554" s="260" t="s">
        <v>8382</v>
      </c>
      <c r="D6554" s="260" t="s">
        <v>3</v>
      </c>
      <c r="E6554" s="441" t="s">
        <v>8388</v>
      </c>
      <c r="F6554" s="404">
        <v>20228</v>
      </c>
      <c r="G6554" s="371" t="s">
        <v>1529</v>
      </c>
      <c r="H6554" s="408" t="s">
        <v>3</v>
      </c>
      <c r="I6554" s="470" t="s">
        <v>3</v>
      </c>
      <c r="J6554" s="497">
        <v>3.07098</v>
      </c>
      <c r="K6554" s="497">
        <v>2.3110599999999999</v>
      </c>
      <c r="L6554" s="496">
        <f t="shared" si="82"/>
        <v>0.75992000000000015</v>
      </c>
      <c r="M6554" s="337"/>
    </row>
    <row r="6555" spans="1:13" s="71" customFormat="1" ht="26.4" customHeight="1">
      <c r="A6555" s="282">
        <v>127</v>
      </c>
      <c r="B6555" s="534"/>
      <c r="C6555" s="260" t="s">
        <v>8382</v>
      </c>
      <c r="D6555" s="260" t="s">
        <v>3</v>
      </c>
      <c r="E6555" s="441" t="s">
        <v>8389</v>
      </c>
      <c r="F6555" s="404">
        <v>20227</v>
      </c>
      <c r="G6555" s="371" t="s">
        <v>1529</v>
      </c>
      <c r="H6555" s="408" t="s">
        <v>3</v>
      </c>
      <c r="I6555" s="470" t="s">
        <v>3</v>
      </c>
      <c r="J6555" s="497">
        <v>73.703519999999997</v>
      </c>
      <c r="K6555" s="497">
        <v>55.46998</v>
      </c>
      <c r="L6555" s="496">
        <f t="shared" si="82"/>
        <v>18.233539999999998</v>
      </c>
      <c r="M6555" s="337"/>
    </row>
    <row r="6556" spans="1:13" s="71" customFormat="1" ht="26.4" customHeight="1">
      <c r="A6556" s="282">
        <v>128</v>
      </c>
      <c r="B6556" s="534"/>
      <c r="C6556" s="260" t="s">
        <v>8382</v>
      </c>
      <c r="D6556" s="260" t="s">
        <v>3</v>
      </c>
      <c r="E6556" s="441" t="s">
        <v>8390</v>
      </c>
      <c r="F6556" s="404">
        <v>146</v>
      </c>
      <c r="G6556" s="371" t="s">
        <v>1566</v>
      </c>
      <c r="H6556" s="408" t="s">
        <v>3</v>
      </c>
      <c r="I6556" s="470" t="s">
        <v>3</v>
      </c>
      <c r="J6556" s="497">
        <v>195.68217000000001</v>
      </c>
      <c r="K6556" s="497">
        <v>179.63337000000001</v>
      </c>
      <c r="L6556" s="496">
        <f t="shared" si="82"/>
        <v>16.0488</v>
      </c>
      <c r="M6556" s="337"/>
    </row>
    <row r="6557" spans="1:13" s="71" customFormat="1" ht="26.4" customHeight="1">
      <c r="A6557" s="282">
        <v>129</v>
      </c>
      <c r="B6557" s="534"/>
      <c r="C6557" s="260" t="s">
        <v>8382</v>
      </c>
      <c r="D6557" s="260" t="s">
        <v>3</v>
      </c>
      <c r="E6557" s="441" t="s">
        <v>8391</v>
      </c>
      <c r="F6557" s="404">
        <v>30429</v>
      </c>
      <c r="G6557" s="371" t="s">
        <v>1577</v>
      </c>
      <c r="H6557" s="408" t="s">
        <v>3</v>
      </c>
      <c r="I6557" s="470" t="s">
        <v>3</v>
      </c>
      <c r="J6557" s="497">
        <v>9.1457099999999993</v>
      </c>
      <c r="K6557" s="497">
        <v>8.5728299999999997</v>
      </c>
      <c r="L6557" s="496">
        <f t="shared" si="82"/>
        <v>0.57287999999999961</v>
      </c>
      <c r="M6557" s="337"/>
    </row>
    <row r="6558" spans="1:13" s="71" customFormat="1" ht="26.4" customHeight="1">
      <c r="A6558" s="282">
        <v>130</v>
      </c>
      <c r="B6558" s="534"/>
      <c r="C6558" s="260" t="s">
        <v>8382</v>
      </c>
      <c r="D6558" s="260" t="s">
        <v>3</v>
      </c>
      <c r="E6558" s="441" t="s">
        <v>8392</v>
      </c>
      <c r="F6558" s="404">
        <v>20225</v>
      </c>
      <c r="G6558" s="371" t="s">
        <v>1529</v>
      </c>
      <c r="H6558" s="408" t="s">
        <v>3</v>
      </c>
      <c r="I6558" s="470" t="s">
        <v>3</v>
      </c>
      <c r="J6558" s="497">
        <v>5.3987999999999996</v>
      </c>
      <c r="K6558" s="497">
        <v>4.7787100000000002</v>
      </c>
      <c r="L6558" s="496">
        <f t="shared" si="82"/>
        <v>0.62008999999999936</v>
      </c>
      <c r="M6558" s="337"/>
    </row>
    <row r="6559" spans="1:13" s="71" customFormat="1" ht="26.4" customHeight="1">
      <c r="A6559" s="282">
        <v>131</v>
      </c>
      <c r="B6559" s="534"/>
      <c r="C6559" s="260" t="s">
        <v>8382</v>
      </c>
      <c r="D6559" s="260" t="s">
        <v>3</v>
      </c>
      <c r="E6559" s="441" t="s">
        <v>8393</v>
      </c>
      <c r="F6559" s="404">
        <v>20205</v>
      </c>
      <c r="G6559" s="371" t="s">
        <v>1541</v>
      </c>
      <c r="H6559" s="408" t="s">
        <v>3</v>
      </c>
      <c r="I6559" s="470" t="s">
        <v>3</v>
      </c>
      <c r="J6559" s="497">
        <v>4.4868199999999998</v>
      </c>
      <c r="K6559" s="497">
        <v>3.5421800000000001</v>
      </c>
      <c r="L6559" s="496">
        <f t="shared" si="82"/>
        <v>0.9446399999999997</v>
      </c>
      <c r="M6559" s="337"/>
    </row>
    <row r="6560" spans="1:13" s="71" customFormat="1" ht="26.4" customHeight="1">
      <c r="A6560" s="282">
        <v>132</v>
      </c>
      <c r="B6560" s="534"/>
      <c r="C6560" s="260" t="s">
        <v>8382</v>
      </c>
      <c r="D6560" s="260" t="s">
        <v>3</v>
      </c>
      <c r="E6560" s="441" t="s">
        <v>13303</v>
      </c>
      <c r="F6560" s="404">
        <v>20230</v>
      </c>
      <c r="G6560" s="371" t="s">
        <v>6026</v>
      </c>
      <c r="H6560" s="408" t="s">
        <v>3</v>
      </c>
      <c r="I6560" s="470" t="s">
        <v>3</v>
      </c>
      <c r="J6560" s="497">
        <v>44.282139999999998</v>
      </c>
      <c r="K6560" s="497">
        <v>43.65549</v>
      </c>
      <c r="L6560" s="496">
        <f t="shared" si="82"/>
        <v>0.62664999999999793</v>
      </c>
      <c r="M6560" s="337"/>
    </row>
    <row r="6561" spans="1:13" s="71" customFormat="1" ht="26.4" customHeight="1">
      <c r="A6561" s="282">
        <v>133</v>
      </c>
      <c r="B6561" s="534"/>
      <c r="C6561" s="260" t="s">
        <v>8382</v>
      </c>
      <c r="D6561" s="260" t="s">
        <v>3</v>
      </c>
      <c r="E6561" s="441" t="s">
        <v>13304</v>
      </c>
      <c r="F6561" s="404">
        <v>20231</v>
      </c>
      <c r="G6561" s="371" t="s">
        <v>6026</v>
      </c>
      <c r="H6561" s="408" t="s">
        <v>3</v>
      </c>
      <c r="I6561" s="470" t="s">
        <v>3</v>
      </c>
      <c r="J6561" s="497">
        <v>44.282139999999998</v>
      </c>
      <c r="K6561" s="497">
        <v>43.655500000000004</v>
      </c>
      <c r="L6561" s="496">
        <f t="shared" si="82"/>
        <v>0.62663999999999476</v>
      </c>
      <c r="M6561" s="337"/>
    </row>
    <row r="6562" spans="1:13" s="71" customFormat="1" ht="26.4" customHeight="1">
      <c r="A6562" s="282">
        <v>134</v>
      </c>
      <c r="B6562" s="534"/>
      <c r="C6562" s="260" t="s">
        <v>8382</v>
      </c>
      <c r="D6562" s="260" t="s">
        <v>3</v>
      </c>
      <c r="E6562" s="441" t="s">
        <v>13305</v>
      </c>
      <c r="F6562" s="404">
        <v>20232</v>
      </c>
      <c r="G6562" s="371" t="s">
        <v>6026</v>
      </c>
      <c r="H6562" s="408" t="s">
        <v>3</v>
      </c>
      <c r="I6562" s="470" t="s">
        <v>3</v>
      </c>
      <c r="J6562" s="497">
        <v>44.282139999999998</v>
      </c>
      <c r="K6562" s="497">
        <v>43.655500000000004</v>
      </c>
      <c r="L6562" s="496">
        <f t="shared" si="82"/>
        <v>0.62663999999999476</v>
      </c>
      <c r="M6562" s="337"/>
    </row>
    <row r="6563" spans="1:13" s="71" customFormat="1" ht="26.4" customHeight="1">
      <c r="A6563" s="282">
        <v>135</v>
      </c>
      <c r="B6563" s="534"/>
      <c r="C6563" s="260" t="s">
        <v>8382</v>
      </c>
      <c r="D6563" s="260" t="s">
        <v>3</v>
      </c>
      <c r="E6563" s="441" t="s">
        <v>13306</v>
      </c>
      <c r="F6563" s="404">
        <v>20233</v>
      </c>
      <c r="G6563" s="371" t="s">
        <v>6026</v>
      </c>
      <c r="H6563" s="408" t="s">
        <v>3</v>
      </c>
      <c r="I6563" s="470" t="s">
        <v>3</v>
      </c>
      <c r="J6563" s="497">
        <v>44.282139999999998</v>
      </c>
      <c r="K6563" s="497">
        <v>43.655500000000004</v>
      </c>
      <c r="L6563" s="496">
        <f t="shared" si="82"/>
        <v>0.62663999999999476</v>
      </c>
      <c r="M6563" s="337"/>
    </row>
    <row r="6564" spans="1:13" s="71" customFormat="1" ht="26.4" customHeight="1">
      <c r="A6564" s="282">
        <v>136</v>
      </c>
      <c r="B6564" s="534"/>
      <c r="C6564" s="260" t="s">
        <v>8382</v>
      </c>
      <c r="D6564" s="260" t="s">
        <v>3</v>
      </c>
      <c r="E6564" s="441" t="s">
        <v>13307</v>
      </c>
      <c r="F6564" s="404">
        <v>20234</v>
      </c>
      <c r="G6564" s="371" t="s">
        <v>6026</v>
      </c>
      <c r="H6564" s="408" t="s">
        <v>3</v>
      </c>
      <c r="I6564" s="470" t="s">
        <v>3</v>
      </c>
      <c r="J6564" s="497">
        <v>44.282139999999998</v>
      </c>
      <c r="K6564" s="497">
        <v>43.655500000000004</v>
      </c>
      <c r="L6564" s="496">
        <f t="shared" si="82"/>
        <v>0.62663999999999476</v>
      </c>
      <c r="M6564" s="337"/>
    </row>
    <row r="6565" spans="1:13" s="71" customFormat="1" ht="26.4" customHeight="1">
      <c r="A6565" s="282">
        <v>137</v>
      </c>
      <c r="B6565" s="534"/>
      <c r="C6565" s="260" t="s">
        <v>8382</v>
      </c>
      <c r="D6565" s="282" t="s">
        <v>3</v>
      </c>
      <c r="E6565" s="441" t="s">
        <v>8394</v>
      </c>
      <c r="F6565" s="404">
        <v>20220</v>
      </c>
      <c r="G6565" s="371" t="s">
        <v>1585</v>
      </c>
      <c r="H6565" s="408" t="s">
        <v>3</v>
      </c>
      <c r="I6565" s="470" t="s">
        <v>3</v>
      </c>
      <c r="J6565" s="497">
        <v>718.31451000000004</v>
      </c>
      <c r="K6565" s="497">
        <v>601.88180999999997</v>
      </c>
      <c r="L6565" s="496">
        <f t="shared" si="82"/>
        <v>116.43270000000007</v>
      </c>
      <c r="M6565" s="337"/>
    </row>
    <row r="6566" spans="1:13" s="71" customFormat="1" ht="26.4" customHeight="1">
      <c r="A6566" s="282">
        <v>138</v>
      </c>
      <c r="B6566" s="534"/>
      <c r="C6566" s="260" t="s">
        <v>8382</v>
      </c>
      <c r="D6566" s="260" t="s">
        <v>3</v>
      </c>
      <c r="E6566" s="441" t="s">
        <v>8395</v>
      </c>
      <c r="F6566" s="442" t="s">
        <v>8396</v>
      </c>
      <c r="G6566" s="371" t="s">
        <v>1574</v>
      </c>
      <c r="H6566" s="408" t="s">
        <v>3</v>
      </c>
      <c r="I6566" s="470" t="s">
        <v>3</v>
      </c>
      <c r="J6566" s="497">
        <v>242.66399999999999</v>
      </c>
      <c r="K6566" s="497">
        <v>36.399509999999999</v>
      </c>
      <c r="L6566" s="496">
        <f t="shared" si="82"/>
        <v>206.26449</v>
      </c>
      <c r="M6566" s="337"/>
    </row>
    <row r="6567" spans="1:13" s="71" customFormat="1" ht="26.4" customHeight="1">
      <c r="A6567" s="282">
        <v>139</v>
      </c>
      <c r="B6567" s="534"/>
      <c r="C6567" s="260" t="s">
        <v>8382</v>
      </c>
      <c r="D6567" s="260" t="s">
        <v>3</v>
      </c>
      <c r="E6567" s="441" t="s">
        <v>13385</v>
      </c>
      <c r="F6567" s="404">
        <v>10025</v>
      </c>
      <c r="G6567" s="371" t="s">
        <v>1575</v>
      </c>
      <c r="H6567" s="408" t="s">
        <v>3</v>
      </c>
      <c r="I6567" s="470" t="s">
        <v>3</v>
      </c>
      <c r="J6567" s="497">
        <v>8210.7245600000006</v>
      </c>
      <c r="K6567" s="497">
        <v>328.42896000000002</v>
      </c>
      <c r="L6567" s="496">
        <f t="shared" si="82"/>
        <v>7882.2956000000004</v>
      </c>
      <c r="M6567" s="337"/>
    </row>
    <row r="6568" spans="1:13" s="71" customFormat="1" ht="26.4" customHeight="1">
      <c r="A6568" s="282">
        <v>140</v>
      </c>
      <c r="B6568" s="534"/>
      <c r="C6568" s="260" t="s">
        <v>8382</v>
      </c>
      <c r="D6568" s="260" t="s">
        <v>3</v>
      </c>
      <c r="E6568" s="441" t="s">
        <v>8397</v>
      </c>
      <c r="F6568" s="442" t="s">
        <v>8398</v>
      </c>
      <c r="G6568" s="371" t="s">
        <v>1574</v>
      </c>
      <c r="H6568" s="408" t="s">
        <v>3</v>
      </c>
      <c r="I6568" s="470" t="s">
        <v>3</v>
      </c>
      <c r="J6568" s="497">
        <v>211.39599999999999</v>
      </c>
      <c r="K6568" s="497">
        <v>31.709340000000001</v>
      </c>
      <c r="L6568" s="496">
        <f t="shared" si="82"/>
        <v>179.68665999999999</v>
      </c>
      <c r="M6568" s="337"/>
    </row>
    <row r="6569" spans="1:13" s="71" customFormat="1" ht="26.4" customHeight="1">
      <c r="A6569" s="282">
        <v>141</v>
      </c>
      <c r="B6569" s="534"/>
      <c r="C6569" s="260" t="s">
        <v>8382</v>
      </c>
      <c r="D6569" s="260" t="s">
        <v>3</v>
      </c>
      <c r="E6569" s="441" t="s">
        <v>8399</v>
      </c>
      <c r="F6569" s="404">
        <v>229</v>
      </c>
      <c r="G6569" s="371" t="s">
        <v>1529</v>
      </c>
      <c r="H6569" s="408" t="s">
        <v>3</v>
      </c>
      <c r="I6569" s="470" t="s">
        <v>3</v>
      </c>
      <c r="J6569" s="497">
        <v>56.096589999999999</v>
      </c>
      <c r="K6569" s="497">
        <v>55.887219999999999</v>
      </c>
      <c r="L6569" s="496">
        <f t="shared" si="82"/>
        <v>0.20936999999999983</v>
      </c>
      <c r="M6569" s="337"/>
    </row>
    <row r="6570" spans="1:13" s="71" customFormat="1" ht="26.4" customHeight="1">
      <c r="A6570" s="282">
        <v>142</v>
      </c>
      <c r="B6570" s="534"/>
      <c r="C6570" s="260" t="s">
        <v>8382</v>
      </c>
      <c r="D6570" s="260" t="s">
        <v>3</v>
      </c>
      <c r="E6570" s="441" t="s">
        <v>8402</v>
      </c>
      <c r="F6570" s="404">
        <v>18</v>
      </c>
      <c r="G6570" s="371" t="s">
        <v>1585</v>
      </c>
      <c r="H6570" s="408" t="s">
        <v>3</v>
      </c>
      <c r="I6570" s="470" t="s">
        <v>3</v>
      </c>
      <c r="J6570" s="497">
        <v>245.66158999999999</v>
      </c>
      <c r="K6570" s="497">
        <v>215.16004000000001</v>
      </c>
      <c r="L6570" s="496">
        <f t="shared" si="82"/>
        <v>30.50154999999998</v>
      </c>
      <c r="M6570" s="337"/>
    </row>
    <row r="6571" spans="1:13" s="71" customFormat="1" ht="26.4" customHeight="1">
      <c r="A6571" s="282">
        <v>143</v>
      </c>
      <c r="B6571" s="534"/>
      <c r="C6571" s="260" t="s">
        <v>8382</v>
      </c>
      <c r="D6571" s="260" t="s">
        <v>3</v>
      </c>
      <c r="E6571" s="441" t="s">
        <v>8400</v>
      </c>
      <c r="F6571" s="404">
        <v>206</v>
      </c>
      <c r="G6571" s="371" t="s">
        <v>1549</v>
      </c>
      <c r="H6571" s="408" t="s">
        <v>3</v>
      </c>
      <c r="I6571" s="470" t="s">
        <v>3</v>
      </c>
      <c r="J6571" s="497">
        <v>363.80466000000001</v>
      </c>
      <c r="K6571" s="497">
        <v>294.15118999999999</v>
      </c>
      <c r="L6571" s="496">
        <f t="shared" si="82"/>
        <v>69.653470000000027</v>
      </c>
      <c r="M6571" s="337"/>
    </row>
    <row r="6572" spans="1:13" s="71" customFormat="1" ht="26.4" customHeight="1">
      <c r="A6572" s="282">
        <v>144</v>
      </c>
      <c r="B6572" s="534"/>
      <c r="C6572" s="260" t="s">
        <v>8382</v>
      </c>
      <c r="D6572" s="260" t="s">
        <v>3</v>
      </c>
      <c r="E6572" s="441" t="s">
        <v>8401</v>
      </c>
      <c r="F6572" s="404">
        <v>210</v>
      </c>
      <c r="G6572" s="371" t="s">
        <v>1549</v>
      </c>
      <c r="H6572" s="408" t="s">
        <v>3</v>
      </c>
      <c r="I6572" s="470" t="s">
        <v>3</v>
      </c>
      <c r="J6572" s="497">
        <v>20.28848</v>
      </c>
      <c r="K6572" s="497">
        <v>20.249110000000002</v>
      </c>
      <c r="L6572" s="496">
        <f t="shared" si="82"/>
        <v>3.9369999999998129E-2</v>
      </c>
      <c r="M6572" s="337"/>
    </row>
    <row r="6573" spans="1:13" s="71" customFormat="1" ht="26.4" customHeight="1">
      <c r="A6573" s="282">
        <v>145</v>
      </c>
      <c r="B6573" s="534"/>
      <c r="C6573" s="260" t="s">
        <v>8382</v>
      </c>
      <c r="D6573" s="260" t="s">
        <v>3</v>
      </c>
      <c r="E6573" s="441" t="s">
        <v>8394</v>
      </c>
      <c r="F6573" s="404">
        <v>20221</v>
      </c>
      <c r="G6573" s="371" t="s">
        <v>1585</v>
      </c>
      <c r="H6573" s="408" t="s">
        <v>3</v>
      </c>
      <c r="I6573" s="470" t="s">
        <v>3</v>
      </c>
      <c r="J6573" s="497">
        <v>288.88814000000002</v>
      </c>
      <c r="K6573" s="497">
        <v>238.05443</v>
      </c>
      <c r="L6573" s="496">
        <f t="shared" ref="L6573:L6636" si="83">J6573-K6573</f>
        <v>50.833710000000025</v>
      </c>
      <c r="M6573" s="337"/>
    </row>
    <row r="6574" spans="1:13" s="71" customFormat="1" ht="26.4" customHeight="1">
      <c r="A6574" s="282">
        <v>146</v>
      </c>
      <c r="B6574" s="534"/>
      <c r="C6574" s="260" t="s">
        <v>8382</v>
      </c>
      <c r="D6574" s="260" t="s">
        <v>3</v>
      </c>
      <c r="E6574" s="441" t="s">
        <v>8402</v>
      </c>
      <c r="F6574" s="404">
        <v>19</v>
      </c>
      <c r="G6574" s="371" t="s">
        <v>1585</v>
      </c>
      <c r="H6574" s="408" t="s">
        <v>3</v>
      </c>
      <c r="I6574" s="470" t="s">
        <v>3</v>
      </c>
      <c r="J6574" s="497">
        <v>900.58637999999996</v>
      </c>
      <c r="K6574" s="497">
        <v>892.70036000000005</v>
      </c>
      <c r="L6574" s="496">
        <f t="shared" si="83"/>
        <v>7.8860199999999168</v>
      </c>
      <c r="M6574" s="337"/>
    </row>
    <row r="6575" spans="1:13" s="71" customFormat="1" ht="26.4" customHeight="1">
      <c r="A6575" s="282">
        <v>147</v>
      </c>
      <c r="B6575" s="534"/>
      <c r="C6575" s="260" t="s">
        <v>8382</v>
      </c>
      <c r="D6575" s="260" t="s">
        <v>3</v>
      </c>
      <c r="E6575" s="441" t="s">
        <v>8403</v>
      </c>
      <c r="F6575" s="404">
        <v>204</v>
      </c>
      <c r="G6575" s="371" t="s">
        <v>1549</v>
      </c>
      <c r="H6575" s="408" t="s">
        <v>3</v>
      </c>
      <c r="I6575" s="470" t="s">
        <v>3</v>
      </c>
      <c r="J6575" s="497">
        <v>186.59272999999999</v>
      </c>
      <c r="K6575" s="497">
        <v>143.43203</v>
      </c>
      <c r="L6575" s="496">
        <f t="shared" si="83"/>
        <v>43.160699999999991</v>
      </c>
      <c r="M6575" s="337"/>
    </row>
    <row r="6576" spans="1:13" s="71" customFormat="1" ht="26.4" customHeight="1">
      <c r="A6576" s="282">
        <v>148</v>
      </c>
      <c r="B6576" s="534"/>
      <c r="C6576" s="260" t="s">
        <v>8382</v>
      </c>
      <c r="D6576" s="260" t="s">
        <v>3</v>
      </c>
      <c r="E6576" s="441" t="s">
        <v>8404</v>
      </c>
      <c r="F6576" s="404">
        <v>20216</v>
      </c>
      <c r="G6576" s="371" t="s">
        <v>1585</v>
      </c>
      <c r="H6576" s="408" t="s">
        <v>3</v>
      </c>
      <c r="I6576" s="470" t="s">
        <v>3</v>
      </c>
      <c r="J6576" s="497">
        <v>460.07580999999999</v>
      </c>
      <c r="K6576" s="497">
        <v>363.67779999999999</v>
      </c>
      <c r="L6576" s="496">
        <f t="shared" si="83"/>
        <v>96.398009999999999</v>
      </c>
      <c r="M6576" s="337"/>
    </row>
    <row r="6577" spans="1:13" s="71" customFormat="1" ht="26.4" customHeight="1">
      <c r="A6577" s="282">
        <v>149</v>
      </c>
      <c r="B6577" s="534"/>
      <c r="C6577" s="260" t="s">
        <v>8382</v>
      </c>
      <c r="D6577" s="260" t="s">
        <v>3</v>
      </c>
      <c r="E6577" s="441" t="s">
        <v>8405</v>
      </c>
      <c r="F6577" s="404">
        <v>211</v>
      </c>
      <c r="G6577" s="371" t="s">
        <v>1549</v>
      </c>
      <c r="H6577" s="408" t="s">
        <v>3</v>
      </c>
      <c r="I6577" s="470" t="s">
        <v>3</v>
      </c>
      <c r="J6577" s="497">
        <v>10.031879999999999</v>
      </c>
      <c r="K6577" s="497">
        <v>9.9911300000000001</v>
      </c>
      <c r="L6577" s="496">
        <f t="shared" si="83"/>
        <v>4.0749999999999176E-2</v>
      </c>
      <c r="M6577" s="337"/>
    </row>
    <row r="6578" spans="1:13" s="71" customFormat="1" ht="26.4" customHeight="1">
      <c r="A6578" s="282">
        <v>153</v>
      </c>
      <c r="B6578" s="534"/>
      <c r="C6578" s="260" t="s">
        <v>12807</v>
      </c>
      <c r="D6578" s="260" t="s">
        <v>3</v>
      </c>
      <c r="E6578" s="441" t="s">
        <v>8406</v>
      </c>
      <c r="F6578" s="404">
        <v>30405</v>
      </c>
      <c r="G6578" s="371" t="s">
        <v>1529</v>
      </c>
      <c r="H6578" s="472" t="s">
        <v>722</v>
      </c>
      <c r="I6578" s="473">
        <v>42</v>
      </c>
      <c r="J6578" s="496">
        <v>233.90982</v>
      </c>
      <c r="K6578" s="496">
        <v>212.35661999999999</v>
      </c>
      <c r="L6578" s="496">
        <f t="shared" si="83"/>
        <v>21.553200000000004</v>
      </c>
      <c r="M6578" s="337"/>
    </row>
    <row r="6579" spans="1:13" s="71" customFormat="1" ht="26.4" customHeight="1">
      <c r="A6579" s="282">
        <v>154</v>
      </c>
      <c r="B6579" s="534"/>
      <c r="C6579" s="260" t="s">
        <v>12807</v>
      </c>
      <c r="D6579" s="260" t="s">
        <v>3</v>
      </c>
      <c r="E6579" s="441" t="s">
        <v>13350</v>
      </c>
      <c r="F6579" s="404">
        <v>30347</v>
      </c>
      <c r="G6579" s="371" t="s">
        <v>1545</v>
      </c>
      <c r="H6579" s="472" t="s">
        <v>631</v>
      </c>
      <c r="I6579" s="473">
        <v>1006</v>
      </c>
      <c r="J6579" s="496">
        <v>240.07741999999999</v>
      </c>
      <c r="K6579" s="496">
        <v>235.4195</v>
      </c>
      <c r="L6579" s="496">
        <f t="shared" si="83"/>
        <v>4.6579199999999901</v>
      </c>
      <c r="M6579" s="337"/>
    </row>
    <row r="6580" spans="1:13" s="71" customFormat="1" ht="26.4" customHeight="1">
      <c r="A6580" s="282">
        <v>155</v>
      </c>
      <c r="B6580" s="534"/>
      <c r="C6580" s="260" t="s">
        <v>12807</v>
      </c>
      <c r="D6580" s="260" t="s">
        <v>3</v>
      </c>
      <c r="E6580" s="441" t="s">
        <v>8407</v>
      </c>
      <c r="F6580" s="404">
        <v>30397</v>
      </c>
      <c r="G6580" s="371" t="s">
        <v>1549</v>
      </c>
      <c r="H6580" s="408" t="s">
        <v>3</v>
      </c>
      <c r="I6580" s="470" t="s">
        <v>3</v>
      </c>
      <c r="J6580" s="497">
        <v>479.28899999999999</v>
      </c>
      <c r="K6580" s="497">
        <v>373.94720999999998</v>
      </c>
      <c r="L6580" s="496">
        <f t="shared" si="83"/>
        <v>105.34179</v>
      </c>
      <c r="M6580" s="337"/>
    </row>
    <row r="6581" spans="1:13" s="71" customFormat="1" ht="26.4" customHeight="1">
      <c r="A6581" s="282">
        <v>156</v>
      </c>
      <c r="B6581" s="534"/>
      <c r="C6581" s="260" t="s">
        <v>12807</v>
      </c>
      <c r="D6581" s="260" t="s">
        <v>3</v>
      </c>
      <c r="E6581" s="441" t="s">
        <v>8408</v>
      </c>
      <c r="F6581" s="404">
        <v>30389</v>
      </c>
      <c r="G6581" s="371" t="s">
        <v>1550</v>
      </c>
      <c r="H6581" s="408" t="s">
        <v>3</v>
      </c>
      <c r="I6581" s="470" t="s">
        <v>3</v>
      </c>
      <c r="J6581" s="497">
        <v>48.187919999999998</v>
      </c>
      <c r="K6581" s="497">
        <v>42.015599999999999</v>
      </c>
      <c r="L6581" s="496">
        <f t="shared" si="83"/>
        <v>6.1723199999999991</v>
      </c>
      <c r="M6581" s="337"/>
    </row>
    <row r="6582" spans="1:13" s="71" customFormat="1" ht="26.4" customHeight="1">
      <c r="A6582" s="282">
        <v>157</v>
      </c>
      <c r="B6582" s="534"/>
      <c r="C6582" s="260" t="s">
        <v>7547</v>
      </c>
      <c r="D6582" s="260" t="s">
        <v>3</v>
      </c>
      <c r="E6582" s="441" t="s">
        <v>8409</v>
      </c>
      <c r="F6582" s="404">
        <v>20236</v>
      </c>
      <c r="G6582" s="371" t="s">
        <v>1585</v>
      </c>
      <c r="H6582" s="408" t="s">
        <v>3</v>
      </c>
      <c r="I6582" s="470" t="s">
        <v>3</v>
      </c>
      <c r="J6582" s="497">
        <v>100.60057</v>
      </c>
      <c r="K6582" s="497">
        <v>92.431179999999998</v>
      </c>
      <c r="L6582" s="496">
        <f t="shared" si="83"/>
        <v>8.169390000000007</v>
      </c>
      <c r="M6582" s="337"/>
    </row>
    <row r="6583" spans="1:13" s="71" customFormat="1" ht="26.4" customHeight="1">
      <c r="A6583" s="282">
        <v>158</v>
      </c>
      <c r="B6583" s="534"/>
      <c r="C6583" s="260" t="s">
        <v>7547</v>
      </c>
      <c r="D6583" s="282" t="s">
        <v>3</v>
      </c>
      <c r="E6583" s="441" t="s">
        <v>13351</v>
      </c>
      <c r="F6583" s="404">
        <v>10</v>
      </c>
      <c r="G6583" s="371" t="s">
        <v>1540</v>
      </c>
      <c r="H6583" s="472" t="s">
        <v>722</v>
      </c>
      <c r="I6583" s="473">
        <v>8.6</v>
      </c>
      <c r="J6583" s="496">
        <v>65.283799999999999</v>
      </c>
      <c r="K6583" s="496">
        <v>64.117999999999995</v>
      </c>
      <c r="L6583" s="496">
        <f t="shared" si="83"/>
        <v>1.1658000000000044</v>
      </c>
      <c r="M6583" s="337"/>
    </row>
    <row r="6584" spans="1:13" s="71" customFormat="1" ht="26.4" customHeight="1">
      <c r="A6584" s="282">
        <v>159</v>
      </c>
      <c r="B6584" s="534"/>
      <c r="C6584" s="260" t="s">
        <v>7547</v>
      </c>
      <c r="D6584" s="260" t="s">
        <v>3</v>
      </c>
      <c r="E6584" s="441" t="s">
        <v>8410</v>
      </c>
      <c r="F6584" s="404">
        <v>20237</v>
      </c>
      <c r="G6584" s="371" t="s">
        <v>1585</v>
      </c>
      <c r="H6584" s="408" t="s">
        <v>3</v>
      </c>
      <c r="I6584" s="470" t="s">
        <v>3</v>
      </c>
      <c r="J6584" s="497">
        <v>17.160589999999999</v>
      </c>
      <c r="K6584" s="497">
        <v>16.87931</v>
      </c>
      <c r="L6584" s="496">
        <f t="shared" si="83"/>
        <v>0.28127999999999886</v>
      </c>
      <c r="M6584" s="337"/>
    </row>
    <row r="6585" spans="1:13" s="71" customFormat="1" ht="26.4" customHeight="1">
      <c r="A6585" s="282">
        <v>160</v>
      </c>
      <c r="B6585" s="534"/>
      <c r="C6585" s="260" t="s">
        <v>7547</v>
      </c>
      <c r="D6585" s="260" t="s">
        <v>3</v>
      </c>
      <c r="E6585" s="441" t="s">
        <v>13308</v>
      </c>
      <c r="F6585" s="404">
        <v>282</v>
      </c>
      <c r="G6585" s="371" t="s">
        <v>1545</v>
      </c>
      <c r="H6585" s="408" t="s">
        <v>3</v>
      </c>
      <c r="I6585" s="470" t="s">
        <v>3</v>
      </c>
      <c r="J6585" s="497">
        <v>7.2680100000000003</v>
      </c>
      <c r="K6585" s="497">
        <v>6.72973</v>
      </c>
      <c r="L6585" s="496">
        <f t="shared" si="83"/>
        <v>0.53828000000000031</v>
      </c>
      <c r="M6585" s="337"/>
    </row>
    <row r="6586" spans="1:13" s="71" customFormat="1" ht="26.4" customHeight="1">
      <c r="A6586" s="282">
        <v>161</v>
      </c>
      <c r="B6586" s="534"/>
      <c r="C6586" s="260" t="s">
        <v>7547</v>
      </c>
      <c r="D6586" s="260" t="s">
        <v>3</v>
      </c>
      <c r="E6586" s="441" t="s">
        <v>8411</v>
      </c>
      <c r="F6586" s="404">
        <v>90</v>
      </c>
      <c r="G6586" s="371" t="s">
        <v>1584</v>
      </c>
      <c r="H6586" s="408" t="s">
        <v>3</v>
      </c>
      <c r="I6586" s="470" t="s">
        <v>3</v>
      </c>
      <c r="J6586" s="497">
        <v>76.564369999999997</v>
      </c>
      <c r="K6586" s="497">
        <v>70.388580000000005</v>
      </c>
      <c r="L6586" s="496">
        <f t="shared" si="83"/>
        <v>6.1757899999999921</v>
      </c>
      <c r="M6586" s="337"/>
    </row>
    <row r="6587" spans="1:13" s="71" customFormat="1" ht="26.4" customHeight="1">
      <c r="A6587" s="282">
        <v>162</v>
      </c>
      <c r="B6587" s="534"/>
      <c r="C6587" s="260" t="s">
        <v>7547</v>
      </c>
      <c r="D6587" s="260" t="s">
        <v>3</v>
      </c>
      <c r="E6587" s="441" t="s">
        <v>8412</v>
      </c>
      <c r="F6587" s="404">
        <v>91</v>
      </c>
      <c r="G6587" s="371" t="s">
        <v>1584</v>
      </c>
      <c r="H6587" s="408" t="s">
        <v>3</v>
      </c>
      <c r="I6587" s="470" t="s">
        <v>3</v>
      </c>
      <c r="J6587" s="497">
        <v>67.544370000000001</v>
      </c>
      <c r="K6587" s="497">
        <v>62.83455</v>
      </c>
      <c r="L6587" s="496">
        <f t="shared" si="83"/>
        <v>4.7098200000000006</v>
      </c>
      <c r="M6587" s="337"/>
    </row>
    <row r="6588" spans="1:13" s="71" customFormat="1" ht="26.4" customHeight="1">
      <c r="A6588" s="282">
        <v>163</v>
      </c>
      <c r="B6588" s="534"/>
      <c r="C6588" s="260" t="s">
        <v>7547</v>
      </c>
      <c r="D6588" s="260" t="s">
        <v>3</v>
      </c>
      <c r="E6588" s="441" t="s">
        <v>8413</v>
      </c>
      <c r="F6588" s="404">
        <v>92</v>
      </c>
      <c r="G6588" s="371" t="s">
        <v>1584</v>
      </c>
      <c r="H6588" s="408" t="s">
        <v>3</v>
      </c>
      <c r="I6588" s="470" t="s">
        <v>3</v>
      </c>
      <c r="J6588" s="497">
        <v>45.497369999999997</v>
      </c>
      <c r="K6588" s="497">
        <v>45.145290000000003</v>
      </c>
      <c r="L6588" s="496">
        <f t="shared" si="83"/>
        <v>0.35207999999999373</v>
      </c>
      <c r="M6588" s="337"/>
    </row>
    <row r="6589" spans="1:13" s="71" customFormat="1" ht="26.4" customHeight="1">
      <c r="A6589" s="282">
        <v>164</v>
      </c>
      <c r="B6589" s="534"/>
      <c r="C6589" s="260" t="s">
        <v>7547</v>
      </c>
      <c r="D6589" s="260" t="s">
        <v>3</v>
      </c>
      <c r="E6589" s="441" t="s">
        <v>8414</v>
      </c>
      <c r="F6589" s="404">
        <v>93</v>
      </c>
      <c r="G6589" s="371" t="s">
        <v>1584</v>
      </c>
      <c r="H6589" s="408" t="s">
        <v>3</v>
      </c>
      <c r="I6589" s="470" t="s">
        <v>3</v>
      </c>
      <c r="J6589" s="497">
        <v>45.497369999999997</v>
      </c>
      <c r="K6589" s="497">
        <v>45.145290000000003</v>
      </c>
      <c r="L6589" s="496">
        <f t="shared" si="83"/>
        <v>0.35207999999999373</v>
      </c>
      <c r="M6589" s="337"/>
    </row>
    <row r="6590" spans="1:13" s="71" customFormat="1" ht="26.4" customHeight="1">
      <c r="A6590" s="282">
        <v>165</v>
      </c>
      <c r="B6590" s="534"/>
      <c r="C6590" s="260" t="s">
        <v>7547</v>
      </c>
      <c r="D6590" s="260" t="s">
        <v>3</v>
      </c>
      <c r="E6590" s="441" t="s">
        <v>8415</v>
      </c>
      <c r="F6590" s="404">
        <v>20239</v>
      </c>
      <c r="G6590" s="371" t="s">
        <v>1584</v>
      </c>
      <c r="H6590" s="408" t="s">
        <v>3</v>
      </c>
      <c r="I6590" s="470" t="s">
        <v>3</v>
      </c>
      <c r="J6590" s="497">
        <v>67.546509999999998</v>
      </c>
      <c r="K6590" s="497">
        <v>62.83643</v>
      </c>
      <c r="L6590" s="496">
        <f t="shared" si="83"/>
        <v>4.7100799999999978</v>
      </c>
      <c r="M6590" s="337"/>
    </row>
    <row r="6591" spans="1:13" s="71" customFormat="1" ht="26.4" customHeight="1">
      <c r="A6591" s="282">
        <v>166</v>
      </c>
      <c r="B6591" s="534"/>
      <c r="C6591" s="260" t="s">
        <v>7547</v>
      </c>
      <c r="D6591" s="260" t="s">
        <v>3</v>
      </c>
      <c r="E6591" s="441" t="s">
        <v>8416</v>
      </c>
      <c r="F6591" s="404">
        <v>95</v>
      </c>
      <c r="G6591" s="371" t="s">
        <v>1584</v>
      </c>
      <c r="H6591" s="408" t="s">
        <v>3</v>
      </c>
      <c r="I6591" s="470" t="s">
        <v>3</v>
      </c>
      <c r="J6591" s="497">
        <v>45.499119999999998</v>
      </c>
      <c r="K6591" s="497">
        <v>45.147039999999997</v>
      </c>
      <c r="L6591" s="496">
        <f t="shared" si="83"/>
        <v>0.35208000000000084</v>
      </c>
      <c r="M6591" s="337"/>
    </row>
    <row r="6592" spans="1:13" s="71" customFormat="1" ht="26.4" customHeight="1">
      <c r="A6592" s="282">
        <v>167</v>
      </c>
      <c r="B6592" s="534"/>
      <c r="C6592" s="260" t="s">
        <v>7547</v>
      </c>
      <c r="D6592" s="260" t="s">
        <v>3</v>
      </c>
      <c r="E6592" s="441" t="s">
        <v>8417</v>
      </c>
      <c r="F6592" s="404">
        <v>21</v>
      </c>
      <c r="G6592" s="371" t="s">
        <v>1585</v>
      </c>
      <c r="H6592" s="408" t="s">
        <v>3</v>
      </c>
      <c r="I6592" s="470" t="s">
        <v>3</v>
      </c>
      <c r="J6592" s="497">
        <v>204.09402</v>
      </c>
      <c r="K6592" s="497">
        <v>182.28342000000001</v>
      </c>
      <c r="L6592" s="496">
        <f t="shared" si="83"/>
        <v>21.810599999999994</v>
      </c>
      <c r="M6592" s="337"/>
    </row>
    <row r="6593" spans="1:13" s="71" customFormat="1" ht="26.4" customHeight="1">
      <c r="A6593" s="282">
        <v>168</v>
      </c>
      <c r="B6593" s="534"/>
      <c r="C6593" s="260" t="s">
        <v>7547</v>
      </c>
      <c r="D6593" s="260" t="s">
        <v>3</v>
      </c>
      <c r="E6593" s="441" t="s">
        <v>13352</v>
      </c>
      <c r="F6593" s="404">
        <v>208</v>
      </c>
      <c r="G6593" s="371" t="s">
        <v>1549</v>
      </c>
      <c r="H6593" s="408" t="s">
        <v>3</v>
      </c>
      <c r="I6593" s="470" t="s">
        <v>3</v>
      </c>
      <c r="J6593" s="497">
        <v>385.81743999999998</v>
      </c>
      <c r="K6593" s="497">
        <v>312.33129000000002</v>
      </c>
      <c r="L6593" s="496">
        <f t="shared" si="83"/>
        <v>73.486149999999952</v>
      </c>
      <c r="M6593" s="337"/>
    </row>
    <row r="6594" spans="1:13" s="71" customFormat="1" ht="26.4" customHeight="1">
      <c r="A6594" s="282">
        <v>169</v>
      </c>
      <c r="B6594" s="534"/>
      <c r="C6594" s="260" t="s">
        <v>7547</v>
      </c>
      <c r="D6594" s="260" t="s">
        <v>3</v>
      </c>
      <c r="E6594" s="441" t="s">
        <v>13353</v>
      </c>
      <c r="F6594" s="404">
        <v>11</v>
      </c>
      <c r="G6594" s="371" t="s">
        <v>1585</v>
      </c>
      <c r="H6594" s="472" t="s">
        <v>722</v>
      </c>
      <c r="I6594" s="473">
        <v>8.01</v>
      </c>
      <c r="J6594" s="496">
        <v>57.943069999999999</v>
      </c>
      <c r="K6594" s="496">
        <v>57.008510000000001</v>
      </c>
      <c r="L6594" s="496">
        <f t="shared" si="83"/>
        <v>0.93455999999999761</v>
      </c>
      <c r="M6594" s="337"/>
    </row>
    <row r="6595" spans="1:13" s="71" customFormat="1" ht="26.4" customHeight="1">
      <c r="A6595" s="282">
        <v>170</v>
      </c>
      <c r="B6595" s="534"/>
      <c r="C6595" s="260" t="s">
        <v>7547</v>
      </c>
      <c r="D6595" s="260" t="s">
        <v>3</v>
      </c>
      <c r="E6595" s="441" t="s">
        <v>8418</v>
      </c>
      <c r="F6595" s="442" t="s">
        <v>8419</v>
      </c>
      <c r="G6595" s="371" t="s">
        <v>1529</v>
      </c>
      <c r="H6595" s="472" t="s">
        <v>722</v>
      </c>
      <c r="I6595" s="473">
        <v>8.2200000000000006</v>
      </c>
      <c r="J6595" s="496">
        <v>314.57499999999999</v>
      </c>
      <c r="K6595" s="496">
        <v>313.78213</v>
      </c>
      <c r="L6595" s="496">
        <f t="shared" si="83"/>
        <v>0.79286999999999352</v>
      </c>
      <c r="M6595" s="337"/>
    </row>
    <row r="6596" spans="1:13" s="71" customFormat="1" ht="26.4" customHeight="1">
      <c r="A6596" s="282">
        <v>171</v>
      </c>
      <c r="B6596" s="534"/>
      <c r="C6596" s="260" t="s">
        <v>7547</v>
      </c>
      <c r="D6596" s="260" t="s">
        <v>3</v>
      </c>
      <c r="E6596" s="441" t="s">
        <v>13354</v>
      </c>
      <c r="F6596" s="404">
        <v>12</v>
      </c>
      <c r="G6596" s="371" t="s">
        <v>1585</v>
      </c>
      <c r="H6596" s="472" t="s">
        <v>722</v>
      </c>
      <c r="I6596" s="473">
        <v>9.3800000000000008</v>
      </c>
      <c r="J6596" s="496">
        <v>170.38936000000001</v>
      </c>
      <c r="K6596" s="496">
        <v>167.54956000000001</v>
      </c>
      <c r="L6596" s="496">
        <f t="shared" si="83"/>
        <v>2.8397999999999968</v>
      </c>
      <c r="M6596" s="337"/>
    </row>
    <row r="6597" spans="1:13" s="71" customFormat="1" ht="26.4" customHeight="1">
      <c r="A6597" s="282">
        <v>172</v>
      </c>
      <c r="B6597" s="534"/>
      <c r="C6597" s="260" t="s">
        <v>7547</v>
      </c>
      <c r="D6597" s="260" t="s">
        <v>3</v>
      </c>
      <c r="E6597" s="441" t="s">
        <v>8420</v>
      </c>
      <c r="F6597" s="404">
        <v>128</v>
      </c>
      <c r="G6597" s="371" t="s">
        <v>1549</v>
      </c>
      <c r="H6597" s="472" t="s">
        <v>631</v>
      </c>
      <c r="I6597" s="473">
        <v>300</v>
      </c>
      <c r="J6597" s="496">
        <v>8.2702000000000009</v>
      </c>
      <c r="K6597" s="496">
        <v>8.0778400000000001</v>
      </c>
      <c r="L6597" s="496">
        <f t="shared" si="83"/>
        <v>0.19236000000000075</v>
      </c>
      <c r="M6597" s="337"/>
    </row>
    <row r="6598" spans="1:13" s="71" customFormat="1" ht="26.4" customHeight="1">
      <c r="A6598" s="282">
        <v>173</v>
      </c>
      <c r="B6598" s="534"/>
      <c r="C6598" s="260" t="s">
        <v>7547</v>
      </c>
      <c r="D6598" s="260" t="s">
        <v>3</v>
      </c>
      <c r="E6598" s="441" t="s">
        <v>13355</v>
      </c>
      <c r="F6598" s="404">
        <v>250</v>
      </c>
      <c r="G6598" s="371" t="s">
        <v>1529</v>
      </c>
      <c r="H6598" s="472" t="s">
        <v>722</v>
      </c>
      <c r="I6598" s="473">
        <v>8.07</v>
      </c>
      <c r="J6598" s="496">
        <v>308.88386000000003</v>
      </c>
      <c r="K6598" s="496">
        <v>292.62684999999999</v>
      </c>
      <c r="L6598" s="496">
        <f t="shared" si="83"/>
        <v>16.257010000000037</v>
      </c>
      <c r="M6598" s="337"/>
    </row>
    <row r="6599" spans="1:13" s="71" customFormat="1" ht="26.4" customHeight="1">
      <c r="A6599" s="282">
        <v>174</v>
      </c>
      <c r="B6599" s="534"/>
      <c r="C6599" s="260" t="s">
        <v>7547</v>
      </c>
      <c r="D6599" s="260" t="s">
        <v>3</v>
      </c>
      <c r="E6599" s="441" t="s">
        <v>8421</v>
      </c>
      <c r="F6599" s="404">
        <v>8</v>
      </c>
      <c r="G6599" s="371" t="s">
        <v>1585</v>
      </c>
      <c r="H6599" s="472" t="s">
        <v>722</v>
      </c>
      <c r="I6599" s="473">
        <v>6.25</v>
      </c>
      <c r="J6599" s="496">
        <v>157.88373000000001</v>
      </c>
      <c r="K6599" s="496">
        <v>157.65685999999999</v>
      </c>
      <c r="L6599" s="496">
        <f t="shared" si="83"/>
        <v>0.22687000000001944</v>
      </c>
      <c r="M6599" s="337"/>
    </row>
    <row r="6600" spans="1:13" s="71" customFormat="1" ht="26.4" customHeight="1">
      <c r="A6600" s="282">
        <v>175</v>
      </c>
      <c r="B6600" s="534"/>
      <c r="C6600" s="260" t="s">
        <v>7547</v>
      </c>
      <c r="D6600" s="260" t="s">
        <v>3</v>
      </c>
      <c r="E6600" s="441" t="s">
        <v>8422</v>
      </c>
      <c r="F6600" s="442" t="s">
        <v>8423</v>
      </c>
      <c r="G6600" s="371" t="s">
        <v>1549</v>
      </c>
      <c r="H6600" s="472" t="s">
        <v>722</v>
      </c>
      <c r="I6600" s="473">
        <v>6.4180000000000001</v>
      </c>
      <c r="J6600" s="496">
        <v>397.57297</v>
      </c>
      <c r="K6600" s="496">
        <v>298.66852999999998</v>
      </c>
      <c r="L6600" s="496">
        <f t="shared" si="83"/>
        <v>98.904440000000022</v>
      </c>
      <c r="M6600" s="337"/>
    </row>
    <row r="6601" spans="1:13" s="71" customFormat="1" ht="26.4" customHeight="1">
      <c r="A6601" s="282">
        <v>176</v>
      </c>
      <c r="B6601" s="534"/>
      <c r="C6601" s="260" t="s">
        <v>7547</v>
      </c>
      <c r="D6601" s="260" t="s">
        <v>3</v>
      </c>
      <c r="E6601" s="441" t="s">
        <v>8424</v>
      </c>
      <c r="F6601" s="404">
        <v>126</v>
      </c>
      <c r="G6601" s="371" t="s">
        <v>1549</v>
      </c>
      <c r="H6601" s="472" t="s">
        <v>722</v>
      </c>
      <c r="I6601" s="473">
        <v>10.85</v>
      </c>
      <c r="J6601" s="496">
        <v>695.79944</v>
      </c>
      <c r="K6601" s="496">
        <v>653.15063999999995</v>
      </c>
      <c r="L6601" s="496">
        <f t="shared" si="83"/>
        <v>42.648800000000051</v>
      </c>
      <c r="M6601" s="337"/>
    </row>
    <row r="6602" spans="1:13" s="71" customFormat="1" ht="26.4" customHeight="1">
      <c r="A6602" s="282">
        <v>177</v>
      </c>
      <c r="B6602" s="534"/>
      <c r="C6602" s="260" t="s">
        <v>7547</v>
      </c>
      <c r="D6602" s="260" t="s">
        <v>3</v>
      </c>
      <c r="E6602" s="441" t="s">
        <v>13356</v>
      </c>
      <c r="F6602" s="404">
        <v>9</v>
      </c>
      <c r="G6602" s="371" t="s">
        <v>1585</v>
      </c>
      <c r="H6602" s="472" t="s">
        <v>722</v>
      </c>
      <c r="I6602" s="473">
        <v>9.25</v>
      </c>
      <c r="J6602" s="496">
        <v>445.89150000000001</v>
      </c>
      <c r="K6602" s="496">
        <v>444.72293999999999</v>
      </c>
      <c r="L6602" s="496">
        <f t="shared" si="83"/>
        <v>1.1685600000000136</v>
      </c>
      <c r="M6602" s="337"/>
    </row>
    <row r="6603" spans="1:13" s="71" customFormat="1" ht="26.4" customHeight="1">
      <c r="A6603" s="282">
        <v>178</v>
      </c>
      <c r="B6603" s="534"/>
      <c r="C6603" s="260" t="s">
        <v>7547</v>
      </c>
      <c r="D6603" s="260" t="s">
        <v>3</v>
      </c>
      <c r="E6603" s="441" t="s">
        <v>8425</v>
      </c>
      <c r="F6603" s="404">
        <v>1739</v>
      </c>
      <c r="G6603" s="371" t="s">
        <v>1559</v>
      </c>
      <c r="H6603" s="408" t="s">
        <v>3</v>
      </c>
      <c r="I6603" s="470" t="s">
        <v>3</v>
      </c>
      <c r="J6603" s="497">
        <v>1.3349</v>
      </c>
      <c r="K6603" s="497">
        <v>1.2815000000000001</v>
      </c>
      <c r="L6603" s="496">
        <f t="shared" si="83"/>
        <v>5.3399999999999892E-2</v>
      </c>
      <c r="M6603" s="337"/>
    </row>
    <row r="6604" spans="1:13" s="71" customFormat="1" ht="26.4" customHeight="1">
      <c r="A6604" s="282">
        <v>179</v>
      </c>
      <c r="B6604" s="534"/>
      <c r="C6604" s="260" t="s">
        <v>7547</v>
      </c>
      <c r="D6604" s="260" t="s">
        <v>3</v>
      </c>
      <c r="E6604" s="441" t="s">
        <v>8426</v>
      </c>
      <c r="F6604" s="404">
        <v>200</v>
      </c>
      <c r="G6604" s="371" t="s">
        <v>1549</v>
      </c>
      <c r="H6604" s="408" t="s">
        <v>3</v>
      </c>
      <c r="I6604" s="470" t="s">
        <v>3</v>
      </c>
      <c r="J6604" s="497">
        <v>145.80540999999999</v>
      </c>
      <c r="K6604" s="497">
        <v>112.42583999999999</v>
      </c>
      <c r="L6604" s="496">
        <f t="shared" si="83"/>
        <v>33.379570000000001</v>
      </c>
      <c r="M6604" s="337"/>
    </row>
    <row r="6605" spans="1:13" s="71" customFormat="1" ht="26.4" customHeight="1">
      <c r="A6605" s="282">
        <v>180</v>
      </c>
      <c r="B6605" s="534"/>
      <c r="C6605" s="260" t="s">
        <v>7547</v>
      </c>
      <c r="D6605" s="260" t="s">
        <v>3</v>
      </c>
      <c r="E6605" s="441" t="s">
        <v>8427</v>
      </c>
      <c r="F6605" s="404">
        <v>201</v>
      </c>
      <c r="G6605" s="371" t="s">
        <v>1549</v>
      </c>
      <c r="H6605" s="408" t="s">
        <v>3</v>
      </c>
      <c r="I6605" s="470" t="s">
        <v>3</v>
      </c>
      <c r="J6605" s="497">
        <v>127.68888</v>
      </c>
      <c r="K6605" s="497">
        <v>98.474930000000001</v>
      </c>
      <c r="L6605" s="496">
        <f t="shared" si="83"/>
        <v>29.213949999999997</v>
      </c>
      <c r="M6605" s="337"/>
    </row>
    <row r="6606" spans="1:13" s="71" customFormat="1" ht="26.4" customHeight="1">
      <c r="A6606" s="282">
        <v>181</v>
      </c>
      <c r="B6606" s="534"/>
      <c r="C6606" s="260" t="s">
        <v>7547</v>
      </c>
      <c r="D6606" s="260" t="s">
        <v>3</v>
      </c>
      <c r="E6606" s="441" t="s">
        <v>8428</v>
      </c>
      <c r="F6606" s="404">
        <v>205</v>
      </c>
      <c r="G6606" s="371" t="s">
        <v>1549</v>
      </c>
      <c r="H6606" s="408" t="s">
        <v>3</v>
      </c>
      <c r="I6606" s="470" t="s">
        <v>3</v>
      </c>
      <c r="J6606" s="497">
        <v>214.68970999999999</v>
      </c>
      <c r="K6606" s="497">
        <v>173.57884000000001</v>
      </c>
      <c r="L6606" s="496">
        <f t="shared" si="83"/>
        <v>41.110869999999977</v>
      </c>
      <c r="M6606" s="337"/>
    </row>
    <row r="6607" spans="1:13" s="71" customFormat="1" ht="26.4" customHeight="1">
      <c r="A6607" s="282">
        <v>182</v>
      </c>
      <c r="B6607" s="534"/>
      <c r="C6607" s="260" t="s">
        <v>7547</v>
      </c>
      <c r="D6607" s="260" t="s">
        <v>3</v>
      </c>
      <c r="E6607" s="441" t="s">
        <v>8429</v>
      </c>
      <c r="F6607" s="404">
        <v>267</v>
      </c>
      <c r="G6607" s="371" t="s">
        <v>1549</v>
      </c>
      <c r="H6607" s="408" t="s">
        <v>3</v>
      </c>
      <c r="I6607" s="470" t="s">
        <v>3</v>
      </c>
      <c r="J6607" s="497">
        <v>172.4967</v>
      </c>
      <c r="K6607" s="497">
        <v>125.77605</v>
      </c>
      <c r="L6607" s="496">
        <f t="shared" si="83"/>
        <v>46.720650000000006</v>
      </c>
      <c r="M6607" s="337"/>
    </row>
    <row r="6608" spans="1:13" s="71" customFormat="1" ht="26.4" customHeight="1">
      <c r="A6608" s="282">
        <v>183</v>
      </c>
      <c r="B6608" s="534"/>
      <c r="C6608" s="260" t="s">
        <v>7547</v>
      </c>
      <c r="D6608" s="260" t="s">
        <v>3</v>
      </c>
      <c r="E6608" s="441" t="s">
        <v>8430</v>
      </c>
      <c r="F6608" s="404">
        <v>199</v>
      </c>
      <c r="G6608" s="371" t="s">
        <v>1549</v>
      </c>
      <c r="H6608" s="408" t="s">
        <v>3</v>
      </c>
      <c r="I6608" s="470" t="s">
        <v>3</v>
      </c>
      <c r="J6608" s="497">
        <v>138.81386000000001</v>
      </c>
      <c r="K6608" s="497">
        <v>108.52477</v>
      </c>
      <c r="L6608" s="496">
        <f t="shared" si="83"/>
        <v>30.289090000000002</v>
      </c>
      <c r="M6608" s="337"/>
    </row>
    <row r="6609" spans="1:13" s="71" customFormat="1" ht="26.4" customHeight="1">
      <c r="A6609" s="282">
        <v>184</v>
      </c>
      <c r="B6609" s="534"/>
      <c r="C6609" s="260" t="s">
        <v>7547</v>
      </c>
      <c r="D6609" s="260" t="s">
        <v>3</v>
      </c>
      <c r="E6609" s="441" t="s">
        <v>8431</v>
      </c>
      <c r="F6609" s="404">
        <v>202</v>
      </c>
      <c r="G6609" s="371" t="s">
        <v>1549</v>
      </c>
      <c r="H6609" s="408" t="s">
        <v>3</v>
      </c>
      <c r="I6609" s="470" t="s">
        <v>3</v>
      </c>
      <c r="J6609" s="497">
        <v>143.37391</v>
      </c>
      <c r="K6609" s="497">
        <v>110.0068</v>
      </c>
      <c r="L6609" s="496">
        <f t="shared" si="83"/>
        <v>33.367109999999997</v>
      </c>
      <c r="M6609" s="337"/>
    </row>
    <row r="6610" spans="1:13" s="71" customFormat="1" ht="26.4" customHeight="1">
      <c r="A6610" s="282">
        <v>185</v>
      </c>
      <c r="B6610" s="534"/>
      <c r="C6610" s="260" t="s">
        <v>7547</v>
      </c>
      <c r="D6610" s="260" t="s">
        <v>3</v>
      </c>
      <c r="E6610" s="441" t="s">
        <v>8432</v>
      </c>
      <c r="F6610" s="404">
        <v>15</v>
      </c>
      <c r="G6610" s="371" t="s">
        <v>1585</v>
      </c>
      <c r="H6610" s="408" t="s">
        <v>3</v>
      </c>
      <c r="I6610" s="470" t="s">
        <v>3</v>
      </c>
      <c r="J6610" s="497">
        <v>468.10129000000001</v>
      </c>
      <c r="K6610" s="497">
        <v>372.94742000000002</v>
      </c>
      <c r="L6610" s="496">
        <f t="shared" si="83"/>
        <v>95.153869999999984</v>
      </c>
      <c r="M6610" s="337"/>
    </row>
    <row r="6611" spans="1:13" s="71" customFormat="1" ht="26.4" customHeight="1">
      <c r="A6611" s="282">
        <v>186</v>
      </c>
      <c r="B6611" s="534"/>
      <c r="C6611" s="260" t="s">
        <v>7547</v>
      </c>
      <c r="D6611" s="260" t="s">
        <v>3</v>
      </c>
      <c r="E6611" s="441" t="s">
        <v>13357</v>
      </c>
      <c r="F6611" s="404">
        <v>424</v>
      </c>
      <c r="G6611" s="371" t="s">
        <v>1560</v>
      </c>
      <c r="H6611" s="408" t="s">
        <v>3</v>
      </c>
      <c r="I6611" s="470" t="s">
        <v>3</v>
      </c>
      <c r="J6611" s="497">
        <v>0.30147000000000002</v>
      </c>
      <c r="K6611" s="497">
        <v>0.29103000000000001</v>
      </c>
      <c r="L6611" s="496">
        <f t="shared" si="83"/>
        <v>1.0440000000000005E-2</v>
      </c>
      <c r="M6611" s="337"/>
    </row>
    <row r="6612" spans="1:13" s="71" customFormat="1" ht="26.4" customHeight="1">
      <c r="A6612" s="282">
        <v>187</v>
      </c>
      <c r="B6612" s="534"/>
      <c r="C6612" s="260" t="s">
        <v>7547</v>
      </c>
      <c r="D6612" s="260" t="s">
        <v>3</v>
      </c>
      <c r="E6612" s="441" t="s">
        <v>13357</v>
      </c>
      <c r="F6612" s="404">
        <v>425</v>
      </c>
      <c r="G6612" s="371" t="s">
        <v>1560</v>
      </c>
      <c r="H6612" s="408" t="s">
        <v>3</v>
      </c>
      <c r="I6612" s="470" t="s">
        <v>3</v>
      </c>
      <c r="J6612" s="497">
        <v>0.30147000000000002</v>
      </c>
      <c r="K6612" s="497">
        <v>0.29103000000000001</v>
      </c>
      <c r="L6612" s="496">
        <f t="shared" si="83"/>
        <v>1.0440000000000005E-2</v>
      </c>
      <c r="M6612" s="337"/>
    </row>
    <row r="6613" spans="1:13" s="71" customFormat="1" ht="26.4" customHeight="1">
      <c r="A6613" s="282">
        <v>188</v>
      </c>
      <c r="B6613" s="534"/>
      <c r="C6613" s="260" t="s">
        <v>7547</v>
      </c>
      <c r="D6613" s="260" t="s">
        <v>3</v>
      </c>
      <c r="E6613" s="441" t="s">
        <v>13357</v>
      </c>
      <c r="F6613" s="404">
        <v>426</v>
      </c>
      <c r="G6613" s="371" t="s">
        <v>1560</v>
      </c>
      <c r="H6613" s="408" t="s">
        <v>3</v>
      </c>
      <c r="I6613" s="470" t="s">
        <v>3</v>
      </c>
      <c r="J6613" s="497">
        <v>0.30147000000000002</v>
      </c>
      <c r="K6613" s="497">
        <v>0.29103000000000001</v>
      </c>
      <c r="L6613" s="496">
        <f t="shared" si="83"/>
        <v>1.0440000000000005E-2</v>
      </c>
      <c r="M6613" s="337"/>
    </row>
    <row r="6614" spans="1:13" s="71" customFormat="1" ht="26.4" customHeight="1">
      <c r="A6614" s="282">
        <v>189</v>
      </c>
      <c r="B6614" s="534"/>
      <c r="C6614" s="260" t="s">
        <v>7547</v>
      </c>
      <c r="D6614" s="260" t="s">
        <v>3</v>
      </c>
      <c r="E6614" s="441" t="s">
        <v>8433</v>
      </c>
      <c r="F6614" s="404">
        <v>3916</v>
      </c>
      <c r="G6614" s="371" t="s">
        <v>1581</v>
      </c>
      <c r="H6614" s="408" t="s">
        <v>3</v>
      </c>
      <c r="I6614" s="470" t="s">
        <v>3</v>
      </c>
      <c r="J6614" s="497">
        <v>3.4238200000000001</v>
      </c>
      <c r="K6614" s="497">
        <v>3.38645</v>
      </c>
      <c r="L6614" s="496">
        <f t="shared" si="83"/>
        <v>3.7370000000000125E-2</v>
      </c>
      <c r="M6614" s="337"/>
    </row>
    <row r="6615" spans="1:13" s="71" customFormat="1" ht="26.4" customHeight="1">
      <c r="A6615" s="282">
        <v>190</v>
      </c>
      <c r="B6615" s="534"/>
      <c r="C6615" s="260" t="s">
        <v>8434</v>
      </c>
      <c r="D6615" s="260" t="s">
        <v>3</v>
      </c>
      <c r="E6615" s="260" t="s">
        <v>8435</v>
      </c>
      <c r="F6615" s="404">
        <v>912003404</v>
      </c>
      <c r="G6615" s="371" t="s">
        <v>1537</v>
      </c>
      <c r="H6615" s="408" t="s">
        <v>3</v>
      </c>
      <c r="I6615" s="470" t="s">
        <v>3</v>
      </c>
      <c r="J6615" s="497">
        <v>555.45000000000005</v>
      </c>
      <c r="K6615" s="497">
        <v>85.168999999999997</v>
      </c>
      <c r="L6615" s="496">
        <f t="shared" si="83"/>
        <v>470.28100000000006</v>
      </c>
      <c r="M6615" s="337"/>
    </row>
    <row r="6616" spans="1:13" s="71" customFormat="1" ht="26.4" customHeight="1">
      <c r="A6616" s="282">
        <v>191</v>
      </c>
      <c r="B6616" s="534"/>
      <c r="C6616" s="260" t="s">
        <v>8434</v>
      </c>
      <c r="D6616" s="282" t="s">
        <v>3</v>
      </c>
      <c r="E6616" s="441" t="s">
        <v>8436</v>
      </c>
      <c r="F6616" s="404">
        <v>30453</v>
      </c>
      <c r="G6616" s="371" t="s">
        <v>1584</v>
      </c>
      <c r="H6616" s="559" t="s">
        <v>722</v>
      </c>
      <c r="I6616" s="560">
        <v>44.1</v>
      </c>
      <c r="J6616" s="496">
        <v>11.86711</v>
      </c>
      <c r="K6616" s="496">
        <v>11.803140000000001</v>
      </c>
      <c r="L6616" s="496">
        <f t="shared" si="83"/>
        <v>6.3969999999999416E-2</v>
      </c>
      <c r="M6616" s="337"/>
    </row>
    <row r="6617" spans="1:13" s="71" customFormat="1" ht="26.4" customHeight="1">
      <c r="A6617" s="282">
        <v>192</v>
      </c>
      <c r="B6617" s="534"/>
      <c r="C6617" s="260" t="s">
        <v>8434</v>
      </c>
      <c r="D6617" s="282" t="s">
        <v>3</v>
      </c>
      <c r="E6617" s="441" t="s">
        <v>8436</v>
      </c>
      <c r="F6617" s="404">
        <v>30453</v>
      </c>
      <c r="G6617" s="371" t="s">
        <v>1584</v>
      </c>
      <c r="H6617" s="559"/>
      <c r="I6617" s="560"/>
      <c r="J6617" s="496">
        <v>641.91097000000002</v>
      </c>
      <c r="K6617" s="496">
        <v>639.00264000000004</v>
      </c>
      <c r="L6617" s="496">
        <f t="shared" si="83"/>
        <v>2.9083299999999781</v>
      </c>
      <c r="M6617" s="337"/>
    </row>
    <row r="6618" spans="1:13" s="71" customFormat="1" ht="26.4" customHeight="1">
      <c r="A6618" s="282">
        <v>193</v>
      </c>
      <c r="B6618" s="534"/>
      <c r="C6618" s="260" t="s">
        <v>8434</v>
      </c>
      <c r="D6618" s="282" t="s">
        <v>3</v>
      </c>
      <c r="E6618" s="441" t="s">
        <v>8437</v>
      </c>
      <c r="F6618" s="404">
        <v>30509</v>
      </c>
      <c r="G6618" s="371" t="s">
        <v>1549</v>
      </c>
      <c r="H6618" s="472" t="s">
        <v>722</v>
      </c>
      <c r="I6618" s="473">
        <v>5.6449999999999996</v>
      </c>
      <c r="J6618" s="496">
        <v>520.01927999999998</v>
      </c>
      <c r="K6618" s="496">
        <v>518.10672</v>
      </c>
      <c r="L6618" s="496">
        <f t="shared" si="83"/>
        <v>1.9125599999999849</v>
      </c>
      <c r="M6618" s="337"/>
    </row>
    <row r="6619" spans="1:13" s="71" customFormat="1" ht="26.4" customHeight="1">
      <c r="A6619" s="282">
        <v>194</v>
      </c>
      <c r="B6619" s="534"/>
      <c r="C6619" s="260" t="s">
        <v>8434</v>
      </c>
      <c r="D6619" s="260" t="s">
        <v>3</v>
      </c>
      <c r="E6619" s="441" t="s">
        <v>8438</v>
      </c>
      <c r="F6619" s="404">
        <v>30480</v>
      </c>
      <c r="G6619" s="371" t="s">
        <v>1566</v>
      </c>
      <c r="H6619" s="408" t="s">
        <v>3</v>
      </c>
      <c r="I6619" s="470" t="s">
        <v>3</v>
      </c>
      <c r="J6619" s="497">
        <v>643.42138</v>
      </c>
      <c r="K6619" s="497">
        <v>641.92516000000001</v>
      </c>
      <c r="L6619" s="496">
        <f t="shared" si="83"/>
        <v>1.4962199999999939</v>
      </c>
      <c r="M6619" s="337"/>
    </row>
    <row r="6620" spans="1:13" s="71" customFormat="1" ht="26.4" customHeight="1">
      <c r="A6620" s="282">
        <v>195</v>
      </c>
      <c r="B6620" s="534"/>
      <c r="C6620" s="260" t="s">
        <v>8434</v>
      </c>
      <c r="D6620" s="260" t="s">
        <v>3</v>
      </c>
      <c r="E6620" s="441" t="s">
        <v>8439</v>
      </c>
      <c r="F6620" s="442" t="s">
        <v>8440</v>
      </c>
      <c r="G6620" s="371" t="s">
        <v>1558</v>
      </c>
      <c r="H6620" s="408" t="s">
        <v>3</v>
      </c>
      <c r="I6620" s="470" t="s">
        <v>3</v>
      </c>
      <c r="J6620" s="497">
        <v>11225.008250000001</v>
      </c>
      <c r="K6620" s="497">
        <v>2528.4817600000001</v>
      </c>
      <c r="L6620" s="496">
        <f t="shared" si="83"/>
        <v>8696.5264900000002</v>
      </c>
      <c r="M6620" s="337"/>
    </row>
    <row r="6621" spans="1:13" s="71" customFormat="1" ht="26.4" customHeight="1">
      <c r="A6621" s="282">
        <v>196</v>
      </c>
      <c r="B6621" s="534"/>
      <c r="C6621" s="260" t="s">
        <v>8434</v>
      </c>
      <c r="D6621" s="260" t="s">
        <v>3</v>
      </c>
      <c r="E6621" s="441" t="s">
        <v>8439</v>
      </c>
      <c r="F6621" s="442" t="s">
        <v>8441</v>
      </c>
      <c r="G6621" s="371" t="s">
        <v>1567</v>
      </c>
      <c r="H6621" s="408" t="s">
        <v>3</v>
      </c>
      <c r="I6621" s="470" t="s">
        <v>3</v>
      </c>
      <c r="J6621" s="497">
        <v>22013.453300000001</v>
      </c>
      <c r="K6621" s="497">
        <v>4416.2065199999997</v>
      </c>
      <c r="L6621" s="496">
        <f t="shared" si="83"/>
        <v>17597.246780000001</v>
      </c>
      <c r="M6621" s="337"/>
    </row>
    <row r="6622" spans="1:13" s="71" customFormat="1" ht="26.4" customHeight="1">
      <c r="A6622" s="282">
        <v>197</v>
      </c>
      <c r="B6622" s="534"/>
      <c r="C6622" s="260" t="s">
        <v>8434</v>
      </c>
      <c r="D6622" s="260" t="s">
        <v>3</v>
      </c>
      <c r="E6622" s="441" t="s">
        <v>8442</v>
      </c>
      <c r="F6622" s="442" t="s">
        <v>8443</v>
      </c>
      <c r="G6622" s="371" t="s">
        <v>1569</v>
      </c>
      <c r="H6622" s="408" t="s">
        <v>3</v>
      </c>
      <c r="I6622" s="470" t="s">
        <v>3</v>
      </c>
      <c r="J6622" s="497">
        <v>4126.1901900000003</v>
      </c>
      <c r="K6622" s="497">
        <v>872.30133000000001</v>
      </c>
      <c r="L6622" s="496">
        <f t="shared" si="83"/>
        <v>3253.88886</v>
      </c>
      <c r="M6622" s="337"/>
    </row>
    <row r="6623" spans="1:13" s="71" customFormat="1" ht="26.4" customHeight="1">
      <c r="A6623" s="282">
        <v>198</v>
      </c>
      <c r="B6623" s="534"/>
      <c r="C6623" s="260" t="s">
        <v>8434</v>
      </c>
      <c r="D6623" s="260" t="s">
        <v>3</v>
      </c>
      <c r="E6623" s="441" t="s">
        <v>8444</v>
      </c>
      <c r="F6623" s="404">
        <v>20206</v>
      </c>
      <c r="G6623" s="371" t="s">
        <v>1551</v>
      </c>
      <c r="H6623" s="408" t="s">
        <v>3</v>
      </c>
      <c r="I6623" s="470" t="s">
        <v>3</v>
      </c>
      <c r="J6623" s="497">
        <v>8.3416399999999999</v>
      </c>
      <c r="K6623" s="497">
        <v>7.8399200000000002</v>
      </c>
      <c r="L6623" s="496">
        <f t="shared" si="83"/>
        <v>0.50171999999999972</v>
      </c>
      <c r="M6623" s="337"/>
    </row>
    <row r="6624" spans="1:13" s="71" customFormat="1" ht="26.4" customHeight="1">
      <c r="A6624" s="282">
        <v>199</v>
      </c>
      <c r="B6624" s="534"/>
      <c r="C6624" s="260" t="s">
        <v>8434</v>
      </c>
      <c r="D6624" s="260" t="s">
        <v>3</v>
      </c>
      <c r="E6624" s="260" t="s">
        <v>8445</v>
      </c>
      <c r="F6624" s="404">
        <v>20366</v>
      </c>
      <c r="G6624" s="371" t="s">
        <v>1548</v>
      </c>
      <c r="H6624" s="408" t="s">
        <v>3</v>
      </c>
      <c r="I6624" s="470" t="s">
        <v>3</v>
      </c>
      <c r="J6624" s="497">
        <v>31.98189</v>
      </c>
      <c r="K6624" s="497">
        <v>28.891529999999999</v>
      </c>
      <c r="L6624" s="496">
        <f t="shared" si="83"/>
        <v>3.0903600000000004</v>
      </c>
      <c r="M6624" s="337"/>
    </row>
    <row r="6625" spans="1:13" s="71" customFormat="1" ht="26.4" customHeight="1">
      <c r="A6625" s="282">
        <v>200</v>
      </c>
      <c r="B6625" s="534"/>
      <c r="C6625" s="260" t="s">
        <v>8434</v>
      </c>
      <c r="D6625" s="260" t="s">
        <v>3</v>
      </c>
      <c r="E6625" s="260" t="s">
        <v>8446</v>
      </c>
      <c r="F6625" s="404">
        <v>20365</v>
      </c>
      <c r="G6625" s="371" t="s">
        <v>1548</v>
      </c>
      <c r="H6625" s="408" t="s">
        <v>3</v>
      </c>
      <c r="I6625" s="470" t="s">
        <v>3</v>
      </c>
      <c r="J6625" s="497">
        <v>20.047090000000001</v>
      </c>
      <c r="K6625" s="497">
        <v>18.111730000000001</v>
      </c>
      <c r="L6625" s="496">
        <f t="shared" si="83"/>
        <v>1.9353599999999993</v>
      </c>
      <c r="M6625" s="337"/>
    </row>
    <row r="6626" spans="1:13" s="71" customFormat="1" ht="26.4" customHeight="1">
      <c r="A6626" s="282">
        <v>201</v>
      </c>
      <c r="B6626" s="534"/>
      <c r="C6626" s="260" t="s">
        <v>8434</v>
      </c>
      <c r="D6626" s="260" t="s">
        <v>3</v>
      </c>
      <c r="E6626" s="260" t="s">
        <v>8447</v>
      </c>
      <c r="F6626" s="404">
        <v>20364</v>
      </c>
      <c r="G6626" s="371" t="s">
        <v>1548</v>
      </c>
      <c r="H6626" s="408" t="s">
        <v>3</v>
      </c>
      <c r="I6626" s="470" t="s">
        <v>3</v>
      </c>
      <c r="J6626" s="497">
        <v>179.60615999999999</v>
      </c>
      <c r="K6626" s="497">
        <v>162.37116</v>
      </c>
      <c r="L6626" s="496">
        <f t="shared" si="83"/>
        <v>17.234999999999985</v>
      </c>
      <c r="M6626" s="337"/>
    </row>
    <row r="6627" spans="1:13" s="71" customFormat="1" ht="26.4" customHeight="1">
      <c r="A6627" s="282">
        <v>324</v>
      </c>
      <c r="B6627" s="534"/>
      <c r="C6627" s="260" t="s">
        <v>8448</v>
      </c>
      <c r="D6627" s="297" t="s">
        <v>3</v>
      </c>
      <c r="E6627" s="260" t="s">
        <v>8449</v>
      </c>
      <c r="F6627" s="387">
        <v>2440</v>
      </c>
      <c r="G6627" s="371" t="s">
        <v>1547</v>
      </c>
      <c r="H6627" s="396" t="s">
        <v>1168</v>
      </c>
      <c r="I6627" s="473">
        <v>37.9</v>
      </c>
      <c r="J6627" s="496">
        <v>79.348050000000001</v>
      </c>
      <c r="K6627" s="496">
        <v>65</v>
      </c>
      <c r="L6627" s="496">
        <f t="shared" si="83"/>
        <v>14.348050000000001</v>
      </c>
      <c r="M6627" s="337"/>
    </row>
    <row r="6628" spans="1:13" s="71" customFormat="1" ht="26.4" customHeight="1">
      <c r="A6628" s="282">
        <v>325</v>
      </c>
      <c r="B6628" s="534"/>
      <c r="C6628" s="260" t="s">
        <v>8317</v>
      </c>
      <c r="D6628" s="297" t="s">
        <v>3</v>
      </c>
      <c r="E6628" s="260" t="s">
        <v>8450</v>
      </c>
      <c r="F6628" s="387">
        <v>10125</v>
      </c>
      <c r="G6628" s="371" t="s">
        <v>1547</v>
      </c>
      <c r="H6628" s="396" t="s">
        <v>1168</v>
      </c>
      <c r="I6628" s="473">
        <v>124.32</v>
      </c>
      <c r="J6628" s="496">
        <v>208.02853999999999</v>
      </c>
      <c r="K6628" s="496">
        <v>173.4</v>
      </c>
      <c r="L6628" s="496">
        <f t="shared" si="83"/>
        <v>34.628539999999987</v>
      </c>
      <c r="M6628" s="337"/>
    </row>
    <row r="6629" spans="1:13" s="71" customFormat="1" ht="26.4" customHeight="1">
      <c r="A6629" s="282">
        <v>326</v>
      </c>
      <c r="B6629" s="534"/>
      <c r="C6629" s="260" t="s">
        <v>8451</v>
      </c>
      <c r="D6629" s="297" t="s">
        <v>3</v>
      </c>
      <c r="E6629" s="260" t="s">
        <v>8452</v>
      </c>
      <c r="F6629" s="387">
        <v>10126</v>
      </c>
      <c r="G6629" s="371" t="s">
        <v>1547</v>
      </c>
      <c r="H6629" s="396" t="s">
        <v>1168</v>
      </c>
      <c r="I6629" s="473">
        <v>103.2</v>
      </c>
      <c r="J6629" s="496">
        <v>208.02853999999999</v>
      </c>
      <c r="K6629" s="496">
        <v>173.4</v>
      </c>
      <c r="L6629" s="496">
        <f t="shared" si="83"/>
        <v>34.628539999999987</v>
      </c>
      <c r="M6629" s="337"/>
    </row>
    <row r="6630" spans="1:13" s="71" customFormat="1" ht="26.4" customHeight="1">
      <c r="A6630" s="282">
        <v>327</v>
      </c>
      <c r="B6630" s="534"/>
      <c r="C6630" s="260" t="s">
        <v>8453</v>
      </c>
      <c r="D6630" s="297" t="s">
        <v>3</v>
      </c>
      <c r="E6630" s="260" t="s">
        <v>8454</v>
      </c>
      <c r="F6630" s="387">
        <v>10127</v>
      </c>
      <c r="G6630" s="371" t="s">
        <v>1547</v>
      </c>
      <c r="H6630" s="396" t="s">
        <v>1168</v>
      </c>
      <c r="I6630" s="473">
        <v>54</v>
      </c>
      <c r="J6630" s="496">
        <v>104.01430999999999</v>
      </c>
      <c r="K6630" s="496">
        <v>85.5</v>
      </c>
      <c r="L6630" s="496">
        <f t="shared" si="83"/>
        <v>18.514309999999995</v>
      </c>
      <c r="M6630" s="337"/>
    </row>
    <row r="6631" spans="1:13" s="71" customFormat="1" ht="26.4" customHeight="1">
      <c r="A6631" s="282">
        <v>328</v>
      </c>
      <c r="B6631" s="534"/>
      <c r="C6631" s="260" t="s">
        <v>8455</v>
      </c>
      <c r="D6631" s="297" t="s">
        <v>3</v>
      </c>
      <c r="E6631" s="260" t="s">
        <v>8456</v>
      </c>
      <c r="F6631" s="406" t="s">
        <v>8457</v>
      </c>
      <c r="G6631" s="371" t="s">
        <v>1547</v>
      </c>
      <c r="H6631" s="396" t="s">
        <v>1168</v>
      </c>
      <c r="I6631" s="473">
        <v>103.2</v>
      </c>
      <c r="J6631" s="496">
        <v>208.02853999999999</v>
      </c>
      <c r="K6631" s="496">
        <v>175.7</v>
      </c>
      <c r="L6631" s="496">
        <f t="shared" si="83"/>
        <v>32.328540000000004</v>
      </c>
      <c r="M6631" s="337"/>
    </row>
    <row r="6632" spans="1:13" s="71" customFormat="1" ht="26.4" customHeight="1">
      <c r="A6632" s="282">
        <v>329</v>
      </c>
      <c r="B6632" s="534"/>
      <c r="C6632" s="260" t="s">
        <v>8458</v>
      </c>
      <c r="D6632" s="297" t="s">
        <v>3</v>
      </c>
      <c r="E6632" s="260" t="s">
        <v>8459</v>
      </c>
      <c r="F6632" s="387">
        <v>10130</v>
      </c>
      <c r="G6632" s="371" t="s">
        <v>1547</v>
      </c>
      <c r="H6632" s="396" t="s">
        <v>1168</v>
      </c>
      <c r="I6632" s="473">
        <v>103.2</v>
      </c>
      <c r="J6632" s="496">
        <v>208.02853999999999</v>
      </c>
      <c r="K6632" s="496">
        <v>168.7</v>
      </c>
      <c r="L6632" s="496">
        <f t="shared" si="83"/>
        <v>39.328540000000004</v>
      </c>
      <c r="M6632" s="337"/>
    </row>
    <row r="6633" spans="1:13" s="71" customFormat="1" ht="26.4" customHeight="1">
      <c r="A6633" s="282">
        <v>334</v>
      </c>
      <c r="B6633" s="534"/>
      <c r="C6633" s="260" t="s">
        <v>8460</v>
      </c>
      <c r="D6633" s="260" t="s">
        <v>3</v>
      </c>
      <c r="E6633" s="260" t="s">
        <v>8461</v>
      </c>
      <c r="F6633" s="387">
        <v>2430</v>
      </c>
      <c r="G6633" s="371" t="s">
        <v>1547</v>
      </c>
      <c r="H6633" s="396" t="s">
        <v>1168</v>
      </c>
      <c r="I6633" s="473">
        <v>37.9</v>
      </c>
      <c r="J6633" s="496">
        <v>137.9</v>
      </c>
      <c r="K6633" s="496">
        <v>65</v>
      </c>
      <c r="L6633" s="496">
        <f t="shared" si="83"/>
        <v>72.900000000000006</v>
      </c>
      <c r="M6633" s="337"/>
    </row>
    <row r="6634" spans="1:13" s="71" customFormat="1" ht="26.4" customHeight="1">
      <c r="A6634" s="282">
        <v>335</v>
      </c>
      <c r="B6634" s="534"/>
      <c r="C6634" s="260" t="s">
        <v>8462</v>
      </c>
      <c r="D6634" s="260" t="s">
        <v>8463</v>
      </c>
      <c r="E6634" s="260" t="s">
        <v>8464</v>
      </c>
      <c r="F6634" s="387">
        <v>10265</v>
      </c>
      <c r="G6634" s="371" t="s">
        <v>1547</v>
      </c>
      <c r="H6634" s="396" t="s">
        <v>1168</v>
      </c>
      <c r="I6634" s="473">
        <v>50.1</v>
      </c>
      <c r="J6634" s="496">
        <v>421.10377999999997</v>
      </c>
      <c r="K6634" s="496">
        <v>294.5</v>
      </c>
      <c r="L6634" s="496">
        <f t="shared" si="83"/>
        <v>126.60377999999997</v>
      </c>
      <c r="M6634" s="337"/>
    </row>
    <row r="6635" spans="1:13" s="71" customFormat="1" ht="26.4" customHeight="1">
      <c r="A6635" s="282">
        <v>377</v>
      </c>
      <c r="B6635" s="534"/>
      <c r="C6635" s="260" t="s">
        <v>8462</v>
      </c>
      <c r="D6635" s="260" t="s">
        <v>3</v>
      </c>
      <c r="E6635" s="441" t="s">
        <v>8465</v>
      </c>
      <c r="F6635" s="404">
        <v>232</v>
      </c>
      <c r="G6635" s="371" t="s">
        <v>1529</v>
      </c>
      <c r="H6635" s="408" t="s">
        <v>3</v>
      </c>
      <c r="I6635" s="470" t="s">
        <v>3</v>
      </c>
      <c r="J6635" s="497">
        <v>87.344830000000002</v>
      </c>
      <c r="K6635" s="497">
        <v>80.311599999999999</v>
      </c>
      <c r="L6635" s="496">
        <f t="shared" si="83"/>
        <v>7.0332300000000032</v>
      </c>
      <c r="M6635" s="337"/>
    </row>
    <row r="6636" spans="1:13" s="71" customFormat="1" ht="26.4" customHeight="1">
      <c r="A6636" s="282">
        <v>378</v>
      </c>
      <c r="B6636" s="534"/>
      <c r="C6636" s="260" t="s">
        <v>8462</v>
      </c>
      <c r="D6636" s="260" t="s">
        <v>3</v>
      </c>
      <c r="E6636" s="441" t="s">
        <v>8466</v>
      </c>
      <c r="F6636" s="404">
        <v>20208</v>
      </c>
      <c r="G6636" s="371" t="s">
        <v>1570</v>
      </c>
      <c r="H6636" s="408" t="s">
        <v>3</v>
      </c>
      <c r="I6636" s="470" t="s">
        <v>3</v>
      </c>
      <c r="J6636" s="497">
        <v>7.5070899999999998</v>
      </c>
      <c r="K6636" s="497">
        <v>6.5686900000000001</v>
      </c>
      <c r="L6636" s="496">
        <f t="shared" si="83"/>
        <v>0.93839999999999968</v>
      </c>
      <c r="M6636" s="337"/>
    </row>
    <row r="6637" spans="1:13" s="71" customFormat="1" ht="26.4" customHeight="1">
      <c r="A6637" s="282">
        <v>379</v>
      </c>
      <c r="B6637" s="534"/>
      <c r="C6637" s="260" t="s">
        <v>8462</v>
      </c>
      <c r="D6637" s="260" t="s">
        <v>3</v>
      </c>
      <c r="E6637" s="441" t="s">
        <v>8467</v>
      </c>
      <c r="F6637" s="404">
        <v>20150</v>
      </c>
      <c r="G6637" s="371" t="s">
        <v>1584</v>
      </c>
      <c r="H6637" s="408" t="s">
        <v>3</v>
      </c>
      <c r="I6637" s="470" t="s">
        <v>3</v>
      </c>
      <c r="J6637" s="497">
        <v>815.14572999999996</v>
      </c>
      <c r="K6637" s="497">
        <v>788.41957000000002</v>
      </c>
      <c r="L6637" s="496">
        <f t="shared" ref="L6637:L6700" si="84">J6637-K6637</f>
        <v>26.726159999999936</v>
      </c>
      <c r="M6637" s="337"/>
    </row>
    <row r="6638" spans="1:13" s="71" customFormat="1" ht="26.4" customHeight="1">
      <c r="A6638" s="282">
        <v>380</v>
      </c>
      <c r="B6638" s="534"/>
      <c r="C6638" s="260" t="s">
        <v>8462</v>
      </c>
      <c r="D6638" s="260" t="s">
        <v>3</v>
      </c>
      <c r="E6638" s="441" t="s">
        <v>8468</v>
      </c>
      <c r="F6638" s="404">
        <v>20207</v>
      </c>
      <c r="G6638" s="371" t="s">
        <v>1570</v>
      </c>
      <c r="H6638" s="408" t="s">
        <v>3</v>
      </c>
      <c r="I6638" s="470" t="s">
        <v>3</v>
      </c>
      <c r="J6638" s="497">
        <v>8.9039800000000007</v>
      </c>
      <c r="K6638" s="497">
        <v>6.9950999999999999</v>
      </c>
      <c r="L6638" s="496">
        <f t="shared" si="84"/>
        <v>1.9088800000000008</v>
      </c>
      <c r="M6638" s="337"/>
    </row>
    <row r="6639" spans="1:13" s="317" customFormat="1" ht="26.4" customHeight="1">
      <c r="A6639" s="324" t="s">
        <v>3</v>
      </c>
      <c r="B6639" s="325" t="s">
        <v>4</v>
      </c>
      <c r="C6639" s="325" t="s">
        <v>3</v>
      </c>
      <c r="D6639" s="325" t="s">
        <v>3</v>
      </c>
      <c r="E6639" s="325" t="s">
        <v>3</v>
      </c>
      <c r="F6639" s="326" t="s">
        <v>3</v>
      </c>
      <c r="G6639" s="325" t="s">
        <v>3</v>
      </c>
      <c r="H6639" s="327" t="s">
        <v>3</v>
      </c>
      <c r="I6639" s="325" t="s">
        <v>3</v>
      </c>
      <c r="J6639" s="403">
        <f>SUM(J6428:J6638)</f>
        <v>339730.38885000051</v>
      </c>
      <c r="K6639" s="403">
        <f>SUM(K6428:K6638)</f>
        <v>247452.36881999997</v>
      </c>
      <c r="L6639" s="403">
        <f t="shared" si="84"/>
        <v>92278.020030000538</v>
      </c>
      <c r="M6639" s="316"/>
    </row>
    <row r="6640" spans="1:13" s="71" customFormat="1" ht="26.4" customHeight="1">
      <c r="A6640" s="282">
        <v>1</v>
      </c>
      <c r="B6640" s="536" t="s">
        <v>8469</v>
      </c>
      <c r="C6640" s="441" t="s">
        <v>8470</v>
      </c>
      <c r="D6640" s="441" t="s">
        <v>8471</v>
      </c>
      <c r="E6640" s="441" t="s">
        <v>8472</v>
      </c>
      <c r="F6640" s="442">
        <v>22</v>
      </c>
      <c r="G6640" s="443">
        <v>2005</v>
      </c>
      <c r="H6640" s="489" t="s">
        <v>5462</v>
      </c>
      <c r="I6640" s="409">
        <v>1120</v>
      </c>
      <c r="J6640" s="496">
        <v>35.93</v>
      </c>
      <c r="K6640" s="496">
        <v>21.271999999999998</v>
      </c>
      <c r="L6640" s="496">
        <f t="shared" si="84"/>
        <v>14.658000000000001</v>
      </c>
      <c r="M6640" s="337"/>
    </row>
    <row r="6641" spans="1:13" s="71" customFormat="1" ht="26.4" customHeight="1">
      <c r="A6641" s="282">
        <v>2</v>
      </c>
      <c r="B6641" s="537"/>
      <c r="C6641" s="441" t="s">
        <v>19</v>
      </c>
      <c r="D6641" s="441" t="s">
        <v>8473</v>
      </c>
      <c r="E6641" s="441" t="s">
        <v>8474</v>
      </c>
      <c r="F6641" s="442">
        <v>38</v>
      </c>
      <c r="G6641" s="443">
        <v>2006</v>
      </c>
      <c r="H6641" s="489" t="s">
        <v>5462</v>
      </c>
      <c r="I6641" s="409">
        <v>1750</v>
      </c>
      <c r="J6641" s="496">
        <v>125.479</v>
      </c>
      <c r="K6641" s="496">
        <v>67.617999999999995</v>
      </c>
      <c r="L6641" s="496">
        <f t="shared" si="84"/>
        <v>57.861000000000004</v>
      </c>
      <c r="M6641" s="337"/>
    </row>
    <row r="6642" spans="1:13" s="71" customFormat="1" ht="26.4" customHeight="1">
      <c r="A6642" s="282">
        <v>3</v>
      </c>
      <c r="B6642" s="537"/>
      <c r="C6642" s="441" t="s">
        <v>19</v>
      </c>
      <c r="D6642" s="441" t="s">
        <v>8475</v>
      </c>
      <c r="E6642" s="441" t="s">
        <v>8476</v>
      </c>
      <c r="F6642" s="442">
        <v>63</v>
      </c>
      <c r="G6642" s="443">
        <v>2007</v>
      </c>
      <c r="H6642" s="489" t="s">
        <v>3243</v>
      </c>
      <c r="I6642" s="409" t="s">
        <v>3243</v>
      </c>
      <c r="J6642" s="496">
        <v>19.023</v>
      </c>
      <c r="K6642" s="496">
        <v>18.103999999999999</v>
      </c>
      <c r="L6642" s="496">
        <f t="shared" si="84"/>
        <v>0.91900000000000048</v>
      </c>
      <c r="M6642" s="337"/>
    </row>
    <row r="6643" spans="1:13" s="71" customFormat="1" ht="26.4" customHeight="1">
      <c r="A6643" s="282">
        <v>4</v>
      </c>
      <c r="B6643" s="537"/>
      <c r="C6643" s="441" t="s">
        <v>19</v>
      </c>
      <c r="D6643" s="441" t="s">
        <v>8477</v>
      </c>
      <c r="E6643" s="441" t="s">
        <v>8476</v>
      </c>
      <c r="F6643" s="442">
        <v>64</v>
      </c>
      <c r="G6643" s="443">
        <v>2007</v>
      </c>
      <c r="H6643" s="489" t="s">
        <v>3243</v>
      </c>
      <c r="I6643" s="409" t="s">
        <v>3243</v>
      </c>
      <c r="J6643" s="496">
        <v>25.045000000000002</v>
      </c>
      <c r="K6643" s="496">
        <v>23.835000000000001</v>
      </c>
      <c r="L6643" s="496">
        <f t="shared" si="84"/>
        <v>1.2100000000000009</v>
      </c>
      <c r="M6643" s="337"/>
    </row>
    <row r="6644" spans="1:13" s="71" customFormat="1" ht="26.4" customHeight="1">
      <c r="A6644" s="282">
        <v>5</v>
      </c>
      <c r="B6644" s="537"/>
      <c r="C6644" s="441" t="s">
        <v>19</v>
      </c>
      <c r="D6644" s="441" t="s">
        <v>8478</v>
      </c>
      <c r="E6644" s="441" t="s">
        <v>8479</v>
      </c>
      <c r="F6644" s="442">
        <v>105</v>
      </c>
      <c r="G6644" s="443">
        <v>2009</v>
      </c>
      <c r="H6644" s="489" t="s">
        <v>5462</v>
      </c>
      <c r="I6644" s="409">
        <v>63</v>
      </c>
      <c r="J6644" s="496">
        <v>20.722000000000001</v>
      </c>
      <c r="K6644" s="496">
        <v>7.1829999999999998</v>
      </c>
      <c r="L6644" s="496">
        <f t="shared" si="84"/>
        <v>13.539000000000001</v>
      </c>
      <c r="M6644" s="337"/>
    </row>
    <row r="6645" spans="1:13" s="71" customFormat="1" ht="26.4" customHeight="1">
      <c r="A6645" s="282">
        <v>6</v>
      </c>
      <c r="B6645" s="537"/>
      <c r="C6645" s="441" t="s">
        <v>19</v>
      </c>
      <c r="D6645" s="260" t="s">
        <v>8480</v>
      </c>
      <c r="E6645" s="260" t="s">
        <v>8481</v>
      </c>
      <c r="F6645" s="387">
        <v>106</v>
      </c>
      <c r="G6645" s="443">
        <v>2009</v>
      </c>
      <c r="H6645" s="410" t="s">
        <v>5462</v>
      </c>
      <c r="I6645" s="409">
        <v>16</v>
      </c>
      <c r="J6645" s="496">
        <v>3.9740000000000002</v>
      </c>
      <c r="K6645" s="496">
        <v>1.3779999999999999</v>
      </c>
      <c r="L6645" s="496">
        <f t="shared" si="84"/>
        <v>2.5960000000000001</v>
      </c>
      <c r="M6645" s="337"/>
    </row>
    <row r="6646" spans="1:13" s="332" customFormat="1" ht="26.4" customHeight="1">
      <c r="A6646" s="445">
        <v>7</v>
      </c>
      <c r="B6646" s="537"/>
      <c r="C6646" s="444" t="s">
        <v>19</v>
      </c>
      <c r="D6646" s="444" t="s">
        <v>8482</v>
      </c>
      <c r="E6646" s="441" t="s">
        <v>8483</v>
      </c>
      <c r="F6646" s="372">
        <v>109</v>
      </c>
      <c r="G6646" s="443">
        <v>1983</v>
      </c>
      <c r="H6646" s="407" t="s">
        <v>5462</v>
      </c>
      <c r="I6646" s="470">
        <v>1400</v>
      </c>
      <c r="J6646" s="496">
        <v>75.233000000000004</v>
      </c>
      <c r="K6646" s="496">
        <v>71.897000000000006</v>
      </c>
      <c r="L6646" s="496">
        <f t="shared" si="84"/>
        <v>3.3359999999999985</v>
      </c>
      <c r="M6646" s="331"/>
    </row>
    <row r="6647" spans="1:13" s="71" customFormat="1" ht="26.4" customHeight="1">
      <c r="A6647" s="282">
        <v>8</v>
      </c>
      <c r="B6647" s="537"/>
      <c r="C6647" s="441" t="s">
        <v>19</v>
      </c>
      <c r="D6647" s="260" t="s">
        <v>8484</v>
      </c>
      <c r="E6647" s="441" t="s">
        <v>8485</v>
      </c>
      <c r="F6647" s="442">
        <v>114</v>
      </c>
      <c r="G6647" s="443">
        <v>1982</v>
      </c>
      <c r="H6647" s="489" t="s">
        <v>5462</v>
      </c>
      <c r="I6647" s="409">
        <v>7000</v>
      </c>
      <c r="J6647" s="496">
        <v>228.62200000000001</v>
      </c>
      <c r="K6647" s="496">
        <v>210.56200000000001</v>
      </c>
      <c r="L6647" s="496">
        <f t="shared" si="84"/>
        <v>18.060000000000002</v>
      </c>
      <c r="M6647" s="337"/>
    </row>
    <row r="6648" spans="1:13" s="71" customFormat="1" ht="26.4" customHeight="1">
      <c r="A6648" s="282">
        <v>9</v>
      </c>
      <c r="B6648" s="537"/>
      <c r="C6648" s="441" t="s">
        <v>19</v>
      </c>
      <c r="D6648" s="260" t="s">
        <v>8486</v>
      </c>
      <c r="E6648" s="441" t="s">
        <v>8487</v>
      </c>
      <c r="F6648" s="442">
        <v>123</v>
      </c>
      <c r="G6648" s="443">
        <v>1988</v>
      </c>
      <c r="H6648" s="489" t="s">
        <v>5462</v>
      </c>
      <c r="I6648" s="409">
        <v>4100</v>
      </c>
      <c r="J6648" s="496">
        <v>185.10400000000001</v>
      </c>
      <c r="K6648" s="496">
        <v>180.44399999999999</v>
      </c>
      <c r="L6648" s="496">
        <f t="shared" si="84"/>
        <v>4.660000000000025</v>
      </c>
      <c r="M6648" s="337"/>
    </row>
    <row r="6649" spans="1:13" s="71" customFormat="1" ht="26.4" customHeight="1">
      <c r="A6649" s="282">
        <v>10</v>
      </c>
      <c r="B6649" s="537"/>
      <c r="C6649" s="441" t="s">
        <v>19</v>
      </c>
      <c r="D6649" s="260" t="s">
        <v>8488</v>
      </c>
      <c r="E6649" s="282" t="s">
        <v>2660</v>
      </c>
      <c r="F6649" s="442">
        <v>161</v>
      </c>
      <c r="G6649" s="443">
        <v>2009</v>
      </c>
      <c r="H6649" s="489" t="s">
        <v>3243</v>
      </c>
      <c r="I6649" s="409" t="s">
        <v>3243</v>
      </c>
      <c r="J6649" s="496">
        <v>8.8680000000000003</v>
      </c>
      <c r="K6649" s="496">
        <v>2.9260000000000002</v>
      </c>
      <c r="L6649" s="496">
        <f t="shared" si="84"/>
        <v>5.9420000000000002</v>
      </c>
      <c r="M6649" s="337"/>
    </row>
    <row r="6650" spans="1:13" s="71" customFormat="1" ht="26.4" customHeight="1">
      <c r="A6650" s="282">
        <v>11</v>
      </c>
      <c r="B6650" s="537"/>
      <c r="C6650" s="441" t="s">
        <v>19</v>
      </c>
      <c r="D6650" s="260" t="s">
        <v>8489</v>
      </c>
      <c r="E6650" s="282" t="s">
        <v>2660</v>
      </c>
      <c r="F6650" s="387">
        <v>162</v>
      </c>
      <c r="G6650" s="443">
        <v>2009</v>
      </c>
      <c r="H6650" s="410" t="s">
        <v>3243</v>
      </c>
      <c r="I6650" s="409" t="s">
        <v>3243</v>
      </c>
      <c r="J6650" s="496">
        <v>8.8680000000000003</v>
      </c>
      <c r="K6650" s="496">
        <v>2.9260000000000002</v>
      </c>
      <c r="L6650" s="496">
        <f t="shared" si="84"/>
        <v>5.9420000000000002</v>
      </c>
      <c r="M6650" s="337"/>
    </row>
    <row r="6651" spans="1:13" s="71" customFormat="1" ht="26.4" customHeight="1">
      <c r="A6651" s="282">
        <v>12</v>
      </c>
      <c r="B6651" s="537"/>
      <c r="C6651" s="441" t="s">
        <v>8490</v>
      </c>
      <c r="D6651" s="260" t="s">
        <v>8491</v>
      </c>
      <c r="E6651" s="282" t="s">
        <v>8492</v>
      </c>
      <c r="F6651" s="387">
        <v>163</v>
      </c>
      <c r="G6651" s="443">
        <v>2009</v>
      </c>
      <c r="H6651" s="410" t="s">
        <v>5462</v>
      </c>
      <c r="I6651" s="409">
        <v>78</v>
      </c>
      <c r="J6651" s="496">
        <v>26.145</v>
      </c>
      <c r="K6651" s="496">
        <v>8.7149999999999999</v>
      </c>
      <c r="L6651" s="496">
        <f t="shared" si="84"/>
        <v>17.43</v>
      </c>
      <c r="M6651" s="337"/>
    </row>
    <row r="6652" spans="1:13" s="71" customFormat="1" ht="26.4" customHeight="1">
      <c r="A6652" s="282">
        <v>13</v>
      </c>
      <c r="B6652" s="537"/>
      <c r="C6652" s="441" t="s">
        <v>19</v>
      </c>
      <c r="D6652" s="260" t="s">
        <v>8493</v>
      </c>
      <c r="E6652" s="441" t="s">
        <v>8492</v>
      </c>
      <c r="F6652" s="442">
        <v>164</v>
      </c>
      <c r="G6652" s="443">
        <v>2009</v>
      </c>
      <c r="H6652" s="489" t="s">
        <v>5462</v>
      </c>
      <c r="I6652" s="409">
        <v>84.5</v>
      </c>
      <c r="J6652" s="496">
        <v>19.202999999999999</v>
      </c>
      <c r="K6652" s="496">
        <v>6.4009999999999998</v>
      </c>
      <c r="L6652" s="496">
        <f t="shared" si="84"/>
        <v>12.802</v>
      </c>
      <c r="M6652" s="337"/>
    </row>
    <row r="6653" spans="1:13" s="71" customFormat="1" ht="26.4" customHeight="1">
      <c r="A6653" s="282">
        <v>14</v>
      </c>
      <c r="B6653" s="537"/>
      <c r="C6653" s="441" t="s">
        <v>19</v>
      </c>
      <c r="D6653" s="260" t="s">
        <v>8494</v>
      </c>
      <c r="E6653" s="260" t="s">
        <v>8495</v>
      </c>
      <c r="F6653" s="387">
        <v>165</v>
      </c>
      <c r="G6653" s="443">
        <v>2009</v>
      </c>
      <c r="H6653" s="410" t="s">
        <v>5462</v>
      </c>
      <c r="I6653" s="409">
        <v>50.35</v>
      </c>
      <c r="J6653" s="496">
        <v>17.423999999999999</v>
      </c>
      <c r="K6653" s="496">
        <v>5.8079999999999998</v>
      </c>
      <c r="L6653" s="496">
        <f t="shared" si="84"/>
        <v>11.616</v>
      </c>
      <c r="M6653" s="337"/>
    </row>
    <row r="6654" spans="1:13" s="71" customFormat="1" ht="26.4" customHeight="1">
      <c r="A6654" s="282">
        <v>15</v>
      </c>
      <c r="B6654" s="537"/>
      <c r="C6654" s="441" t="s">
        <v>19</v>
      </c>
      <c r="D6654" s="260" t="s">
        <v>8496</v>
      </c>
      <c r="E6654" s="441" t="s">
        <v>8492</v>
      </c>
      <c r="F6654" s="442">
        <v>166</v>
      </c>
      <c r="G6654" s="443">
        <v>2009</v>
      </c>
      <c r="H6654" s="489" t="s">
        <v>5462</v>
      </c>
      <c r="I6654" s="409">
        <v>23</v>
      </c>
      <c r="J6654" s="496">
        <v>17.308</v>
      </c>
      <c r="K6654" s="496">
        <v>5.7690000000000001</v>
      </c>
      <c r="L6654" s="496">
        <f t="shared" si="84"/>
        <v>11.539</v>
      </c>
      <c r="M6654" s="337"/>
    </row>
    <row r="6655" spans="1:13" s="71" customFormat="1" ht="26.4" customHeight="1">
      <c r="A6655" s="282">
        <v>16</v>
      </c>
      <c r="B6655" s="537"/>
      <c r="C6655" s="441" t="s">
        <v>19</v>
      </c>
      <c r="D6655" s="260" t="s">
        <v>8497</v>
      </c>
      <c r="E6655" s="282" t="s">
        <v>4540</v>
      </c>
      <c r="F6655" s="387">
        <v>167</v>
      </c>
      <c r="G6655" s="443">
        <v>2009</v>
      </c>
      <c r="H6655" s="410" t="s">
        <v>5462</v>
      </c>
      <c r="I6655" s="409">
        <v>12</v>
      </c>
      <c r="J6655" s="496">
        <v>5.8520000000000003</v>
      </c>
      <c r="K6655" s="496">
        <v>1.9510000000000001</v>
      </c>
      <c r="L6655" s="496">
        <f t="shared" si="84"/>
        <v>3.9010000000000002</v>
      </c>
      <c r="M6655" s="337"/>
    </row>
    <row r="6656" spans="1:13" s="71" customFormat="1" ht="26.4" customHeight="1">
      <c r="A6656" s="282">
        <v>17</v>
      </c>
      <c r="B6656" s="537"/>
      <c r="C6656" s="441" t="s">
        <v>19</v>
      </c>
      <c r="D6656" s="260" t="s">
        <v>8498</v>
      </c>
      <c r="E6656" s="282" t="s">
        <v>2660</v>
      </c>
      <c r="F6656" s="387">
        <v>168</v>
      </c>
      <c r="G6656" s="443">
        <v>2009</v>
      </c>
      <c r="H6656" s="410" t="s">
        <v>3243</v>
      </c>
      <c r="I6656" s="409" t="s">
        <v>3243</v>
      </c>
      <c r="J6656" s="496">
        <v>0.871</v>
      </c>
      <c r="K6656" s="496">
        <v>0.28999999999999998</v>
      </c>
      <c r="L6656" s="496">
        <f t="shared" si="84"/>
        <v>0.58099999999999996</v>
      </c>
      <c r="M6656" s="337"/>
    </row>
    <row r="6657" spans="1:13" s="71" customFormat="1" ht="26.4" customHeight="1">
      <c r="A6657" s="282">
        <v>18</v>
      </c>
      <c r="B6657" s="537"/>
      <c r="C6657" s="441" t="s">
        <v>8490</v>
      </c>
      <c r="D6657" s="260" t="s">
        <v>8499</v>
      </c>
      <c r="E6657" s="282" t="s">
        <v>2660</v>
      </c>
      <c r="F6657" s="387">
        <v>169</v>
      </c>
      <c r="G6657" s="443">
        <v>2009</v>
      </c>
      <c r="H6657" s="410" t="s">
        <v>3243</v>
      </c>
      <c r="I6657" s="409" t="s">
        <v>3243</v>
      </c>
      <c r="J6657" s="496">
        <v>0.89100000000000001</v>
      </c>
      <c r="K6657" s="496">
        <v>0.29599999999999999</v>
      </c>
      <c r="L6657" s="496">
        <f t="shared" si="84"/>
        <v>0.59499999999999997</v>
      </c>
      <c r="M6657" s="337"/>
    </row>
    <row r="6658" spans="1:13" s="71" customFormat="1" ht="26.4">
      <c r="A6658" s="282">
        <v>19</v>
      </c>
      <c r="B6658" s="537"/>
      <c r="C6658" s="441" t="s">
        <v>19</v>
      </c>
      <c r="D6658" s="260" t="s">
        <v>12880</v>
      </c>
      <c r="E6658" s="282" t="s">
        <v>2660</v>
      </c>
      <c r="F6658" s="387">
        <v>170</v>
      </c>
      <c r="G6658" s="443">
        <v>2009</v>
      </c>
      <c r="H6658" s="410" t="s">
        <v>3243</v>
      </c>
      <c r="I6658" s="409" t="s">
        <v>3243</v>
      </c>
      <c r="J6658" s="496">
        <v>0.871</v>
      </c>
      <c r="K6658" s="496">
        <v>0.28999999999999998</v>
      </c>
      <c r="L6658" s="496">
        <f t="shared" si="84"/>
        <v>0.58099999999999996</v>
      </c>
      <c r="M6658" s="337"/>
    </row>
    <row r="6659" spans="1:13" s="71" customFormat="1" ht="26.4" customHeight="1">
      <c r="A6659" s="282">
        <v>20</v>
      </c>
      <c r="B6659" s="537"/>
      <c r="C6659" s="441" t="s">
        <v>8500</v>
      </c>
      <c r="D6659" s="260" t="s">
        <v>8501</v>
      </c>
      <c r="E6659" s="260" t="s">
        <v>8502</v>
      </c>
      <c r="F6659" s="387">
        <v>171</v>
      </c>
      <c r="G6659" s="443">
        <v>2009</v>
      </c>
      <c r="H6659" s="410" t="s">
        <v>3243</v>
      </c>
      <c r="I6659" s="409" t="s">
        <v>3243</v>
      </c>
      <c r="J6659" s="496">
        <v>0.91100000000000003</v>
      </c>
      <c r="K6659" s="496">
        <v>0.30399999999999999</v>
      </c>
      <c r="L6659" s="496">
        <f t="shared" si="84"/>
        <v>0.60699999999999998</v>
      </c>
      <c r="M6659" s="337"/>
    </row>
    <row r="6660" spans="1:13" s="71" customFormat="1" ht="26.4" customHeight="1">
      <c r="A6660" s="282">
        <v>21</v>
      </c>
      <c r="B6660" s="537"/>
      <c r="C6660" s="441" t="s">
        <v>8500</v>
      </c>
      <c r="D6660" s="260" t="s">
        <v>8503</v>
      </c>
      <c r="E6660" s="260" t="s">
        <v>8504</v>
      </c>
      <c r="F6660" s="387">
        <v>172</v>
      </c>
      <c r="G6660" s="443">
        <v>2009</v>
      </c>
      <c r="H6660" s="410" t="s">
        <v>3243</v>
      </c>
      <c r="I6660" s="409" t="s">
        <v>3243</v>
      </c>
      <c r="J6660" s="496">
        <v>0.91100000000000003</v>
      </c>
      <c r="K6660" s="496">
        <v>0.30399999999999999</v>
      </c>
      <c r="L6660" s="496">
        <f t="shared" si="84"/>
        <v>0.60699999999999998</v>
      </c>
      <c r="M6660" s="337"/>
    </row>
    <row r="6661" spans="1:13" s="71" customFormat="1" ht="26.4" customHeight="1">
      <c r="A6661" s="282">
        <v>22</v>
      </c>
      <c r="B6661" s="537"/>
      <c r="C6661" s="441" t="s">
        <v>8500</v>
      </c>
      <c r="D6661" s="260" t="s">
        <v>8505</v>
      </c>
      <c r="E6661" s="260" t="s">
        <v>8506</v>
      </c>
      <c r="F6661" s="387">
        <v>173</v>
      </c>
      <c r="G6661" s="443">
        <v>2009</v>
      </c>
      <c r="H6661" s="410" t="s">
        <v>3243</v>
      </c>
      <c r="I6661" s="409" t="s">
        <v>3243</v>
      </c>
      <c r="J6661" s="496">
        <v>0.91100000000000003</v>
      </c>
      <c r="K6661" s="496">
        <v>0.30399999999999999</v>
      </c>
      <c r="L6661" s="496">
        <f t="shared" si="84"/>
        <v>0.60699999999999998</v>
      </c>
      <c r="M6661" s="337"/>
    </row>
    <row r="6662" spans="1:13" s="71" customFormat="1" ht="26.4" customHeight="1">
      <c r="A6662" s="282">
        <v>23</v>
      </c>
      <c r="B6662" s="537"/>
      <c r="C6662" s="441" t="s">
        <v>8490</v>
      </c>
      <c r="D6662" s="260" t="s">
        <v>8507</v>
      </c>
      <c r="E6662" s="282" t="s">
        <v>2660</v>
      </c>
      <c r="F6662" s="387">
        <v>174</v>
      </c>
      <c r="G6662" s="443">
        <v>2009</v>
      </c>
      <c r="H6662" s="410" t="s">
        <v>3243</v>
      </c>
      <c r="I6662" s="409" t="s">
        <v>3243</v>
      </c>
      <c r="J6662" s="496">
        <v>1.123</v>
      </c>
      <c r="K6662" s="496">
        <v>0.374</v>
      </c>
      <c r="L6662" s="496">
        <f t="shared" si="84"/>
        <v>0.749</v>
      </c>
      <c r="M6662" s="337"/>
    </row>
    <row r="6663" spans="1:13" s="71" customFormat="1" ht="26.4" customHeight="1">
      <c r="A6663" s="282">
        <v>24</v>
      </c>
      <c r="B6663" s="537"/>
      <c r="C6663" s="441" t="s">
        <v>19</v>
      </c>
      <c r="D6663" s="260" t="s">
        <v>8508</v>
      </c>
      <c r="E6663" s="282" t="s">
        <v>2660</v>
      </c>
      <c r="F6663" s="387">
        <v>175</v>
      </c>
      <c r="G6663" s="443">
        <v>2009</v>
      </c>
      <c r="H6663" s="410" t="s">
        <v>3243</v>
      </c>
      <c r="I6663" s="409" t="s">
        <v>3243</v>
      </c>
      <c r="J6663" s="496">
        <v>1.1000000000000001</v>
      </c>
      <c r="K6663" s="496">
        <v>0.36699999999999999</v>
      </c>
      <c r="L6663" s="496">
        <f t="shared" si="84"/>
        <v>0.7330000000000001</v>
      </c>
      <c r="M6663" s="337"/>
    </row>
    <row r="6664" spans="1:13" s="71" customFormat="1" ht="26.4" customHeight="1">
      <c r="A6664" s="282">
        <v>25</v>
      </c>
      <c r="B6664" s="537"/>
      <c r="C6664" s="441" t="s">
        <v>19</v>
      </c>
      <c r="D6664" s="260" t="s">
        <v>8509</v>
      </c>
      <c r="E6664" s="282" t="s">
        <v>2660</v>
      </c>
      <c r="F6664" s="387">
        <v>176</v>
      </c>
      <c r="G6664" s="443">
        <v>2009</v>
      </c>
      <c r="H6664" s="410" t="s">
        <v>3243</v>
      </c>
      <c r="I6664" s="409" t="s">
        <v>3243</v>
      </c>
      <c r="J6664" s="496">
        <v>1.1000000000000001</v>
      </c>
      <c r="K6664" s="496">
        <v>0.36699999999999999</v>
      </c>
      <c r="L6664" s="496">
        <f t="shared" si="84"/>
        <v>0.7330000000000001</v>
      </c>
      <c r="M6664" s="337"/>
    </row>
    <row r="6665" spans="1:13" s="71" customFormat="1" ht="26.4" customHeight="1">
      <c r="A6665" s="282">
        <v>26</v>
      </c>
      <c r="B6665" s="537"/>
      <c r="C6665" s="441" t="s">
        <v>19</v>
      </c>
      <c r="D6665" s="260" t="s">
        <v>8510</v>
      </c>
      <c r="E6665" s="282" t="s">
        <v>2660</v>
      </c>
      <c r="F6665" s="387">
        <v>177</v>
      </c>
      <c r="G6665" s="443">
        <v>2009</v>
      </c>
      <c r="H6665" s="410" t="s">
        <v>3243</v>
      </c>
      <c r="I6665" s="409" t="s">
        <v>3243</v>
      </c>
      <c r="J6665" s="496">
        <v>1.1000000000000001</v>
      </c>
      <c r="K6665" s="496">
        <v>0.36699999999999999</v>
      </c>
      <c r="L6665" s="496">
        <f t="shared" si="84"/>
        <v>0.7330000000000001</v>
      </c>
      <c r="M6665" s="337"/>
    </row>
    <row r="6666" spans="1:13" s="71" customFormat="1" ht="26.4" customHeight="1">
      <c r="A6666" s="282">
        <v>27</v>
      </c>
      <c r="B6666" s="537"/>
      <c r="C6666" s="441" t="s">
        <v>8500</v>
      </c>
      <c r="D6666" s="260" t="s">
        <v>8511</v>
      </c>
      <c r="E6666" s="260" t="s">
        <v>12881</v>
      </c>
      <c r="F6666" s="387">
        <v>178</v>
      </c>
      <c r="G6666" s="443">
        <v>2009</v>
      </c>
      <c r="H6666" s="410" t="s">
        <v>3243</v>
      </c>
      <c r="I6666" s="409" t="s">
        <v>3243</v>
      </c>
      <c r="J6666" s="496">
        <v>1.1000000000000001</v>
      </c>
      <c r="K6666" s="496">
        <v>0.36699999999999999</v>
      </c>
      <c r="L6666" s="496">
        <f t="shared" si="84"/>
        <v>0.7330000000000001</v>
      </c>
      <c r="M6666" s="337"/>
    </row>
    <row r="6667" spans="1:13" s="71" customFormat="1" ht="26.4" customHeight="1">
      <c r="A6667" s="282">
        <v>28</v>
      </c>
      <c r="B6667" s="537"/>
      <c r="C6667" s="441" t="s">
        <v>8500</v>
      </c>
      <c r="D6667" s="260" t="s">
        <v>8512</v>
      </c>
      <c r="E6667" s="260" t="s">
        <v>8513</v>
      </c>
      <c r="F6667" s="387">
        <v>179</v>
      </c>
      <c r="G6667" s="443">
        <v>2009</v>
      </c>
      <c r="H6667" s="410" t="s">
        <v>3243</v>
      </c>
      <c r="I6667" s="409" t="s">
        <v>3243</v>
      </c>
      <c r="J6667" s="496">
        <v>1.1000000000000001</v>
      </c>
      <c r="K6667" s="496">
        <v>0.36699999999999999</v>
      </c>
      <c r="L6667" s="496">
        <f t="shared" si="84"/>
        <v>0.7330000000000001</v>
      </c>
      <c r="M6667" s="337"/>
    </row>
    <row r="6668" spans="1:13" s="71" customFormat="1" ht="26.4" customHeight="1">
      <c r="A6668" s="282">
        <v>29</v>
      </c>
      <c r="B6668" s="537"/>
      <c r="C6668" s="441" t="s">
        <v>8490</v>
      </c>
      <c r="D6668" s="260" t="s">
        <v>8514</v>
      </c>
      <c r="E6668" s="282" t="s">
        <v>2660</v>
      </c>
      <c r="F6668" s="387">
        <v>180</v>
      </c>
      <c r="G6668" s="443">
        <v>2009</v>
      </c>
      <c r="H6668" s="410" t="s">
        <v>3243</v>
      </c>
      <c r="I6668" s="409" t="s">
        <v>3243</v>
      </c>
      <c r="J6668" s="496">
        <v>1.1000000000000001</v>
      </c>
      <c r="K6668" s="496">
        <v>0.36699999999999999</v>
      </c>
      <c r="L6668" s="496">
        <f t="shared" si="84"/>
        <v>0.7330000000000001</v>
      </c>
      <c r="M6668" s="337"/>
    </row>
    <row r="6669" spans="1:13" s="71" customFormat="1" ht="26.4" customHeight="1">
      <c r="A6669" s="282">
        <v>30</v>
      </c>
      <c r="B6669" s="537"/>
      <c r="C6669" s="441" t="s">
        <v>19</v>
      </c>
      <c r="D6669" s="260" t="s">
        <v>8515</v>
      </c>
      <c r="E6669" s="441" t="s">
        <v>8479</v>
      </c>
      <c r="F6669" s="442">
        <v>192</v>
      </c>
      <c r="G6669" s="443">
        <v>1960</v>
      </c>
      <c r="H6669" s="489" t="s">
        <v>5462</v>
      </c>
      <c r="I6669" s="409">
        <v>650</v>
      </c>
      <c r="J6669" s="496">
        <v>1.1499999999999999</v>
      </c>
      <c r="K6669" s="496">
        <v>0.50600000000000001</v>
      </c>
      <c r="L6669" s="496">
        <f t="shared" si="84"/>
        <v>0.64399999999999991</v>
      </c>
      <c r="M6669" s="337"/>
    </row>
    <row r="6670" spans="1:13" s="71" customFormat="1" ht="26.4" customHeight="1">
      <c r="A6670" s="282">
        <v>31</v>
      </c>
      <c r="B6670" s="537"/>
      <c r="C6670" s="441" t="s">
        <v>19</v>
      </c>
      <c r="D6670" s="260" t="s">
        <v>8516</v>
      </c>
      <c r="E6670" s="441" t="s">
        <v>8492</v>
      </c>
      <c r="F6670" s="442">
        <v>193</v>
      </c>
      <c r="G6670" s="443">
        <v>1960</v>
      </c>
      <c r="H6670" s="489" t="s">
        <v>5462</v>
      </c>
      <c r="I6670" s="409">
        <v>400</v>
      </c>
      <c r="J6670" s="496">
        <v>0.6</v>
      </c>
      <c r="K6670" s="496">
        <v>0.26400000000000001</v>
      </c>
      <c r="L6670" s="496">
        <f t="shared" si="84"/>
        <v>0.33599999999999997</v>
      </c>
      <c r="M6670" s="337"/>
    </row>
    <row r="6671" spans="1:13" s="71" customFormat="1" ht="26.4" customHeight="1">
      <c r="A6671" s="282">
        <v>32</v>
      </c>
      <c r="B6671" s="537"/>
      <c r="C6671" s="441" t="s">
        <v>19</v>
      </c>
      <c r="D6671" s="260" t="s">
        <v>8517</v>
      </c>
      <c r="E6671" s="441" t="s">
        <v>8492</v>
      </c>
      <c r="F6671" s="442">
        <v>194</v>
      </c>
      <c r="G6671" s="443">
        <v>1953</v>
      </c>
      <c r="H6671" s="489" t="s">
        <v>5462</v>
      </c>
      <c r="I6671" s="409">
        <v>800</v>
      </c>
      <c r="J6671" s="496">
        <v>0.78</v>
      </c>
      <c r="K6671" s="496">
        <v>0.34399999999999997</v>
      </c>
      <c r="L6671" s="496">
        <f t="shared" si="84"/>
        <v>0.43600000000000005</v>
      </c>
      <c r="M6671" s="337"/>
    </row>
    <row r="6672" spans="1:13" s="71" customFormat="1" ht="26.4" customHeight="1">
      <c r="A6672" s="282">
        <v>33</v>
      </c>
      <c r="B6672" s="537"/>
      <c r="C6672" s="441" t="s">
        <v>19</v>
      </c>
      <c r="D6672" s="260" t="s">
        <v>8518</v>
      </c>
      <c r="E6672" s="441" t="s">
        <v>8492</v>
      </c>
      <c r="F6672" s="442">
        <v>195</v>
      </c>
      <c r="G6672" s="443">
        <v>1953</v>
      </c>
      <c r="H6672" s="489" t="s">
        <v>5462</v>
      </c>
      <c r="I6672" s="409">
        <v>400</v>
      </c>
      <c r="J6672" s="496">
        <v>1.2</v>
      </c>
      <c r="K6672" s="496">
        <v>0.52900000000000003</v>
      </c>
      <c r="L6672" s="496">
        <f t="shared" si="84"/>
        <v>0.67099999999999993</v>
      </c>
      <c r="M6672" s="337"/>
    </row>
    <row r="6673" spans="1:13" s="71" customFormat="1" ht="26.4" customHeight="1">
      <c r="A6673" s="282">
        <v>34</v>
      </c>
      <c r="B6673" s="537"/>
      <c r="C6673" s="441" t="s">
        <v>8490</v>
      </c>
      <c r="D6673" s="260" t="s">
        <v>8519</v>
      </c>
      <c r="E6673" s="260" t="s">
        <v>8520</v>
      </c>
      <c r="F6673" s="387">
        <v>196</v>
      </c>
      <c r="G6673" s="443">
        <v>1971</v>
      </c>
      <c r="H6673" s="489" t="s">
        <v>5462</v>
      </c>
      <c r="I6673" s="409">
        <v>4660</v>
      </c>
      <c r="J6673" s="496">
        <v>9.1</v>
      </c>
      <c r="K6673" s="496">
        <v>4.0090000000000003</v>
      </c>
      <c r="L6673" s="496">
        <f t="shared" si="84"/>
        <v>5.0909999999999993</v>
      </c>
      <c r="M6673" s="337"/>
    </row>
    <row r="6674" spans="1:13" s="71" customFormat="1" ht="26.4" customHeight="1">
      <c r="A6674" s="282">
        <v>35</v>
      </c>
      <c r="B6674" s="537"/>
      <c r="C6674" s="441" t="s">
        <v>8490</v>
      </c>
      <c r="D6674" s="260" t="s">
        <v>8521</v>
      </c>
      <c r="E6674" s="282" t="s">
        <v>8522</v>
      </c>
      <c r="F6674" s="387">
        <v>197</v>
      </c>
      <c r="G6674" s="443">
        <v>1970</v>
      </c>
      <c r="H6674" s="489" t="s">
        <v>5462</v>
      </c>
      <c r="I6674" s="409">
        <v>1500</v>
      </c>
      <c r="J6674" s="496">
        <v>1.5</v>
      </c>
      <c r="K6674" s="496">
        <v>0.66100000000000003</v>
      </c>
      <c r="L6674" s="496">
        <f t="shared" si="84"/>
        <v>0.83899999999999997</v>
      </c>
      <c r="M6674" s="337"/>
    </row>
    <row r="6675" spans="1:13" s="71" customFormat="1" ht="26.4" customHeight="1">
      <c r="A6675" s="282">
        <v>36</v>
      </c>
      <c r="B6675" s="537"/>
      <c r="C6675" s="441" t="s">
        <v>1140</v>
      </c>
      <c r="D6675" s="260" t="s">
        <v>8523</v>
      </c>
      <c r="E6675" s="282" t="s">
        <v>8492</v>
      </c>
      <c r="F6675" s="387">
        <v>198</v>
      </c>
      <c r="G6675" s="443">
        <v>1975</v>
      </c>
      <c r="H6675" s="489" t="s">
        <v>5462</v>
      </c>
      <c r="I6675" s="409">
        <v>600</v>
      </c>
      <c r="J6675" s="496">
        <v>9.1</v>
      </c>
      <c r="K6675" s="496">
        <v>4.0090000000000003</v>
      </c>
      <c r="L6675" s="496">
        <f t="shared" si="84"/>
        <v>5.0909999999999993</v>
      </c>
      <c r="M6675" s="337"/>
    </row>
    <row r="6676" spans="1:13" s="71" customFormat="1" ht="26.4" customHeight="1">
      <c r="A6676" s="282">
        <v>37</v>
      </c>
      <c r="B6676" s="537"/>
      <c r="C6676" s="441" t="s">
        <v>1140</v>
      </c>
      <c r="D6676" s="260" t="s">
        <v>8524</v>
      </c>
      <c r="E6676" s="282" t="s">
        <v>8479</v>
      </c>
      <c r="F6676" s="387">
        <v>199</v>
      </c>
      <c r="G6676" s="443">
        <v>1960</v>
      </c>
      <c r="H6676" s="489" t="s">
        <v>5462</v>
      </c>
      <c r="I6676" s="409">
        <v>400</v>
      </c>
      <c r="J6676" s="496">
        <v>1.1000000000000001</v>
      </c>
      <c r="K6676" s="496">
        <v>0.48499999999999999</v>
      </c>
      <c r="L6676" s="496">
        <f t="shared" si="84"/>
        <v>0.6150000000000001</v>
      </c>
      <c r="M6676" s="337"/>
    </row>
    <row r="6677" spans="1:13" s="71" customFormat="1" ht="26.4" customHeight="1">
      <c r="A6677" s="282">
        <v>38</v>
      </c>
      <c r="B6677" s="537"/>
      <c r="C6677" s="441" t="s">
        <v>1140</v>
      </c>
      <c r="D6677" s="260" t="s">
        <v>8525</v>
      </c>
      <c r="E6677" s="282" t="s">
        <v>8492</v>
      </c>
      <c r="F6677" s="387">
        <v>200</v>
      </c>
      <c r="G6677" s="443">
        <v>1960</v>
      </c>
      <c r="H6677" s="489" t="s">
        <v>5462</v>
      </c>
      <c r="I6677" s="409">
        <v>550</v>
      </c>
      <c r="J6677" s="496">
        <v>0.8</v>
      </c>
      <c r="K6677" s="496">
        <v>0.35299999999999998</v>
      </c>
      <c r="L6677" s="496">
        <f t="shared" si="84"/>
        <v>0.44700000000000006</v>
      </c>
      <c r="M6677" s="337"/>
    </row>
    <row r="6678" spans="1:13" s="71" customFormat="1" ht="26.4" customHeight="1">
      <c r="A6678" s="282">
        <v>39</v>
      </c>
      <c r="B6678" s="537"/>
      <c r="C6678" s="440" t="s">
        <v>8526</v>
      </c>
      <c r="D6678" s="260" t="s">
        <v>8527</v>
      </c>
      <c r="E6678" s="282" t="s">
        <v>8522</v>
      </c>
      <c r="F6678" s="387">
        <v>201</v>
      </c>
      <c r="G6678" s="443">
        <v>1968</v>
      </c>
      <c r="H6678" s="489" t="s">
        <v>5462</v>
      </c>
      <c r="I6678" s="409">
        <v>1400</v>
      </c>
      <c r="J6678" s="496">
        <v>7.6790000000000003</v>
      </c>
      <c r="K6678" s="496">
        <v>7.06</v>
      </c>
      <c r="L6678" s="496">
        <f t="shared" si="84"/>
        <v>0.61900000000000066</v>
      </c>
      <c r="M6678" s="337"/>
    </row>
    <row r="6679" spans="1:13" s="71" customFormat="1" ht="26.4" customHeight="1">
      <c r="A6679" s="282">
        <v>40</v>
      </c>
      <c r="B6679" s="537"/>
      <c r="C6679" s="440" t="s">
        <v>8526</v>
      </c>
      <c r="D6679" s="260" t="s">
        <v>8528</v>
      </c>
      <c r="E6679" s="282" t="s">
        <v>8522</v>
      </c>
      <c r="F6679" s="387">
        <v>202</v>
      </c>
      <c r="G6679" s="443">
        <v>1972</v>
      </c>
      <c r="H6679" s="489" t="s">
        <v>5462</v>
      </c>
      <c r="I6679" s="409">
        <v>2500</v>
      </c>
      <c r="J6679" s="496">
        <v>1.3</v>
      </c>
      <c r="K6679" s="496">
        <v>0.57199999999999995</v>
      </c>
      <c r="L6679" s="496">
        <f t="shared" si="84"/>
        <v>0.72800000000000009</v>
      </c>
      <c r="M6679" s="337"/>
    </row>
    <row r="6680" spans="1:13" s="71" customFormat="1" ht="26.4">
      <c r="A6680" s="282">
        <v>41</v>
      </c>
      <c r="B6680" s="537"/>
      <c r="C6680" s="441" t="s">
        <v>19</v>
      </c>
      <c r="D6680" s="260" t="s">
        <v>8529</v>
      </c>
      <c r="E6680" s="260" t="s">
        <v>8530</v>
      </c>
      <c r="F6680" s="387">
        <v>203</v>
      </c>
      <c r="G6680" s="443">
        <v>1958</v>
      </c>
      <c r="H6680" s="489" t="s">
        <v>5462</v>
      </c>
      <c r="I6680" s="409">
        <v>7700</v>
      </c>
      <c r="J6680" s="496">
        <v>11.5</v>
      </c>
      <c r="K6680" s="496">
        <v>5.0670000000000002</v>
      </c>
      <c r="L6680" s="496">
        <f t="shared" si="84"/>
        <v>6.4329999999999998</v>
      </c>
      <c r="M6680" s="337"/>
    </row>
    <row r="6681" spans="1:13" s="71" customFormat="1" ht="26.4" customHeight="1">
      <c r="A6681" s="282">
        <v>42</v>
      </c>
      <c r="B6681" s="537"/>
      <c r="C6681" s="441" t="s">
        <v>8500</v>
      </c>
      <c r="D6681" s="260" t="s">
        <v>8531</v>
      </c>
      <c r="E6681" s="260" t="s">
        <v>8532</v>
      </c>
      <c r="F6681" s="387">
        <v>204</v>
      </c>
      <c r="G6681" s="443">
        <v>1961</v>
      </c>
      <c r="H6681" s="489" t="s">
        <v>5462</v>
      </c>
      <c r="I6681" s="409">
        <v>1900</v>
      </c>
      <c r="J6681" s="496">
        <v>1.5</v>
      </c>
      <c r="K6681" s="496">
        <v>0.66100000000000003</v>
      </c>
      <c r="L6681" s="496">
        <f t="shared" si="84"/>
        <v>0.83899999999999997</v>
      </c>
      <c r="M6681" s="337"/>
    </row>
    <row r="6682" spans="1:13" s="71" customFormat="1" ht="26.4" customHeight="1">
      <c r="A6682" s="282">
        <v>43</v>
      </c>
      <c r="B6682" s="537"/>
      <c r="C6682" s="441" t="s">
        <v>8500</v>
      </c>
      <c r="D6682" s="260" t="s">
        <v>8533</v>
      </c>
      <c r="E6682" s="260" t="s">
        <v>8534</v>
      </c>
      <c r="F6682" s="387">
        <v>205</v>
      </c>
      <c r="G6682" s="443">
        <v>1960</v>
      </c>
      <c r="H6682" s="489" t="s">
        <v>5462</v>
      </c>
      <c r="I6682" s="409">
        <v>1710</v>
      </c>
      <c r="J6682" s="496">
        <v>83</v>
      </c>
      <c r="K6682" s="496">
        <v>36.57</v>
      </c>
      <c r="L6682" s="496">
        <f t="shared" si="84"/>
        <v>46.43</v>
      </c>
      <c r="M6682" s="337"/>
    </row>
    <row r="6683" spans="1:13" s="71" customFormat="1" ht="26.4" customHeight="1">
      <c r="A6683" s="282">
        <v>44</v>
      </c>
      <c r="B6683" s="537"/>
      <c r="C6683" s="441" t="s">
        <v>8500</v>
      </c>
      <c r="D6683" s="260" t="s">
        <v>8535</v>
      </c>
      <c r="E6683" s="260" t="s">
        <v>8536</v>
      </c>
      <c r="F6683" s="387">
        <v>206</v>
      </c>
      <c r="G6683" s="443">
        <v>1960</v>
      </c>
      <c r="H6683" s="489" t="s">
        <v>5462</v>
      </c>
      <c r="I6683" s="409">
        <v>1000</v>
      </c>
      <c r="J6683" s="496">
        <v>1.85</v>
      </c>
      <c r="K6683" s="496">
        <v>0.81499999999999995</v>
      </c>
      <c r="L6683" s="496">
        <f t="shared" si="84"/>
        <v>1.0350000000000001</v>
      </c>
      <c r="M6683" s="337"/>
    </row>
    <row r="6684" spans="1:13" s="71" customFormat="1" ht="26.4" customHeight="1">
      <c r="A6684" s="282">
        <v>45</v>
      </c>
      <c r="B6684" s="537"/>
      <c r="C6684" s="441" t="s">
        <v>8490</v>
      </c>
      <c r="D6684" s="260" t="s">
        <v>8537</v>
      </c>
      <c r="E6684" s="282" t="s">
        <v>2660</v>
      </c>
      <c r="F6684" s="387">
        <v>219</v>
      </c>
      <c r="G6684" s="443">
        <v>2009</v>
      </c>
      <c r="H6684" s="410" t="s">
        <v>3243</v>
      </c>
      <c r="I6684" s="409" t="s">
        <v>3243</v>
      </c>
      <c r="J6684" s="496">
        <v>1.1000000000000001</v>
      </c>
      <c r="K6684" s="496">
        <v>0.36699999999999999</v>
      </c>
      <c r="L6684" s="496">
        <f t="shared" si="84"/>
        <v>0.7330000000000001</v>
      </c>
      <c r="M6684" s="337"/>
    </row>
    <row r="6685" spans="1:13" s="71" customFormat="1" ht="26.4" customHeight="1">
      <c r="A6685" s="282">
        <v>46</v>
      </c>
      <c r="B6685" s="537"/>
      <c r="C6685" s="441" t="s">
        <v>8490</v>
      </c>
      <c r="D6685" s="260" t="s">
        <v>8538</v>
      </c>
      <c r="E6685" s="282" t="s">
        <v>2660</v>
      </c>
      <c r="F6685" s="387">
        <v>231</v>
      </c>
      <c r="G6685" s="443">
        <v>2009</v>
      </c>
      <c r="H6685" s="410" t="s">
        <v>3243</v>
      </c>
      <c r="I6685" s="409" t="s">
        <v>3243</v>
      </c>
      <c r="J6685" s="496">
        <v>1.1000000000000001</v>
      </c>
      <c r="K6685" s="496">
        <v>0.36699999999999999</v>
      </c>
      <c r="L6685" s="496">
        <f t="shared" si="84"/>
        <v>0.7330000000000001</v>
      </c>
      <c r="M6685" s="337"/>
    </row>
    <row r="6686" spans="1:13" s="71" customFormat="1" ht="26.4" customHeight="1">
      <c r="A6686" s="282">
        <v>47</v>
      </c>
      <c r="B6686" s="537"/>
      <c r="C6686" s="441" t="s">
        <v>8500</v>
      </c>
      <c r="D6686" s="260" t="s">
        <v>8539</v>
      </c>
      <c r="E6686" s="282" t="s">
        <v>8492</v>
      </c>
      <c r="F6686" s="387">
        <v>236</v>
      </c>
      <c r="G6686" s="443">
        <v>2008</v>
      </c>
      <c r="H6686" s="410" t="s">
        <v>5462</v>
      </c>
      <c r="I6686" s="409">
        <v>900</v>
      </c>
      <c r="J6686" s="496">
        <v>86.084999999999994</v>
      </c>
      <c r="K6686" s="496">
        <v>30.991</v>
      </c>
      <c r="L6686" s="496">
        <f t="shared" si="84"/>
        <v>55.093999999999994</v>
      </c>
      <c r="M6686" s="337"/>
    </row>
    <row r="6687" spans="1:13" s="71" customFormat="1" ht="26.4" customHeight="1">
      <c r="A6687" s="282">
        <v>48</v>
      </c>
      <c r="B6687" s="537"/>
      <c r="C6687" s="441" t="s">
        <v>8500</v>
      </c>
      <c r="D6687" s="260" t="s">
        <v>8540</v>
      </c>
      <c r="E6687" s="282" t="s">
        <v>8492</v>
      </c>
      <c r="F6687" s="387">
        <v>237</v>
      </c>
      <c r="G6687" s="443">
        <v>2008</v>
      </c>
      <c r="H6687" s="410" t="s">
        <v>5462</v>
      </c>
      <c r="I6687" s="409">
        <v>270</v>
      </c>
      <c r="J6687" s="496">
        <v>21.521000000000001</v>
      </c>
      <c r="K6687" s="496">
        <v>7.7480000000000002</v>
      </c>
      <c r="L6687" s="496">
        <f t="shared" si="84"/>
        <v>13.773</v>
      </c>
      <c r="M6687" s="337"/>
    </row>
    <row r="6688" spans="1:13" s="71" customFormat="1" ht="26.4" customHeight="1">
      <c r="A6688" s="282">
        <v>49</v>
      </c>
      <c r="B6688" s="537"/>
      <c r="C6688" s="441" t="s">
        <v>8490</v>
      </c>
      <c r="D6688" s="260" t="s">
        <v>8541</v>
      </c>
      <c r="E6688" s="282" t="s">
        <v>2660</v>
      </c>
      <c r="F6688" s="387">
        <v>239</v>
      </c>
      <c r="G6688" s="443">
        <v>2009</v>
      </c>
      <c r="H6688" s="410" t="s">
        <v>3243</v>
      </c>
      <c r="I6688" s="409" t="s">
        <v>3243</v>
      </c>
      <c r="J6688" s="496">
        <v>1.1000000000000001</v>
      </c>
      <c r="K6688" s="496">
        <v>0.36699999999999999</v>
      </c>
      <c r="L6688" s="496">
        <f t="shared" si="84"/>
        <v>0.7330000000000001</v>
      </c>
      <c r="M6688" s="337"/>
    </row>
    <row r="6689" spans="1:13" s="71" customFormat="1" ht="26.4" customHeight="1">
      <c r="A6689" s="282">
        <v>50</v>
      </c>
      <c r="B6689" s="537"/>
      <c r="C6689" s="441" t="s">
        <v>8500</v>
      </c>
      <c r="D6689" s="260" t="s">
        <v>8542</v>
      </c>
      <c r="E6689" s="282" t="s">
        <v>8479</v>
      </c>
      <c r="F6689" s="387">
        <v>240</v>
      </c>
      <c r="G6689" s="443">
        <v>2008</v>
      </c>
      <c r="H6689" s="410" t="s">
        <v>5462</v>
      </c>
      <c r="I6689" s="409">
        <v>620</v>
      </c>
      <c r="J6689" s="496">
        <v>49.42</v>
      </c>
      <c r="K6689" s="496">
        <v>17.791</v>
      </c>
      <c r="L6689" s="496">
        <f t="shared" si="84"/>
        <v>31.629000000000001</v>
      </c>
      <c r="M6689" s="337"/>
    </row>
    <row r="6690" spans="1:13" s="71" customFormat="1" ht="26.4" customHeight="1">
      <c r="A6690" s="282">
        <v>51</v>
      </c>
      <c r="B6690" s="537"/>
      <c r="C6690" s="441" t="s">
        <v>8490</v>
      </c>
      <c r="D6690" s="260" t="s">
        <v>8543</v>
      </c>
      <c r="E6690" s="282" t="s">
        <v>2660</v>
      </c>
      <c r="F6690" s="387">
        <v>241</v>
      </c>
      <c r="G6690" s="443">
        <v>2009</v>
      </c>
      <c r="H6690" s="410" t="s">
        <v>3243</v>
      </c>
      <c r="I6690" s="409" t="s">
        <v>3243</v>
      </c>
      <c r="J6690" s="496">
        <v>1.1000000000000001</v>
      </c>
      <c r="K6690" s="496">
        <v>0.36699999999999999</v>
      </c>
      <c r="L6690" s="496">
        <f t="shared" si="84"/>
        <v>0.7330000000000001</v>
      </c>
      <c r="M6690" s="337"/>
    </row>
    <row r="6691" spans="1:13" s="71" customFormat="1" ht="26.4" customHeight="1">
      <c r="A6691" s="282">
        <v>52</v>
      </c>
      <c r="B6691" s="537"/>
      <c r="C6691" s="441" t="s">
        <v>19</v>
      </c>
      <c r="D6691" s="260" t="s">
        <v>8544</v>
      </c>
      <c r="E6691" s="282" t="s">
        <v>2660</v>
      </c>
      <c r="F6691" s="387">
        <v>243</v>
      </c>
      <c r="G6691" s="443">
        <v>2009</v>
      </c>
      <c r="H6691" s="410" t="s">
        <v>3243</v>
      </c>
      <c r="I6691" s="409" t="s">
        <v>3243</v>
      </c>
      <c r="J6691" s="496">
        <v>1.0469999999999999</v>
      </c>
      <c r="K6691" s="496">
        <v>0.34899999999999998</v>
      </c>
      <c r="L6691" s="496">
        <f t="shared" si="84"/>
        <v>0.69799999999999995</v>
      </c>
      <c r="M6691" s="337"/>
    </row>
    <row r="6692" spans="1:13" s="71" customFormat="1" ht="26.4">
      <c r="A6692" s="282">
        <v>53</v>
      </c>
      <c r="B6692" s="537"/>
      <c r="C6692" s="441" t="s">
        <v>8490</v>
      </c>
      <c r="D6692" s="260" t="s">
        <v>8545</v>
      </c>
      <c r="E6692" s="282" t="s">
        <v>2660</v>
      </c>
      <c r="F6692" s="387">
        <v>244</v>
      </c>
      <c r="G6692" s="443">
        <v>2009</v>
      </c>
      <c r="H6692" s="410" t="s">
        <v>3243</v>
      </c>
      <c r="I6692" s="409" t="s">
        <v>3243</v>
      </c>
      <c r="J6692" s="496">
        <v>1.0469999999999999</v>
      </c>
      <c r="K6692" s="496">
        <v>0.34899999999999998</v>
      </c>
      <c r="L6692" s="496">
        <f t="shared" si="84"/>
        <v>0.69799999999999995</v>
      </c>
      <c r="M6692" s="337"/>
    </row>
    <row r="6693" spans="1:13" s="71" customFormat="1" ht="26.4" customHeight="1">
      <c r="A6693" s="282">
        <v>54</v>
      </c>
      <c r="B6693" s="537"/>
      <c r="C6693" s="441" t="s">
        <v>8490</v>
      </c>
      <c r="D6693" s="260" t="s">
        <v>8546</v>
      </c>
      <c r="E6693" s="282" t="s">
        <v>2660</v>
      </c>
      <c r="F6693" s="387">
        <v>245</v>
      </c>
      <c r="G6693" s="443">
        <v>2009</v>
      </c>
      <c r="H6693" s="410" t="s">
        <v>3243</v>
      </c>
      <c r="I6693" s="409" t="s">
        <v>3243</v>
      </c>
      <c r="J6693" s="496">
        <v>1.0469999999999999</v>
      </c>
      <c r="K6693" s="496">
        <v>0.34899999999999998</v>
      </c>
      <c r="L6693" s="496">
        <f t="shared" si="84"/>
        <v>0.69799999999999995</v>
      </c>
      <c r="M6693" s="337"/>
    </row>
    <row r="6694" spans="1:13" s="71" customFormat="1" ht="26.4" customHeight="1">
      <c r="A6694" s="282">
        <v>55</v>
      </c>
      <c r="B6694" s="537"/>
      <c r="C6694" s="441" t="s">
        <v>8490</v>
      </c>
      <c r="D6694" s="260" t="s">
        <v>8547</v>
      </c>
      <c r="E6694" s="282" t="s">
        <v>2660</v>
      </c>
      <c r="F6694" s="387">
        <v>246</v>
      </c>
      <c r="G6694" s="443">
        <v>2009</v>
      </c>
      <c r="H6694" s="410" t="s">
        <v>3243</v>
      </c>
      <c r="I6694" s="409" t="s">
        <v>3243</v>
      </c>
      <c r="J6694" s="496">
        <v>1.0469999999999999</v>
      </c>
      <c r="K6694" s="496">
        <v>0.34899999999999998</v>
      </c>
      <c r="L6694" s="496">
        <f t="shared" si="84"/>
        <v>0.69799999999999995</v>
      </c>
      <c r="M6694" s="337"/>
    </row>
    <row r="6695" spans="1:13" s="71" customFormat="1" ht="26.4" customHeight="1">
      <c r="A6695" s="282">
        <v>56</v>
      </c>
      <c r="B6695" s="537"/>
      <c r="C6695" s="441" t="s">
        <v>8490</v>
      </c>
      <c r="D6695" s="260" t="s">
        <v>8548</v>
      </c>
      <c r="E6695" s="282" t="s">
        <v>2660</v>
      </c>
      <c r="F6695" s="387">
        <v>249</v>
      </c>
      <c r="G6695" s="443">
        <v>2009</v>
      </c>
      <c r="H6695" s="410" t="s">
        <v>3243</v>
      </c>
      <c r="I6695" s="409" t="s">
        <v>3243</v>
      </c>
      <c r="J6695" s="496">
        <v>1.0469999999999999</v>
      </c>
      <c r="K6695" s="496">
        <v>0.34899999999999998</v>
      </c>
      <c r="L6695" s="496">
        <f t="shared" si="84"/>
        <v>0.69799999999999995</v>
      </c>
      <c r="M6695" s="337"/>
    </row>
    <row r="6696" spans="1:13" s="71" customFormat="1" ht="26.4" customHeight="1">
      <c r="A6696" s="282">
        <v>57</v>
      </c>
      <c r="B6696" s="537"/>
      <c r="C6696" s="441" t="s">
        <v>8490</v>
      </c>
      <c r="D6696" s="260" t="s">
        <v>8549</v>
      </c>
      <c r="E6696" s="282" t="s">
        <v>2660</v>
      </c>
      <c r="F6696" s="387">
        <v>250</v>
      </c>
      <c r="G6696" s="443">
        <v>2009</v>
      </c>
      <c r="H6696" s="410" t="s">
        <v>3243</v>
      </c>
      <c r="I6696" s="409" t="s">
        <v>3243</v>
      </c>
      <c r="J6696" s="496">
        <v>1.0469999999999999</v>
      </c>
      <c r="K6696" s="496">
        <v>0.34899999999999998</v>
      </c>
      <c r="L6696" s="496">
        <f t="shared" si="84"/>
        <v>0.69799999999999995</v>
      </c>
      <c r="M6696" s="337"/>
    </row>
    <row r="6697" spans="1:13" s="71" customFormat="1" ht="26.4" customHeight="1">
      <c r="A6697" s="282">
        <v>58</v>
      </c>
      <c r="B6697" s="537"/>
      <c r="C6697" s="441" t="s">
        <v>8490</v>
      </c>
      <c r="D6697" s="260" t="s">
        <v>8550</v>
      </c>
      <c r="E6697" s="282" t="s">
        <v>2660</v>
      </c>
      <c r="F6697" s="387">
        <v>253</v>
      </c>
      <c r="G6697" s="443">
        <v>2009</v>
      </c>
      <c r="H6697" s="410" t="s">
        <v>3243</v>
      </c>
      <c r="I6697" s="409" t="s">
        <v>3243</v>
      </c>
      <c r="J6697" s="496">
        <v>1.0669999999999999</v>
      </c>
      <c r="K6697" s="496">
        <v>0.35499999999999998</v>
      </c>
      <c r="L6697" s="496">
        <f t="shared" si="84"/>
        <v>0.71199999999999997</v>
      </c>
      <c r="M6697" s="337"/>
    </row>
    <row r="6698" spans="1:13" s="71" customFormat="1" ht="26.4" customHeight="1">
      <c r="A6698" s="282">
        <v>59</v>
      </c>
      <c r="B6698" s="537"/>
      <c r="C6698" s="441" t="s">
        <v>19</v>
      </c>
      <c r="D6698" s="260" t="s">
        <v>8551</v>
      </c>
      <c r="E6698" s="282" t="s">
        <v>2660</v>
      </c>
      <c r="F6698" s="387">
        <v>260</v>
      </c>
      <c r="G6698" s="443">
        <v>2009</v>
      </c>
      <c r="H6698" s="410" t="s">
        <v>3243</v>
      </c>
      <c r="I6698" s="409" t="s">
        <v>3243</v>
      </c>
      <c r="J6698" s="496">
        <v>1.008</v>
      </c>
      <c r="K6698" s="496">
        <v>0.33600000000000002</v>
      </c>
      <c r="L6698" s="496">
        <f t="shared" si="84"/>
        <v>0.67199999999999993</v>
      </c>
      <c r="M6698" s="337"/>
    </row>
    <row r="6699" spans="1:13" s="71" customFormat="1" ht="26.4" customHeight="1">
      <c r="A6699" s="282">
        <v>60</v>
      </c>
      <c r="B6699" s="537"/>
      <c r="C6699" s="441" t="s">
        <v>19</v>
      </c>
      <c r="D6699" s="260" t="s">
        <v>8552</v>
      </c>
      <c r="E6699" s="282" t="s">
        <v>2660</v>
      </c>
      <c r="F6699" s="387">
        <v>261</v>
      </c>
      <c r="G6699" s="443">
        <v>2009</v>
      </c>
      <c r="H6699" s="410" t="s">
        <v>3243</v>
      </c>
      <c r="I6699" s="409" t="s">
        <v>3243</v>
      </c>
      <c r="J6699" s="496">
        <v>1.008</v>
      </c>
      <c r="K6699" s="496">
        <v>0.33600000000000002</v>
      </c>
      <c r="L6699" s="496">
        <f t="shared" si="84"/>
        <v>0.67199999999999993</v>
      </c>
      <c r="M6699" s="337"/>
    </row>
    <row r="6700" spans="1:13" s="71" customFormat="1" ht="26.4" customHeight="1">
      <c r="A6700" s="282">
        <v>61</v>
      </c>
      <c r="B6700" s="537"/>
      <c r="C6700" s="441" t="s">
        <v>19</v>
      </c>
      <c r="D6700" s="260" t="s">
        <v>8553</v>
      </c>
      <c r="E6700" s="282" t="s">
        <v>2660</v>
      </c>
      <c r="F6700" s="387">
        <v>262</v>
      </c>
      <c r="G6700" s="443">
        <v>2009</v>
      </c>
      <c r="H6700" s="410" t="s">
        <v>3243</v>
      </c>
      <c r="I6700" s="409" t="s">
        <v>3243</v>
      </c>
      <c r="J6700" s="496">
        <v>0.88700000000000001</v>
      </c>
      <c r="K6700" s="496">
        <v>0.29299999999999998</v>
      </c>
      <c r="L6700" s="496">
        <f t="shared" si="84"/>
        <v>0.59400000000000008</v>
      </c>
      <c r="M6700" s="337"/>
    </row>
    <row r="6701" spans="1:13" s="71" customFormat="1" ht="26.4" customHeight="1">
      <c r="A6701" s="282">
        <v>62</v>
      </c>
      <c r="B6701" s="537"/>
      <c r="C6701" s="441" t="s">
        <v>19</v>
      </c>
      <c r="D6701" s="260" t="s">
        <v>8554</v>
      </c>
      <c r="E6701" s="282" t="s">
        <v>2660</v>
      </c>
      <c r="F6701" s="387">
        <v>264</v>
      </c>
      <c r="G6701" s="443">
        <v>2009</v>
      </c>
      <c r="H6701" s="410" t="s">
        <v>3243</v>
      </c>
      <c r="I6701" s="409" t="s">
        <v>3243</v>
      </c>
      <c r="J6701" s="496">
        <v>0.88700000000000001</v>
      </c>
      <c r="K6701" s="496">
        <v>0.29299999999999998</v>
      </c>
      <c r="L6701" s="496">
        <f t="shared" ref="L6701:L6764" si="85">J6701-K6701</f>
        <v>0.59400000000000008</v>
      </c>
      <c r="M6701" s="337"/>
    </row>
    <row r="6702" spans="1:13" s="71" customFormat="1" ht="26.4" customHeight="1">
      <c r="A6702" s="282">
        <v>63</v>
      </c>
      <c r="B6702" s="537"/>
      <c r="C6702" s="441" t="s">
        <v>8490</v>
      </c>
      <c r="D6702" s="260" t="s">
        <v>8555</v>
      </c>
      <c r="E6702" s="282" t="s">
        <v>2660</v>
      </c>
      <c r="F6702" s="387">
        <v>265</v>
      </c>
      <c r="G6702" s="443">
        <v>1962</v>
      </c>
      <c r="H6702" s="410" t="s">
        <v>3243</v>
      </c>
      <c r="I6702" s="409" t="s">
        <v>3243</v>
      </c>
      <c r="J6702" s="496">
        <v>0.72799999999999998</v>
      </c>
      <c r="K6702" s="496">
        <v>0.68100000000000005</v>
      </c>
      <c r="L6702" s="496">
        <f t="shared" si="85"/>
        <v>4.6999999999999931E-2</v>
      </c>
      <c r="M6702" s="337"/>
    </row>
    <row r="6703" spans="1:13" s="71" customFormat="1" ht="26.4" customHeight="1">
      <c r="A6703" s="282">
        <v>64</v>
      </c>
      <c r="B6703" s="537"/>
      <c r="C6703" s="441" t="s">
        <v>8470</v>
      </c>
      <c r="D6703" s="441" t="s">
        <v>8556</v>
      </c>
      <c r="E6703" s="441" t="s">
        <v>13433</v>
      </c>
      <c r="F6703" s="442">
        <v>268</v>
      </c>
      <c r="G6703" s="443">
        <v>1992</v>
      </c>
      <c r="H6703" s="489" t="s">
        <v>5462</v>
      </c>
      <c r="I6703" s="409">
        <v>1300</v>
      </c>
      <c r="J6703" s="496">
        <v>35.630000000000003</v>
      </c>
      <c r="K6703" s="496">
        <v>35.630000000000003</v>
      </c>
      <c r="L6703" s="496">
        <f t="shared" si="85"/>
        <v>0</v>
      </c>
      <c r="M6703" s="337"/>
    </row>
    <row r="6704" spans="1:13" s="71" customFormat="1" ht="26.4" customHeight="1">
      <c r="A6704" s="282">
        <v>65</v>
      </c>
      <c r="B6704" s="537"/>
      <c r="C6704" s="441" t="s">
        <v>8490</v>
      </c>
      <c r="D6704" s="260" t="s">
        <v>8557</v>
      </c>
      <c r="E6704" s="282" t="s">
        <v>2660</v>
      </c>
      <c r="F6704" s="387">
        <v>278</v>
      </c>
      <c r="G6704" s="443">
        <v>1958</v>
      </c>
      <c r="H6704" s="410" t="s">
        <v>3243</v>
      </c>
      <c r="I6704" s="409" t="s">
        <v>3243</v>
      </c>
      <c r="J6704" s="496">
        <v>0.72799999999999998</v>
      </c>
      <c r="K6704" s="496">
        <v>0.68100000000000005</v>
      </c>
      <c r="L6704" s="496">
        <f t="shared" si="85"/>
        <v>4.6999999999999931E-2</v>
      </c>
      <c r="M6704" s="337"/>
    </row>
    <row r="6705" spans="1:13" s="71" customFormat="1" ht="26.4" customHeight="1">
      <c r="A6705" s="282">
        <v>66</v>
      </c>
      <c r="B6705" s="537"/>
      <c r="C6705" s="441" t="s">
        <v>8526</v>
      </c>
      <c r="D6705" s="260" t="s">
        <v>8558</v>
      </c>
      <c r="E6705" s="282" t="s">
        <v>8522</v>
      </c>
      <c r="F6705" s="387">
        <v>290</v>
      </c>
      <c r="G6705" s="443">
        <v>1948</v>
      </c>
      <c r="H6705" s="410" t="s">
        <v>5462</v>
      </c>
      <c r="I6705" s="409">
        <v>500</v>
      </c>
      <c r="J6705" s="496">
        <v>2.9940000000000002</v>
      </c>
      <c r="K6705" s="496">
        <v>2.802</v>
      </c>
      <c r="L6705" s="496">
        <f t="shared" si="85"/>
        <v>0.19200000000000017</v>
      </c>
      <c r="M6705" s="337"/>
    </row>
    <row r="6706" spans="1:13" s="71" customFormat="1" ht="26.4" customHeight="1">
      <c r="A6706" s="282">
        <v>67</v>
      </c>
      <c r="B6706" s="537"/>
      <c r="C6706" s="441" t="s">
        <v>8526</v>
      </c>
      <c r="D6706" s="260" t="s">
        <v>8559</v>
      </c>
      <c r="E6706" s="282" t="s">
        <v>8522</v>
      </c>
      <c r="F6706" s="387">
        <v>291</v>
      </c>
      <c r="G6706" s="443">
        <v>1990</v>
      </c>
      <c r="H6706" s="410" t="s">
        <v>5462</v>
      </c>
      <c r="I6706" s="409">
        <v>800</v>
      </c>
      <c r="J6706" s="496">
        <v>4.7910000000000004</v>
      </c>
      <c r="K6706" s="496">
        <v>4.4870000000000001</v>
      </c>
      <c r="L6706" s="496">
        <f t="shared" si="85"/>
        <v>0.30400000000000027</v>
      </c>
      <c r="M6706" s="337"/>
    </row>
    <row r="6707" spans="1:13" s="71" customFormat="1" ht="26.4" customHeight="1">
      <c r="A6707" s="282">
        <v>68</v>
      </c>
      <c r="B6707" s="537"/>
      <c r="C6707" s="441" t="s">
        <v>8526</v>
      </c>
      <c r="D6707" s="260" t="s">
        <v>8560</v>
      </c>
      <c r="E6707" s="282" t="s">
        <v>8522</v>
      </c>
      <c r="F6707" s="387">
        <v>292</v>
      </c>
      <c r="G6707" s="443">
        <v>1948</v>
      </c>
      <c r="H6707" s="410" t="s">
        <v>5462</v>
      </c>
      <c r="I6707" s="409">
        <v>900</v>
      </c>
      <c r="J6707" s="496">
        <v>5.39</v>
      </c>
      <c r="K6707" s="496">
        <v>5.0419999999999998</v>
      </c>
      <c r="L6707" s="496">
        <f t="shared" si="85"/>
        <v>0.34799999999999986</v>
      </c>
      <c r="M6707" s="337"/>
    </row>
    <row r="6708" spans="1:13" s="71" customFormat="1" ht="26.4" customHeight="1">
      <c r="A6708" s="282">
        <v>69</v>
      </c>
      <c r="B6708" s="537"/>
      <c r="C6708" s="441" t="s">
        <v>8561</v>
      </c>
      <c r="D6708" s="260" t="s">
        <v>8562</v>
      </c>
      <c r="E6708" s="282" t="s">
        <v>8522</v>
      </c>
      <c r="F6708" s="387">
        <v>293</v>
      </c>
      <c r="G6708" s="443">
        <v>1956</v>
      </c>
      <c r="H6708" s="410" t="s">
        <v>5462</v>
      </c>
      <c r="I6708" s="409">
        <v>400</v>
      </c>
      <c r="J6708" s="496">
        <v>9.1630000000000003</v>
      </c>
      <c r="K6708" s="496">
        <v>8.4879999999999995</v>
      </c>
      <c r="L6708" s="496">
        <f t="shared" si="85"/>
        <v>0.67500000000000071</v>
      </c>
      <c r="M6708" s="337"/>
    </row>
    <row r="6709" spans="1:13" s="71" customFormat="1" ht="26.4" customHeight="1">
      <c r="A6709" s="282">
        <v>70</v>
      </c>
      <c r="B6709" s="537"/>
      <c r="C6709" s="441" t="s">
        <v>8561</v>
      </c>
      <c r="D6709" s="260" t="s">
        <v>8563</v>
      </c>
      <c r="E6709" s="282" t="s">
        <v>8522</v>
      </c>
      <c r="F6709" s="387">
        <v>294</v>
      </c>
      <c r="G6709" s="443">
        <v>1956</v>
      </c>
      <c r="H6709" s="410" t="s">
        <v>5462</v>
      </c>
      <c r="I6709" s="409">
        <v>500</v>
      </c>
      <c r="J6709" s="496">
        <v>11.452999999999999</v>
      </c>
      <c r="K6709" s="496">
        <v>10.61</v>
      </c>
      <c r="L6709" s="496">
        <f t="shared" si="85"/>
        <v>0.84299999999999997</v>
      </c>
      <c r="M6709" s="337"/>
    </row>
    <row r="6710" spans="1:13" s="71" customFormat="1" ht="26.4" customHeight="1">
      <c r="A6710" s="282">
        <v>71</v>
      </c>
      <c r="B6710" s="537"/>
      <c r="C6710" s="441" t="s">
        <v>8561</v>
      </c>
      <c r="D6710" s="260" t="s">
        <v>8564</v>
      </c>
      <c r="E6710" s="282" t="s">
        <v>8522</v>
      </c>
      <c r="F6710" s="387">
        <v>295</v>
      </c>
      <c r="G6710" s="443">
        <v>1956</v>
      </c>
      <c r="H6710" s="410" t="s">
        <v>5462</v>
      </c>
      <c r="I6710" s="409">
        <v>400</v>
      </c>
      <c r="J6710" s="496">
        <v>9.1630000000000003</v>
      </c>
      <c r="K6710" s="496">
        <v>8.4879999999999995</v>
      </c>
      <c r="L6710" s="496">
        <f t="shared" si="85"/>
        <v>0.67500000000000071</v>
      </c>
      <c r="M6710" s="337"/>
    </row>
    <row r="6711" spans="1:13" s="71" customFormat="1" ht="26.4" customHeight="1">
      <c r="A6711" s="282">
        <v>72</v>
      </c>
      <c r="B6711" s="537"/>
      <c r="C6711" s="441" t="s">
        <v>8561</v>
      </c>
      <c r="D6711" s="260" t="s">
        <v>8565</v>
      </c>
      <c r="E6711" s="282" t="s">
        <v>8522</v>
      </c>
      <c r="F6711" s="387">
        <v>296</v>
      </c>
      <c r="G6711" s="443">
        <v>1956</v>
      </c>
      <c r="H6711" s="410" t="s">
        <v>5462</v>
      </c>
      <c r="I6711" s="409">
        <v>300</v>
      </c>
      <c r="J6711" s="496">
        <v>6.8719999999999999</v>
      </c>
      <c r="K6711" s="496">
        <v>6.3659999999999997</v>
      </c>
      <c r="L6711" s="496">
        <f t="shared" si="85"/>
        <v>0.50600000000000023</v>
      </c>
      <c r="M6711" s="337"/>
    </row>
    <row r="6712" spans="1:13" s="71" customFormat="1" ht="26.4" customHeight="1">
      <c r="A6712" s="282">
        <v>73</v>
      </c>
      <c r="B6712" s="537"/>
      <c r="C6712" s="441" t="s">
        <v>8561</v>
      </c>
      <c r="D6712" s="260" t="s">
        <v>8566</v>
      </c>
      <c r="E6712" s="282" t="s">
        <v>8522</v>
      </c>
      <c r="F6712" s="387">
        <v>297</v>
      </c>
      <c r="G6712" s="443">
        <v>1956</v>
      </c>
      <c r="H6712" s="410" t="s">
        <v>5462</v>
      </c>
      <c r="I6712" s="409">
        <v>500</v>
      </c>
      <c r="J6712" s="496">
        <v>11.452999999999999</v>
      </c>
      <c r="K6712" s="496">
        <v>10.61</v>
      </c>
      <c r="L6712" s="496">
        <f t="shared" si="85"/>
        <v>0.84299999999999997</v>
      </c>
      <c r="M6712" s="337"/>
    </row>
    <row r="6713" spans="1:13" s="71" customFormat="1" ht="26.4" customHeight="1">
      <c r="A6713" s="282">
        <v>74</v>
      </c>
      <c r="B6713" s="537"/>
      <c r="C6713" s="441" t="s">
        <v>8561</v>
      </c>
      <c r="D6713" s="260" t="s">
        <v>8567</v>
      </c>
      <c r="E6713" s="282" t="s">
        <v>8522</v>
      </c>
      <c r="F6713" s="387">
        <v>298</v>
      </c>
      <c r="G6713" s="443">
        <v>1970</v>
      </c>
      <c r="H6713" s="410" t="s">
        <v>5462</v>
      </c>
      <c r="I6713" s="409">
        <v>500</v>
      </c>
      <c r="J6713" s="496">
        <v>3.8580000000000001</v>
      </c>
      <c r="K6713" s="496">
        <v>3.609</v>
      </c>
      <c r="L6713" s="496">
        <f t="shared" si="85"/>
        <v>0.24900000000000011</v>
      </c>
      <c r="M6713" s="337"/>
    </row>
    <row r="6714" spans="1:13" s="71" customFormat="1" ht="26.4" customHeight="1">
      <c r="A6714" s="282">
        <v>75</v>
      </c>
      <c r="B6714" s="537"/>
      <c r="C6714" s="441" t="s">
        <v>8526</v>
      </c>
      <c r="D6714" s="260" t="s">
        <v>8568</v>
      </c>
      <c r="E6714" s="282" t="s">
        <v>8522</v>
      </c>
      <c r="F6714" s="387">
        <v>299</v>
      </c>
      <c r="G6714" s="443">
        <v>1948</v>
      </c>
      <c r="H6714" s="410" t="s">
        <v>5462</v>
      </c>
      <c r="I6714" s="409">
        <v>2500</v>
      </c>
      <c r="J6714" s="496">
        <v>60.13</v>
      </c>
      <c r="K6714" s="496">
        <v>56.258000000000003</v>
      </c>
      <c r="L6714" s="496">
        <f t="shared" si="85"/>
        <v>3.8719999999999999</v>
      </c>
      <c r="M6714" s="337"/>
    </row>
    <row r="6715" spans="1:13" s="71" customFormat="1" ht="26.4" customHeight="1">
      <c r="A6715" s="282">
        <v>76</v>
      </c>
      <c r="B6715" s="537"/>
      <c r="C6715" s="441" t="s">
        <v>8526</v>
      </c>
      <c r="D6715" s="260" t="s">
        <v>12882</v>
      </c>
      <c r="E6715" s="282" t="s">
        <v>8522</v>
      </c>
      <c r="F6715" s="387">
        <v>302</v>
      </c>
      <c r="G6715" s="443">
        <v>1960</v>
      </c>
      <c r="H6715" s="410" t="s">
        <v>5462</v>
      </c>
      <c r="I6715" s="409">
        <v>1200</v>
      </c>
      <c r="J6715" s="496">
        <v>0.66700000000000004</v>
      </c>
      <c r="K6715" s="496">
        <v>0.251</v>
      </c>
      <c r="L6715" s="496">
        <f t="shared" si="85"/>
        <v>0.41600000000000004</v>
      </c>
      <c r="M6715" s="337"/>
    </row>
    <row r="6716" spans="1:13" s="71" customFormat="1" ht="26.4" customHeight="1">
      <c r="A6716" s="282">
        <v>77</v>
      </c>
      <c r="B6716" s="537"/>
      <c r="C6716" s="441" t="s">
        <v>8526</v>
      </c>
      <c r="D6716" s="260" t="s">
        <v>8569</v>
      </c>
      <c r="E6716" s="282" t="s">
        <v>8522</v>
      </c>
      <c r="F6716" s="387">
        <v>303</v>
      </c>
      <c r="G6716" s="443">
        <v>1939</v>
      </c>
      <c r="H6716" s="410" t="s">
        <v>5462</v>
      </c>
      <c r="I6716" s="409">
        <v>2300</v>
      </c>
      <c r="J6716" s="496">
        <v>0.67</v>
      </c>
      <c r="K6716" s="496">
        <v>0.252</v>
      </c>
      <c r="L6716" s="496">
        <f t="shared" si="85"/>
        <v>0.41800000000000004</v>
      </c>
      <c r="M6716" s="337"/>
    </row>
    <row r="6717" spans="1:13" s="71" customFormat="1" ht="26.4" customHeight="1">
      <c r="A6717" s="282">
        <v>78</v>
      </c>
      <c r="B6717" s="537"/>
      <c r="C6717" s="441" t="s">
        <v>12809</v>
      </c>
      <c r="D6717" s="260" t="s">
        <v>8570</v>
      </c>
      <c r="E6717" s="282" t="s">
        <v>8571</v>
      </c>
      <c r="F6717" s="387">
        <v>307</v>
      </c>
      <c r="G6717" s="443">
        <v>1953</v>
      </c>
      <c r="H6717" s="410" t="s">
        <v>5462</v>
      </c>
      <c r="I6717" s="409">
        <v>7400</v>
      </c>
      <c r="J6717" s="496">
        <v>5.2</v>
      </c>
      <c r="K6717" s="496">
        <v>1.8720000000000001</v>
      </c>
      <c r="L6717" s="496">
        <f t="shared" si="85"/>
        <v>3.3280000000000003</v>
      </c>
      <c r="M6717" s="337"/>
    </row>
    <row r="6718" spans="1:13" s="71" customFormat="1" ht="26.4" customHeight="1">
      <c r="A6718" s="282">
        <v>79</v>
      </c>
      <c r="B6718" s="537"/>
      <c r="C6718" s="441" t="s">
        <v>8490</v>
      </c>
      <c r="D6718" s="260" t="s">
        <v>8572</v>
      </c>
      <c r="E6718" s="282" t="s">
        <v>8522</v>
      </c>
      <c r="F6718" s="387">
        <v>308</v>
      </c>
      <c r="G6718" s="443">
        <v>1959</v>
      </c>
      <c r="H6718" s="410" t="s">
        <v>5462</v>
      </c>
      <c r="I6718" s="409">
        <v>400</v>
      </c>
      <c r="J6718" s="496">
        <v>3.98</v>
      </c>
      <c r="K6718" s="496">
        <v>3.6789999999999998</v>
      </c>
      <c r="L6718" s="496">
        <f t="shared" si="85"/>
        <v>0.30100000000000016</v>
      </c>
      <c r="M6718" s="337"/>
    </row>
    <row r="6719" spans="1:13" s="71" customFormat="1" ht="26.4" customHeight="1">
      <c r="A6719" s="282">
        <v>80</v>
      </c>
      <c r="B6719" s="537"/>
      <c r="C6719" s="441" t="s">
        <v>8490</v>
      </c>
      <c r="D6719" s="260" t="s">
        <v>8573</v>
      </c>
      <c r="E6719" s="282" t="s">
        <v>8522</v>
      </c>
      <c r="F6719" s="387">
        <v>309</v>
      </c>
      <c r="G6719" s="443">
        <v>1959</v>
      </c>
      <c r="H6719" s="410" t="s">
        <v>5462</v>
      </c>
      <c r="I6719" s="409">
        <v>400</v>
      </c>
      <c r="J6719" s="496">
        <v>3.98</v>
      </c>
      <c r="K6719" s="496">
        <v>3.6789999999999998</v>
      </c>
      <c r="L6719" s="496">
        <f t="shared" si="85"/>
        <v>0.30100000000000016</v>
      </c>
      <c r="M6719" s="337"/>
    </row>
    <row r="6720" spans="1:13" s="71" customFormat="1" ht="26.4" customHeight="1">
      <c r="A6720" s="282">
        <v>81</v>
      </c>
      <c r="B6720" s="537"/>
      <c r="C6720" s="441" t="s">
        <v>8561</v>
      </c>
      <c r="D6720" s="260" t="s">
        <v>8574</v>
      </c>
      <c r="E6720" s="282" t="s">
        <v>2660</v>
      </c>
      <c r="F6720" s="387">
        <v>311</v>
      </c>
      <c r="G6720" s="443">
        <v>1951</v>
      </c>
      <c r="H6720" s="410" t="s">
        <v>3243</v>
      </c>
      <c r="I6720" s="409" t="s">
        <v>3243</v>
      </c>
      <c r="J6720" s="496">
        <v>0.72799999999999998</v>
      </c>
      <c r="K6720" s="496">
        <v>0.68100000000000005</v>
      </c>
      <c r="L6720" s="496">
        <f t="shared" si="85"/>
        <v>4.6999999999999931E-2</v>
      </c>
      <c r="M6720" s="337"/>
    </row>
    <row r="6721" spans="1:13" s="71" customFormat="1" ht="26.4" customHeight="1">
      <c r="A6721" s="282">
        <v>82</v>
      </c>
      <c r="B6721" s="537"/>
      <c r="C6721" s="441" t="s">
        <v>8575</v>
      </c>
      <c r="D6721" s="260" t="s">
        <v>8576</v>
      </c>
      <c r="E6721" s="282" t="s">
        <v>2660</v>
      </c>
      <c r="F6721" s="387">
        <v>314</v>
      </c>
      <c r="G6721" s="443">
        <v>1956</v>
      </c>
      <c r="H6721" s="410" t="s">
        <v>3243</v>
      </c>
      <c r="I6721" s="409" t="s">
        <v>3243</v>
      </c>
      <c r="J6721" s="496">
        <v>0.72799999999999998</v>
      </c>
      <c r="K6721" s="496">
        <v>0.68100000000000005</v>
      </c>
      <c r="L6721" s="496">
        <f t="shared" si="85"/>
        <v>4.6999999999999931E-2</v>
      </c>
      <c r="M6721" s="337"/>
    </row>
    <row r="6722" spans="1:13" s="71" customFormat="1" ht="26.4" customHeight="1">
      <c r="A6722" s="282">
        <v>83</v>
      </c>
      <c r="B6722" s="537"/>
      <c r="C6722" s="441" t="s">
        <v>8575</v>
      </c>
      <c r="D6722" s="260" t="s">
        <v>8577</v>
      </c>
      <c r="E6722" s="282" t="s">
        <v>2660</v>
      </c>
      <c r="F6722" s="387">
        <v>315</v>
      </c>
      <c r="G6722" s="443">
        <v>1956</v>
      </c>
      <c r="H6722" s="410" t="s">
        <v>3243</v>
      </c>
      <c r="I6722" s="409" t="s">
        <v>3243</v>
      </c>
      <c r="J6722" s="496">
        <v>0.72799999999999998</v>
      </c>
      <c r="K6722" s="496">
        <v>0.68100000000000005</v>
      </c>
      <c r="L6722" s="496">
        <f t="shared" si="85"/>
        <v>4.6999999999999931E-2</v>
      </c>
      <c r="M6722" s="337"/>
    </row>
    <row r="6723" spans="1:13" s="71" customFormat="1" ht="26.4" customHeight="1">
      <c r="A6723" s="282">
        <v>84</v>
      </c>
      <c r="B6723" s="537"/>
      <c r="C6723" s="441" t="s">
        <v>8578</v>
      </c>
      <c r="D6723" s="260" t="s">
        <v>8579</v>
      </c>
      <c r="E6723" s="282" t="s">
        <v>2660</v>
      </c>
      <c r="F6723" s="387">
        <v>316</v>
      </c>
      <c r="G6723" s="443">
        <v>1956</v>
      </c>
      <c r="H6723" s="410" t="s">
        <v>3243</v>
      </c>
      <c r="I6723" s="409" t="s">
        <v>3243</v>
      </c>
      <c r="J6723" s="496">
        <v>0.72799999999999998</v>
      </c>
      <c r="K6723" s="496">
        <v>0.68100000000000005</v>
      </c>
      <c r="L6723" s="496">
        <f t="shared" si="85"/>
        <v>4.6999999999999931E-2</v>
      </c>
      <c r="M6723" s="337"/>
    </row>
    <row r="6724" spans="1:13" s="71" customFormat="1" ht="26.4" customHeight="1">
      <c r="A6724" s="282">
        <v>85</v>
      </c>
      <c r="B6724" s="537"/>
      <c r="C6724" s="441" t="s">
        <v>8490</v>
      </c>
      <c r="D6724" s="260" t="s">
        <v>8580</v>
      </c>
      <c r="E6724" s="282" t="s">
        <v>8522</v>
      </c>
      <c r="F6724" s="387">
        <v>319</v>
      </c>
      <c r="G6724" s="443">
        <v>1960</v>
      </c>
      <c r="H6724" s="410" t="s">
        <v>5462</v>
      </c>
      <c r="I6724" s="409">
        <v>400</v>
      </c>
      <c r="J6724" s="496">
        <v>3.952</v>
      </c>
      <c r="K6724" s="496">
        <v>3.698</v>
      </c>
      <c r="L6724" s="496">
        <f t="shared" si="85"/>
        <v>0.254</v>
      </c>
      <c r="M6724" s="337"/>
    </row>
    <row r="6725" spans="1:13" s="71" customFormat="1" ht="26.4" customHeight="1">
      <c r="A6725" s="282">
        <v>86</v>
      </c>
      <c r="B6725" s="537"/>
      <c r="C6725" s="441" t="s">
        <v>8490</v>
      </c>
      <c r="D6725" s="260" t="s">
        <v>8581</v>
      </c>
      <c r="E6725" s="282" t="s">
        <v>8522</v>
      </c>
      <c r="F6725" s="387">
        <v>320</v>
      </c>
      <c r="G6725" s="443">
        <v>1960</v>
      </c>
      <c r="H6725" s="410" t="s">
        <v>5462</v>
      </c>
      <c r="I6725" s="409">
        <v>400</v>
      </c>
      <c r="J6725" s="496">
        <v>3.952</v>
      </c>
      <c r="K6725" s="496">
        <v>3.698</v>
      </c>
      <c r="L6725" s="496">
        <f t="shared" si="85"/>
        <v>0.254</v>
      </c>
      <c r="M6725" s="337"/>
    </row>
    <row r="6726" spans="1:13" s="71" customFormat="1" ht="26.4" customHeight="1">
      <c r="A6726" s="282">
        <v>87</v>
      </c>
      <c r="B6726" s="537"/>
      <c r="C6726" s="441" t="s">
        <v>8490</v>
      </c>
      <c r="D6726" s="260" t="s">
        <v>8582</v>
      </c>
      <c r="E6726" s="282" t="s">
        <v>8522</v>
      </c>
      <c r="F6726" s="387">
        <v>321</v>
      </c>
      <c r="G6726" s="443">
        <v>1950</v>
      </c>
      <c r="H6726" s="410" t="s">
        <v>5462</v>
      </c>
      <c r="I6726" s="409">
        <v>400</v>
      </c>
      <c r="J6726" s="496">
        <v>6.702</v>
      </c>
      <c r="K6726" s="496">
        <v>6.2519999999999998</v>
      </c>
      <c r="L6726" s="496">
        <f t="shared" si="85"/>
        <v>0.45000000000000018</v>
      </c>
      <c r="M6726" s="337"/>
    </row>
    <row r="6727" spans="1:13" s="71" customFormat="1" ht="26.4" customHeight="1">
      <c r="A6727" s="282">
        <v>88</v>
      </c>
      <c r="B6727" s="537"/>
      <c r="C6727" s="441" t="s">
        <v>8490</v>
      </c>
      <c r="D6727" s="260" t="s">
        <v>8583</v>
      </c>
      <c r="E6727" s="282" t="s">
        <v>8522</v>
      </c>
      <c r="F6727" s="387">
        <v>322</v>
      </c>
      <c r="G6727" s="443">
        <v>1950</v>
      </c>
      <c r="H6727" s="410" t="s">
        <v>5462</v>
      </c>
      <c r="I6727" s="409">
        <v>400</v>
      </c>
      <c r="J6727" s="496">
        <v>6.702</v>
      </c>
      <c r="K6727" s="496">
        <v>6.2519999999999998</v>
      </c>
      <c r="L6727" s="496">
        <f t="shared" si="85"/>
        <v>0.45000000000000018</v>
      </c>
      <c r="M6727" s="337"/>
    </row>
    <row r="6728" spans="1:13" s="71" customFormat="1" ht="26.4" customHeight="1">
      <c r="A6728" s="282">
        <v>89</v>
      </c>
      <c r="B6728" s="537"/>
      <c r="C6728" s="441" t="s">
        <v>8490</v>
      </c>
      <c r="D6728" s="260" t="s">
        <v>8584</v>
      </c>
      <c r="E6728" s="282" t="s">
        <v>8522</v>
      </c>
      <c r="F6728" s="387">
        <v>323</v>
      </c>
      <c r="G6728" s="443">
        <v>1950</v>
      </c>
      <c r="H6728" s="410" t="s">
        <v>5462</v>
      </c>
      <c r="I6728" s="409">
        <v>400</v>
      </c>
      <c r="J6728" s="496">
        <v>6.702</v>
      </c>
      <c r="K6728" s="496">
        <v>6.2519999999999998</v>
      </c>
      <c r="L6728" s="496">
        <f t="shared" si="85"/>
        <v>0.45000000000000018</v>
      </c>
      <c r="M6728" s="337"/>
    </row>
    <row r="6729" spans="1:13" s="71" customFormat="1" ht="26.4" customHeight="1">
      <c r="A6729" s="282">
        <v>90</v>
      </c>
      <c r="B6729" s="537"/>
      <c r="C6729" s="441" t="s">
        <v>8490</v>
      </c>
      <c r="D6729" s="260" t="s">
        <v>8585</v>
      </c>
      <c r="E6729" s="282" t="s">
        <v>8522</v>
      </c>
      <c r="F6729" s="387">
        <v>324</v>
      </c>
      <c r="G6729" s="443">
        <v>1950</v>
      </c>
      <c r="H6729" s="410" t="s">
        <v>5462</v>
      </c>
      <c r="I6729" s="409">
        <v>400</v>
      </c>
      <c r="J6729" s="496">
        <v>6.702</v>
      </c>
      <c r="K6729" s="496">
        <v>6.2519999999999998</v>
      </c>
      <c r="L6729" s="496">
        <f t="shared" si="85"/>
        <v>0.45000000000000018</v>
      </c>
      <c r="M6729" s="337"/>
    </row>
    <row r="6730" spans="1:13" s="71" customFormat="1" ht="26.4" customHeight="1">
      <c r="A6730" s="282">
        <v>91</v>
      </c>
      <c r="B6730" s="537"/>
      <c r="C6730" s="441" t="s">
        <v>8490</v>
      </c>
      <c r="D6730" s="260" t="s">
        <v>8586</v>
      </c>
      <c r="E6730" s="282" t="s">
        <v>8522</v>
      </c>
      <c r="F6730" s="387">
        <v>325</v>
      </c>
      <c r="G6730" s="443">
        <v>1960</v>
      </c>
      <c r="H6730" s="410" t="s">
        <v>5462</v>
      </c>
      <c r="I6730" s="409">
        <v>500</v>
      </c>
      <c r="J6730" s="496">
        <v>9.0009999999999994</v>
      </c>
      <c r="K6730" s="496">
        <v>7.22</v>
      </c>
      <c r="L6730" s="496">
        <f t="shared" si="85"/>
        <v>1.7809999999999997</v>
      </c>
      <c r="M6730" s="337"/>
    </row>
    <row r="6731" spans="1:13" s="71" customFormat="1" ht="26.4" customHeight="1">
      <c r="A6731" s="282">
        <v>92</v>
      </c>
      <c r="B6731" s="537"/>
      <c r="C6731" s="441" t="s">
        <v>8490</v>
      </c>
      <c r="D6731" s="260" t="s">
        <v>8587</v>
      </c>
      <c r="E6731" s="282" t="s">
        <v>8522</v>
      </c>
      <c r="F6731" s="387">
        <v>326</v>
      </c>
      <c r="G6731" s="443">
        <v>1960</v>
      </c>
      <c r="H6731" s="410" t="s">
        <v>5462</v>
      </c>
      <c r="I6731" s="409">
        <v>600</v>
      </c>
      <c r="J6731" s="496">
        <v>10.801</v>
      </c>
      <c r="K6731" s="496">
        <v>8.6649999999999991</v>
      </c>
      <c r="L6731" s="496">
        <f t="shared" si="85"/>
        <v>2.136000000000001</v>
      </c>
      <c r="M6731" s="337"/>
    </row>
    <row r="6732" spans="1:13" s="71" customFormat="1" ht="26.4" customHeight="1">
      <c r="A6732" s="282">
        <v>93</v>
      </c>
      <c r="B6732" s="537"/>
      <c r="C6732" s="441" t="s">
        <v>8490</v>
      </c>
      <c r="D6732" s="260" t="s">
        <v>8588</v>
      </c>
      <c r="E6732" s="282" t="s">
        <v>8522</v>
      </c>
      <c r="F6732" s="387">
        <v>327</v>
      </c>
      <c r="G6732" s="443">
        <v>1960</v>
      </c>
      <c r="H6732" s="410" t="s">
        <v>5462</v>
      </c>
      <c r="I6732" s="409">
        <v>200</v>
      </c>
      <c r="J6732" s="496">
        <v>3.6</v>
      </c>
      <c r="K6732" s="496">
        <v>2.8879999999999999</v>
      </c>
      <c r="L6732" s="496">
        <f t="shared" si="85"/>
        <v>0.71200000000000019</v>
      </c>
      <c r="M6732" s="337"/>
    </row>
    <row r="6733" spans="1:13" s="71" customFormat="1" ht="26.4" customHeight="1">
      <c r="A6733" s="282">
        <v>94</v>
      </c>
      <c r="B6733" s="537"/>
      <c r="C6733" s="441" t="s">
        <v>8490</v>
      </c>
      <c r="D6733" s="260" t="s">
        <v>8589</v>
      </c>
      <c r="E6733" s="282" t="s">
        <v>8522</v>
      </c>
      <c r="F6733" s="387">
        <v>328</v>
      </c>
      <c r="G6733" s="443">
        <v>1960</v>
      </c>
      <c r="H6733" s="410" t="s">
        <v>5462</v>
      </c>
      <c r="I6733" s="409">
        <v>500</v>
      </c>
      <c r="J6733" s="496">
        <v>9.0009999999999994</v>
      </c>
      <c r="K6733" s="496">
        <v>7.22</v>
      </c>
      <c r="L6733" s="496">
        <f t="shared" si="85"/>
        <v>1.7809999999999997</v>
      </c>
      <c r="M6733" s="337"/>
    </row>
    <row r="6734" spans="1:13" s="71" customFormat="1" ht="26.4" customHeight="1">
      <c r="A6734" s="282">
        <v>95</v>
      </c>
      <c r="B6734" s="537"/>
      <c r="C6734" s="441" t="s">
        <v>8490</v>
      </c>
      <c r="D6734" s="260" t="s">
        <v>8590</v>
      </c>
      <c r="E6734" s="282" t="s">
        <v>8522</v>
      </c>
      <c r="F6734" s="387">
        <v>329</v>
      </c>
      <c r="G6734" s="443">
        <v>1960</v>
      </c>
      <c r="H6734" s="410" t="s">
        <v>5462</v>
      </c>
      <c r="I6734" s="409">
        <v>400</v>
      </c>
      <c r="J6734" s="496">
        <v>7.1509999999999998</v>
      </c>
      <c r="K6734" s="496">
        <v>5.7359999999999998</v>
      </c>
      <c r="L6734" s="496">
        <f t="shared" si="85"/>
        <v>1.415</v>
      </c>
      <c r="M6734" s="337"/>
    </row>
    <row r="6735" spans="1:13" s="71" customFormat="1" ht="26.4" customHeight="1">
      <c r="A6735" s="282">
        <v>96</v>
      </c>
      <c r="B6735" s="537"/>
      <c r="C6735" s="441" t="s">
        <v>8490</v>
      </c>
      <c r="D6735" s="260" t="s">
        <v>8591</v>
      </c>
      <c r="E6735" s="282" t="s">
        <v>8522</v>
      </c>
      <c r="F6735" s="387">
        <v>330</v>
      </c>
      <c r="G6735" s="443">
        <v>1960</v>
      </c>
      <c r="H6735" s="410" t="s">
        <v>5462</v>
      </c>
      <c r="I6735" s="409">
        <v>300</v>
      </c>
      <c r="J6735" s="496">
        <v>5.3630000000000004</v>
      </c>
      <c r="K6735" s="496">
        <v>4.3019999999999996</v>
      </c>
      <c r="L6735" s="496">
        <f t="shared" si="85"/>
        <v>1.0610000000000008</v>
      </c>
      <c r="M6735" s="337"/>
    </row>
    <row r="6736" spans="1:13" s="71" customFormat="1" ht="26.4" customHeight="1">
      <c r="A6736" s="282">
        <v>97</v>
      </c>
      <c r="B6736" s="537"/>
      <c r="C6736" s="441" t="s">
        <v>8490</v>
      </c>
      <c r="D6736" s="260" t="s">
        <v>8592</v>
      </c>
      <c r="E6736" s="282" t="s">
        <v>8522</v>
      </c>
      <c r="F6736" s="387">
        <v>331</v>
      </c>
      <c r="G6736" s="443">
        <v>1958</v>
      </c>
      <c r="H6736" s="410" t="s">
        <v>5462</v>
      </c>
      <c r="I6736" s="409">
        <v>700</v>
      </c>
      <c r="J6736" s="496">
        <v>10.619</v>
      </c>
      <c r="K6736" s="496">
        <v>9.8239999999999998</v>
      </c>
      <c r="L6736" s="496">
        <f t="shared" si="85"/>
        <v>0.79499999999999993</v>
      </c>
      <c r="M6736" s="337"/>
    </row>
    <row r="6737" spans="1:13" s="71" customFormat="1" ht="26.4" customHeight="1">
      <c r="A6737" s="282">
        <v>98</v>
      </c>
      <c r="B6737" s="537"/>
      <c r="C6737" s="441" t="s">
        <v>8490</v>
      </c>
      <c r="D6737" s="260" t="s">
        <v>8593</v>
      </c>
      <c r="E6737" s="282" t="s">
        <v>8522</v>
      </c>
      <c r="F6737" s="387">
        <v>332</v>
      </c>
      <c r="G6737" s="443">
        <v>1958</v>
      </c>
      <c r="H6737" s="410" t="s">
        <v>5462</v>
      </c>
      <c r="I6737" s="409">
        <v>500</v>
      </c>
      <c r="J6737" s="496">
        <v>7.585</v>
      </c>
      <c r="K6737" s="496">
        <v>7.0170000000000003</v>
      </c>
      <c r="L6737" s="496">
        <f t="shared" si="85"/>
        <v>0.56799999999999962</v>
      </c>
      <c r="M6737" s="337"/>
    </row>
    <row r="6738" spans="1:13" s="71" customFormat="1" ht="26.4" customHeight="1">
      <c r="A6738" s="282">
        <v>99</v>
      </c>
      <c r="B6738" s="537"/>
      <c r="C6738" s="441" t="s">
        <v>8490</v>
      </c>
      <c r="D6738" s="260" t="s">
        <v>8594</v>
      </c>
      <c r="E6738" s="282" t="s">
        <v>8522</v>
      </c>
      <c r="F6738" s="387">
        <v>333</v>
      </c>
      <c r="G6738" s="443">
        <v>1960</v>
      </c>
      <c r="H6738" s="410" t="s">
        <v>5462</v>
      </c>
      <c r="I6738" s="409">
        <v>600</v>
      </c>
      <c r="J6738" s="496">
        <v>6.6479999999999997</v>
      </c>
      <c r="K6738" s="496">
        <v>6.2270000000000003</v>
      </c>
      <c r="L6738" s="496">
        <f t="shared" si="85"/>
        <v>0.42099999999999937</v>
      </c>
      <c r="M6738" s="337"/>
    </row>
    <row r="6739" spans="1:13" s="71" customFormat="1" ht="26.4" customHeight="1">
      <c r="A6739" s="282">
        <v>100</v>
      </c>
      <c r="B6739" s="537"/>
      <c r="C6739" s="441" t="s">
        <v>8490</v>
      </c>
      <c r="D6739" s="260" t="s">
        <v>8595</v>
      </c>
      <c r="E6739" s="282" t="s">
        <v>8522</v>
      </c>
      <c r="F6739" s="387">
        <v>334</v>
      </c>
      <c r="G6739" s="443">
        <v>1960</v>
      </c>
      <c r="H6739" s="410" t="s">
        <v>5462</v>
      </c>
      <c r="I6739" s="409">
        <v>500</v>
      </c>
      <c r="J6739" s="496">
        <v>5.54</v>
      </c>
      <c r="K6739" s="496">
        <v>5.1840000000000002</v>
      </c>
      <c r="L6739" s="496">
        <f t="shared" si="85"/>
        <v>0.35599999999999987</v>
      </c>
      <c r="M6739" s="337"/>
    </row>
    <row r="6740" spans="1:13" s="71" customFormat="1" ht="26.4" customHeight="1">
      <c r="A6740" s="282">
        <v>101</v>
      </c>
      <c r="B6740" s="537"/>
      <c r="C6740" s="441" t="s">
        <v>8490</v>
      </c>
      <c r="D6740" s="260" t="s">
        <v>8596</v>
      </c>
      <c r="E6740" s="282" t="s">
        <v>8522</v>
      </c>
      <c r="F6740" s="387">
        <v>335</v>
      </c>
      <c r="G6740" s="443">
        <v>1950</v>
      </c>
      <c r="H6740" s="410" t="s">
        <v>5462</v>
      </c>
      <c r="I6740" s="409">
        <v>100</v>
      </c>
      <c r="J6740" s="496">
        <v>1.6759999999999999</v>
      </c>
      <c r="K6740" s="496">
        <v>1.5649999999999999</v>
      </c>
      <c r="L6740" s="496">
        <f t="shared" si="85"/>
        <v>0.11099999999999999</v>
      </c>
      <c r="M6740" s="337"/>
    </row>
    <row r="6741" spans="1:13" s="71" customFormat="1" ht="26.4" customHeight="1">
      <c r="A6741" s="282">
        <v>102</v>
      </c>
      <c r="B6741" s="537"/>
      <c r="C6741" s="441" t="s">
        <v>8490</v>
      </c>
      <c r="D6741" s="260" t="s">
        <v>8597</v>
      </c>
      <c r="E6741" s="282" t="s">
        <v>8522</v>
      </c>
      <c r="F6741" s="387">
        <v>336</v>
      </c>
      <c r="G6741" s="443">
        <v>1950</v>
      </c>
      <c r="H6741" s="410" t="s">
        <v>5462</v>
      </c>
      <c r="I6741" s="409">
        <v>300</v>
      </c>
      <c r="J6741" s="496">
        <v>5.0270000000000001</v>
      </c>
      <c r="K6741" s="496">
        <v>4.6890000000000001</v>
      </c>
      <c r="L6741" s="496">
        <f t="shared" si="85"/>
        <v>0.33800000000000008</v>
      </c>
      <c r="M6741" s="337"/>
    </row>
    <row r="6742" spans="1:13" s="71" customFormat="1" ht="26.4" customHeight="1">
      <c r="A6742" s="282">
        <v>103</v>
      </c>
      <c r="B6742" s="537"/>
      <c r="C6742" s="441" t="s">
        <v>8490</v>
      </c>
      <c r="D6742" s="260" t="s">
        <v>8598</v>
      </c>
      <c r="E6742" s="282" t="s">
        <v>8522</v>
      </c>
      <c r="F6742" s="387">
        <v>338</v>
      </c>
      <c r="G6742" s="443">
        <v>1950</v>
      </c>
      <c r="H6742" s="410" t="s">
        <v>5462</v>
      </c>
      <c r="I6742" s="409">
        <v>400</v>
      </c>
      <c r="J6742" s="496">
        <v>6.702</v>
      </c>
      <c r="K6742" s="496">
        <v>6.2519999999999998</v>
      </c>
      <c r="L6742" s="496">
        <f t="shared" si="85"/>
        <v>0.45000000000000018</v>
      </c>
      <c r="M6742" s="337"/>
    </row>
    <row r="6743" spans="1:13" s="71" customFormat="1" ht="26.4" customHeight="1">
      <c r="A6743" s="282">
        <v>104</v>
      </c>
      <c r="B6743" s="537"/>
      <c r="C6743" s="441" t="s">
        <v>8490</v>
      </c>
      <c r="D6743" s="260" t="s">
        <v>8599</v>
      </c>
      <c r="E6743" s="282" t="s">
        <v>8522</v>
      </c>
      <c r="F6743" s="387">
        <v>339</v>
      </c>
      <c r="G6743" s="443">
        <v>1959</v>
      </c>
      <c r="H6743" s="410" t="s">
        <v>5462</v>
      </c>
      <c r="I6743" s="409">
        <v>1000</v>
      </c>
      <c r="J6743" s="496">
        <v>5.585</v>
      </c>
      <c r="K6743" s="496">
        <v>5.2249999999999996</v>
      </c>
      <c r="L6743" s="496">
        <f t="shared" si="85"/>
        <v>0.36000000000000032</v>
      </c>
      <c r="M6743" s="337"/>
    </row>
    <row r="6744" spans="1:13" s="71" customFormat="1" ht="26.4" customHeight="1">
      <c r="A6744" s="282">
        <v>105</v>
      </c>
      <c r="B6744" s="537"/>
      <c r="C6744" s="441" t="s">
        <v>8490</v>
      </c>
      <c r="D6744" s="260" t="s">
        <v>8600</v>
      </c>
      <c r="E6744" s="282" t="s">
        <v>8522</v>
      </c>
      <c r="F6744" s="387">
        <v>340</v>
      </c>
      <c r="G6744" s="443">
        <v>1959</v>
      </c>
      <c r="H6744" s="410" t="s">
        <v>5462</v>
      </c>
      <c r="I6744" s="409">
        <v>200</v>
      </c>
      <c r="J6744" s="496">
        <v>1.117</v>
      </c>
      <c r="K6744" s="496">
        <v>1.046</v>
      </c>
      <c r="L6744" s="496">
        <f t="shared" si="85"/>
        <v>7.0999999999999952E-2</v>
      </c>
      <c r="M6744" s="337"/>
    </row>
    <row r="6745" spans="1:13" s="71" customFormat="1" ht="26.4" customHeight="1">
      <c r="A6745" s="282">
        <v>106</v>
      </c>
      <c r="B6745" s="537"/>
      <c r="C6745" s="441" t="s">
        <v>8490</v>
      </c>
      <c r="D6745" s="260" t="s">
        <v>8601</v>
      </c>
      <c r="E6745" s="282" t="s">
        <v>8522</v>
      </c>
      <c r="F6745" s="387">
        <v>341</v>
      </c>
      <c r="G6745" s="443">
        <v>1983</v>
      </c>
      <c r="H6745" s="410" t="s">
        <v>5462</v>
      </c>
      <c r="I6745" s="409">
        <v>700</v>
      </c>
      <c r="J6745" s="496">
        <v>1.121</v>
      </c>
      <c r="K6745" s="496">
        <v>1.0489999999999999</v>
      </c>
      <c r="L6745" s="496">
        <f t="shared" si="85"/>
        <v>7.2000000000000064E-2</v>
      </c>
      <c r="M6745" s="337"/>
    </row>
    <row r="6746" spans="1:13" s="71" customFormat="1" ht="26.4" customHeight="1">
      <c r="A6746" s="282">
        <v>107</v>
      </c>
      <c r="B6746" s="537"/>
      <c r="C6746" s="441" t="s">
        <v>8490</v>
      </c>
      <c r="D6746" s="260" t="s">
        <v>8602</v>
      </c>
      <c r="E6746" s="282" t="s">
        <v>8522</v>
      </c>
      <c r="F6746" s="387">
        <v>342</v>
      </c>
      <c r="G6746" s="443">
        <v>1983</v>
      </c>
      <c r="H6746" s="410" t="s">
        <v>5462</v>
      </c>
      <c r="I6746" s="409">
        <v>700</v>
      </c>
      <c r="J6746" s="496">
        <v>1.121</v>
      </c>
      <c r="K6746" s="496">
        <v>1.0489999999999999</v>
      </c>
      <c r="L6746" s="496">
        <f t="shared" si="85"/>
        <v>7.2000000000000064E-2</v>
      </c>
      <c r="M6746" s="337"/>
    </row>
    <row r="6747" spans="1:13" s="71" customFormat="1" ht="26.4" customHeight="1">
      <c r="A6747" s="282">
        <v>108</v>
      </c>
      <c r="B6747" s="537"/>
      <c r="C6747" s="441" t="s">
        <v>8490</v>
      </c>
      <c r="D6747" s="260" t="s">
        <v>8603</v>
      </c>
      <c r="E6747" s="282" t="s">
        <v>8522</v>
      </c>
      <c r="F6747" s="387">
        <v>343</v>
      </c>
      <c r="G6747" s="443">
        <v>1959</v>
      </c>
      <c r="H6747" s="410" t="s">
        <v>5462</v>
      </c>
      <c r="I6747" s="409">
        <v>1000</v>
      </c>
      <c r="J6747" s="496">
        <v>1.0109999999999999</v>
      </c>
      <c r="K6747" s="496">
        <v>0.38100000000000001</v>
      </c>
      <c r="L6747" s="496">
        <f t="shared" si="85"/>
        <v>0.62999999999999989</v>
      </c>
      <c r="M6747" s="337"/>
    </row>
    <row r="6748" spans="1:13" s="71" customFormat="1" ht="37.5" customHeight="1">
      <c r="A6748" s="282">
        <v>109</v>
      </c>
      <c r="B6748" s="537"/>
      <c r="C6748" s="441" t="s">
        <v>8604</v>
      </c>
      <c r="D6748" s="260" t="s">
        <v>13181</v>
      </c>
      <c r="E6748" s="282" t="s">
        <v>8522</v>
      </c>
      <c r="F6748" s="387">
        <v>344</v>
      </c>
      <c r="G6748" s="443">
        <v>1963</v>
      </c>
      <c r="H6748" s="410" t="s">
        <v>5462</v>
      </c>
      <c r="I6748" s="409">
        <v>8000</v>
      </c>
      <c r="J6748" s="496">
        <v>2.97</v>
      </c>
      <c r="K6748" s="496">
        <v>1.119</v>
      </c>
      <c r="L6748" s="496">
        <f t="shared" si="85"/>
        <v>1.8510000000000002</v>
      </c>
      <c r="M6748" s="337"/>
    </row>
    <row r="6749" spans="1:13" s="71" customFormat="1" ht="26.4" customHeight="1">
      <c r="A6749" s="282">
        <v>110</v>
      </c>
      <c r="B6749" s="537"/>
      <c r="C6749" s="441" t="s">
        <v>8605</v>
      </c>
      <c r="D6749" s="260" t="s">
        <v>8606</v>
      </c>
      <c r="E6749" s="282" t="s">
        <v>8492</v>
      </c>
      <c r="F6749" s="387">
        <v>345</v>
      </c>
      <c r="G6749" s="443">
        <v>1966</v>
      </c>
      <c r="H6749" s="410" t="s">
        <v>5462</v>
      </c>
      <c r="I6749" s="409">
        <v>700</v>
      </c>
      <c r="J6749" s="496">
        <v>1.03</v>
      </c>
      <c r="K6749" s="496">
        <v>0.38800000000000001</v>
      </c>
      <c r="L6749" s="496">
        <f t="shared" si="85"/>
        <v>0.64200000000000002</v>
      </c>
      <c r="M6749" s="337"/>
    </row>
    <row r="6750" spans="1:13" s="71" customFormat="1" ht="26.4" customHeight="1">
      <c r="A6750" s="282">
        <v>111</v>
      </c>
      <c r="B6750" s="537"/>
      <c r="C6750" s="441" t="s">
        <v>8607</v>
      </c>
      <c r="D6750" s="260" t="s">
        <v>8608</v>
      </c>
      <c r="E6750" s="282" t="s">
        <v>8492</v>
      </c>
      <c r="F6750" s="387">
        <v>346</v>
      </c>
      <c r="G6750" s="443">
        <v>1966</v>
      </c>
      <c r="H6750" s="410" t="s">
        <v>5462</v>
      </c>
      <c r="I6750" s="409">
        <v>1600</v>
      </c>
      <c r="J6750" s="496">
        <v>1.89</v>
      </c>
      <c r="K6750" s="496">
        <v>0.71199999999999997</v>
      </c>
      <c r="L6750" s="496">
        <f t="shared" si="85"/>
        <v>1.1779999999999999</v>
      </c>
      <c r="M6750" s="337"/>
    </row>
    <row r="6751" spans="1:13" s="71" customFormat="1" ht="26.4" customHeight="1">
      <c r="A6751" s="282">
        <v>112</v>
      </c>
      <c r="B6751" s="537"/>
      <c r="C6751" s="441" t="s">
        <v>8609</v>
      </c>
      <c r="D6751" s="260" t="s">
        <v>8610</v>
      </c>
      <c r="E6751" s="282" t="s">
        <v>8492</v>
      </c>
      <c r="F6751" s="387">
        <v>347</v>
      </c>
      <c r="G6751" s="443">
        <v>1966</v>
      </c>
      <c r="H6751" s="410" t="s">
        <v>5462</v>
      </c>
      <c r="I6751" s="409">
        <v>200</v>
      </c>
      <c r="J6751" s="496">
        <v>0.72</v>
      </c>
      <c r="K6751" s="496">
        <v>0.27100000000000002</v>
      </c>
      <c r="L6751" s="496">
        <f t="shared" si="85"/>
        <v>0.44899999999999995</v>
      </c>
      <c r="M6751" s="337"/>
    </row>
    <row r="6752" spans="1:13" s="71" customFormat="1" ht="26.4" customHeight="1">
      <c r="A6752" s="282">
        <v>113</v>
      </c>
      <c r="B6752" s="537"/>
      <c r="C6752" s="441" t="s">
        <v>8611</v>
      </c>
      <c r="D6752" s="260" t="s">
        <v>8612</v>
      </c>
      <c r="E6752" s="282" t="s">
        <v>8492</v>
      </c>
      <c r="F6752" s="387">
        <v>349</v>
      </c>
      <c r="G6752" s="443">
        <v>1966</v>
      </c>
      <c r="H6752" s="410" t="s">
        <v>5462</v>
      </c>
      <c r="I6752" s="409">
        <v>300</v>
      </c>
      <c r="J6752" s="496">
        <v>0.81</v>
      </c>
      <c r="K6752" s="496">
        <v>0.30499999999999999</v>
      </c>
      <c r="L6752" s="496">
        <f t="shared" si="85"/>
        <v>0.50500000000000012</v>
      </c>
      <c r="M6752" s="337"/>
    </row>
    <row r="6753" spans="1:13" s="71" customFormat="1" ht="26.4" customHeight="1">
      <c r="A6753" s="282">
        <v>114</v>
      </c>
      <c r="B6753" s="537"/>
      <c r="C6753" s="441" t="s">
        <v>8613</v>
      </c>
      <c r="D6753" s="260" t="s">
        <v>8614</v>
      </c>
      <c r="E6753" s="282" t="s">
        <v>8492</v>
      </c>
      <c r="F6753" s="387">
        <v>350</v>
      </c>
      <c r="G6753" s="443">
        <v>1966</v>
      </c>
      <c r="H6753" s="410" t="s">
        <v>5462</v>
      </c>
      <c r="I6753" s="409">
        <v>300</v>
      </c>
      <c r="J6753" s="496">
        <v>0.81</v>
      </c>
      <c r="K6753" s="496">
        <v>0.30499999999999999</v>
      </c>
      <c r="L6753" s="496">
        <f t="shared" si="85"/>
        <v>0.50500000000000012</v>
      </c>
      <c r="M6753" s="337"/>
    </row>
    <row r="6754" spans="1:13" s="71" customFormat="1" ht="26.4" customHeight="1">
      <c r="A6754" s="282">
        <v>115</v>
      </c>
      <c r="B6754" s="537"/>
      <c r="C6754" s="441" t="s">
        <v>8490</v>
      </c>
      <c r="D6754" s="260" t="s">
        <v>8615</v>
      </c>
      <c r="E6754" s="282" t="s">
        <v>8616</v>
      </c>
      <c r="F6754" s="387">
        <v>352</v>
      </c>
      <c r="G6754" s="443">
        <v>1990</v>
      </c>
      <c r="H6754" s="410" t="s">
        <v>5462</v>
      </c>
      <c r="I6754" s="409">
        <v>400</v>
      </c>
      <c r="J6754" s="496">
        <v>5.1859999999999999</v>
      </c>
      <c r="K6754" s="496">
        <v>4.3239999999999998</v>
      </c>
      <c r="L6754" s="496">
        <f t="shared" si="85"/>
        <v>0.8620000000000001</v>
      </c>
      <c r="M6754" s="337"/>
    </row>
    <row r="6755" spans="1:13" s="71" customFormat="1" ht="26.4" customHeight="1">
      <c r="A6755" s="282">
        <v>116</v>
      </c>
      <c r="B6755" s="537"/>
      <c r="C6755" s="441" t="s">
        <v>8490</v>
      </c>
      <c r="D6755" s="260" t="s">
        <v>8617</v>
      </c>
      <c r="E6755" s="282" t="s">
        <v>2660</v>
      </c>
      <c r="F6755" s="387">
        <v>357</v>
      </c>
      <c r="G6755" s="443">
        <v>2010</v>
      </c>
      <c r="H6755" s="410" t="s">
        <v>3243</v>
      </c>
      <c r="I6755" s="409" t="s">
        <v>3243</v>
      </c>
      <c r="J6755" s="496">
        <v>8.8119999999999994</v>
      </c>
      <c r="K6755" s="496">
        <v>2.7029999999999998</v>
      </c>
      <c r="L6755" s="496">
        <f t="shared" si="85"/>
        <v>6.109</v>
      </c>
      <c r="M6755" s="337"/>
    </row>
    <row r="6756" spans="1:13" s="71" customFormat="1" ht="26.4" customHeight="1">
      <c r="A6756" s="282">
        <v>117</v>
      </c>
      <c r="B6756" s="537"/>
      <c r="C6756" s="441" t="s">
        <v>8490</v>
      </c>
      <c r="D6756" s="260" t="s">
        <v>8618</v>
      </c>
      <c r="E6756" s="282" t="s">
        <v>2660</v>
      </c>
      <c r="F6756" s="387">
        <v>359</v>
      </c>
      <c r="G6756" s="443">
        <v>2010</v>
      </c>
      <c r="H6756" s="410" t="s">
        <v>3243</v>
      </c>
      <c r="I6756" s="409" t="s">
        <v>3243</v>
      </c>
      <c r="J6756" s="496">
        <v>8.7919999999999998</v>
      </c>
      <c r="K6756" s="496">
        <v>2.6379999999999999</v>
      </c>
      <c r="L6756" s="496">
        <f t="shared" si="85"/>
        <v>6.1539999999999999</v>
      </c>
      <c r="M6756" s="337"/>
    </row>
    <row r="6757" spans="1:13" s="71" customFormat="1" ht="26.4" customHeight="1">
      <c r="A6757" s="282">
        <v>118</v>
      </c>
      <c r="B6757" s="537"/>
      <c r="C6757" s="441" t="s">
        <v>1140</v>
      </c>
      <c r="D6757" s="260" t="s">
        <v>8619</v>
      </c>
      <c r="E6757" s="282" t="s">
        <v>8620</v>
      </c>
      <c r="F6757" s="387">
        <v>369</v>
      </c>
      <c r="G6757" s="443">
        <v>1954</v>
      </c>
      <c r="H6757" s="410" t="s">
        <v>3243</v>
      </c>
      <c r="I6757" s="409" t="s">
        <v>3243</v>
      </c>
      <c r="J6757" s="496">
        <v>0.72799999999999998</v>
      </c>
      <c r="K6757" s="496">
        <v>0.68100000000000005</v>
      </c>
      <c r="L6757" s="496">
        <f t="shared" si="85"/>
        <v>4.6999999999999931E-2</v>
      </c>
      <c r="M6757" s="337"/>
    </row>
    <row r="6758" spans="1:13" s="71" customFormat="1" ht="26.4" customHeight="1">
      <c r="A6758" s="282">
        <v>119</v>
      </c>
      <c r="B6758" s="537"/>
      <c r="C6758" s="441" t="s">
        <v>1140</v>
      </c>
      <c r="D6758" s="260" t="s">
        <v>8621</v>
      </c>
      <c r="E6758" s="282" t="s">
        <v>8620</v>
      </c>
      <c r="F6758" s="387">
        <v>370</v>
      </c>
      <c r="G6758" s="443">
        <v>1954</v>
      </c>
      <c r="H6758" s="410" t="s">
        <v>3243</v>
      </c>
      <c r="I6758" s="409" t="s">
        <v>3243</v>
      </c>
      <c r="J6758" s="496">
        <v>0.72799999999999998</v>
      </c>
      <c r="K6758" s="496">
        <v>0.68100000000000005</v>
      </c>
      <c r="L6758" s="496">
        <f t="shared" si="85"/>
        <v>4.6999999999999931E-2</v>
      </c>
      <c r="M6758" s="337"/>
    </row>
    <row r="6759" spans="1:13" s="71" customFormat="1" ht="26.4" customHeight="1">
      <c r="A6759" s="282">
        <v>120</v>
      </c>
      <c r="B6759" s="537"/>
      <c r="C6759" s="441" t="s">
        <v>1140</v>
      </c>
      <c r="D6759" s="260" t="s">
        <v>8622</v>
      </c>
      <c r="E6759" s="282" t="s">
        <v>8620</v>
      </c>
      <c r="F6759" s="387">
        <v>371</v>
      </c>
      <c r="G6759" s="443">
        <v>1954</v>
      </c>
      <c r="H6759" s="410" t="s">
        <v>3243</v>
      </c>
      <c r="I6759" s="409" t="s">
        <v>3243</v>
      </c>
      <c r="J6759" s="496">
        <v>0.72799999999999998</v>
      </c>
      <c r="K6759" s="496">
        <v>0.68100000000000005</v>
      </c>
      <c r="L6759" s="496">
        <f t="shared" si="85"/>
        <v>4.6999999999999931E-2</v>
      </c>
      <c r="M6759" s="337"/>
    </row>
    <row r="6760" spans="1:13" s="71" customFormat="1" ht="26.4" customHeight="1">
      <c r="A6760" s="282">
        <v>121</v>
      </c>
      <c r="B6760" s="537"/>
      <c r="C6760" s="441" t="s">
        <v>1140</v>
      </c>
      <c r="D6760" s="260" t="s">
        <v>8623</v>
      </c>
      <c r="E6760" s="282" t="s">
        <v>8620</v>
      </c>
      <c r="F6760" s="387">
        <v>372</v>
      </c>
      <c r="G6760" s="443">
        <v>1954</v>
      </c>
      <c r="H6760" s="410" t="s">
        <v>3243</v>
      </c>
      <c r="I6760" s="409" t="s">
        <v>3243</v>
      </c>
      <c r="J6760" s="496">
        <v>0.72799999999999998</v>
      </c>
      <c r="K6760" s="496">
        <v>0.68100000000000005</v>
      </c>
      <c r="L6760" s="496">
        <f t="shared" si="85"/>
        <v>4.6999999999999931E-2</v>
      </c>
      <c r="M6760" s="337"/>
    </row>
    <row r="6761" spans="1:13" s="71" customFormat="1" ht="26.4" customHeight="1">
      <c r="A6761" s="282">
        <v>122</v>
      </c>
      <c r="B6761" s="537"/>
      <c r="C6761" s="441" t="s">
        <v>1140</v>
      </c>
      <c r="D6761" s="260" t="s">
        <v>8624</v>
      </c>
      <c r="E6761" s="282" t="s">
        <v>8620</v>
      </c>
      <c r="F6761" s="387">
        <v>373</v>
      </c>
      <c r="G6761" s="443">
        <v>1954</v>
      </c>
      <c r="H6761" s="410" t="s">
        <v>3243</v>
      </c>
      <c r="I6761" s="409" t="s">
        <v>3243</v>
      </c>
      <c r="J6761" s="496">
        <v>0.72799999999999998</v>
      </c>
      <c r="K6761" s="496">
        <v>0.68100000000000005</v>
      </c>
      <c r="L6761" s="496">
        <f t="shared" si="85"/>
        <v>4.6999999999999931E-2</v>
      </c>
      <c r="M6761" s="337"/>
    </row>
    <row r="6762" spans="1:13" s="71" customFormat="1" ht="26.4" customHeight="1">
      <c r="A6762" s="282">
        <v>123</v>
      </c>
      <c r="B6762" s="537"/>
      <c r="C6762" s="441" t="s">
        <v>19</v>
      </c>
      <c r="D6762" s="260" t="s">
        <v>8625</v>
      </c>
      <c r="E6762" s="282" t="s">
        <v>2660</v>
      </c>
      <c r="F6762" s="387">
        <v>374</v>
      </c>
      <c r="G6762" s="443">
        <v>2010</v>
      </c>
      <c r="H6762" s="410" t="s">
        <v>3243</v>
      </c>
      <c r="I6762" s="409" t="s">
        <v>3243</v>
      </c>
      <c r="J6762" s="496">
        <v>0.55200000000000005</v>
      </c>
      <c r="K6762" s="496">
        <v>0.16700000000000001</v>
      </c>
      <c r="L6762" s="496">
        <f t="shared" si="85"/>
        <v>0.38500000000000001</v>
      </c>
      <c r="M6762" s="337"/>
    </row>
    <row r="6763" spans="1:13" s="71" customFormat="1" ht="26.4" customHeight="1">
      <c r="A6763" s="282">
        <v>124</v>
      </c>
      <c r="B6763" s="537"/>
      <c r="C6763" s="441" t="s">
        <v>19</v>
      </c>
      <c r="D6763" s="260" t="s">
        <v>8626</v>
      </c>
      <c r="E6763" s="282" t="s">
        <v>2660</v>
      </c>
      <c r="F6763" s="387">
        <v>375</v>
      </c>
      <c r="G6763" s="443">
        <v>2010</v>
      </c>
      <c r="H6763" s="410" t="s">
        <v>3243</v>
      </c>
      <c r="I6763" s="409" t="s">
        <v>3243</v>
      </c>
      <c r="J6763" s="496">
        <v>0.55200000000000005</v>
      </c>
      <c r="K6763" s="496">
        <v>0.16700000000000001</v>
      </c>
      <c r="L6763" s="496">
        <f t="shared" si="85"/>
        <v>0.38500000000000001</v>
      </c>
      <c r="M6763" s="337"/>
    </row>
    <row r="6764" spans="1:13" s="71" customFormat="1" ht="26.4" customHeight="1">
      <c r="A6764" s="282">
        <v>125</v>
      </c>
      <c r="B6764" s="537"/>
      <c r="C6764" s="441" t="s">
        <v>19</v>
      </c>
      <c r="D6764" s="260" t="s">
        <v>8627</v>
      </c>
      <c r="E6764" s="282" t="s">
        <v>2660</v>
      </c>
      <c r="F6764" s="387">
        <v>376</v>
      </c>
      <c r="G6764" s="443">
        <v>2010</v>
      </c>
      <c r="H6764" s="410" t="s">
        <v>3243</v>
      </c>
      <c r="I6764" s="409" t="s">
        <v>3243</v>
      </c>
      <c r="J6764" s="496">
        <v>0.55200000000000005</v>
      </c>
      <c r="K6764" s="496">
        <v>0.16700000000000001</v>
      </c>
      <c r="L6764" s="496">
        <f t="shared" si="85"/>
        <v>0.38500000000000001</v>
      </c>
      <c r="M6764" s="337"/>
    </row>
    <row r="6765" spans="1:13" s="71" customFormat="1" ht="26.4" customHeight="1">
      <c r="A6765" s="282">
        <v>126</v>
      </c>
      <c r="B6765" s="537"/>
      <c r="C6765" s="441" t="s">
        <v>19</v>
      </c>
      <c r="D6765" s="260" t="s">
        <v>8628</v>
      </c>
      <c r="E6765" s="282" t="s">
        <v>2660</v>
      </c>
      <c r="F6765" s="387">
        <v>377</v>
      </c>
      <c r="G6765" s="443">
        <v>2010</v>
      </c>
      <c r="H6765" s="410" t="s">
        <v>3243</v>
      </c>
      <c r="I6765" s="409" t="s">
        <v>3243</v>
      </c>
      <c r="J6765" s="496">
        <v>0.55200000000000005</v>
      </c>
      <c r="K6765" s="496">
        <v>0.16700000000000001</v>
      </c>
      <c r="L6765" s="496">
        <f t="shared" ref="L6765:L6828" si="86">J6765-K6765</f>
        <v>0.38500000000000001</v>
      </c>
      <c r="M6765" s="337"/>
    </row>
    <row r="6766" spans="1:13" s="71" customFormat="1" ht="26.4" customHeight="1">
      <c r="A6766" s="282">
        <v>127</v>
      </c>
      <c r="B6766" s="537"/>
      <c r="C6766" s="441" t="s">
        <v>8500</v>
      </c>
      <c r="D6766" s="260" t="s">
        <v>8629</v>
      </c>
      <c r="E6766" s="282" t="s">
        <v>8630</v>
      </c>
      <c r="F6766" s="387">
        <v>379</v>
      </c>
      <c r="G6766" s="443">
        <v>1953</v>
      </c>
      <c r="H6766" s="410" t="s">
        <v>3243</v>
      </c>
      <c r="I6766" s="409" t="s">
        <v>3243</v>
      </c>
      <c r="J6766" s="496">
        <v>0.72799999999999998</v>
      </c>
      <c r="K6766" s="496">
        <v>0.68100000000000005</v>
      </c>
      <c r="L6766" s="496">
        <f t="shared" si="86"/>
        <v>4.6999999999999931E-2</v>
      </c>
      <c r="M6766" s="337"/>
    </row>
    <row r="6767" spans="1:13" s="71" customFormat="1" ht="26.4" customHeight="1">
      <c r="A6767" s="282">
        <v>128</v>
      </c>
      <c r="B6767" s="537"/>
      <c r="C6767" s="441" t="s">
        <v>8500</v>
      </c>
      <c r="D6767" s="260" t="s">
        <v>13358</v>
      </c>
      <c r="E6767" s="282" t="s">
        <v>13359</v>
      </c>
      <c r="F6767" s="387">
        <v>380</v>
      </c>
      <c r="G6767" s="443">
        <v>1953</v>
      </c>
      <c r="H6767" s="410" t="s">
        <v>3243</v>
      </c>
      <c r="I6767" s="409" t="s">
        <v>3243</v>
      </c>
      <c r="J6767" s="496">
        <v>0.72799999999999998</v>
      </c>
      <c r="K6767" s="496">
        <v>0.68100000000000005</v>
      </c>
      <c r="L6767" s="496">
        <f t="shared" si="86"/>
        <v>4.6999999999999931E-2</v>
      </c>
      <c r="M6767" s="337"/>
    </row>
    <row r="6768" spans="1:13" s="71" customFormat="1" ht="26.4" customHeight="1">
      <c r="A6768" s="282">
        <v>129</v>
      </c>
      <c r="B6768" s="537"/>
      <c r="C6768" s="441" t="s">
        <v>8500</v>
      </c>
      <c r="D6768" s="260" t="s">
        <v>13360</v>
      </c>
      <c r="E6768" s="282" t="s">
        <v>13361</v>
      </c>
      <c r="F6768" s="387">
        <v>381</v>
      </c>
      <c r="G6768" s="443">
        <v>1953</v>
      </c>
      <c r="H6768" s="410" t="s">
        <v>3243</v>
      </c>
      <c r="I6768" s="409" t="s">
        <v>3243</v>
      </c>
      <c r="J6768" s="496">
        <v>0.72799999999999998</v>
      </c>
      <c r="K6768" s="496">
        <v>0.68100000000000005</v>
      </c>
      <c r="L6768" s="496">
        <f t="shared" si="86"/>
        <v>4.6999999999999931E-2</v>
      </c>
      <c r="M6768" s="337"/>
    </row>
    <row r="6769" spans="1:13" s="71" customFormat="1" ht="26.4" customHeight="1">
      <c r="A6769" s="282">
        <v>130</v>
      </c>
      <c r="B6769" s="537"/>
      <c r="C6769" s="441" t="s">
        <v>8500</v>
      </c>
      <c r="D6769" s="260" t="s">
        <v>8631</v>
      </c>
      <c r="E6769" s="282" t="s">
        <v>8632</v>
      </c>
      <c r="F6769" s="387">
        <v>382</v>
      </c>
      <c r="G6769" s="443">
        <v>1953</v>
      </c>
      <c r="H6769" s="410" t="s">
        <v>3243</v>
      </c>
      <c r="I6769" s="409" t="s">
        <v>3243</v>
      </c>
      <c r="J6769" s="496">
        <v>0.72799999999999998</v>
      </c>
      <c r="K6769" s="496">
        <v>0.68100000000000005</v>
      </c>
      <c r="L6769" s="496">
        <f t="shared" si="86"/>
        <v>4.6999999999999931E-2</v>
      </c>
      <c r="M6769" s="337"/>
    </row>
    <row r="6770" spans="1:13" s="71" customFormat="1" ht="26.4" customHeight="1">
      <c r="A6770" s="282">
        <v>131</v>
      </c>
      <c r="B6770" s="537"/>
      <c r="C6770" s="441" t="s">
        <v>8490</v>
      </c>
      <c r="D6770" s="260" t="s">
        <v>8633</v>
      </c>
      <c r="E6770" s="282" t="s">
        <v>2660</v>
      </c>
      <c r="F6770" s="387">
        <v>386</v>
      </c>
      <c r="G6770" s="443">
        <v>2010</v>
      </c>
      <c r="H6770" s="410" t="s">
        <v>3243</v>
      </c>
      <c r="I6770" s="409" t="s">
        <v>3243</v>
      </c>
      <c r="J6770" s="496">
        <v>9.5549999999999997</v>
      </c>
      <c r="K6770" s="496">
        <v>2.8980000000000001</v>
      </c>
      <c r="L6770" s="496">
        <f t="shared" si="86"/>
        <v>6.657</v>
      </c>
      <c r="M6770" s="337"/>
    </row>
    <row r="6771" spans="1:13" s="71" customFormat="1" ht="26.4" customHeight="1">
      <c r="A6771" s="282">
        <v>132</v>
      </c>
      <c r="B6771" s="537"/>
      <c r="C6771" s="441" t="s">
        <v>8490</v>
      </c>
      <c r="D6771" s="260" t="s">
        <v>8634</v>
      </c>
      <c r="E6771" s="282" t="s">
        <v>2660</v>
      </c>
      <c r="F6771" s="387">
        <v>387</v>
      </c>
      <c r="G6771" s="443">
        <v>2010</v>
      </c>
      <c r="H6771" s="410" t="s">
        <v>3243</v>
      </c>
      <c r="I6771" s="409" t="s">
        <v>3243</v>
      </c>
      <c r="J6771" s="496">
        <v>9.5549999999999997</v>
      </c>
      <c r="K6771" s="496">
        <v>2.8980000000000001</v>
      </c>
      <c r="L6771" s="496">
        <f t="shared" si="86"/>
        <v>6.657</v>
      </c>
      <c r="M6771" s="337"/>
    </row>
    <row r="6772" spans="1:13" s="71" customFormat="1" ht="26.4" customHeight="1">
      <c r="A6772" s="282">
        <v>133</v>
      </c>
      <c r="B6772" s="537"/>
      <c r="C6772" s="441" t="s">
        <v>8500</v>
      </c>
      <c r="D6772" s="260" t="s">
        <v>8635</v>
      </c>
      <c r="E6772" s="282" t="s">
        <v>8636</v>
      </c>
      <c r="F6772" s="387">
        <v>388</v>
      </c>
      <c r="G6772" s="443">
        <v>1954</v>
      </c>
      <c r="H6772" s="410" t="s">
        <v>3243</v>
      </c>
      <c r="I6772" s="409" t="s">
        <v>3243</v>
      </c>
      <c r="J6772" s="496">
        <v>0.72799999999999998</v>
      </c>
      <c r="K6772" s="496">
        <v>0.68100000000000005</v>
      </c>
      <c r="L6772" s="496">
        <f t="shared" si="86"/>
        <v>4.6999999999999931E-2</v>
      </c>
      <c r="M6772" s="337"/>
    </row>
    <row r="6773" spans="1:13" s="71" customFormat="1" ht="26.4" customHeight="1">
      <c r="A6773" s="282">
        <v>134</v>
      </c>
      <c r="B6773" s="537"/>
      <c r="C6773" s="441" t="s">
        <v>8490</v>
      </c>
      <c r="D6773" s="260" t="s">
        <v>8637</v>
      </c>
      <c r="E6773" s="282" t="s">
        <v>2660</v>
      </c>
      <c r="F6773" s="387">
        <v>389</v>
      </c>
      <c r="G6773" s="443">
        <v>2010</v>
      </c>
      <c r="H6773" s="410" t="s">
        <v>3243</v>
      </c>
      <c r="I6773" s="409" t="s">
        <v>3243</v>
      </c>
      <c r="J6773" s="496">
        <v>9.5549999999999997</v>
      </c>
      <c r="K6773" s="496">
        <v>2.8980000000000001</v>
      </c>
      <c r="L6773" s="496">
        <f t="shared" si="86"/>
        <v>6.657</v>
      </c>
      <c r="M6773" s="337"/>
    </row>
    <row r="6774" spans="1:13" s="71" customFormat="1" ht="26.4" customHeight="1">
      <c r="A6774" s="282">
        <v>135</v>
      </c>
      <c r="B6774" s="537"/>
      <c r="C6774" s="441" t="s">
        <v>19</v>
      </c>
      <c r="D6774" s="260" t="s">
        <v>8638</v>
      </c>
      <c r="E6774" s="282" t="s">
        <v>2660</v>
      </c>
      <c r="F6774" s="387">
        <v>390</v>
      </c>
      <c r="G6774" s="443">
        <v>2010</v>
      </c>
      <c r="H6774" s="410" t="s">
        <v>3243</v>
      </c>
      <c r="I6774" s="409" t="s">
        <v>3243</v>
      </c>
      <c r="J6774" s="496">
        <v>9.5350000000000001</v>
      </c>
      <c r="K6774" s="496">
        <v>2.86</v>
      </c>
      <c r="L6774" s="496">
        <f t="shared" si="86"/>
        <v>6.6750000000000007</v>
      </c>
      <c r="M6774" s="337"/>
    </row>
    <row r="6775" spans="1:13" s="71" customFormat="1" ht="26.4" customHeight="1">
      <c r="A6775" s="282">
        <v>136</v>
      </c>
      <c r="B6775" s="537"/>
      <c r="C6775" s="260" t="s">
        <v>19</v>
      </c>
      <c r="D6775" s="260" t="s">
        <v>8639</v>
      </c>
      <c r="E6775" s="282" t="s">
        <v>2660</v>
      </c>
      <c r="F6775" s="387">
        <v>391</v>
      </c>
      <c r="G6775" s="443">
        <v>2010</v>
      </c>
      <c r="H6775" s="410" t="s">
        <v>3243</v>
      </c>
      <c r="I6775" s="409" t="s">
        <v>3243</v>
      </c>
      <c r="J6775" s="496">
        <v>9.5350000000000001</v>
      </c>
      <c r="K6775" s="496">
        <v>2.86</v>
      </c>
      <c r="L6775" s="496">
        <f t="shared" si="86"/>
        <v>6.6750000000000007</v>
      </c>
      <c r="M6775" s="337"/>
    </row>
    <row r="6776" spans="1:13" s="71" customFormat="1" ht="26.4" customHeight="1">
      <c r="A6776" s="282">
        <v>137</v>
      </c>
      <c r="B6776" s="537"/>
      <c r="C6776" s="260" t="s">
        <v>1140</v>
      </c>
      <c r="D6776" s="260" t="s">
        <v>8640</v>
      </c>
      <c r="E6776" s="282" t="s">
        <v>8641</v>
      </c>
      <c r="F6776" s="387">
        <v>394</v>
      </c>
      <c r="G6776" s="443">
        <v>1959</v>
      </c>
      <c r="H6776" s="410" t="s">
        <v>3243</v>
      </c>
      <c r="I6776" s="409" t="s">
        <v>3243</v>
      </c>
      <c r="J6776" s="496">
        <v>0.72799999999999998</v>
      </c>
      <c r="K6776" s="496">
        <v>0.68100000000000005</v>
      </c>
      <c r="L6776" s="496">
        <f t="shared" si="86"/>
        <v>4.6999999999999931E-2</v>
      </c>
      <c r="M6776" s="337"/>
    </row>
    <row r="6777" spans="1:13" s="71" customFormat="1" ht="26.4" customHeight="1">
      <c r="A6777" s="282">
        <v>138</v>
      </c>
      <c r="B6777" s="537"/>
      <c r="C6777" s="441" t="s">
        <v>8500</v>
      </c>
      <c r="D6777" s="260" t="s">
        <v>8642</v>
      </c>
      <c r="E6777" s="282" t="s">
        <v>8643</v>
      </c>
      <c r="F6777" s="387">
        <v>396</v>
      </c>
      <c r="G6777" s="443">
        <v>1960</v>
      </c>
      <c r="H6777" s="410" t="s">
        <v>3243</v>
      </c>
      <c r="I6777" s="409" t="s">
        <v>3243</v>
      </c>
      <c r="J6777" s="496">
        <v>0.72799999999999998</v>
      </c>
      <c r="K6777" s="496">
        <v>0.68100000000000005</v>
      </c>
      <c r="L6777" s="496">
        <f t="shared" si="86"/>
        <v>4.6999999999999931E-2</v>
      </c>
      <c r="M6777" s="337"/>
    </row>
    <row r="6778" spans="1:13" s="71" customFormat="1" ht="26.4" customHeight="1">
      <c r="A6778" s="282">
        <v>139</v>
      </c>
      <c r="B6778" s="537"/>
      <c r="C6778" s="441" t="s">
        <v>8500</v>
      </c>
      <c r="D6778" s="260" t="s">
        <v>8644</v>
      </c>
      <c r="E6778" s="282" t="s">
        <v>8645</v>
      </c>
      <c r="F6778" s="387">
        <v>397</v>
      </c>
      <c r="G6778" s="443">
        <v>1960</v>
      </c>
      <c r="H6778" s="410" t="s">
        <v>3243</v>
      </c>
      <c r="I6778" s="409" t="s">
        <v>3243</v>
      </c>
      <c r="J6778" s="496">
        <v>0.72799999999999998</v>
      </c>
      <c r="K6778" s="496">
        <v>0.68100000000000005</v>
      </c>
      <c r="L6778" s="496">
        <f t="shared" si="86"/>
        <v>4.6999999999999931E-2</v>
      </c>
      <c r="M6778" s="337"/>
    </row>
    <row r="6779" spans="1:13" s="71" customFormat="1" ht="26.4" customHeight="1">
      <c r="A6779" s="282">
        <v>140</v>
      </c>
      <c r="B6779" s="537"/>
      <c r="C6779" s="441" t="s">
        <v>8500</v>
      </c>
      <c r="D6779" s="260" t="s">
        <v>8646</v>
      </c>
      <c r="E6779" s="282" t="s">
        <v>8647</v>
      </c>
      <c r="F6779" s="387">
        <v>398</v>
      </c>
      <c r="G6779" s="443">
        <v>1960</v>
      </c>
      <c r="H6779" s="410" t="s">
        <v>3243</v>
      </c>
      <c r="I6779" s="409" t="s">
        <v>3243</v>
      </c>
      <c r="J6779" s="496">
        <v>0.72799999999999998</v>
      </c>
      <c r="K6779" s="496">
        <v>0.68100000000000005</v>
      </c>
      <c r="L6779" s="496">
        <f t="shared" si="86"/>
        <v>4.6999999999999931E-2</v>
      </c>
      <c r="M6779" s="337"/>
    </row>
    <row r="6780" spans="1:13" s="71" customFormat="1" ht="26.4" customHeight="1">
      <c r="A6780" s="282">
        <v>141</v>
      </c>
      <c r="B6780" s="537"/>
      <c r="C6780" s="441" t="s">
        <v>8500</v>
      </c>
      <c r="D6780" s="260" t="s">
        <v>8648</v>
      </c>
      <c r="E6780" s="282" t="s">
        <v>8649</v>
      </c>
      <c r="F6780" s="387">
        <v>404</v>
      </c>
      <c r="G6780" s="443">
        <v>1959</v>
      </c>
      <c r="H6780" s="410" t="s">
        <v>3243</v>
      </c>
      <c r="I6780" s="409" t="s">
        <v>3243</v>
      </c>
      <c r="J6780" s="496">
        <v>0.72799999999999998</v>
      </c>
      <c r="K6780" s="496">
        <v>0.68100000000000005</v>
      </c>
      <c r="L6780" s="496">
        <f t="shared" si="86"/>
        <v>4.6999999999999931E-2</v>
      </c>
      <c r="M6780" s="337"/>
    </row>
    <row r="6781" spans="1:13" s="71" customFormat="1" ht="26.4" customHeight="1">
      <c r="A6781" s="282">
        <v>142</v>
      </c>
      <c r="B6781" s="537"/>
      <c r="C6781" s="441" t="s">
        <v>8490</v>
      </c>
      <c r="D6781" s="260" t="s">
        <v>8650</v>
      </c>
      <c r="E6781" s="282" t="s">
        <v>2660</v>
      </c>
      <c r="F6781" s="387">
        <v>407</v>
      </c>
      <c r="G6781" s="443">
        <v>2010</v>
      </c>
      <c r="H6781" s="410" t="s">
        <v>3243</v>
      </c>
      <c r="I6781" s="409" t="s">
        <v>3243</v>
      </c>
      <c r="J6781" s="496">
        <v>9.0540000000000003</v>
      </c>
      <c r="K6781" s="496">
        <v>2.5649999999999999</v>
      </c>
      <c r="L6781" s="496">
        <f t="shared" si="86"/>
        <v>6.4890000000000008</v>
      </c>
      <c r="M6781" s="337"/>
    </row>
    <row r="6782" spans="1:13" s="71" customFormat="1" ht="26.4" customHeight="1">
      <c r="A6782" s="282">
        <v>143</v>
      </c>
      <c r="B6782" s="537"/>
      <c r="C6782" s="441" t="s">
        <v>8490</v>
      </c>
      <c r="D6782" s="260" t="s">
        <v>8651</v>
      </c>
      <c r="E6782" s="282" t="s">
        <v>2660</v>
      </c>
      <c r="F6782" s="387">
        <v>412</v>
      </c>
      <c r="G6782" s="443">
        <v>2010</v>
      </c>
      <c r="H6782" s="410" t="s">
        <v>3243</v>
      </c>
      <c r="I6782" s="409" t="s">
        <v>3243</v>
      </c>
      <c r="J6782" s="496">
        <v>1.0820000000000001</v>
      </c>
      <c r="K6782" s="496">
        <v>0.307</v>
      </c>
      <c r="L6782" s="496">
        <f t="shared" si="86"/>
        <v>0.77500000000000013</v>
      </c>
      <c r="M6782" s="337"/>
    </row>
    <row r="6783" spans="1:13" s="71" customFormat="1" ht="26.4" customHeight="1">
      <c r="A6783" s="282">
        <v>144</v>
      </c>
      <c r="B6783" s="537"/>
      <c r="C6783" s="441" t="s">
        <v>19</v>
      </c>
      <c r="D6783" s="260" t="s">
        <v>8652</v>
      </c>
      <c r="E6783" s="282" t="s">
        <v>2660</v>
      </c>
      <c r="F6783" s="387">
        <v>413</v>
      </c>
      <c r="G6783" s="443">
        <v>2010</v>
      </c>
      <c r="H6783" s="410" t="s">
        <v>3243</v>
      </c>
      <c r="I6783" s="409" t="s">
        <v>3243</v>
      </c>
      <c r="J6783" s="496">
        <v>1.0680000000000001</v>
      </c>
      <c r="K6783" s="496">
        <v>0.30199999999999999</v>
      </c>
      <c r="L6783" s="496">
        <f t="shared" si="86"/>
        <v>0.76600000000000001</v>
      </c>
      <c r="M6783" s="337"/>
    </row>
    <row r="6784" spans="1:13" s="71" customFormat="1" ht="26.4" customHeight="1">
      <c r="A6784" s="282">
        <v>145</v>
      </c>
      <c r="B6784" s="537"/>
      <c r="C6784" s="441" t="s">
        <v>8470</v>
      </c>
      <c r="D6784" s="441" t="s">
        <v>8653</v>
      </c>
      <c r="E6784" s="441" t="s">
        <v>8492</v>
      </c>
      <c r="F6784" s="442">
        <v>414</v>
      </c>
      <c r="G6784" s="443">
        <v>1970</v>
      </c>
      <c r="H6784" s="489" t="s">
        <v>5462</v>
      </c>
      <c r="I6784" s="409">
        <v>5550</v>
      </c>
      <c r="J6784" s="496">
        <v>62.353999999999999</v>
      </c>
      <c r="K6784" s="496">
        <v>32.390999999999998</v>
      </c>
      <c r="L6784" s="496">
        <f t="shared" si="86"/>
        <v>29.963000000000001</v>
      </c>
      <c r="M6784" s="337"/>
    </row>
    <row r="6785" spans="1:13" s="71" customFormat="1" ht="26.4" customHeight="1">
      <c r="A6785" s="282">
        <v>146</v>
      </c>
      <c r="B6785" s="537"/>
      <c r="C6785" s="441" t="s">
        <v>8470</v>
      </c>
      <c r="D6785" s="441" t="s">
        <v>8654</v>
      </c>
      <c r="E6785" s="441" t="s">
        <v>8492</v>
      </c>
      <c r="F6785" s="442">
        <v>415</v>
      </c>
      <c r="G6785" s="443">
        <v>1959</v>
      </c>
      <c r="H6785" s="489" t="s">
        <v>5462</v>
      </c>
      <c r="I6785" s="409">
        <v>800</v>
      </c>
      <c r="J6785" s="496">
        <v>12.888</v>
      </c>
      <c r="K6785" s="496">
        <v>12.021000000000001</v>
      </c>
      <c r="L6785" s="496">
        <f t="shared" si="86"/>
        <v>0.8669999999999991</v>
      </c>
      <c r="M6785" s="337"/>
    </row>
    <row r="6786" spans="1:13" s="71" customFormat="1" ht="26.4" customHeight="1">
      <c r="A6786" s="282">
        <v>147</v>
      </c>
      <c r="B6786" s="537"/>
      <c r="C6786" s="441" t="s">
        <v>1140</v>
      </c>
      <c r="D6786" s="260" t="s">
        <v>8655</v>
      </c>
      <c r="E6786" s="282" t="s">
        <v>8620</v>
      </c>
      <c r="F6786" s="387">
        <v>419</v>
      </c>
      <c r="G6786" s="443">
        <v>1954</v>
      </c>
      <c r="H6786" s="410" t="s">
        <v>3243</v>
      </c>
      <c r="I6786" s="409" t="s">
        <v>3243</v>
      </c>
      <c r="J6786" s="496">
        <v>0.72799999999999998</v>
      </c>
      <c r="K6786" s="496">
        <v>0.68100000000000005</v>
      </c>
      <c r="L6786" s="496">
        <f t="shared" si="86"/>
        <v>4.6999999999999931E-2</v>
      </c>
      <c r="M6786" s="337"/>
    </row>
    <row r="6787" spans="1:13" s="71" customFormat="1" ht="26.4" customHeight="1">
      <c r="A6787" s="282">
        <v>148</v>
      </c>
      <c r="B6787" s="537"/>
      <c r="C6787" s="441" t="s">
        <v>1140</v>
      </c>
      <c r="D6787" s="260" t="s">
        <v>8656</v>
      </c>
      <c r="E6787" s="282" t="s">
        <v>8620</v>
      </c>
      <c r="F6787" s="387">
        <v>421</v>
      </c>
      <c r="G6787" s="443">
        <v>1954</v>
      </c>
      <c r="H6787" s="410" t="s">
        <v>3243</v>
      </c>
      <c r="I6787" s="409" t="s">
        <v>3243</v>
      </c>
      <c r="J6787" s="496">
        <v>0.72799999999999998</v>
      </c>
      <c r="K6787" s="496">
        <v>0.68100000000000005</v>
      </c>
      <c r="L6787" s="496">
        <f t="shared" si="86"/>
        <v>4.6999999999999931E-2</v>
      </c>
      <c r="M6787" s="337"/>
    </row>
    <row r="6788" spans="1:13" s="71" customFormat="1" ht="26.4" customHeight="1">
      <c r="A6788" s="282">
        <v>149</v>
      </c>
      <c r="B6788" s="537"/>
      <c r="C6788" s="441" t="s">
        <v>1140</v>
      </c>
      <c r="D6788" s="260" t="s">
        <v>8657</v>
      </c>
      <c r="E6788" s="282" t="s">
        <v>8620</v>
      </c>
      <c r="F6788" s="387">
        <v>427</v>
      </c>
      <c r="G6788" s="443">
        <v>1956</v>
      </c>
      <c r="H6788" s="410" t="s">
        <v>3243</v>
      </c>
      <c r="I6788" s="409" t="s">
        <v>3243</v>
      </c>
      <c r="J6788" s="496">
        <v>0.72799999999999998</v>
      </c>
      <c r="K6788" s="496">
        <v>0.68100000000000005</v>
      </c>
      <c r="L6788" s="496">
        <f t="shared" si="86"/>
        <v>4.6999999999999931E-2</v>
      </c>
      <c r="M6788" s="337"/>
    </row>
    <row r="6789" spans="1:13" s="71" customFormat="1" ht="26.4" customHeight="1">
      <c r="A6789" s="282">
        <v>150</v>
      </c>
      <c r="B6789" s="537"/>
      <c r="C6789" s="441" t="s">
        <v>19</v>
      </c>
      <c r="D6789" s="260" t="s">
        <v>8658</v>
      </c>
      <c r="E6789" s="282" t="s">
        <v>2660</v>
      </c>
      <c r="F6789" s="387">
        <v>434</v>
      </c>
      <c r="G6789" s="443">
        <v>2010</v>
      </c>
      <c r="H6789" s="410" t="s">
        <v>3243</v>
      </c>
      <c r="I6789" s="409" t="s">
        <v>3243</v>
      </c>
      <c r="J6789" s="496">
        <v>1.0680000000000001</v>
      </c>
      <c r="K6789" s="496">
        <v>0.28799999999999998</v>
      </c>
      <c r="L6789" s="496">
        <f t="shared" si="86"/>
        <v>0.78</v>
      </c>
      <c r="M6789" s="337"/>
    </row>
    <row r="6790" spans="1:13" s="71" customFormat="1" ht="26.4" customHeight="1">
      <c r="A6790" s="282">
        <v>151</v>
      </c>
      <c r="B6790" s="537"/>
      <c r="C6790" s="441" t="s">
        <v>8500</v>
      </c>
      <c r="D6790" s="260" t="s">
        <v>8659</v>
      </c>
      <c r="E6790" s="282" t="s">
        <v>8660</v>
      </c>
      <c r="F6790" s="387">
        <v>435</v>
      </c>
      <c r="G6790" s="443">
        <v>1957</v>
      </c>
      <c r="H6790" s="410" t="s">
        <v>3243</v>
      </c>
      <c r="I6790" s="409" t="s">
        <v>3243</v>
      </c>
      <c r="J6790" s="496">
        <v>0.72799999999999998</v>
      </c>
      <c r="K6790" s="496">
        <v>0.68100000000000005</v>
      </c>
      <c r="L6790" s="496">
        <f t="shared" si="86"/>
        <v>4.6999999999999931E-2</v>
      </c>
      <c r="M6790" s="337"/>
    </row>
    <row r="6791" spans="1:13" s="71" customFormat="1" ht="26.4" customHeight="1">
      <c r="A6791" s="282">
        <v>152</v>
      </c>
      <c r="B6791" s="537"/>
      <c r="C6791" s="441" t="s">
        <v>8661</v>
      </c>
      <c r="D6791" s="260" t="s">
        <v>8662</v>
      </c>
      <c r="E6791" s="282" t="s">
        <v>2660</v>
      </c>
      <c r="F6791" s="387">
        <v>436</v>
      </c>
      <c r="G6791" s="443">
        <v>2010</v>
      </c>
      <c r="H6791" s="410" t="s">
        <v>3243</v>
      </c>
      <c r="I6791" s="409" t="s">
        <v>3243</v>
      </c>
      <c r="J6791" s="496">
        <v>1.0249999999999999</v>
      </c>
      <c r="K6791" s="496">
        <v>0.27700000000000002</v>
      </c>
      <c r="L6791" s="496">
        <f t="shared" si="86"/>
        <v>0.74799999999999989</v>
      </c>
      <c r="M6791" s="337"/>
    </row>
    <row r="6792" spans="1:13" s="71" customFormat="1" ht="26.4" customHeight="1">
      <c r="A6792" s="282">
        <v>153</v>
      </c>
      <c r="B6792" s="537"/>
      <c r="C6792" s="441" t="s">
        <v>19</v>
      </c>
      <c r="D6792" s="260" t="s">
        <v>8663</v>
      </c>
      <c r="E6792" s="282" t="s">
        <v>2660</v>
      </c>
      <c r="F6792" s="387">
        <v>437</v>
      </c>
      <c r="G6792" s="443">
        <v>2010</v>
      </c>
      <c r="H6792" s="410" t="s">
        <v>3243</v>
      </c>
      <c r="I6792" s="409" t="s">
        <v>3243</v>
      </c>
      <c r="J6792" s="496">
        <v>7.5640000000000001</v>
      </c>
      <c r="K6792" s="496">
        <v>2.0419999999999998</v>
      </c>
      <c r="L6792" s="496">
        <f t="shared" si="86"/>
        <v>5.5220000000000002</v>
      </c>
      <c r="M6792" s="337"/>
    </row>
    <row r="6793" spans="1:13" s="71" customFormat="1" ht="26.4" customHeight="1">
      <c r="A6793" s="282">
        <v>154</v>
      </c>
      <c r="B6793" s="537"/>
      <c r="C6793" s="441" t="s">
        <v>8490</v>
      </c>
      <c r="D6793" s="260" t="s">
        <v>8664</v>
      </c>
      <c r="E6793" s="282" t="s">
        <v>2660</v>
      </c>
      <c r="F6793" s="387">
        <v>438</v>
      </c>
      <c r="G6793" s="443">
        <v>2010</v>
      </c>
      <c r="H6793" s="410" t="s">
        <v>3243</v>
      </c>
      <c r="I6793" s="409" t="s">
        <v>3243</v>
      </c>
      <c r="J6793" s="496">
        <v>7.5730000000000004</v>
      </c>
      <c r="K6793" s="496">
        <v>2.0950000000000002</v>
      </c>
      <c r="L6793" s="496">
        <f t="shared" si="86"/>
        <v>5.4779999999999998</v>
      </c>
      <c r="M6793" s="337"/>
    </row>
    <row r="6794" spans="1:13" s="71" customFormat="1" ht="26.4" customHeight="1">
      <c r="A6794" s="282">
        <v>155</v>
      </c>
      <c r="B6794" s="537"/>
      <c r="C6794" s="441" t="s">
        <v>8500</v>
      </c>
      <c r="D6794" s="260" t="s">
        <v>8665</v>
      </c>
      <c r="E6794" s="282" t="s">
        <v>8666</v>
      </c>
      <c r="F6794" s="387">
        <v>439</v>
      </c>
      <c r="G6794" s="443">
        <v>1954</v>
      </c>
      <c r="H6794" s="410" t="s">
        <v>3243</v>
      </c>
      <c r="I6794" s="409" t="s">
        <v>3243</v>
      </c>
      <c r="J6794" s="496">
        <v>0.72799999999999998</v>
      </c>
      <c r="K6794" s="496">
        <v>0.68100000000000005</v>
      </c>
      <c r="L6794" s="496">
        <f t="shared" si="86"/>
        <v>4.6999999999999931E-2</v>
      </c>
      <c r="M6794" s="337"/>
    </row>
    <row r="6795" spans="1:13" s="71" customFormat="1" ht="26.4" customHeight="1">
      <c r="A6795" s="282">
        <v>156</v>
      </c>
      <c r="B6795" s="537"/>
      <c r="C6795" s="441" t="s">
        <v>8500</v>
      </c>
      <c r="D6795" s="260" t="s">
        <v>8667</v>
      </c>
      <c r="E6795" s="282" t="s">
        <v>8668</v>
      </c>
      <c r="F6795" s="387">
        <v>440</v>
      </c>
      <c r="G6795" s="443">
        <v>1954</v>
      </c>
      <c r="H6795" s="410" t="s">
        <v>3243</v>
      </c>
      <c r="I6795" s="409" t="s">
        <v>3243</v>
      </c>
      <c r="J6795" s="496">
        <v>0.72799999999999998</v>
      </c>
      <c r="K6795" s="496">
        <v>0.68100000000000005</v>
      </c>
      <c r="L6795" s="496">
        <f t="shared" si="86"/>
        <v>4.6999999999999931E-2</v>
      </c>
      <c r="M6795" s="337"/>
    </row>
    <row r="6796" spans="1:13" s="71" customFormat="1" ht="26.4" customHeight="1">
      <c r="A6796" s="282">
        <v>157</v>
      </c>
      <c r="B6796" s="537"/>
      <c r="C6796" s="441" t="s">
        <v>8490</v>
      </c>
      <c r="D6796" s="260" t="s">
        <v>8669</v>
      </c>
      <c r="E6796" s="282" t="s">
        <v>2660</v>
      </c>
      <c r="F6796" s="387">
        <v>442</v>
      </c>
      <c r="G6796" s="443">
        <v>2010</v>
      </c>
      <c r="H6796" s="410" t="s">
        <v>3243</v>
      </c>
      <c r="I6796" s="409" t="s">
        <v>3243</v>
      </c>
      <c r="J6796" s="496">
        <v>7.5640000000000001</v>
      </c>
      <c r="K6796" s="496">
        <v>2.0419999999999998</v>
      </c>
      <c r="L6796" s="496">
        <f t="shared" si="86"/>
        <v>5.5220000000000002</v>
      </c>
      <c r="M6796" s="337"/>
    </row>
    <row r="6797" spans="1:13" s="71" customFormat="1" ht="26.4" customHeight="1">
      <c r="A6797" s="282">
        <v>158</v>
      </c>
      <c r="B6797" s="537"/>
      <c r="C6797" s="441" t="s">
        <v>8604</v>
      </c>
      <c r="D6797" s="260" t="s">
        <v>8670</v>
      </c>
      <c r="E6797" s="282" t="s">
        <v>2660</v>
      </c>
      <c r="F6797" s="387">
        <v>444</v>
      </c>
      <c r="G6797" s="443">
        <v>2010</v>
      </c>
      <c r="H6797" s="410" t="s">
        <v>3243</v>
      </c>
      <c r="I6797" s="409" t="s">
        <v>3243</v>
      </c>
      <c r="J6797" s="496">
        <v>7.5640000000000001</v>
      </c>
      <c r="K6797" s="496">
        <v>2.0169999999999999</v>
      </c>
      <c r="L6797" s="496">
        <f t="shared" si="86"/>
        <v>5.5470000000000006</v>
      </c>
      <c r="M6797" s="337"/>
    </row>
    <row r="6798" spans="1:13" s="71" customFormat="1" ht="26.4" customHeight="1">
      <c r="A6798" s="282">
        <v>159</v>
      </c>
      <c r="B6798" s="537"/>
      <c r="C6798" s="441" t="s">
        <v>8604</v>
      </c>
      <c r="D6798" s="260" t="s">
        <v>8671</v>
      </c>
      <c r="E6798" s="282" t="s">
        <v>2660</v>
      </c>
      <c r="F6798" s="387">
        <v>445</v>
      </c>
      <c r="G6798" s="443">
        <v>1953</v>
      </c>
      <c r="H6798" s="410" t="s">
        <v>3243</v>
      </c>
      <c r="I6798" s="409" t="s">
        <v>3243</v>
      </c>
      <c r="J6798" s="496">
        <v>0.72799999999999998</v>
      </c>
      <c r="K6798" s="496">
        <v>0.68100000000000005</v>
      </c>
      <c r="L6798" s="496">
        <f t="shared" si="86"/>
        <v>4.6999999999999931E-2</v>
      </c>
      <c r="M6798" s="337"/>
    </row>
    <row r="6799" spans="1:13" s="71" customFormat="1" ht="26.4" customHeight="1">
      <c r="A6799" s="282">
        <v>160</v>
      </c>
      <c r="B6799" s="537"/>
      <c r="C6799" s="441" t="s">
        <v>8604</v>
      </c>
      <c r="D6799" s="260" t="s">
        <v>8672</v>
      </c>
      <c r="E6799" s="282" t="s">
        <v>2660</v>
      </c>
      <c r="F6799" s="387">
        <v>446</v>
      </c>
      <c r="G6799" s="443">
        <v>1953</v>
      </c>
      <c r="H6799" s="410" t="s">
        <v>3243</v>
      </c>
      <c r="I6799" s="409" t="s">
        <v>3243</v>
      </c>
      <c r="J6799" s="496">
        <v>0.72799999999999998</v>
      </c>
      <c r="K6799" s="496">
        <v>0.68100000000000005</v>
      </c>
      <c r="L6799" s="496">
        <f t="shared" si="86"/>
        <v>4.6999999999999931E-2</v>
      </c>
      <c r="M6799" s="337"/>
    </row>
    <row r="6800" spans="1:13" s="71" customFormat="1" ht="26.4" customHeight="1">
      <c r="A6800" s="282">
        <v>161</v>
      </c>
      <c r="B6800" s="537"/>
      <c r="C6800" s="441" t="s">
        <v>8500</v>
      </c>
      <c r="D6800" s="260" t="s">
        <v>8673</v>
      </c>
      <c r="E6800" s="282" t="s">
        <v>2660</v>
      </c>
      <c r="F6800" s="387">
        <v>447</v>
      </c>
      <c r="G6800" s="443">
        <v>1953</v>
      </c>
      <c r="H6800" s="410" t="s">
        <v>3243</v>
      </c>
      <c r="I6800" s="409" t="s">
        <v>3243</v>
      </c>
      <c r="J6800" s="496">
        <v>0.72799999999999998</v>
      </c>
      <c r="K6800" s="496">
        <v>0.68100000000000005</v>
      </c>
      <c r="L6800" s="496">
        <f t="shared" si="86"/>
        <v>4.6999999999999931E-2</v>
      </c>
      <c r="M6800" s="337"/>
    </row>
    <row r="6801" spans="1:13" s="71" customFormat="1" ht="26.4" customHeight="1">
      <c r="A6801" s="282">
        <v>162</v>
      </c>
      <c r="B6801" s="537"/>
      <c r="C6801" s="441" t="s">
        <v>8490</v>
      </c>
      <c r="D6801" s="260" t="s">
        <v>8674</v>
      </c>
      <c r="E6801" s="282" t="s">
        <v>2660</v>
      </c>
      <c r="F6801" s="387">
        <v>448</v>
      </c>
      <c r="G6801" s="443">
        <v>2010</v>
      </c>
      <c r="H6801" s="410" t="s">
        <v>3243</v>
      </c>
      <c r="I6801" s="409" t="s">
        <v>3243</v>
      </c>
      <c r="J6801" s="496">
        <v>7.5640000000000001</v>
      </c>
      <c r="K6801" s="496">
        <v>1.5880000000000001</v>
      </c>
      <c r="L6801" s="496">
        <f t="shared" si="86"/>
        <v>5.976</v>
      </c>
      <c r="M6801" s="337"/>
    </row>
    <row r="6802" spans="1:13" s="71" customFormat="1" ht="26.4" customHeight="1">
      <c r="A6802" s="282">
        <v>163</v>
      </c>
      <c r="B6802" s="537"/>
      <c r="C6802" s="441" t="s">
        <v>1140</v>
      </c>
      <c r="D6802" s="260" t="s">
        <v>8675</v>
      </c>
      <c r="E6802" s="282" t="s">
        <v>2660</v>
      </c>
      <c r="F6802" s="387">
        <v>450</v>
      </c>
      <c r="G6802" s="443">
        <v>1959</v>
      </c>
      <c r="H6802" s="410" t="s">
        <v>3243</v>
      </c>
      <c r="I6802" s="409" t="s">
        <v>3243</v>
      </c>
      <c r="J6802" s="496">
        <v>0.72799999999999998</v>
      </c>
      <c r="K6802" s="496">
        <v>0.68100000000000005</v>
      </c>
      <c r="L6802" s="496">
        <f t="shared" si="86"/>
        <v>4.6999999999999931E-2</v>
      </c>
      <c r="M6802" s="337"/>
    </row>
    <row r="6803" spans="1:13" s="71" customFormat="1" ht="26.4" customHeight="1">
      <c r="A6803" s="282">
        <v>164</v>
      </c>
      <c r="B6803" s="537"/>
      <c r="C6803" s="441" t="s">
        <v>1140</v>
      </c>
      <c r="D6803" s="260" t="s">
        <v>8676</v>
      </c>
      <c r="E6803" s="282" t="s">
        <v>2660</v>
      </c>
      <c r="F6803" s="387">
        <v>455</v>
      </c>
      <c r="G6803" s="443">
        <v>2011</v>
      </c>
      <c r="H6803" s="410" t="s">
        <v>3243</v>
      </c>
      <c r="I6803" s="409" t="s">
        <v>3243</v>
      </c>
      <c r="J6803" s="496">
        <v>1.1459999999999999</v>
      </c>
      <c r="K6803" s="496">
        <v>0.30099999999999999</v>
      </c>
      <c r="L6803" s="496">
        <f t="shared" si="86"/>
        <v>0.84499999999999997</v>
      </c>
      <c r="M6803" s="337"/>
    </row>
    <row r="6804" spans="1:13" s="71" customFormat="1" ht="26.4" customHeight="1">
      <c r="A6804" s="282">
        <v>165</v>
      </c>
      <c r="B6804" s="537"/>
      <c r="C6804" s="441" t="s">
        <v>1140</v>
      </c>
      <c r="D6804" s="260" t="s">
        <v>8677</v>
      </c>
      <c r="E6804" s="282" t="s">
        <v>2660</v>
      </c>
      <c r="F6804" s="387">
        <v>456</v>
      </c>
      <c r="G6804" s="443">
        <v>1957</v>
      </c>
      <c r="H6804" s="410" t="s">
        <v>3243</v>
      </c>
      <c r="I6804" s="409" t="s">
        <v>3243</v>
      </c>
      <c r="J6804" s="496">
        <v>0.72799999999999998</v>
      </c>
      <c r="K6804" s="496">
        <v>0.68100000000000005</v>
      </c>
      <c r="L6804" s="496">
        <f t="shared" si="86"/>
        <v>4.6999999999999931E-2</v>
      </c>
      <c r="M6804" s="337"/>
    </row>
    <row r="6805" spans="1:13" s="71" customFormat="1" ht="26.4" customHeight="1">
      <c r="A6805" s="282">
        <v>166</v>
      </c>
      <c r="B6805" s="537"/>
      <c r="C6805" s="440" t="s">
        <v>8604</v>
      </c>
      <c r="D6805" s="444" t="s">
        <v>8678</v>
      </c>
      <c r="E6805" s="282" t="s">
        <v>2660</v>
      </c>
      <c r="F6805" s="387">
        <v>459</v>
      </c>
      <c r="G6805" s="443">
        <v>2011</v>
      </c>
      <c r="H6805" s="410" t="s">
        <v>3243</v>
      </c>
      <c r="I6805" s="409" t="s">
        <v>3243</v>
      </c>
      <c r="J6805" s="496">
        <v>8.5730000000000004</v>
      </c>
      <c r="K6805" s="496">
        <v>2.1150000000000002</v>
      </c>
      <c r="L6805" s="496">
        <f t="shared" si="86"/>
        <v>6.4580000000000002</v>
      </c>
      <c r="M6805" s="337"/>
    </row>
    <row r="6806" spans="1:13" s="71" customFormat="1" ht="26.4" customHeight="1">
      <c r="A6806" s="282">
        <v>167</v>
      </c>
      <c r="B6806" s="537"/>
      <c r="C6806" s="441" t="s">
        <v>1140</v>
      </c>
      <c r="D6806" s="260" t="s">
        <v>8679</v>
      </c>
      <c r="E6806" s="282" t="s">
        <v>2660</v>
      </c>
      <c r="F6806" s="387">
        <v>466</v>
      </c>
      <c r="G6806" s="443">
        <v>1959</v>
      </c>
      <c r="H6806" s="410" t="s">
        <v>3243</v>
      </c>
      <c r="I6806" s="409" t="s">
        <v>3243</v>
      </c>
      <c r="J6806" s="496">
        <v>0.72799999999999998</v>
      </c>
      <c r="K6806" s="496">
        <v>0.68100000000000005</v>
      </c>
      <c r="L6806" s="496">
        <f t="shared" si="86"/>
        <v>4.6999999999999931E-2</v>
      </c>
      <c r="M6806" s="337"/>
    </row>
    <row r="6807" spans="1:13" s="71" customFormat="1" ht="26.4" customHeight="1">
      <c r="A6807" s="282">
        <v>168</v>
      </c>
      <c r="B6807" s="537"/>
      <c r="C6807" s="441" t="s">
        <v>1140</v>
      </c>
      <c r="D6807" s="260" t="s">
        <v>8680</v>
      </c>
      <c r="E6807" s="282" t="s">
        <v>2660</v>
      </c>
      <c r="F6807" s="387">
        <v>467</v>
      </c>
      <c r="G6807" s="443">
        <v>1959</v>
      </c>
      <c r="H6807" s="410" t="s">
        <v>3243</v>
      </c>
      <c r="I6807" s="409" t="s">
        <v>3243</v>
      </c>
      <c r="J6807" s="496">
        <v>0.72799999999999998</v>
      </c>
      <c r="K6807" s="496">
        <v>0.68100000000000005</v>
      </c>
      <c r="L6807" s="496">
        <f t="shared" si="86"/>
        <v>4.6999999999999931E-2</v>
      </c>
      <c r="M6807" s="337"/>
    </row>
    <row r="6808" spans="1:13" s="71" customFormat="1" ht="26.4" customHeight="1">
      <c r="A6808" s="282">
        <v>169</v>
      </c>
      <c r="B6808" s="537"/>
      <c r="C6808" s="440" t="s">
        <v>8604</v>
      </c>
      <c r="D6808" s="260" t="s">
        <v>8681</v>
      </c>
      <c r="E6808" s="282" t="s">
        <v>2660</v>
      </c>
      <c r="F6808" s="387">
        <v>469</v>
      </c>
      <c r="G6808" s="443">
        <v>1959</v>
      </c>
      <c r="H6808" s="410" t="s">
        <v>3243</v>
      </c>
      <c r="I6808" s="409" t="s">
        <v>3243</v>
      </c>
      <c r="J6808" s="496">
        <v>0.72799999999999998</v>
      </c>
      <c r="K6808" s="496">
        <v>0.68100000000000005</v>
      </c>
      <c r="L6808" s="496">
        <f t="shared" si="86"/>
        <v>4.6999999999999931E-2</v>
      </c>
      <c r="M6808" s="337"/>
    </row>
    <row r="6809" spans="1:13" s="71" customFormat="1" ht="26.4" customHeight="1">
      <c r="A6809" s="282">
        <v>170</v>
      </c>
      <c r="B6809" s="537"/>
      <c r="C6809" s="441" t="s">
        <v>8682</v>
      </c>
      <c r="D6809" s="260" t="s">
        <v>8683</v>
      </c>
      <c r="E6809" s="282" t="s">
        <v>8492</v>
      </c>
      <c r="F6809" s="387">
        <v>470</v>
      </c>
      <c r="G6809" s="443">
        <v>1967</v>
      </c>
      <c r="H6809" s="410" t="s">
        <v>5462</v>
      </c>
      <c r="I6809" s="409">
        <v>300</v>
      </c>
      <c r="J6809" s="496">
        <v>4.6740000000000004</v>
      </c>
      <c r="K6809" s="496">
        <v>4.3029999999999999</v>
      </c>
      <c r="L6809" s="496">
        <f t="shared" si="86"/>
        <v>0.37100000000000044</v>
      </c>
      <c r="M6809" s="337"/>
    </row>
    <row r="6810" spans="1:13" s="71" customFormat="1" ht="26.4" customHeight="1">
      <c r="A6810" s="282">
        <v>171</v>
      </c>
      <c r="B6810" s="537"/>
      <c r="C6810" s="441" t="s">
        <v>1140</v>
      </c>
      <c r="D6810" s="260" t="s">
        <v>8684</v>
      </c>
      <c r="E6810" s="282" t="s">
        <v>8492</v>
      </c>
      <c r="F6810" s="387">
        <v>471</v>
      </c>
      <c r="G6810" s="443">
        <v>1967</v>
      </c>
      <c r="H6810" s="410" t="s">
        <v>5462</v>
      </c>
      <c r="I6810" s="409">
        <v>600</v>
      </c>
      <c r="J6810" s="496">
        <v>9.3490000000000002</v>
      </c>
      <c r="K6810" s="496">
        <v>8.6050000000000004</v>
      </c>
      <c r="L6810" s="496">
        <f t="shared" si="86"/>
        <v>0.74399999999999977</v>
      </c>
      <c r="M6810" s="337"/>
    </row>
    <row r="6811" spans="1:13" s="71" customFormat="1" ht="26.4" customHeight="1">
      <c r="A6811" s="282">
        <v>172</v>
      </c>
      <c r="B6811" s="537"/>
      <c r="C6811" s="441" t="s">
        <v>1140</v>
      </c>
      <c r="D6811" s="260" t="s">
        <v>8685</v>
      </c>
      <c r="E6811" s="282" t="s">
        <v>8492</v>
      </c>
      <c r="F6811" s="387">
        <v>472</v>
      </c>
      <c r="G6811" s="443">
        <v>1967</v>
      </c>
      <c r="H6811" s="410" t="s">
        <v>5462</v>
      </c>
      <c r="I6811" s="409">
        <v>500</v>
      </c>
      <c r="J6811" s="496">
        <v>7.79</v>
      </c>
      <c r="K6811" s="496">
        <v>7.1710000000000003</v>
      </c>
      <c r="L6811" s="496">
        <f t="shared" si="86"/>
        <v>0.61899999999999977</v>
      </c>
      <c r="M6811" s="337"/>
    </row>
    <row r="6812" spans="1:13" s="71" customFormat="1" ht="26.4" customHeight="1">
      <c r="A6812" s="282">
        <v>173</v>
      </c>
      <c r="B6812" s="537"/>
      <c r="C6812" s="441" t="s">
        <v>1140</v>
      </c>
      <c r="D6812" s="260" t="s">
        <v>8686</v>
      </c>
      <c r="E6812" s="282" t="s">
        <v>8492</v>
      </c>
      <c r="F6812" s="387">
        <v>473</v>
      </c>
      <c r="G6812" s="443">
        <v>1967</v>
      </c>
      <c r="H6812" s="410" t="s">
        <v>5462</v>
      </c>
      <c r="I6812" s="409">
        <v>600</v>
      </c>
      <c r="J6812" s="496">
        <v>9.3490000000000002</v>
      </c>
      <c r="K6812" s="496">
        <v>8.6050000000000004</v>
      </c>
      <c r="L6812" s="496">
        <f t="shared" si="86"/>
        <v>0.74399999999999977</v>
      </c>
      <c r="M6812" s="337"/>
    </row>
    <row r="6813" spans="1:13" s="71" customFormat="1" ht="26.4" customHeight="1">
      <c r="A6813" s="282">
        <v>174</v>
      </c>
      <c r="B6813" s="537"/>
      <c r="C6813" s="441" t="s">
        <v>1140</v>
      </c>
      <c r="D6813" s="260" t="s">
        <v>8687</v>
      </c>
      <c r="E6813" s="282" t="s">
        <v>8492</v>
      </c>
      <c r="F6813" s="387">
        <v>474</v>
      </c>
      <c r="G6813" s="443">
        <v>1957</v>
      </c>
      <c r="H6813" s="410" t="s">
        <v>5462</v>
      </c>
      <c r="I6813" s="409">
        <v>300</v>
      </c>
      <c r="J6813" s="496">
        <v>6.56</v>
      </c>
      <c r="K6813" s="496">
        <v>6.0720000000000001</v>
      </c>
      <c r="L6813" s="496">
        <f t="shared" si="86"/>
        <v>0.48799999999999955</v>
      </c>
      <c r="M6813" s="337"/>
    </row>
    <row r="6814" spans="1:13" s="71" customFormat="1" ht="26.4" customHeight="1">
      <c r="A6814" s="282">
        <v>175</v>
      </c>
      <c r="B6814" s="537"/>
      <c r="C6814" s="441" t="s">
        <v>1140</v>
      </c>
      <c r="D6814" s="260" t="s">
        <v>8688</v>
      </c>
      <c r="E6814" s="282" t="s">
        <v>8492</v>
      </c>
      <c r="F6814" s="387">
        <v>475</v>
      </c>
      <c r="G6814" s="443">
        <v>1957</v>
      </c>
      <c r="H6814" s="410" t="s">
        <v>5462</v>
      </c>
      <c r="I6814" s="409">
        <v>396</v>
      </c>
      <c r="J6814" s="496">
        <v>8.6590000000000007</v>
      </c>
      <c r="K6814" s="496">
        <v>8.0150000000000006</v>
      </c>
      <c r="L6814" s="496">
        <f t="shared" si="86"/>
        <v>0.64400000000000013</v>
      </c>
      <c r="M6814" s="337"/>
    </row>
    <row r="6815" spans="1:13" s="71" customFormat="1" ht="26.4" customHeight="1">
      <c r="A6815" s="282">
        <v>176</v>
      </c>
      <c r="B6815" s="537"/>
      <c r="C6815" s="441" t="s">
        <v>1140</v>
      </c>
      <c r="D6815" s="260" t="s">
        <v>8689</v>
      </c>
      <c r="E6815" s="282" t="s">
        <v>8492</v>
      </c>
      <c r="F6815" s="387">
        <v>476</v>
      </c>
      <c r="G6815" s="443">
        <v>1956</v>
      </c>
      <c r="H6815" s="410" t="s">
        <v>5462</v>
      </c>
      <c r="I6815" s="409">
        <v>279</v>
      </c>
      <c r="J6815" s="496">
        <v>6.1</v>
      </c>
      <c r="K6815" s="496">
        <v>5.6509999999999998</v>
      </c>
      <c r="L6815" s="496">
        <f t="shared" si="86"/>
        <v>0.44899999999999984</v>
      </c>
      <c r="M6815" s="337"/>
    </row>
    <row r="6816" spans="1:13" s="71" customFormat="1" ht="26.4" customHeight="1">
      <c r="A6816" s="282">
        <v>177</v>
      </c>
      <c r="B6816" s="537"/>
      <c r="C6816" s="441" t="s">
        <v>1140</v>
      </c>
      <c r="D6816" s="260" t="s">
        <v>13386</v>
      </c>
      <c r="E6816" s="282" t="s">
        <v>8492</v>
      </c>
      <c r="F6816" s="387">
        <v>477</v>
      </c>
      <c r="G6816" s="443">
        <v>1963</v>
      </c>
      <c r="H6816" s="410" t="s">
        <v>5462</v>
      </c>
      <c r="I6816" s="409">
        <v>560</v>
      </c>
      <c r="J6816" s="496">
        <v>10.423</v>
      </c>
      <c r="K6816" s="496">
        <v>9.6029999999999998</v>
      </c>
      <c r="L6816" s="496">
        <f t="shared" si="86"/>
        <v>0.82000000000000028</v>
      </c>
      <c r="M6816" s="337"/>
    </row>
    <row r="6817" spans="1:13" s="71" customFormat="1" ht="26.4" customHeight="1">
      <c r="A6817" s="282">
        <v>178</v>
      </c>
      <c r="B6817" s="537"/>
      <c r="C6817" s="441" t="s">
        <v>1140</v>
      </c>
      <c r="D6817" s="260" t="s">
        <v>8690</v>
      </c>
      <c r="E6817" s="282" t="s">
        <v>8492</v>
      </c>
      <c r="F6817" s="387">
        <v>478</v>
      </c>
      <c r="G6817" s="443">
        <v>1954</v>
      </c>
      <c r="H6817" s="410" t="s">
        <v>5462</v>
      </c>
      <c r="I6817" s="409">
        <v>300</v>
      </c>
      <c r="J6817" s="496">
        <v>8.3510000000000009</v>
      </c>
      <c r="K6817" s="496">
        <v>7.7220000000000004</v>
      </c>
      <c r="L6817" s="496">
        <f t="shared" si="86"/>
        <v>0.62900000000000045</v>
      </c>
      <c r="M6817" s="337"/>
    </row>
    <row r="6818" spans="1:13" s="71" customFormat="1" ht="26.4" customHeight="1">
      <c r="A6818" s="282">
        <v>179</v>
      </c>
      <c r="B6818" s="537"/>
      <c r="C6818" s="441" t="s">
        <v>8691</v>
      </c>
      <c r="D6818" s="260" t="s">
        <v>8692</v>
      </c>
      <c r="E6818" s="282" t="s">
        <v>8492</v>
      </c>
      <c r="F6818" s="387">
        <v>479</v>
      </c>
      <c r="G6818" s="443">
        <v>1954</v>
      </c>
      <c r="H6818" s="410" t="s">
        <v>5462</v>
      </c>
      <c r="I6818" s="409">
        <v>363</v>
      </c>
      <c r="J6818" s="496">
        <v>10.105</v>
      </c>
      <c r="K6818" s="496">
        <v>9.343</v>
      </c>
      <c r="L6818" s="496">
        <f t="shared" si="86"/>
        <v>0.76200000000000045</v>
      </c>
      <c r="M6818" s="337"/>
    </row>
    <row r="6819" spans="1:13" s="71" customFormat="1" ht="26.4" customHeight="1">
      <c r="A6819" s="282">
        <v>180</v>
      </c>
      <c r="B6819" s="537"/>
      <c r="C6819" s="441" t="s">
        <v>1140</v>
      </c>
      <c r="D6819" s="260" t="s">
        <v>13309</v>
      </c>
      <c r="E6819" s="282" t="s">
        <v>8492</v>
      </c>
      <c r="F6819" s="387">
        <v>480</v>
      </c>
      <c r="G6819" s="443">
        <v>1954</v>
      </c>
      <c r="H6819" s="410" t="s">
        <v>5462</v>
      </c>
      <c r="I6819" s="409">
        <v>400</v>
      </c>
      <c r="J6819" s="496">
        <v>11.135</v>
      </c>
      <c r="K6819" s="496">
        <v>10.295999999999999</v>
      </c>
      <c r="L6819" s="496">
        <f t="shared" si="86"/>
        <v>0.83900000000000041</v>
      </c>
      <c r="M6819" s="337"/>
    </row>
    <row r="6820" spans="1:13" s="71" customFormat="1" ht="26.4" customHeight="1">
      <c r="A6820" s="282">
        <v>181</v>
      </c>
      <c r="B6820" s="537"/>
      <c r="C6820" s="441" t="s">
        <v>1140</v>
      </c>
      <c r="D6820" s="260" t="s">
        <v>8694</v>
      </c>
      <c r="E6820" s="282" t="s">
        <v>8492</v>
      </c>
      <c r="F6820" s="387">
        <v>481</v>
      </c>
      <c r="G6820" s="443">
        <v>1954</v>
      </c>
      <c r="H6820" s="410" t="s">
        <v>5462</v>
      </c>
      <c r="I6820" s="409">
        <v>1100</v>
      </c>
      <c r="J6820" s="496">
        <v>30.62</v>
      </c>
      <c r="K6820" s="496">
        <v>28.312999999999999</v>
      </c>
      <c r="L6820" s="496">
        <f t="shared" si="86"/>
        <v>2.3070000000000022</v>
      </c>
      <c r="M6820" s="337"/>
    </row>
    <row r="6821" spans="1:13" s="71" customFormat="1" ht="26.4" customHeight="1">
      <c r="A6821" s="282">
        <v>182</v>
      </c>
      <c r="B6821" s="537"/>
      <c r="C6821" s="441" t="s">
        <v>19</v>
      </c>
      <c r="D6821" s="441" t="s">
        <v>8695</v>
      </c>
      <c r="E6821" s="282" t="s">
        <v>8492</v>
      </c>
      <c r="F6821" s="442">
        <v>482</v>
      </c>
      <c r="G6821" s="443">
        <v>1960</v>
      </c>
      <c r="H6821" s="410" t="s">
        <v>5462</v>
      </c>
      <c r="I6821" s="409">
        <v>1500</v>
      </c>
      <c r="J6821" s="496">
        <v>22.847999999999999</v>
      </c>
      <c r="K6821" s="496">
        <v>21.068000000000001</v>
      </c>
      <c r="L6821" s="496">
        <f t="shared" si="86"/>
        <v>1.7799999999999976</v>
      </c>
      <c r="M6821" s="337"/>
    </row>
    <row r="6822" spans="1:13" s="71" customFormat="1" ht="26.4" customHeight="1">
      <c r="A6822" s="282">
        <v>183</v>
      </c>
      <c r="B6822" s="537"/>
      <c r="C6822" s="441" t="s">
        <v>19</v>
      </c>
      <c r="D6822" s="440" t="s">
        <v>8696</v>
      </c>
      <c r="E6822" s="282" t="s">
        <v>8492</v>
      </c>
      <c r="F6822" s="442">
        <v>483</v>
      </c>
      <c r="G6822" s="443">
        <v>1960</v>
      </c>
      <c r="H6822" s="410" t="s">
        <v>5462</v>
      </c>
      <c r="I6822" s="409">
        <v>700</v>
      </c>
      <c r="J6822" s="496">
        <v>10.662000000000001</v>
      </c>
      <c r="K6822" s="496">
        <v>9.8309999999999995</v>
      </c>
      <c r="L6822" s="496">
        <f t="shared" si="86"/>
        <v>0.83100000000000129</v>
      </c>
      <c r="M6822" s="337"/>
    </row>
    <row r="6823" spans="1:13" s="71" customFormat="1" ht="26.4" customHeight="1">
      <c r="A6823" s="282">
        <v>184</v>
      </c>
      <c r="B6823" s="537"/>
      <c r="C6823" s="441" t="s">
        <v>19</v>
      </c>
      <c r="D6823" s="441" t="s">
        <v>8697</v>
      </c>
      <c r="E6823" s="282" t="s">
        <v>8492</v>
      </c>
      <c r="F6823" s="442">
        <v>484</v>
      </c>
      <c r="G6823" s="443">
        <v>1960</v>
      </c>
      <c r="H6823" s="410" t="s">
        <v>5462</v>
      </c>
      <c r="I6823" s="409">
        <v>800</v>
      </c>
      <c r="J6823" s="496">
        <v>12.186</v>
      </c>
      <c r="K6823" s="496">
        <v>11.236000000000001</v>
      </c>
      <c r="L6823" s="496">
        <f t="shared" si="86"/>
        <v>0.94999999999999929</v>
      </c>
      <c r="M6823" s="337"/>
    </row>
    <row r="6824" spans="1:13" s="71" customFormat="1" ht="26.4" customHeight="1">
      <c r="A6824" s="282">
        <v>185</v>
      </c>
      <c r="B6824" s="537"/>
      <c r="C6824" s="441" t="s">
        <v>19</v>
      </c>
      <c r="D6824" s="441" t="s">
        <v>8698</v>
      </c>
      <c r="E6824" s="282" t="s">
        <v>8492</v>
      </c>
      <c r="F6824" s="442">
        <v>485</v>
      </c>
      <c r="G6824" s="443">
        <v>1960</v>
      </c>
      <c r="H6824" s="410" t="s">
        <v>5462</v>
      </c>
      <c r="I6824" s="409">
        <v>400</v>
      </c>
      <c r="J6824" s="496">
        <v>7.2009999999999996</v>
      </c>
      <c r="K6824" s="496">
        <v>5.7770000000000001</v>
      </c>
      <c r="L6824" s="496">
        <f t="shared" si="86"/>
        <v>1.4239999999999995</v>
      </c>
      <c r="M6824" s="337"/>
    </row>
    <row r="6825" spans="1:13" s="71" customFormat="1" ht="26.4" customHeight="1">
      <c r="A6825" s="282">
        <v>186</v>
      </c>
      <c r="B6825" s="537"/>
      <c r="C6825" s="441" t="s">
        <v>19</v>
      </c>
      <c r="D6825" s="441" t="s">
        <v>8699</v>
      </c>
      <c r="E6825" s="282" t="s">
        <v>8492</v>
      </c>
      <c r="F6825" s="442">
        <v>486</v>
      </c>
      <c r="G6825" s="443">
        <v>1957</v>
      </c>
      <c r="H6825" s="410" t="s">
        <v>5462</v>
      </c>
      <c r="I6825" s="409">
        <v>500</v>
      </c>
      <c r="J6825" s="496">
        <v>7.6159999999999997</v>
      </c>
      <c r="K6825" s="496">
        <v>7.05</v>
      </c>
      <c r="L6825" s="496">
        <f t="shared" si="86"/>
        <v>0.56599999999999984</v>
      </c>
      <c r="M6825" s="337"/>
    </row>
    <row r="6826" spans="1:13" s="71" customFormat="1" ht="26.4" customHeight="1">
      <c r="A6826" s="282">
        <v>187</v>
      </c>
      <c r="B6826" s="537"/>
      <c r="C6826" s="441" t="s">
        <v>19</v>
      </c>
      <c r="D6826" s="441" t="s">
        <v>8700</v>
      </c>
      <c r="E6826" s="282" t="s">
        <v>8492</v>
      </c>
      <c r="F6826" s="442">
        <v>487</v>
      </c>
      <c r="G6826" s="443">
        <v>1957</v>
      </c>
      <c r="H6826" s="410" t="s">
        <v>5462</v>
      </c>
      <c r="I6826" s="409">
        <v>500</v>
      </c>
      <c r="J6826" s="496">
        <v>7.6159999999999997</v>
      </c>
      <c r="K6826" s="496">
        <v>7.05</v>
      </c>
      <c r="L6826" s="496">
        <f t="shared" si="86"/>
        <v>0.56599999999999984</v>
      </c>
      <c r="M6826" s="337"/>
    </row>
    <row r="6827" spans="1:13" s="71" customFormat="1" ht="26.4" customHeight="1">
      <c r="A6827" s="282">
        <v>188</v>
      </c>
      <c r="B6827" s="537"/>
      <c r="C6827" s="441" t="s">
        <v>19</v>
      </c>
      <c r="D6827" s="441" t="s">
        <v>8701</v>
      </c>
      <c r="E6827" s="282" t="s">
        <v>8492</v>
      </c>
      <c r="F6827" s="442">
        <v>488</v>
      </c>
      <c r="G6827" s="443">
        <v>1957</v>
      </c>
      <c r="H6827" s="410" t="s">
        <v>5462</v>
      </c>
      <c r="I6827" s="409">
        <v>500</v>
      </c>
      <c r="J6827" s="496">
        <v>7.6159999999999997</v>
      </c>
      <c r="K6827" s="496">
        <v>7.05</v>
      </c>
      <c r="L6827" s="496">
        <f t="shared" si="86"/>
        <v>0.56599999999999984</v>
      </c>
      <c r="M6827" s="337"/>
    </row>
    <row r="6828" spans="1:13" s="71" customFormat="1" ht="26.4" customHeight="1">
      <c r="A6828" s="282">
        <v>189</v>
      </c>
      <c r="B6828" s="537"/>
      <c r="C6828" s="441" t="s">
        <v>19</v>
      </c>
      <c r="D6828" s="441" t="s">
        <v>8702</v>
      </c>
      <c r="E6828" s="282" t="s">
        <v>8492</v>
      </c>
      <c r="F6828" s="442">
        <v>489</v>
      </c>
      <c r="G6828" s="443">
        <v>1957</v>
      </c>
      <c r="H6828" s="410" t="s">
        <v>5462</v>
      </c>
      <c r="I6828" s="409">
        <v>300</v>
      </c>
      <c r="J6828" s="496">
        <v>4.57</v>
      </c>
      <c r="K6828" s="496">
        <v>4.2300000000000004</v>
      </c>
      <c r="L6828" s="496">
        <f t="shared" si="86"/>
        <v>0.33999999999999986</v>
      </c>
      <c r="M6828" s="337"/>
    </row>
    <row r="6829" spans="1:13" s="71" customFormat="1" ht="26.4" customHeight="1">
      <c r="A6829" s="282">
        <v>190</v>
      </c>
      <c r="B6829" s="537"/>
      <c r="C6829" s="441" t="s">
        <v>19</v>
      </c>
      <c r="D6829" s="441" t="s">
        <v>8703</v>
      </c>
      <c r="E6829" s="282" t="s">
        <v>8492</v>
      </c>
      <c r="F6829" s="442">
        <v>490</v>
      </c>
      <c r="G6829" s="443">
        <v>1990</v>
      </c>
      <c r="H6829" s="410" t="s">
        <v>5462</v>
      </c>
      <c r="I6829" s="409">
        <v>500</v>
      </c>
      <c r="J6829" s="496">
        <v>7.992</v>
      </c>
      <c r="K6829" s="496">
        <v>7.4850000000000003</v>
      </c>
      <c r="L6829" s="496">
        <f t="shared" ref="L6829:L6892" si="87">J6829-K6829</f>
        <v>0.50699999999999967</v>
      </c>
      <c r="M6829" s="337"/>
    </row>
    <row r="6830" spans="1:13" s="71" customFormat="1" ht="26.4" customHeight="1">
      <c r="A6830" s="282">
        <v>191</v>
      </c>
      <c r="B6830" s="537"/>
      <c r="C6830" s="441" t="s">
        <v>19</v>
      </c>
      <c r="D6830" s="441" t="s">
        <v>8704</v>
      </c>
      <c r="E6830" s="282" t="s">
        <v>8492</v>
      </c>
      <c r="F6830" s="442">
        <v>491</v>
      </c>
      <c r="G6830" s="443">
        <v>1975</v>
      </c>
      <c r="H6830" s="410" t="s">
        <v>5462</v>
      </c>
      <c r="I6830" s="409">
        <v>600</v>
      </c>
      <c r="J6830" s="496">
        <v>9.59</v>
      </c>
      <c r="K6830" s="496">
        <v>8.9819999999999993</v>
      </c>
      <c r="L6830" s="496">
        <f t="shared" si="87"/>
        <v>0.60800000000000054</v>
      </c>
      <c r="M6830" s="337"/>
    </row>
    <row r="6831" spans="1:13" s="71" customFormat="1" ht="26.4" customHeight="1">
      <c r="A6831" s="282">
        <v>192</v>
      </c>
      <c r="B6831" s="537"/>
      <c r="C6831" s="441" t="s">
        <v>19</v>
      </c>
      <c r="D6831" s="441" t="s">
        <v>8705</v>
      </c>
      <c r="E6831" s="282" t="s">
        <v>8492</v>
      </c>
      <c r="F6831" s="442">
        <v>492</v>
      </c>
      <c r="G6831" s="443">
        <v>1975</v>
      </c>
      <c r="H6831" s="410" t="s">
        <v>5462</v>
      </c>
      <c r="I6831" s="409">
        <v>500</v>
      </c>
      <c r="J6831" s="496">
        <v>7.992</v>
      </c>
      <c r="K6831" s="496">
        <v>7.4850000000000003</v>
      </c>
      <c r="L6831" s="496">
        <f t="shared" si="87"/>
        <v>0.50699999999999967</v>
      </c>
      <c r="M6831" s="337"/>
    </row>
    <row r="6832" spans="1:13" s="71" customFormat="1" ht="26.4" customHeight="1">
      <c r="A6832" s="282">
        <v>193</v>
      </c>
      <c r="B6832" s="537"/>
      <c r="C6832" s="441" t="s">
        <v>19</v>
      </c>
      <c r="D6832" s="441" t="s">
        <v>8706</v>
      </c>
      <c r="E6832" s="282" t="s">
        <v>8492</v>
      </c>
      <c r="F6832" s="442">
        <v>493</v>
      </c>
      <c r="G6832" s="443">
        <v>1975</v>
      </c>
      <c r="H6832" s="410" t="s">
        <v>5462</v>
      </c>
      <c r="I6832" s="409">
        <v>500</v>
      </c>
      <c r="J6832" s="496">
        <v>7.992</v>
      </c>
      <c r="K6832" s="496">
        <v>7.4850000000000003</v>
      </c>
      <c r="L6832" s="496">
        <f t="shared" si="87"/>
        <v>0.50699999999999967</v>
      </c>
      <c r="M6832" s="337"/>
    </row>
    <row r="6833" spans="1:13" s="71" customFormat="1" ht="26.4" customHeight="1">
      <c r="A6833" s="282">
        <v>194</v>
      </c>
      <c r="B6833" s="537"/>
      <c r="C6833" s="441" t="s">
        <v>19</v>
      </c>
      <c r="D6833" s="441" t="s">
        <v>8707</v>
      </c>
      <c r="E6833" s="282" t="s">
        <v>8492</v>
      </c>
      <c r="F6833" s="442">
        <v>494</v>
      </c>
      <c r="G6833" s="443">
        <v>1975</v>
      </c>
      <c r="H6833" s="410" t="s">
        <v>5462</v>
      </c>
      <c r="I6833" s="409">
        <v>300</v>
      </c>
      <c r="J6833" s="496">
        <v>4.7949999999999999</v>
      </c>
      <c r="K6833" s="496">
        <v>4.4859999999999998</v>
      </c>
      <c r="L6833" s="496">
        <f t="shared" si="87"/>
        <v>0.30900000000000016</v>
      </c>
      <c r="M6833" s="337"/>
    </row>
    <row r="6834" spans="1:13" s="71" customFormat="1" ht="26.4" customHeight="1">
      <c r="A6834" s="282">
        <v>195</v>
      </c>
      <c r="B6834" s="537"/>
      <c r="C6834" s="441" t="s">
        <v>19</v>
      </c>
      <c r="D6834" s="441" t="s">
        <v>8708</v>
      </c>
      <c r="E6834" s="282" t="s">
        <v>8492</v>
      </c>
      <c r="F6834" s="442">
        <v>495</v>
      </c>
      <c r="G6834" s="443">
        <v>1975</v>
      </c>
      <c r="H6834" s="410" t="s">
        <v>5462</v>
      </c>
      <c r="I6834" s="409">
        <v>800</v>
      </c>
      <c r="J6834" s="496">
        <v>12.787000000000001</v>
      </c>
      <c r="K6834" s="496">
        <v>11.964</v>
      </c>
      <c r="L6834" s="496">
        <f t="shared" si="87"/>
        <v>0.8230000000000004</v>
      </c>
      <c r="M6834" s="337"/>
    </row>
    <row r="6835" spans="1:13" s="71" customFormat="1" ht="26.4" customHeight="1">
      <c r="A6835" s="282">
        <v>196</v>
      </c>
      <c r="B6835" s="537"/>
      <c r="C6835" s="441" t="s">
        <v>19</v>
      </c>
      <c r="D6835" s="441" t="s">
        <v>8709</v>
      </c>
      <c r="E6835" s="282" t="s">
        <v>8492</v>
      </c>
      <c r="F6835" s="442">
        <v>496</v>
      </c>
      <c r="G6835" s="443">
        <v>1957</v>
      </c>
      <c r="H6835" s="410" t="s">
        <v>5462</v>
      </c>
      <c r="I6835" s="409">
        <v>600</v>
      </c>
      <c r="J6835" s="496">
        <v>3.0649999999999999</v>
      </c>
      <c r="K6835" s="496">
        <v>2.742</v>
      </c>
      <c r="L6835" s="496">
        <f t="shared" si="87"/>
        <v>0.32299999999999995</v>
      </c>
      <c r="M6835" s="337"/>
    </row>
    <row r="6836" spans="1:13" s="71" customFormat="1" ht="26.4" customHeight="1">
      <c r="A6836" s="282">
        <v>197</v>
      </c>
      <c r="B6836" s="537"/>
      <c r="C6836" s="441" t="s">
        <v>19</v>
      </c>
      <c r="D6836" s="441" t="s">
        <v>8710</v>
      </c>
      <c r="E6836" s="282" t="s">
        <v>8492</v>
      </c>
      <c r="F6836" s="442">
        <v>497</v>
      </c>
      <c r="G6836" s="443">
        <v>1957</v>
      </c>
      <c r="H6836" s="410" t="s">
        <v>5462</v>
      </c>
      <c r="I6836" s="409">
        <v>700</v>
      </c>
      <c r="J6836" s="496">
        <v>3.5760000000000001</v>
      </c>
      <c r="K6836" s="496">
        <v>3.1989999999999998</v>
      </c>
      <c r="L6836" s="496">
        <f t="shared" si="87"/>
        <v>0.37700000000000022</v>
      </c>
      <c r="M6836" s="337"/>
    </row>
    <row r="6837" spans="1:13" s="71" customFormat="1" ht="26.4" customHeight="1">
      <c r="A6837" s="282">
        <v>198</v>
      </c>
      <c r="B6837" s="537"/>
      <c r="C6837" s="441" t="s">
        <v>19</v>
      </c>
      <c r="D6837" s="441" t="s">
        <v>8711</v>
      </c>
      <c r="E6837" s="282" t="s">
        <v>8492</v>
      </c>
      <c r="F6837" s="442">
        <v>498</v>
      </c>
      <c r="G6837" s="443">
        <v>1957</v>
      </c>
      <c r="H6837" s="410" t="s">
        <v>5462</v>
      </c>
      <c r="I6837" s="409">
        <v>900</v>
      </c>
      <c r="J6837" s="496">
        <v>4.5970000000000004</v>
      </c>
      <c r="K6837" s="496">
        <v>4.1130000000000004</v>
      </c>
      <c r="L6837" s="496">
        <f t="shared" si="87"/>
        <v>0.48399999999999999</v>
      </c>
      <c r="M6837" s="337"/>
    </row>
    <row r="6838" spans="1:13" s="71" customFormat="1" ht="26.4" customHeight="1">
      <c r="A6838" s="282">
        <v>199</v>
      </c>
      <c r="B6838" s="537"/>
      <c r="C6838" s="441" t="s">
        <v>19</v>
      </c>
      <c r="D6838" s="260" t="s">
        <v>8712</v>
      </c>
      <c r="E6838" s="282" t="s">
        <v>8492</v>
      </c>
      <c r="F6838" s="442">
        <v>499</v>
      </c>
      <c r="G6838" s="443">
        <v>1957</v>
      </c>
      <c r="H6838" s="410" t="s">
        <v>5462</v>
      </c>
      <c r="I6838" s="409">
        <v>600</v>
      </c>
      <c r="J6838" s="496">
        <v>3.0649999999999999</v>
      </c>
      <c r="K6838" s="496">
        <v>2.742</v>
      </c>
      <c r="L6838" s="496">
        <f t="shared" si="87"/>
        <v>0.32299999999999995</v>
      </c>
      <c r="M6838" s="337"/>
    </row>
    <row r="6839" spans="1:13" s="71" customFormat="1" ht="26.4" customHeight="1">
      <c r="A6839" s="282">
        <v>200</v>
      </c>
      <c r="B6839" s="537"/>
      <c r="C6839" s="441" t="s">
        <v>19</v>
      </c>
      <c r="D6839" s="441" t="s">
        <v>8713</v>
      </c>
      <c r="E6839" s="282" t="s">
        <v>8492</v>
      </c>
      <c r="F6839" s="442">
        <v>500</v>
      </c>
      <c r="G6839" s="443">
        <v>1957</v>
      </c>
      <c r="H6839" s="410" t="s">
        <v>5462</v>
      </c>
      <c r="I6839" s="409">
        <v>600</v>
      </c>
      <c r="J6839" s="496">
        <v>3.0649999999999999</v>
      </c>
      <c r="K6839" s="496">
        <v>2.742</v>
      </c>
      <c r="L6839" s="496">
        <f t="shared" si="87"/>
        <v>0.32299999999999995</v>
      </c>
      <c r="M6839" s="337"/>
    </row>
    <row r="6840" spans="1:13" s="71" customFormat="1" ht="26.4" customHeight="1">
      <c r="A6840" s="282">
        <v>201</v>
      </c>
      <c r="B6840" s="537"/>
      <c r="C6840" s="441" t="s">
        <v>19</v>
      </c>
      <c r="D6840" s="441" t="s">
        <v>8714</v>
      </c>
      <c r="E6840" s="282" t="s">
        <v>8492</v>
      </c>
      <c r="F6840" s="442">
        <v>501</v>
      </c>
      <c r="G6840" s="443">
        <v>1957</v>
      </c>
      <c r="H6840" s="410" t="s">
        <v>5462</v>
      </c>
      <c r="I6840" s="409">
        <v>200</v>
      </c>
      <c r="J6840" s="496">
        <v>1.022</v>
      </c>
      <c r="K6840" s="496">
        <v>0.91400000000000003</v>
      </c>
      <c r="L6840" s="496">
        <f t="shared" si="87"/>
        <v>0.10799999999999998</v>
      </c>
      <c r="M6840" s="337"/>
    </row>
    <row r="6841" spans="1:13" s="71" customFormat="1" ht="26.4" customHeight="1">
      <c r="A6841" s="282">
        <v>202</v>
      </c>
      <c r="B6841" s="537"/>
      <c r="C6841" s="441" t="s">
        <v>19</v>
      </c>
      <c r="D6841" s="441" t="s">
        <v>8715</v>
      </c>
      <c r="E6841" s="282" t="s">
        <v>8492</v>
      </c>
      <c r="F6841" s="442">
        <v>502</v>
      </c>
      <c r="G6841" s="443">
        <v>1986</v>
      </c>
      <c r="H6841" s="410" t="s">
        <v>5462</v>
      </c>
      <c r="I6841" s="409">
        <v>700</v>
      </c>
      <c r="J6841" s="496">
        <v>3.516</v>
      </c>
      <c r="K6841" s="496">
        <v>3.3239999999999998</v>
      </c>
      <c r="L6841" s="496">
        <f t="shared" si="87"/>
        <v>0.19200000000000017</v>
      </c>
      <c r="M6841" s="337"/>
    </row>
    <row r="6842" spans="1:13" s="71" customFormat="1" ht="26.4" customHeight="1">
      <c r="A6842" s="282">
        <v>203</v>
      </c>
      <c r="B6842" s="537"/>
      <c r="C6842" s="441" t="s">
        <v>19</v>
      </c>
      <c r="D6842" s="441" t="s">
        <v>8716</v>
      </c>
      <c r="E6842" s="282" t="s">
        <v>8492</v>
      </c>
      <c r="F6842" s="442">
        <v>503</v>
      </c>
      <c r="G6842" s="443">
        <v>1986</v>
      </c>
      <c r="H6842" s="410" t="s">
        <v>5462</v>
      </c>
      <c r="I6842" s="409">
        <v>600</v>
      </c>
      <c r="J6842" s="496">
        <v>3.0139999999999998</v>
      </c>
      <c r="K6842" s="496">
        <v>2.8490000000000002</v>
      </c>
      <c r="L6842" s="496">
        <f t="shared" si="87"/>
        <v>0.16499999999999959</v>
      </c>
      <c r="M6842" s="337"/>
    </row>
    <row r="6843" spans="1:13" s="71" customFormat="1" ht="26.4" customHeight="1">
      <c r="A6843" s="282">
        <v>204</v>
      </c>
      <c r="B6843" s="537"/>
      <c r="C6843" s="441" t="s">
        <v>19</v>
      </c>
      <c r="D6843" s="441" t="s">
        <v>8717</v>
      </c>
      <c r="E6843" s="282" t="s">
        <v>8492</v>
      </c>
      <c r="F6843" s="442">
        <v>504</v>
      </c>
      <c r="G6843" s="443">
        <v>1986</v>
      </c>
      <c r="H6843" s="410" t="s">
        <v>5462</v>
      </c>
      <c r="I6843" s="409">
        <v>800</v>
      </c>
      <c r="J6843" s="496">
        <v>4.0179999999999998</v>
      </c>
      <c r="K6843" s="496">
        <v>3.798</v>
      </c>
      <c r="L6843" s="496">
        <f t="shared" si="87"/>
        <v>0.21999999999999975</v>
      </c>
      <c r="M6843" s="337"/>
    </row>
    <row r="6844" spans="1:13" s="71" customFormat="1" ht="26.4" customHeight="1">
      <c r="A6844" s="282">
        <v>205</v>
      </c>
      <c r="B6844" s="537"/>
      <c r="C6844" s="441" t="s">
        <v>19</v>
      </c>
      <c r="D6844" s="441" t="s">
        <v>8718</v>
      </c>
      <c r="E6844" s="282" t="s">
        <v>8492</v>
      </c>
      <c r="F6844" s="442">
        <v>505</v>
      </c>
      <c r="G6844" s="443">
        <v>1986</v>
      </c>
      <c r="H6844" s="410" t="s">
        <v>5462</v>
      </c>
      <c r="I6844" s="409">
        <v>1100</v>
      </c>
      <c r="J6844" s="496">
        <v>5.5250000000000004</v>
      </c>
      <c r="K6844" s="496">
        <v>5.2229999999999999</v>
      </c>
      <c r="L6844" s="496">
        <f t="shared" si="87"/>
        <v>0.30200000000000049</v>
      </c>
      <c r="M6844" s="337"/>
    </row>
    <row r="6845" spans="1:13" s="71" customFormat="1" ht="26.4" customHeight="1">
      <c r="A6845" s="282">
        <v>206</v>
      </c>
      <c r="B6845" s="537"/>
      <c r="C6845" s="441" t="s">
        <v>19</v>
      </c>
      <c r="D6845" s="441" t="s">
        <v>8719</v>
      </c>
      <c r="E6845" s="282" t="s">
        <v>8492</v>
      </c>
      <c r="F6845" s="442">
        <v>506</v>
      </c>
      <c r="G6845" s="443">
        <v>1986</v>
      </c>
      <c r="H6845" s="410" t="s">
        <v>5462</v>
      </c>
      <c r="I6845" s="409">
        <v>700</v>
      </c>
      <c r="J6845" s="496">
        <v>3.516</v>
      </c>
      <c r="K6845" s="496">
        <v>3.3239999999999998</v>
      </c>
      <c r="L6845" s="496">
        <f t="shared" si="87"/>
        <v>0.19200000000000017</v>
      </c>
      <c r="M6845" s="337"/>
    </row>
    <row r="6846" spans="1:13" s="71" customFormat="1" ht="26.4" customHeight="1">
      <c r="A6846" s="282">
        <v>207</v>
      </c>
      <c r="B6846" s="537"/>
      <c r="C6846" s="441" t="s">
        <v>19</v>
      </c>
      <c r="D6846" s="441" t="s">
        <v>8720</v>
      </c>
      <c r="E6846" s="282" t="s">
        <v>8492</v>
      </c>
      <c r="F6846" s="442">
        <v>507</v>
      </c>
      <c r="G6846" s="443">
        <v>1986</v>
      </c>
      <c r="H6846" s="410" t="s">
        <v>5462</v>
      </c>
      <c r="I6846" s="409">
        <v>100</v>
      </c>
      <c r="J6846" s="496">
        <v>0.502</v>
      </c>
      <c r="K6846" s="496">
        <v>0.47399999999999998</v>
      </c>
      <c r="L6846" s="496">
        <f t="shared" si="87"/>
        <v>2.8000000000000025E-2</v>
      </c>
      <c r="M6846" s="337"/>
    </row>
    <row r="6847" spans="1:13" s="71" customFormat="1" ht="26.4" customHeight="1">
      <c r="A6847" s="282">
        <v>208</v>
      </c>
      <c r="B6847" s="537"/>
      <c r="C6847" s="441" t="s">
        <v>8721</v>
      </c>
      <c r="D6847" s="441" t="s">
        <v>13310</v>
      </c>
      <c r="E6847" s="282" t="s">
        <v>8492</v>
      </c>
      <c r="F6847" s="442">
        <v>508</v>
      </c>
      <c r="G6847" s="443">
        <v>1958</v>
      </c>
      <c r="H6847" s="410" t="s">
        <v>5462</v>
      </c>
      <c r="I6847" s="409">
        <v>300</v>
      </c>
      <c r="J6847" s="496">
        <v>1.85</v>
      </c>
      <c r="K6847" s="496">
        <v>1.6970000000000001</v>
      </c>
      <c r="L6847" s="496">
        <f t="shared" si="87"/>
        <v>0.15300000000000002</v>
      </c>
      <c r="M6847" s="337"/>
    </row>
    <row r="6848" spans="1:13" s="71" customFormat="1" ht="26.4" customHeight="1">
      <c r="A6848" s="282">
        <v>209</v>
      </c>
      <c r="B6848" s="537"/>
      <c r="C6848" s="484" t="s">
        <v>8721</v>
      </c>
      <c r="D6848" s="441" t="s">
        <v>8722</v>
      </c>
      <c r="E6848" s="282" t="s">
        <v>8492</v>
      </c>
      <c r="F6848" s="442">
        <v>509</v>
      </c>
      <c r="G6848" s="443">
        <v>1958</v>
      </c>
      <c r="H6848" s="410" t="s">
        <v>5462</v>
      </c>
      <c r="I6848" s="409">
        <v>400</v>
      </c>
      <c r="J6848" s="496">
        <v>2.4660000000000002</v>
      </c>
      <c r="K6848" s="496">
        <v>2.2629999999999999</v>
      </c>
      <c r="L6848" s="496">
        <f t="shared" si="87"/>
        <v>0.20300000000000029</v>
      </c>
      <c r="M6848" s="337"/>
    </row>
    <row r="6849" spans="1:13" s="71" customFormat="1" ht="26.4" customHeight="1">
      <c r="A6849" s="282">
        <v>210</v>
      </c>
      <c r="B6849" s="537"/>
      <c r="C6849" s="484" t="s">
        <v>8721</v>
      </c>
      <c r="D6849" s="441" t="s">
        <v>8723</v>
      </c>
      <c r="E6849" s="282" t="s">
        <v>8492</v>
      </c>
      <c r="F6849" s="442">
        <v>510</v>
      </c>
      <c r="G6849" s="443">
        <v>1958</v>
      </c>
      <c r="H6849" s="410" t="s">
        <v>5462</v>
      </c>
      <c r="I6849" s="409">
        <v>400</v>
      </c>
      <c r="J6849" s="496">
        <v>2.4660000000000002</v>
      </c>
      <c r="K6849" s="496">
        <v>2.2629999999999999</v>
      </c>
      <c r="L6849" s="496">
        <f t="shared" si="87"/>
        <v>0.20300000000000029</v>
      </c>
      <c r="M6849" s="337"/>
    </row>
    <row r="6850" spans="1:13" s="71" customFormat="1" ht="26.4" customHeight="1">
      <c r="A6850" s="282">
        <v>211</v>
      </c>
      <c r="B6850" s="537"/>
      <c r="C6850" s="484" t="s">
        <v>8721</v>
      </c>
      <c r="D6850" s="441" t="s">
        <v>8724</v>
      </c>
      <c r="E6850" s="282" t="s">
        <v>8492</v>
      </c>
      <c r="F6850" s="442">
        <v>511</v>
      </c>
      <c r="G6850" s="443">
        <v>1958</v>
      </c>
      <c r="H6850" s="410" t="s">
        <v>5462</v>
      </c>
      <c r="I6850" s="409">
        <v>700</v>
      </c>
      <c r="J6850" s="496">
        <v>4.3159999999999998</v>
      </c>
      <c r="K6850" s="496">
        <v>3.9609999999999999</v>
      </c>
      <c r="L6850" s="496">
        <f t="shared" si="87"/>
        <v>0.35499999999999998</v>
      </c>
      <c r="M6850" s="337"/>
    </row>
    <row r="6851" spans="1:13" s="71" customFormat="1" ht="26.4" customHeight="1">
      <c r="A6851" s="282">
        <v>212</v>
      </c>
      <c r="B6851" s="537"/>
      <c r="C6851" s="484" t="s">
        <v>8721</v>
      </c>
      <c r="D6851" s="441" t="s">
        <v>8725</v>
      </c>
      <c r="E6851" s="282" t="s">
        <v>8492</v>
      </c>
      <c r="F6851" s="442">
        <v>512</v>
      </c>
      <c r="G6851" s="443">
        <v>1958</v>
      </c>
      <c r="H6851" s="410" t="s">
        <v>5462</v>
      </c>
      <c r="I6851" s="409">
        <v>500</v>
      </c>
      <c r="J6851" s="496">
        <v>3.0830000000000002</v>
      </c>
      <c r="K6851" s="496">
        <v>2.8290000000000002</v>
      </c>
      <c r="L6851" s="496">
        <f t="shared" si="87"/>
        <v>0.254</v>
      </c>
      <c r="M6851" s="337"/>
    </row>
    <row r="6852" spans="1:13" s="71" customFormat="1" ht="26.4" customHeight="1">
      <c r="A6852" s="282">
        <v>213</v>
      </c>
      <c r="B6852" s="537"/>
      <c r="C6852" s="484" t="s">
        <v>8721</v>
      </c>
      <c r="D6852" s="441" t="s">
        <v>8726</v>
      </c>
      <c r="E6852" s="282" t="s">
        <v>8492</v>
      </c>
      <c r="F6852" s="442">
        <v>513</v>
      </c>
      <c r="G6852" s="443">
        <v>1958</v>
      </c>
      <c r="H6852" s="410" t="s">
        <v>5462</v>
      </c>
      <c r="I6852" s="409">
        <v>500</v>
      </c>
      <c r="J6852" s="496">
        <v>3.391</v>
      </c>
      <c r="K6852" s="496">
        <v>2.8290000000000002</v>
      </c>
      <c r="L6852" s="496">
        <f t="shared" si="87"/>
        <v>0.56199999999999983</v>
      </c>
      <c r="M6852" s="337"/>
    </row>
    <row r="6853" spans="1:13" s="71" customFormat="1" ht="26.4" customHeight="1">
      <c r="A6853" s="282">
        <v>214</v>
      </c>
      <c r="B6853" s="537"/>
      <c r="C6853" s="484" t="s">
        <v>8721</v>
      </c>
      <c r="D6853" s="441" t="s">
        <v>8727</v>
      </c>
      <c r="E6853" s="282" t="s">
        <v>8492</v>
      </c>
      <c r="F6853" s="442">
        <v>514</v>
      </c>
      <c r="G6853" s="443">
        <v>1958</v>
      </c>
      <c r="H6853" s="410" t="s">
        <v>5462</v>
      </c>
      <c r="I6853" s="409">
        <v>600</v>
      </c>
      <c r="J6853" s="496">
        <v>3.7</v>
      </c>
      <c r="K6853" s="496">
        <v>3.395</v>
      </c>
      <c r="L6853" s="496">
        <f t="shared" si="87"/>
        <v>0.30500000000000016</v>
      </c>
      <c r="M6853" s="337"/>
    </row>
    <row r="6854" spans="1:13" s="71" customFormat="1" ht="26.4" customHeight="1">
      <c r="A6854" s="282">
        <v>215</v>
      </c>
      <c r="B6854" s="537"/>
      <c r="C6854" s="484" t="s">
        <v>8721</v>
      </c>
      <c r="D6854" s="441" t="s">
        <v>8728</v>
      </c>
      <c r="E6854" s="282" t="s">
        <v>8492</v>
      </c>
      <c r="F6854" s="442">
        <v>515</v>
      </c>
      <c r="G6854" s="443">
        <v>1958</v>
      </c>
      <c r="H6854" s="410" t="s">
        <v>5462</v>
      </c>
      <c r="I6854" s="409">
        <v>600</v>
      </c>
      <c r="J6854" s="496">
        <v>3.7</v>
      </c>
      <c r="K6854" s="496">
        <v>3.395</v>
      </c>
      <c r="L6854" s="496">
        <f t="shared" si="87"/>
        <v>0.30500000000000016</v>
      </c>
      <c r="M6854" s="337"/>
    </row>
    <row r="6855" spans="1:13" s="71" customFormat="1" ht="26.4" customHeight="1">
      <c r="A6855" s="282">
        <v>216</v>
      </c>
      <c r="B6855" s="537"/>
      <c r="C6855" s="484" t="s">
        <v>8721</v>
      </c>
      <c r="D6855" s="441" t="s">
        <v>8628</v>
      </c>
      <c r="E6855" s="282" t="s">
        <v>8492</v>
      </c>
      <c r="F6855" s="442">
        <v>516</v>
      </c>
      <c r="G6855" s="443">
        <v>1958</v>
      </c>
      <c r="H6855" s="410" t="s">
        <v>5462</v>
      </c>
      <c r="I6855" s="409">
        <v>800</v>
      </c>
      <c r="J6855" s="496">
        <v>4.9329999999999998</v>
      </c>
      <c r="K6855" s="496">
        <v>4.5259999999999998</v>
      </c>
      <c r="L6855" s="496">
        <f t="shared" si="87"/>
        <v>0.40700000000000003</v>
      </c>
      <c r="M6855" s="337"/>
    </row>
    <row r="6856" spans="1:13" s="71" customFormat="1" ht="26.4" customHeight="1">
      <c r="A6856" s="282">
        <v>217</v>
      </c>
      <c r="B6856" s="537"/>
      <c r="C6856" s="484" t="s">
        <v>8721</v>
      </c>
      <c r="D6856" s="441" t="s">
        <v>12810</v>
      </c>
      <c r="E6856" s="282" t="s">
        <v>8492</v>
      </c>
      <c r="F6856" s="442">
        <v>517</v>
      </c>
      <c r="G6856" s="443">
        <v>1958</v>
      </c>
      <c r="H6856" s="410" t="s">
        <v>5462</v>
      </c>
      <c r="I6856" s="409">
        <v>4500</v>
      </c>
      <c r="J6856" s="496">
        <v>36.070999999999998</v>
      </c>
      <c r="K6856" s="496">
        <v>35.707000000000001</v>
      </c>
      <c r="L6856" s="496">
        <f t="shared" si="87"/>
        <v>0.36399999999999721</v>
      </c>
      <c r="M6856" s="337"/>
    </row>
    <row r="6857" spans="1:13" s="71" customFormat="1" ht="26.4" customHeight="1">
      <c r="A6857" s="282">
        <v>218</v>
      </c>
      <c r="B6857" s="537"/>
      <c r="C6857" s="484" t="s">
        <v>8721</v>
      </c>
      <c r="D6857" s="260" t="s">
        <v>8729</v>
      </c>
      <c r="E6857" s="260" t="s">
        <v>8620</v>
      </c>
      <c r="F6857" s="387">
        <v>528</v>
      </c>
      <c r="G6857" s="443">
        <v>2011</v>
      </c>
      <c r="H6857" s="410" t="s">
        <v>3243</v>
      </c>
      <c r="I6857" s="409" t="s">
        <v>3243</v>
      </c>
      <c r="J6857" s="496">
        <v>8.4049999999999994</v>
      </c>
      <c r="K6857" s="496">
        <v>1.9890000000000001</v>
      </c>
      <c r="L6857" s="496">
        <f t="shared" si="87"/>
        <v>6.4159999999999995</v>
      </c>
      <c r="M6857" s="337"/>
    </row>
    <row r="6858" spans="1:13" s="71" customFormat="1" ht="26.4" customHeight="1">
      <c r="A6858" s="282">
        <v>219</v>
      </c>
      <c r="B6858" s="537"/>
      <c r="C6858" s="441" t="s">
        <v>8730</v>
      </c>
      <c r="D6858" s="260" t="s">
        <v>8731</v>
      </c>
      <c r="E6858" s="260" t="s">
        <v>8620</v>
      </c>
      <c r="F6858" s="387">
        <v>531</v>
      </c>
      <c r="G6858" s="443">
        <v>2011</v>
      </c>
      <c r="H6858" s="410" t="s">
        <v>3243</v>
      </c>
      <c r="I6858" s="409" t="s">
        <v>3243</v>
      </c>
      <c r="J6858" s="496">
        <v>8.4049999999999994</v>
      </c>
      <c r="K6858" s="496">
        <v>1.9890000000000001</v>
      </c>
      <c r="L6858" s="496">
        <f t="shared" si="87"/>
        <v>6.4159999999999995</v>
      </c>
      <c r="M6858" s="337"/>
    </row>
    <row r="6859" spans="1:13" s="71" customFormat="1" ht="26.4" customHeight="1">
      <c r="A6859" s="282">
        <v>220</v>
      </c>
      <c r="B6859" s="537"/>
      <c r="C6859" s="441" t="s">
        <v>19</v>
      </c>
      <c r="D6859" s="260" t="s">
        <v>8732</v>
      </c>
      <c r="E6859" s="282" t="s">
        <v>2660</v>
      </c>
      <c r="F6859" s="387">
        <v>533</v>
      </c>
      <c r="G6859" s="443">
        <v>2011</v>
      </c>
      <c r="H6859" s="410" t="s">
        <v>3243</v>
      </c>
      <c r="I6859" s="409" t="s">
        <v>3243</v>
      </c>
      <c r="J6859" s="496">
        <v>8.4049999999999994</v>
      </c>
      <c r="K6859" s="496">
        <v>1.9890000000000001</v>
      </c>
      <c r="L6859" s="496">
        <f t="shared" si="87"/>
        <v>6.4159999999999995</v>
      </c>
      <c r="M6859" s="337"/>
    </row>
    <row r="6860" spans="1:13" s="71" customFormat="1" ht="26.4" customHeight="1">
      <c r="A6860" s="282">
        <v>221</v>
      </c>
      <c r="B6860" s="537"/>
      <c r="C6860" s="441" t="s">
        <v>8730</v>
      </c>
      <c r="D6860" s="260" t="s">
        <v>8733</v>
      </c>
      <c r="E6860" s="260" t="s">
        <v>8620</v>
      </c>
      <c r="F6860" s="387">
        <v>538</v>
      </c>
      <c r="G6860" s="443">
        <v>2013</v>
      </c>
      <c r="H6860" s="410" t="s">
        <v>3243</v>
      </c>
      <c r="I6860" s="409" t="s">
        <v>3243</v>
      </c>
      <c r="J6860" s="496">
        <v>13.311</v>
      </c>
      <c r="K6860" s="496">
        <v>2.3519999999999999</v>
      </c>
      <c r="L6860" s="496">
        <f t="shared" si="87"/>
        <v>10.959</v>
      </c>
      <c r="M6860" s="337"/>
    </row>
    <row r="6861" spans="1:13" s="71" customFormat="1" ht="26.4" customHeight="1">
      <c r="A6861" s="282">
        <v>222</v>
      </c>
      <c r="B6861" s="537"/>
      <c r="C6861" s="441" t="s">
        <v>19</v>
      </c>
      <c r="D6861" s="260" t="s">
        <v>8734</v>
      </c>
      <c r="E6861" s="282" t="s">
        <v>2660</v>
      </c>
      <c r="F6861" s="387">
        <v>540</v>
      </c>
      <c r="G6861" s="443">
        <v>2012</v>
      </c>
      <c r="H6861" s="410" t="s">
        <v>3243</v>
      </c>
      <c r="I6861" s="409" t="s">
        <v>3243</v>
      </c>
      <c r="J6861" s="496">
        <v>8.4719999999999995</v>
      </c>
      <c r="K6861" s="496">
        <v>1.8919999999999999</v>
      </c>
      <c r="L6861" s="496">
        <f t="shared" si="87"/>
        <v>6.58</v>
      </c>
      <c r="M6861" s="337"/>
    </row>
    <row r="6862" spans="1:13" s="71" customFormat="1" ht="26.4" customHeight="1">
      <c r="A6862" s="282">
        <v>223</v>
      </c>
      <c r="B6862" s="537"/>
      <c r="C6862" s="441" t="s">
        <v>8735</v>
      </c>
      <c r="D6862" s="260" t="s">
        <v>8736</v>
      </c>
      <c r="E6862" s="282" t="s">
        <v>2660</v>
      </c>
      <c r="F6862" s="387">
        <v>541</v>
      </c>
      <c r="G6862" s="443">
        <v>2012</v>
      </c>
      <c r="H6862" s="410" t="s">
        <v>3243</v>
      </c>
      <c r="I6862" s="409" t="s">
        <v>3243</v>
      </c>
      <c r="J6862" s="496">
        <v>8.9570000000000007</v>
      </c>
      <c r="K6862" s="496">
        <v>1.9410000000000001</v>
      </c>
      <c r="L6862" s="496">
        <f t="shared" si="87"/>
        <v>7.0160000000000009</v>
      </c>
      <c r="M6862" s="337"/>
    </row>
    <row r="6863" spans="1:13" s="71" customFormat="1" ht="26.4" customHeight="1">
      <c r="A6863" s="282">
        <v>224</v>
      </c>
      <c r="B6863" s="537"/>
      <c r="C6863" s="441" t="s">
        <v>19</v>
      </c>
      <c r="D6863" s="260" t="s">
        <v>8737</v>
      </c>
      <c r="E6863" s="260" t="s">
        <v>8620</v>
      </c>
      <c r="F6863" s="387">
        <v>550</v>
      </c>
      <c r="G6863" s="443">
        <v>2012</v>
      </c>
      <c r="H6863" s="410" t="s">
        <v>3243</v>
      </c>
      <c r="I6863" s="409" t="s">
        <v>3243</v>
      </c>
      <c r="J6863" s="496">
        <v>8.9570000000000007</v>
      </c>
      <c r="K6863" s="496">
        <v>1.911</v>
      </c>
      <c r="L6863" s="496">
        <f t="shared" si="87"/>
        <v>7.0460000000000012</v>
      </c>
      <c r="M6863" s="337"/>
    </row>
    <row r="6864" spans="1:13" s="71" customFormat="1" ht="26.4" customHeight="1">
      <c r="A6864" s="282">
        <v>225</v>
      </c>
      <c r="B6864" s="537"/>
      <c r="C6864" s="441" t="s">
        <v>19</v>
      </c>
      <c r="D6864" s="260" t="s">
        <v>8737</v>
      </c>
      <c r="E6864" s="282" t="s">
        <v>8620</v>
      </c>
      <c r="F6864" s="387">
        <v>552</v>
      </c>
      <c r="G6864" s="443">
        <v>2012</v>
      </c>
      <c r="H6864" s="410" t="s">
        <v>3243</v>
      </c>
      <c r="I6864" s="409" t="s">
        <v>3243</v>
      </c>
      <c r="J6864" s="496">
        <v>8.9570000000000007</v>
      </c>
      <c r="K6864" s="496">
        <v>1.911</v>
      </c>
      <c r="L6864" s="496">
        <f t="shared" si="87"/>
        <v>7.0460000000000012</v>
      </c>
      <c r="M6864" s="337"/>
    </row>
    <row r="6865" spans="1:13" s="71" customFormat="1" ht="26.4" customHeight="1">
      <c r="A6865" s="282">
        <v>226</v>
      </c>
      <c r="B6865" s="537"/>
      <c r="C6865" s="441" t="s">
        <v>8575</v>
      </c>
      <c r="D6865" s="444" t="s">
        <v>8738</v>
      </c>
      <c r="E6865" s="282" t="s">
        <v>2660</v>
      </c>
      <c r="F6865" s="387">
        <v>562</v>
      </c>
      <c r="G6865" s="443">
        <v>1969</v>
      </c>
      <c r="H6865" s="410" t="s">
        <v>3243</v>
      </c>
      <c r="I6865" s="409" t="s">
        <v>3243</v>
      </c>
      <c r="J6865" s="496">
        <v>0.72799999999999998</v>
      </c>
      <c r="K6865" s="496">
        <v>0.68100000000000005</v>
      </c>
      <c r="L6865" s="496">
        <f t="shared" si="87"/>
        <v>4.6999999999999931E-2</v>
      </c>
      <c r="M6865" s="337"/>
    </row>
    <row r="6866" spans="1:13" s="71" customFormat="1" ht="26.4" customHeight="1">
      <c r="A6866" s="282">
        <v>227</v>
      </c>
      <c r="B6866" s="537"/>
      <c r="C6866" s="441" t="s">
        <v>19</v>
      </c>
      <c r="D6866" s="260" t="s">
        <v>8739</v>
      </c>
      <c r="E6866" s="282" t="s">
        <v>8740</v>
      </c>
      <c r="F6866" s="387">
        <v>566</v>
      </c>
      <c r="G6866" s="443">
        <v>1980</v>
      </c>
      <c r="H6866" s="410" t="s">
        <v>3243</v>
      </c>
      <c r="I6866" s="411" t="s">
        <v>3243</v>
      </c>
      <c r="J6866" s="496">
        <v>32.045999999999999</v>
      </c>
      <c r="K6866" s="496">
        <v>29.382999999999999</v>
      </c>
      <c r="L6866" s="496">
        <f t="shared" si="87"/>
        <v>2.6630000000000003</v>
      </c>
      <c r="M6866" s="337"/>
    </row>
    <row r="6867" spans="1:13" s="71" customFormat="1" ht="26.4" customHeight="1">
      <c r="A6867" s="282">
        <v>228</v>
      </c>
      <c r="B6867" s="537"/>
      <c r="C6867" s="441" t="s">
        <v>19</v>
      </c>
      <c r="D6867" s="260" t="s">
        <v>8741</v>
      </c>
      <c r="E6867" s="282" t="s">
        <v>8740</v>
      </c>
      <c r="F6867" s="387">
        <v>568</v>
      </c>
      <c r="G6867" s="443">
        <v>1980</v>
      </c>
      <c r="H6867" s="410" t="s">
        <v>5462</v>
      </c>
      <c r="I6867" s="409">
        <v>700</v>
      </c>
      <c r="J6867" s="496">
        <v>41.201999999999998</v>
      </c>
      <c r="K6867" s="496">
        <v>37.777999999999999</v>
      </c>
      <c r="L6867" s="496">
        <f t="shared" si="87"/>
        <v>3.4239999999999995</v>
      </c>
      <c r="M6867" s="337"/>
    </row>
    <row r="6868" spans="1:13" s="71" customFormat="1" ht="26.4" customHeight="1">
      <c r="A6868" s="282">
        <v>229</v>
      </c>
      <c r="B6868" s="537"/>
      <c r="C6868" s="441" t="s">
        <v>19</v>
      </c>
      <c r="D6868" s="260" t="s">
        <v>8742</v>
      </c>
      <c r="E6868" s="282" t="s">
        <v>8740</v>
      </c>
      <c r="F6868" s="387">
        <v>569</v>
      </c>
      <c r="G6868" s="443">
        <v>1980</v>
      </c>
      <c r="H6868" s="410" t="s">
        <v>5462</v>
      </c>
      <c r="I6868" s="409">
        <v>900</v>
      </c>
      <c r="J6868" s="496">
        <v>9.1560000000000006</v>
      </c>
      <c r="K6868" s="496">
        <v>8.3949999999999996</v>
      </c>
      <c r="L6868" s="496">
        <f t="shared" si="87"/>
        <v>0.76100000000000101</v>
      </c>
      <c r="M6868" s="337"/>
    </row>
    <row r="6869" spans="1:13" s="71" customFormat="1" ht="26.4" customHeight="1">
      <c r="A6869" s="282">
        <v>230</v>
      </c>
      <c r="B6869" s="537"/>
      <c r="C6869" s="441" t="s">
        <v>19</v>
      </c>
      <c r="D6869" s="260" t="s">
        <v>8743</v>
      </c>
      <c r="E6869" s="282" t="s">
        <v>8740</v>
      </c>
      <c r="F6869" s="387">
        <v>570</v>
      </c>
      <c r="G6869" s="443">
        <v>1980</v>
      </c>
      <c r="H6869" s="410" t="s">
        <v>5462</v>
      </c>
      <c r="I6869" s="409">
        <v>233</v>
      </c>
      <c r="J6869" s="496">
        <v>50.357999999999997</v>
      </c>
      <c r="K6869" s="496">
        <v>46.192</v>
      </c>
      <c r="L6869" s="496">
        <f t="shared" si="87"/>
        <v>4.1659999999999968</v>
      </c>
      <c r="M6869" s="337"/>
    </row>
    <row r="6870" spans="1:13" s="71" customFormat="1" ht="26.4" customHeight="1">
      <c r="A6870" s="282">
        <v>231</v>
      </c>
      <c r="B6870" s="537"/>
      <c r="C6870" s="441" t="s">
        <v>19</v>
      </c>
      <c r="D6870" s="260" t="s">
        <v>8744</v>
      </c>
      <c r="E6870" s="282" t="s">
        <v>8740</v>
      </c>
      <c r="F6870" s="387">
        <v>571</v>
      </c>
      <c r="G6870" s="443">
        <v>1954</v>
      </c>
      <c r="H6870" s="410" t="s">
        <v>5462</v>
      </c>
      <c r="I6870" s="409">
        <v>1100</v>
      </c>
      <c r="J6870" s="496">
        <v>27.468</v>
      </c>
      <c r="K6870" s="496">
        <v>25.184999999999999</v>
      </c>
      <c r="L6870" s="496">
        <f t="shared" si="87"/>
        <v>2.2830000000000013</v>
      </c>
      <c r="M6870" s="337"/>
    </row>
    <row r="6871" spans="1:13" s="71" customFormat="1" ht="26.4" customHeight="1">
      <c r="A6871" s="282">
        <v>232</v>
      </c>
      <c r="B6871" s="537"/>
      <c r="C6871" s="441" t="s">
        <v>19</v>
      </c>
      <c r="D6871" s="260" t="s">
        <v>8745</v>
      </c>
      <c r="E6871" s="282" t="s">
        <v>8740</v>
      </c>
      <c r="F6871" s="387">
        <v>573</v>
      </c>
      <c r="G6871" s="443">
        <v>1954</v>
      </c>
      <c r="H6871" s="410" t="s">
        <v>5462</v>
      </c>
      <c r="I6871" s="409">
        <v>500</v>
      </c>
      <c r="J6871" s="496">
        <v>22.89</v>
      </c>
      <c r="K6871" s="496">
        <v>20.988</v>
      </c>
      <c r="L6871" s="496">
        <f t="shared" si="87"/>
        <v>1.902000000000001</v>
      </c>
      <c r="M6871" s="337"/>
    </row>
    <row r="6872" spans="1:13" s="71" customFormat="1" ht="26.4" customHeight="1">
      <c r="A6872" s="282">
        <v>233</v>
      </c>
      <c r="B6872" s="537"/>
      <c r="C6872" s="441" t="s">
        <v>19</v>
      </c>
      <c r="D6872" s="260" t="s">
        <v>8746</v>
      </c>
      <c r="E6872" s="282" t="s">
        <v>8740</v>
      </c>
      <c r="F6872" s="387">
        <v>574</v>
      </c>
      <c r="G6872" s="443">
        <v>1954</v>
      </c>
      <c r="H6872" s="410" t="s">
        <v>5462</v>
      </c>
      <c r="I6872" s="409">
        <v>400</v>
      </c>
      <c r="J6872" s="496">
        <v>18.312000000000001</v>
      </c>
      <c r="K6872" s="496">
        <v>16.79</v>
      </c>
      <c r="L6872" s="496">
        <f t="shared" si="87"/>
        <v>1.522000000000002</v>
      </c>
      <c r="M6872" s="337"/>
    </row>
    <row r="6873" spans="1:13" s="71" customFormat="1" ht="26.4" customHeight="1">
      <c r="A6873" s="282">
        <v>234</v>
      </c>
      <c r="B6873" s="537"/>
      <c r="C6873" s="441" t="s">
        <v>19</v>
      </c>
      <c r="D6873" s="260" t="s">
        <v>8747</v>
      </c>
      <c r="E6873" s="282" t="s">
        <v>8740</v>
      </c>
      <c r="F6873" s="387">
        <v>575</v>
      </c>
      <c r="G6873" s="443">
        <v>1986</v>
      </c>
      <c r="H6873" s="410" t="s">
        <v>5462</v>
      </c>
      <c r="I6873" s="409">
        <v>700</v>
      </c>
      <c r="J6873" s="496">
        <v>32.045999999999999</v>
      </c>
      <c r="K6873" s="496">
        <v>29.382999999999999</v>
      </c>
      <c r="L6873" s="496">
        <f t="shared" si="87"/>
        <v>2.6630000000000003</v>
      </c>
      <c r="M6873" s="337"/>
    </row>
    <row r="6874" spans="1:13" s="71" customFormat="1" ht="26.4" customHeight="1">
      <c r="A6874" s="282">
        <v>235</v>
      </c>
      <c r="B6874" s="537"/>
      <c r="C6874" s="441" t="s">
        <v>19</v>
      </c>
      <c r="D6874" s="260" t="s">
        <v>8748</v>
      </c>
      <c r="E6874" s="282" t="s">
        <v>8740</v>
      </c>
      <c r="F6874" s="387">
        <v>576</v>
      </c>
      <c r="G6874" s="443">
        <v>1952</v>
      </c>
      <c r="H6874" s="410" t="s">
        <v>5462</v>
      </c>
      <c r="I6874" s="409">
        <v>700</v>
      </c>
      <c r="J6874" s="496">
        <v>32.045999999999999</v>
      </c>
      <c r="K6874" s="496">
        <v>29.382999999999999</v>
      </c>
      <c r="L6874" s="496">
        <f t="shared" si="87"/>
        <v>2.6630000000000003</v>
      </c>
      <c r="M6874" s="337"/>
    </row>
    <row r="6875" spans="1:13" s="71" customFormat="1" ht="26.4" customHeight="1">
      <c r="A6875" s="282">
        <v>236</v>
      </c>
      <c r="B6875" s="537"/>
      <c r="C6875" s="441" t="s">
        <v>19</v>
      </c>
      <c r="D6875" s="260" t="s">
        <v>8749</v>
      </c>
      <c r="E6875" s="282" t="s">
        <v>8740</v>
      </c>
      <c r="F6875" s="387">
        <v>577</v>
      </c>
      <c r="G6875" s="443">
        <v>1980</v>
      </c>
      <c r="H6875" s="410" t="s">
        <v>5462</v>
      </c>
      <c r="I6875" s="409">
        <v>800</v>
      </c>
      <c r="J6875" s="496">
        <v>36.624000000000002</v>
      </c>
      <c r="K6875" s="496">
        <v>33.58</v>
      </c>
      <c r="L6875" s="496">
        <f t="shared" si="87"/>
        <v>3.044000000000004</v>
      </c>
      <c r="M6875" s="337"/>
    </row>
    <row r="6876" spans="1:13" s="71" customFormat="1" ht="26.4" customHeight="1">
      <c r="A6876" s="282">
        <v>237</v>
      </c>
      <c r="B6876" s="537"/>
      <c r="C6876" s="441" t="s">
        <v>19</v>
      </c>
      <c r="D6876" s="260" t="s">
        <v>8750</v>
      </c>
      <c r="E6876" s="282" t="s">
        <v>8740</v>
      </c>
      <c r="F6876" s="387">
        <v>578</v>
      </c>
      <c r="G6876" s="443">
        <v>1954</v>
      </c>
      <c r="H6876" s="410" t="s">
        <v>5462</v>
      </c>
      <c r="I6876" s="409">
        <v>800</v>
      </c>
      <c r="J6876" s="496">
        <v>36.624000000000002</v>
      </c>
      <c r="K6876" s="496">
        <v>33.58</v>
      </c>
      <c r="L6876" s="496">
        <f t="shared" si="87"/>
        <v>3.044000000000004</v>
      </c>
      <c r="M6876" s="337"/>
    </row>
    <row r="6877" spans="1:13" s="71" customFormat="1" ht="26.4" customHeight="1">
      <c r="A6877" s="282">
        <v>238</v>
      </c>
      <c r="B6877" s="537"/>
      <c r="C6877" s="441" t="s">
        <v>19</v>
      </c>
      <c r="D6877" s="260" t="s">
        <v>8751</v>
      </c>
      <c r="E6877" s="282" t="s">
        <v>8740</v>
      </c>
      <c r="F6877" s="387">
        <v>579</v>
      </c>
      <c r="G6877" s="443">
        <v>1954</v>
      </c>
      <c r="H6877" s="410" t="s">
        <v>5462</v>
      </c>
      <c r="I6877" s="409">
        <v>1400</v>
      </c>
      <c r="J6877" s="496">
        <v>64.091999999999999</v>
      </c>
      <c r="K6877" s="496">
        <v>58.765000000000001</v>
      </c>
      <c r="L6877" s="496">
        <f t="shared" si="87"/>
        <v>5.3269999999999982</v>
      </c>
      <c r="M6877" s="337"/>
    </row>
    <row r="6878" spans="1:13" s="71" customFormat="1" ht="26.4" customHeight="1">
      <c r="A6878" s="282">
        <v>239</v>
      </c>
      <c r="B6878" s="537"/>
      <c r="C6878" s="441" t="s">
        <v>19</v>
      </c>
      <c r="D6878" s="260" t="s">
        <v>8752</v>
      </c>
      <c r="E6878" s="282" t="s">
        <v>8740</v>
      </c>
      <c r="F6878" s="387">
        <v>580</v>
      </c>
      <c r="G6878" s="443">
        <v>1981</v>
      </c>
      <c r="H6878" s="410" t="s">
        <v>5462</v>
      </c>
      <c r="I6878" s="409">
        <v>3200</v>
      </c>
      <c r="J6878" s="496">
        <v>146.49700000000001</v>
      </c>
      <c r="K6878" s="496">
        <v>134.321</v>
      </c>
      <c r="L6878" s="496">
        <f t="shared" si="87"/>
        <v>12.176000000000016</v>
      </c>
      <c r="M6878" s="337"/>
    </row>
    <row r="6879" spans="1:13" s="71" customFormat="1" ht="26.4" customHeight="1">
      <c r="A6879" s="282">
        <v>240</v>
      </c>
      <c r="B6879" s="537"/>
      <c r="C6879" s="441" t="s">
        <v>19</v>
      </c>
      <c r="D6879" s="260" t="s">
        <v>2788</v>
      </c>
      <c r="E6879" s="282" t="s">
        <v>8740</v>
      </c>
      <c r="F6879" s="387">
        <v>581</v>
      </c>
      <c r="G6879" s="443">
        <v>1980</v>
      </c>
      <c r="H6879" s="410" t="s">
        <v>5462</v>
      </c>
      <c r="I6879" s="409">
        <v>5300</v>
      </c>
      <c r="J6879" s="496">
        <v>242.636</v>
      </c>
      <c r="K6879" s="496">
        <v>222.46799999999999</v>
      </c>
      <c r="L6879" s="496">
        <f t="shared" si="87"/>
        <v>20.168000000000006</v>
      </c>
      <c r="M6879" s="337"/>
    </row>
    <row r="6880" spans="1:13" s="71" customFormat="1" ht="26.4" customHeight="1">
      <c r="A6880" s="282">
        <v>241</v>
      </c>
      <c r="B6880" s="537"/>
      <c r="C6880" s="441" t="s">
        <v>19</v>
      </c>
      <c r="D6880" s="260" t="s">
        <v>8753</v>
      </c>
      <c r="E6880" s="282" t="s">
        <v>8740</v>
      </c>
      <c r="F6880" s="387">
        <v>582</v>
      </c>
      <c r="G6880" s="443">
        <v>1954</v>
      </c>
      <c r="H6880" s="410" t="s">
        <v>5462</v>
      </c>
      <c r="I6880" s="409">
        <v>9000</v>
      </c>
      <c r="J6880" s="496">
        <v>412.02300000000002</v>
      </c>
      <c r="K6880" s="496">
        <v>377.77699999999999</v>
      </c>
      <c r="L6880" s="496">
        <f t="shared" si="87"/>
        <v>34.246000000000038</v>
      </c>
      <c r="M6880" s="337"/>
    </row>
    <row r="6881" spans="1:13" s="71" customFormat="1" ht="26.4" customHeight="1">
      <c r="A6881" s="282">
        <v>242</v>
      </c>
      <c r="B6881" s="537"/>
      <c r="C6881" s="441" t="s">
        <v>19</v>
      </c>
      <c r="D6881" s="260" t="s">
        <v>8754</v>
      </c>
      <c r="E6881" s="282" t="s">
        <v>8740</v>
      </c>
      <c r="F6881" s="387">
        <v>583</v>
      </c>
      <c r="G6881" s="443">
        <v>1952</v>
      </c>
      <c r="H6881" s="410" t="s">
        <v>5462</v>
      </c>
      <c r="I6881" s="409">
        <v>7200</v>
      </c>
      <c r="J6881" s="496">
        <v>329.61799999999999</v>
      </c>
      <c r="K6881" s="496">
        <v>302.221</v>
      </c>
      <c r="L6881" s="496">
        <f t="shared" si="87"/>
        <v>27.396999999999991</v>
      </c>
      <c r="M6881" s="337"/>
    </row>
    <row r="6882" spans="1:13" s="71" customFormat="1" ht="26.4" customHeight="1">
      <c r="A6882" s="282">
        <v>243</v>
      </c>
      <c r="B6882" s="537"/>
      <c r="C6882" s="441" t="s">
        <v>8604</v>
      </c>
      <c r="D6882" s="260" t="s">
        <v>8755</v>
      </c>
      <c r="E6882" s="282" t="s">
        <v>8756</v>
      </c>
      <c r="F6882" s="387">
        <v>584</v>
      </c>
      <c r="G6882" s="443">
        <v>1970</v>
      </c>
      <c r="H6882" s="410" t="s">
        <v>5462</v>
      </c>
      <c r="I6882" s="409">
        <v>350</v>
      </c>
      <c r="J6882" s="496">
        <v>13.58</v>
      </c>
      <c r="K6882" s="496">
        <v>12.455</v>
      </c>
      <c r="L6882" s="496">
        <f t="shared" si="87"/>
        <v>1.125</v>
      </c>
      <c r="M6882" s="337"/>
    </row>
    <row r="6883" spans="1:13" s="71" customFormat="1" ht="26.4" customHeight="1">
      <c r="A6883" s="282">
        <v>244</v>
      </c>
      <c r="B6883" s="537"/>
      <c r="C6883" s="441" t="s">
        <v>8604</v>
      </c>
      <c r="D6883" s="260" t="s">
        <v>8757</v>
      </c>
      <c r="E6883" s="282" t="s">
        <v>8756</v>
      </c>
      <c r="F6883" s="387">
        <v>585</v>
      </c>
      <c r="G6883" s="443">
        <v>1966</v>
      </c>
      <c r="H6883" s="410" t="s">
        <v>5462</v>
      </c>
      <c r="I6883" s="409">
        <v>850</v>
      </c>
      <c r="J6883" s="496">
        <v>32.978999999999999</v>
      </c>
      <c r="K6883" s="496">
        <v>30.247</v>
      </c>
      <c r="L6883" s="496">
        <f t="shared" si="87"/>
        <v>2.7319999999999993</v>
      </c>
      <c r="M6883" s="337"/>
    </row>
    <row r="6884" spans="1:13" s="71" customFormat="1" ht="26.4">
      <c r="A6884" s="282">
        <v>245</v>
      </c>
      <c r="B6884" s="537"/>
      <c r="C6884" s="441" t="s">
        <v>8604</v>
      </c>
      <c r="D6884" s="260" t="s">
        <v>12883</v>
      </c>
      <c r="E6884" s="282" t="s">
        <v>8758</v>
      </c>
      <c r="F6884" s="387">
        <v>586</v>
      </c>
      <c r="G6884" s="443">
        <v>1966</v>
      </c>
      <c r="H6884" s="410" t="s">
        <v>5462</v>
      </c>
      <c r="I6884" s="409">
        <v>200</v>
      </c>
      <c r="J6884" s="496">
        <v>7.76</v>
      </c>
      <c r="K6884" s="496">
        <v>7.117</v>
      </c>
      <c r="L6884" s="496">
        <f t="shared" si="87"/>
        <v>0.64299999999999979</v>
      </c>
      <c r="M6884" s="337"/>
    </row>
    <row r="6885" spans="1:13" s="71" customFormat="1" ht="26.4" customHeight="1">
      <c r="A6885" s="282">
        <v>246</v>
      </c>
      <c r="B6885" s="537"/>
      <c r="C6885" s="441" t="s">
        <v>8604</v>
      </c>
      <c r="D6885" s="260" t="s">
        <v>8759</v>
      </c>
      <c r="E6885" s="282" t="s">
        <v>8756</v>
      </c>
      <c r="F6885" s="387">
        <v>587</v>
      </c>
      <c r="G6885" s="443">
        <v>1970</v>
      </c>
      <c r="H6885" s="410" t="s">
        <v>5462</v>
      </c>
      <c r="I6885" s="409">
        <v>1450</v>
      </c>
      <c r="J6885" s="496">
        <v>56.258000000000003</v>
      </c>
      <c r="K6885" s="496">
        <v>51.597000000000001</v>
      </c>
      <c r="L6885" s="496">
        <f t="shared" si="87"/>
        <v>4.6610000000000014</v>
      </c>
      <c r="M6885" s="337"/>
    </row>
    <row r="6886" spans="1:13" s="71" customFormat="1" ht="26.4" customHeight="1">
      <c r="A6886" s="282">
        <v>247</v>
      </c>
      <c r="B6886" s="537"/>
      <c r="C6886" s="441" t="s">
        <v>8604</v>
      </c>
      <c r="D6886" s="260" t="s">
        <v>8760</v>
      </c>
      <c r="E6886" s="282" t="s">
        <v>8756</v>
      </c>
      <c r="F6886" s="387">
        <v>588</v>
      </c>
      <c r="G6886" s="443">
        <v>1970</v>
      </c>
      <c r="H6886" s="410" t="s">
        <v>5462</v>
      </c>
      <c r="I6886" s="409">
        <v>2000</v>
      </c>
      <c r="J6886" s="496">
        <v>77.597999999999999</v>
      </c>
      <c r="K6886" s="496">
        <v>71.168999999999997</v>
      </c>
      <c r="L6886" s="496">
        <f t="shared" si="87"/>
        <v>6.429000000000002</v>
      </c>
      <c r="M6886" s="337"/>
    </row>
    <row r="6887" spans="1:13" s="71" customFormat="1" ht="26.4" customHeight="1">
      <c r="A6887" s="282">
        <v>248</v>
      </c>
      <c r="B6887" s="537"/>
      <c r="C6887" s="441" t="s">
        <v>8604</v>
      </c>
      <c r="D6887" s="260" t="s">
        <v>8761</v>
      </c>
      <c r="E6887" s="282" t="s">
        <v>8756</v>
      </c>
      <c r="F6887" s="387">
        <v>589</v>
      </c>
      <c r="G6887" s="443">
        <v>1966</v>
      </c>
      <c r="H6887" s="410" t="s">
        <v>5462</v>
      </c>
      <c r="I6887" s="409">
        <v>1150</v>
      </c>
      <c r="J6887" s="496">
        <v>44.619</v>
      </c>
      <c r="K6887" s="496">
        <v>40.921999999999997</v>
      </c>
      <c r="L6887" s="496">
        <f t="shared" si="87"/>
        <v>3.6970000000000027</v>
      </c>
      <c r="M6887" s="337"/>
    </row>
    <row r="6888" spans="1:13" s="71" customFormat="1" ht="26.4" customHeight="1">
      <c r="A6888" s="282">
        <v>249</v>
      </c>
      <c r="B6888" s="537"/>
      <c r="C6888" s="441" t="s">
        <v>8604</v>
      </c>
      <c r="D6888" s="260" t="s">
        <v>8762</v>
      </c>
      <c r="E6888" s="282" t="s">
        <v>8756</v>
      </c>
      <c r="F6888" s="387">
        <v>590</v>
      </c>
      <c r="G6888" s="443">
        <v>1970</v>
      </c>
      <c r="H6888" s="410" t="s">
        <v>5462</v>
      </c>
      <c r="I6888" s="409">
        <v>3000</v>
      </c>
      <c r="J6888" s="496">
        <v>116.39700000000001</v>
      </c>
      <c r="K6888" s="496">
        <v>106.753</v>
      </c>
      <c r="L6888" s="496">
        <f t="shared" si="87"/>
        <v>9.6440000000000055</v>
      </c>
      <c r="M6888" s="337"/>
    </row>
    <row r="6889" spans="1:13" s="71" customFormat="1" ht="26.4" customHeight="1">
      <c r="A6889" s="282">
        <v>250</v>
      </c>
      <c r="B6889" s="537"/>
      <c r="C6889" s="441" t="s">
        <v>8604</v>
      </c>
      <c r="D6889" s="260" t="s">
        <v>8763</v>
      </c>
      <c r="E6889" s="282" t="s">
        <v>8756</v>
      </c>
      <c r="F6889" s="387">
        <v>591</v>
      </c>
      <c r="G6889" s="443">
        <v>1980</v>
      </c>
      <c r="H6889" s="410" t="s">
        <v>5462</v>
      </c>
      <c r="I6889" s="409">
        <v>1300</v>
      </c>
      <c r="J6889" s="496">
        <v>50.439</v>
      </c>
      <c r="K6889" s="496">
        <v>46.26</v>
      </c>
      <c r="L6889" s="496">
        <f t="shared" si="87"/>
        <v>4.179000000000002</v>
      </c>
      <c r="M6889" s="337"/>
    </row>
    <row r="6890" spans="1:13" s="71" customFormat="1" ht="26.4" customHeight="1">
      <c r="A6890" s="282">
        <v>251</v>
      </c>
      <c r="B6890" s="537"/>
      <c r="C6890" s="441" t="s">
        <v>8604</v>
      </c>
      <c r="D6890" s="260" t="s">
        <v>8764</v>
      </c>
      <c r="E6890" s="282" t="s">
        <v>8756</v>
      </c>
      <c r="F6890" s="387">
        <v>592</v>
      </c>
      <c r="G6890" s="443">
        <v>1966</v>
      </c>
      <c r="H6890" s="410" t="s">
        <v>5462</v>
      </c>
      <c r="I6890" s="409">
        <v>1600</v>
      </c>
      <c r="J6890" s="496">
        <v>22.574999999999999</v>
      </c>
      <c r="K6890" s="496">
        <v>20.937999999999999</v>
      </c>
      <c r="L6890" s="496">
        <f t="shared" si="87"/>
        <v>1.6370000000000005</v>
      </c>
      <c r="M6890" s="337"/>
    </row>
    <row r="6891" spans="1:13" s="332" customFormat="1" ht="39.6">
      <c r="A6891" s="445">
        <v>252</v>
      </c>
      <c r="B6891" s="537"/>
      <c r="C6891" s="441" t="s">
        <v>8604</v>
      </c>
      <c r="D6891" s="444" t="s">
        <v>12977</v>
      </c>
      <c r="E6891" s="282" t="s">
        <v>8756</v>
      </c>
      <c r="F6891" s="387">
        <v>593</v>
      </c>
      <c r="G6891" s="443">
        <v>1966</v>
      </c>
      <c r="H6891" s="410" t="s">
        <v>5462</v>
      </c>
      <c r="I6891" s="409">
        <v>2100</v>
      </c>
      <c r="J6891" s="496">
        <v>81.477999999999994</v>
      </c>
      <c r="K6891" s="496">
        <v>74.727000000000004</v>
      </c>
      <c r="L6891" s="496">
        <f t="shared" si="87"/>
        <v>6.7509999999999906</v>
      </c>
      <c r="M6891" s="331"/>
    </row>
    <row r="6892" spans="1:13" s="71" customFormat="1" ht="26.4" customHeight="1">
      <c r="A6892" s="282">
        <v>253</v>
      </c>
      <c r="B6892" s="537"/>
      <c r="C6892" s="441" t="s">
        <v>8730</v>
      </c>
      <c r="D6892" s="260" t="s">
        <v>8765</v>
      </c>
      <c r="E6892" s="282" t="s">
        <v>4540</v>
      </c>
      <c r="F6892" s="387">
        <v>595</v>
      </c>
      <c r="G6892" s="443">
        <v>1956</v>
      </c>
      <c r="H6892" s="410" t="s">
        <v>5462</v>
      </c>
      <c r="I6892" s="409">
        <v>1200</v>
      </c>
      <c r="J6892" s="496">
        <v>220.93299999999999</v>
      </c>
      <c r="K6892" s="496">
        <v>206.49700000000001</v>
      </c>
      <c r="L6892" s="496">
        <f t="shared" si="87"/>
        <v>14.435999999999979</v>
      </c>
      <c r="M6892" s="337"/>
    </row>
    <row r="6893" spans="1:13" s="71" customFormat="1" ht="26.4" customHeight="1">
      <c r="A6893" s="282">
        <v>254</v>
      </c>
      <c r="B6893" s="537"/>
      <c r="C6893" s="441" t="s">
        <v>8730</v>
      </c>
      <c r="D6893" s="260" t="s">
        <v>8693</v>
      </c>
      <c r="E6893" s="282" t="s">
        <v>4540</v>
      </c>
      <c r="F6893" s="387">
        <v>599</v>
      </c>
      <c r="G6893" s="443">
        <v>1962</v>
      </c>
      <c r="H6893" s="410" t="s">
        <v>5462</v>
      </c>
      <c r="I6893" s="409">
        <v>100</v>
      </c>
      <c r="J6893" s="496">
        <v>18.411000000000001</v>
      </c>
      <c r="K6893" s="496">
        <v>17.207999999999998</v>
      </c>
      <c r="L6893" s="496">
        <f t="shared" ref="L6893:L6956" si="88">J6893-K6893</f>
        <v>1.203000000000003</v>
      </c>
      <c r="M6893" s="337"/>
    </row>
    <row r="6894" spans="1:13" s="71" customFormat="1" ht="26.4" customHeight="1">
      <c r="A6894" s="282">
        <v>255</v>
      </c>
      <c r="B6894" s="537"/>
      <c r="C6894" s="441" t="s">
        <v>8730</v>
      </c>
      <c r="D6894" s="260" t="s">
        <v>8766</v>
      </c>
      <c r="E6894" s="282" t="s">
        <v>4540</v>
      </c>
      <c r="F6894" s="387">
        <v>603</v>
      </c>
      <c r="G6894" s="443">
        <v>1956</v>
      </c>
      <c r="H6894" s="410" t="s">
        <v>5462</v>
      </c>
      <c r="I6894" s="409">
        <v>500</v>
      </c>
      <c r="J6894" s="496">
        <v>92.055000000000007</v>
      </c>
      <c r="K6894" s="496">
        <v>86.04</v>
      </c>
      <c r="L6894" s="496">
        <f t="shared" si="88"/>
        <v>6.0150000000000006</v>
      </c>
      <c r="M6894" s="337"/>
    </row>
    <row r="6895" spans="1:13" s="71" customFormat="1" ht="26.4" customHeight="1">
      <c r="A6895" s="282">
        <v>256</v>
      </c>
      <c r="B6895" s="537"/>
      <c r="C6895" s="441" t="s">
        <v>8730</v>
      </c>
      <c r="D6895" s="260" t="s">
        <v>8767</v>
      </c>
      <c r="E6895" s="282" t="s">
        <v>4540</v>
      </c>
      <c r="F6895" s="387">
        <v>604</v>
      </c>
      <c r="G6895" s="443">
        <v>1958</v>
      </c>
      <c r="H6895" s="410" t="s">
        <v>5462</v>
      </c>
      <c r="I6895" s="409">
        <v>400</v>
      </c>
      <c r="J6895" s="496">
        <v>73.644000000000005</v>
      </c>
      <c r="K6895" s="496">
        <v>68.831999999999994</v>
      </c>
      <c r="L6895" s="496">
        <f t="shared" si="88"/>
        <v>4.8120000000000118</v>
      </c>
      <c r="M6895" s="337"/>
    </row>
    <row r="6896" spans="1:13" s="71" customFormat="1" ht="26.4" customHeight="1">
      <c r="A6896" s="282">
        <v>257</v>
      </c>
      <c r="B6896" s="537"/>
      <c r="C6896" s="441" t="s">
        <v>8730</v>
      </c>
      <c r="D6896" s="260" t="s">
        <v>8768</v>
      </c>
      <c r="E6896" s="282" t="s">
        <v>4540</v>
      </c>
      <c r="F6896" s="387">
        <v>605</v>
      </c>
      <c r="G6896" s="443">
        <v>1957</v>
      </c>
      <c r="H6896" s="410" t="s">
        <v>5462</v>
      </c>
      <c r="I6896" s="409">
        <v>800</v>
      </c>
      <c r="J6896" s="496">
        <v>147.28899999999999</v>
      </c>
      <c r="K6896" s="496">
        <v>137.66499999999999</v>
      </c>
      <c r="L6896" s="496">
        <f t="shared" si="88"/>
        <v>9.6239999999999952</v>
      </c>
      <c r="M6896" s="337"/>
    </row>
    <row r="6897" spans="1:13" s="71" customFormat="1" ht="26.4" customHeight="1">
      <c r="A6897" s="282">
        <v>258</v>
      </c>
      <c r="B6897" s="537"/>
      <c r="C6897" s="441" t="s">
        <v>8730</v>
      </c>
      <c r="D6897" s="260" t="s">
        <v>8542</v>
      </c>
      <c r="E6897" s="282" t="s">
        <v>4540</v>
      </c>
      <c r="F6897" s="387">
        <v>606</v>
      </c>
      <c r="G6897" s="443">
        <v>1957</v>
      </c>
      <c r="H6897" s="410" t="s">
        <v>5462</v>
      </c>
      <c r="I6897" s="409">
        <v>900</v>
      </c>
      <c r="J6897" s="496">
        <v>165.7</v>
      </c>
      <c r="K6897" s="496">
        <v>154.87299999999999</v>
      </c>
      <c r="L6897" s="496">
        <f t="shared" si="88"/>
        <v>10.826999999999998</v>
      </c>
      <c r="M6897" s="337"/>
    </row>
    <row r="6898" spans="1:13" s="71" customFormat="1" ht="26.4" customHeight="1">
      <c r="A6898" s="282">
        <v>259</v>
      </c>
      <c r="B6898" s="537"/>
      <c r="C6898" s="441" t="s">
        <v>8730</v>
      </c>
      <c r="D6898" s="260" t="s">
        <v>8540</v>
      </c>
      <c r="E6898" s="282" t="s">
        <v>4540</v>
      </c>
      <c r="F6898" s="387">
        <v>608</v>
      </c>
      <c r="G6898" s="443">
        <v>1970</v>
      </c>
      <c r="H6898" s="410" t="s">
        <v>5462</v>
      </c>
      <c r="I6898" s="409">
        <v>1300</v>
      </c>
      <c r="J6898" s="496">
        <v>239.34399999999999</v>
      </c>
      <c r="K6898" s="496">
        <v>223.47800000000001</v>
      </c>
      <c r="L6898" s="496">
        <f t="shared" si="88"/>
        <v>15.865999999999985</v>
      </c>
      <c r="M6898" s="337"/>
    </row>
    <row r="6899" spans="1:13" s="71" customFormat="1" ht="26.4" customHeight="1">
      <c r="A6899" s="282">
        <v>260</v>
      </c>
      <c r="B6899" s="537"/>
      <c r="C6899" s="441" t="s">
        <v>8730</v>
      </c>
      <c r="D6899" s="260" t="s">
        <v>8769</v>
      </c>
      <c r="E6899" s="282" t="s">
        <v>4540</v>
      </c>
      <c r="F6899" s="387">
        <v>609</v>
      </c>
      <c r="G6899" s="443">
        <v>1970</v>
      </c>
      <c r="H6899" s="410" t="s">
        <v>5462</v>
      </c>
      <c r="I6899" s="409">
        <v>200</v>
      </c>
      <c r="J6899" s="496">
        <v>36.822000000000003</v>
      </c>
      <c r="K6899" s="496">
        <v>34.415999999999997</v>
      </c>
      <c r="L6899" s="496">
        <f t="shared" si="88"/>
        <v>2.4060000000000059</v>
      </c>
      <c r="M6899" s="337"/>
    </row>
    <row r="6900" spans="1:13" s="71" customFormat="1" ht="26.4" customHeight="1">
      <c r="A6900" s="282">
        <v>261</v>
      </c>
      <c r="B6900" s="537"/>
      <c r="C6900" s="441" t="s">
        <v>19</v>
      </c>
      <c r="D6900" s="260" t="s">
        <v>8770</v>
      </c>
      <c r="E6900" s="282" t="s">
        <v>2660</v>
      </c>
      <c r="F6900" s="387">
        <v>610</v>
      </c>
      <c r="G6900" s="443">
        <v>2012</v>
      </c>
      <c r="H6900" s="410" t="s">
        <v>3243</v>
      </c>
      <c r="I6900" s="409" t="s">
        <v>3243</v>
      </c>
      <c r="J6900" s="496">
        <v>13.262</v>
      </c>
      <c r="K6900" s="496">
        <v>2.6970000000000001</v>
      </c>
      <c r="L6900" s="496">
        <f t="shared" si="88"/>
        <v>10.565000000000001</v>
      </c>
      <c r="M6900" s="337"/>
    </row>
    <row r="6901" spans="1:13" s="71" customFormat="1" ht="26.4" customHeight="1">
      <c r="A6901" s="282">
        <v>262</v>
      </c>
      <c r="B6901" s="537"/>
      <c r="C6901" s="441" t="s">
        <v>8730</v>
      </c>
      <c r="D6901" s="260" t="s">
        <v>8687</v>
      </c>
      <c r="E6901" s="282" t="s">
        <v>4540</v>
      </c>
      <c r="F6901" s="387">
        <v>614</v>
      </c>
      <c r="G6901" s="443">
        <v>1956</v>
      </c>
      <c r="H6901" s="410" t="s">
        <v>5462</v>
      </c>
      <c r="I6901" s="409">
        <v>500</v>
      </c>
      <c r="J6901" s="496">
        <v>92.055000000000007</v>
      </c>
      <c r="K6901" s="496">
        <v>86.04</v>
      </c>
      <c r="L6901" s="496">
        <f t="shared" si="88"/>
        <v>6.0150000000000006</v>
      </c>
      <c r="M6901" s="337"/>
    </row>
    <row r="6902" spans="1:13" s="71" customFormat="1" ht="26.4" customHeight="1">
      <c r="A6902" s="282">
        <v>263</v>
      </c>
      <c r="B6902" s="537"/>
      <c r="C6902" s="441" t="s">
        <v>8730</v>
      </c>
      <c r="D6902" s="260" t="s">
        <v>8771</v>
      </c>
      <c r="E6902" s="282" t="s">
        <v>4540</v>
      </c>
      <c r="F6902" s="387">
        <v>615</v>
      </c>
      <c r="G6902" s="443">
        <v>1956</v>
      </c>
      <c r="H6902" s="410" t="s">
        <v>5462</v>
      </c>
      <c r="I6902" s="409">
        <v>600</v>
      </c>
      <c r="J6902" s="496">
        <v>110.46599999999999</v>
      </c>
      <c r="K6902" s="496">
        <v>103.248</v>
      </c>
      <c r="L6902" s="496">
        <f t="shared" si="88"/>
        <v>7.2179999999999893</v>
      </c>
      <c r="M6902" s="337"/>
    </row>
    <row r="6903" spans="1:13" s="71" customFormat="1" ht="26.4" customHeight="1">
      <c r="A6903" s="282">
        <v>264</v>
      </c>
      <c r="B6903" s="537"/>
      <c r="C6903" s="441" t="s">
        <v>8730</v>
      </c>
      <c r="D6903" s="260" t="s">
        <v>8772</v>
      </c>
      <c r="E6903" s="282" t="s">
        <v>4540</v>
      </c>
      <c r="F6903" s="387">
        <v>616</v>
      </c>
      <c r="G6903" s="443">
        <v>1957</v>
      </c>
      <c r="H6903" s="410" t="s">
        <v>5462</v>
      </c>
      <c r="I6903" s="409">
        <v>500</v>
      </c>
      <c r="J6903" s="496">
        <v>92.055000000000007</v>
      </c>
      <c r="K6903" s="496">
        <v>86.04</v>
      </c>
      <c r="L6903" s="496">
        <f t="shared" si="88"/>
        <v>6.0150000000000006</v>
      </c>
      <c r="M6903" s="337"/>
    </row>
    <row r="6904" spans="1:13" s="71" customFormat="1" ht="26.4" customHeight="1">
      <c r="A6904" s="282">
        <v>265</v>
      </c>
      <c r="B6904" s="537"/>
      <c r="C6904" s="441" t="s">
        <v>19</v>
      </c>
      <c r="D6904" s="441" t="s">
        <v>8773</v>
      </c>
      <c r="E6904" s="441" t="s">
        <v>8492</v>
      </c>
      <c r="F6904" s="442">
        <v>617</v>
      </c>
      <c r="G6904" s="443">
        <v>2008</v>
      </c>
      <c r="H6904" s="410" t="s">
        <v>5462</v>
      </c>
      <c r="I6904" s="409">
        <v>1500</v>
      </c>
      <c r="J6904" s="496">
        <v>38.146999999999998</v>
      </c>
      <c r="K6904" s="496">
        <v>13.733000000000001</v>
      </c>
      <c r="L6904" s="496">
        <f t="shared" si="88"/>
        <v>24.413999999999998</v>
      </c>
      <c r="M6904" s="337"/>
    </row>
    <row r="6905" spans="1:13" s="71" customFormat="1" ht="26.4" customHeight="1">
      <c r="A6905" s="282">
        <v>266</v>
      </c>
      <c r="B6905" s="537"/>
      <c r="C6905" s="441" t="s">
        <v>19</v>
      </c>
      <c r="D6905" s="260" t="s">
        <v>8774</v>
      </c>
      <c r="E6905" s="282" t="s">
        <v>2660</v>
      </c>
      <c r="F6905" s="387">
        <v>620</v>
      </c>
      <c r="G6905" s="443">
        <v>2012</v>
      </c>
      <c r="H6905" s="410" t="s">
        <v>3243</v>
      </c>
      <c r="I6905" s="409" t="s">
        <v>3243</v>
      </c>
      <c r="J6905" s="496">
        <v>12.031000000000001</v>
      </c>
      <c r="K6905" s="496">
        <v>2.3660000000000001</v>
      </c>
      <c r="L6905" s="496">
        <f t="shared" si="88"/>
        <v>9.6650000000000009</v>
      </c>
      <c r="M6905" s="337"/>
    </row>
    <row r="6906" spans="1:13" s="71" customFormat="1" ht="26.4" customHeight="1">
      <c r="A6906" s="282">
        <v>267</v>
      </c>
      <c r="B6906" s="537"/>
      <c r="C6906" s="441" t="s">
        <v>8604</v>
      </c>
      <c r="D6906" s="260" t="s">
        <v>12811</v>
      </c>
      <c r="E6906" s="282" t="s">
        <v>2660</v>
      </c>
      <c r="F6906" s="387">
        <v>621</v>
      </c>
      <c r="G6906" s="443">
        <v>2012</v>
      </c>
      <c r="H6906" s="410" t="s">
        <v>3243</v>
      </c>
      <c r="I6906" s="409" t="s">
        <v>3243</v>
      </c>
      <c r="J6906" s="496">
        <v>12.031000000000001</v>
      </c>
      <c r="K6906" s="496">
        <v>2.3660000000000001</v>
      </c>
      <c r="L6906" s="496">
        <f t="shared" si="88"/>
        <v>9.6650000000000009</v>
      </c>
      <c r="M6906" s="337"/>
    </row>
    <row r="6907" spans="1:13" s="71" customFormat="1" ht="26.4" customHeight="1">
      <c r="A6907" s="282">
        <v>268</v>
      </c>
      <c r="B6907" s="537"/>
      <c r="C6907" s="441" t="s">
        <v>8604</v>
      </c>
      <c r="D6907" s="260" t="s">
        <v>12812</v>
      </c>
      <c r="E6907" s="282" t="s">
        <v>2660</v>
      </c>
      <c r="F6907" s="387">
        <v>622</v>
      </c>
      <c r="G6907" s="443">
        <v>2012</v>
      </c>
      <c r="H6907" s="410" t="s">
        <v>3243</v>
      </c>
      <c r="I6907" s="409" t="s">
        <v>3243</v>
      </c>
      <c r="J6907" s="496">
        <v>12.031000000000001</v>
      </c>
      <c r="K6907" s="496">
        <v>2.3660000000000001</v>
      </c>
      <c r="L6907" s="496">
        <f t="shared" si="88"/>
        <v>9.6650000000000009</v>
      </c>
      <c r="M6907" s="337"/>
    </row>
    <row r="6908" spans="1:13" s="71" customFormat="1" ht="26.4" customHeight="1">
      <c r="A6908" s="282">
        <v>269</v>
      </c>
      <c r="B6908" s="537"/>
      <c r="C6908" s="441" t="s">
        <v>8604</v>
      </c>
      <c r="D6908" s="260" t="s">
        <v>12813</v>
      </c>
      <c r="E6908" s="282" t="s">
        <v>2660</v>
      </c>
      <c r="F6908" s="387">
        <v>623</v>
      </c>
      <c r="G6908" s="443">
        <v>2012</v>
      </c>
      <c r="H6908" s="410" t="s">
        <v>3243</v>
      </c>
      <c r="I6908" s="409" t="s">
        <v>3243</v>
      </c>
      <c r="J6908" s="496">
        <v>12.031000000000001</v>
      </c>
      <c r="K6908" s="496">
        <v>2.3660000000000001</v>
      </c>
      <c r="L6908" s="496">
        <f t="shared" si="88"/>
        <v>9.6650000000000009</v>
      </c>
      <c r="M6908" s="337"/>
    </row>
    <row r="6909" spans="1:13" s="71" customFormat="1" ht="26.4" customHeight="1">
      <c r="A6909" s="282">
        <v>270</v>
      </c>
      <c r="B6909" s="537"/>
      <c r="C6909" s="441" t="s">
        <v>19</v>
      </c>
      <c r="D6909" s="260" t="s">
        <v>8775</v>
      </c>
      <c r="E6909" s="282" t="s">
        <v>2660</v>
      </c>
      <c r="F6909" s="387">
        <v>624</v>
      </c>
      <c r="G6909" s="443">
        <v>2012</v>
      </c>
      <c r="H6909" s="410" t="s">
        <v>3243</v>
      </c>
      <c r="I6909" s="409" t="s">
        <v>3243</v>
      </c>
      <c r="J6909" s="496">
        <v>12.031000000000001</v>
      </c>
      <c r="K6909" s="496">
        <v>2.3660000000000001</v>
      </c>
      <c r="L6909" s="496">
        <f t="shared" si="88"/>
        <v>9.6650000000000009</v>
      </c>
      <c r="M6909" s="337"/>
    </row>
    <row r="6910" spans="1:13" s="71" customFormat="1" ht="26.4" customHeight="1">
      <c r="A6910" s="282">
        <v>271</v>
      </c>
      <c r="B6910" s="537"/>
      <c r="C6910" s="441" t="s">
        <v>19</v>
      </c>
      <c r="D6910" s="260" t="s">
        <v>8776</v>
      </c>
      <c r="E6910" s="282" t="s">
        <v>2660</v>
      </c>
      <c r="F6910" s="387">
        <v>625</v>
      </c>
      <c r="G6910" s="443">
        <v>2012</v>
      </c>
      <c r="H6910" s="410" t="s">
        <v>3243</v>
      </c>
      <c r="I6910" s="409" t="s">
        <v>3243</v>
      </c>
      <c r="J6910" s="496">
        <v>12.031000000000001</v>
      </c>
      <c r="K6910" s="496">
        <v>2.3660000000000001</v>
      </c>
      <c r="L6910" s="496">
        <f t="shared" si="88"/>
        <v>9.6650000000000009</v>
      </c>
      <c r="M6910" s="337"/>
    </row>
    <row r="6911" spans="1:13" s="71" customFormat="1" ht="26.4" customHeight="1">
      <c r="A6911" s="282">
        <v>272</v>
      </c>
      <c r="B6911" s="537"/>
      <c r="C6911" s="441" t="s">
        <v>19</v>
      </c>
      <c r="D6911" s="260" t="s">
        <v>8777</v>
      </c>
      <c r="E6911" s="282" t="s">
        <v>2660</v>
      </c>
      <c r="F6911" s="387">
        <v>631</v>
      </c>
      <c r="G6911" s="443">
        <v>1958</v>
      </c>
      <c r="H6911" s="410" t="s">
        <v>3243</v>
      </c>
      <c r="I6911" s="409" t="s">
        <v>3243</v>
      </c>
      <c r="J6911" s="496">
        <v>0.72799999999999998</v>
      </c>
      <c r="K6911" s="496">
        <v>0.68100000000000005</v>
      </c>
      <c r="L6911" s="496">
        <f t="shared" si="88"/>
        <v>4.6999999999999931E-2</v>
      </c>
      <c r="M6911" s="337"/>
    </row>
    <row r="6912" spans="1:13" s="71" customFormat="1" ht="26.4" customHeight="1">
      <c r="A6912" s="282">
        <v>273</v>
      </c>
      <c r="B6912" s="537"/>
      <c r="C6912" s="441" t="s">
        <v>19</v>
      </c>
      <c r="D6912" s="260" t="s">
        <v>8778</v>
      </c>
      <c r="E6912" s="282" t="s">
        <v>2660</v>
      </c>
      <c r="F6912" s="387">
        <v>632</v>
      </c>
      <c r="G6912" s="443">
        <v>1958</v>
      </c>
      <c r="H6912" s="410" t="s">
        <v>3243</v>
      </c>
      <c r="I6912" s="409" t="s">
        <v>3243</v>
      </c>
      <c r="J6912" s="496">
        <v>0.72799999999999998</v>
      </c>
      <c r="K6912" s="496">
        <v>0.68100000000000005</v>
      </c>
      <c r="L6912" s="496">
        <f t="shared" si="88"/>
        <v>4.6999999999999931E-2</v>
      </c>
      <c r="M6912" s="337"/>
    </row>
    <row r="6913" spans="1:13" s="71" customFormat="1" ht="26.4" customHeight="1">
      <c r="A6913" s="282">
        <v>274</v>
      </c>
      <c r="B6913" s="537"/>
      <c r="C6913" s="441" t="s">
        <v>19</v>
      </c>
      <c r="D6913" s="260" t="s">
        <v>8779</v>
      </c>
      <c r="E6913" s="282" t="s">
        <v>2660</v>
      </c>
      <c r="F6913" s="387">
        <v>633</v>
      </c>
      <c r="G6913" s="443">
        <v>1958</v>
      </c>
      <c r="H6913" s="410" t="s">
        <v>3243</v>
      </c>
      <c r="I6913" s="409" t="s">
        <v>3243</v>
      </c>
      <c r="J6913" s="496">
        <v>0.72799999999999998</v>
      </c>
      <c r="K6913" s="496">
        <v>0.68100000000000005</v>
      </c>
      <c r="L6913" s="496">
        <f t="shared" si="88"/>
        <v>4.6999999999999931E-2</v>
      </c>
      <c r="M6913" s="337"/>
    </row>
    <row r="6914" spans="1:13" s="71" customFormat="1" ht="26.4" customHeight="1">
      <c r="A6914" s="282">
        <v>275</v>
      </c>
      <c r="B6914" s="537"/>
      <c r="C6914" s="441" t="s">
        <v>19</v>
      </c>
      <c r="D6914" s="260" t="s">
        <v>8780</v>
      </c>
      <c r="E6914" s="282" t="s">
        <v>2660</v>
      </c>
      <c r="F6914" s="387">
        <v>636</v>
      </c>
      <c r="G6914" s="443">
        <v>1954</v>
      </c>
      <c r="H6914" s="410" t="s">
        <v>3243</v>
      </c>
      <c r="I6914" s="409" t="s">
        <v>3243</v>
      </c>
      <c r="J6914" s="496">
        <v>0.72799999999999998</v>
      </c>
      <c r="K6914" s="496">
        <v>0.68100000000000005</v>
      </c>
      <c r="L6914" s="496">
        <f t="shared" si="88"/>
        <v>4.6999999999999931E-2</v>
      </c>
      <c r="M6914" s="337"/>
    </row>
    <row r="6915" spans="1:13" s="71" customFormat="1" ht="26.4" customHeight="1">
      <c r="A6915" s="282">
        <v>276</v>
      </c>
      <c r="B6915" s="537"/>
      <c r="C6915" s="441" t="s">
        <v>19</v>
      </c>
      <c r="D6915" s="260" t="s">
        <v>8781</v>
      </c>
      <c r="E6915" s="282" t="s">
        <v>2660</v>
      </c>
      <c r="F6915" s="387">
        <v>637</v>
      </c>
      <c r="G6915" s="443">
        <v>1954</v>
      </c>
      <c r="H6915" s="410" t="s">
        <v>3243</v>
      </c>
      <c r="I6915" s="409" t="s">
        <v>3243</v>
      </c>
      <c r="J6915" s="496">
        <v>0.72799999999999998</v>
      </c>
      <c r="K6915" s="496">
        <v>0.68100000000000005</v>
      </c>
      <c r="L6915" s="496">
        <f t="shared" si="88"/>
        <v>4.6999999999999931E-2</v>
      </c>
      <c r="M6915" s="337"/>
    </row>
    <row r="6916" spans="1:13" s="71" customFormat="1" ht="26.4" customHeight="1">
      <c r="A6916" s="282">
        <v>277</v>
      </c>
      <c r="B6916" s="537"/>
      <c r="C6916" s="441" t="s">
        <v>19</v>
      </c>
      <c r="D6916" s="260" t="s">
        <v>8782</v>
      </c>
      <c r="E6916" s="282" t="s">
        <v>2660</v>
      </c>
      <c r="F6916" s="387">
        <v>639</v>
      </c>
      <c r="G6916" s="443">
        <v>1960</v>
      </c>
      <c r="H6916" s="410" t="s">
        <v>3243</v>
      </c>
      <c r="I6916" s="409" t="s">
        <v>3243</v>
      </c>
      <c r="J6916" s="496">
        <v>0.72799999999999998</v>
      </c>
      <c r="K6916" s="496">
        <v>0.68100000000000005</v>
      </c>
      <c r="L6916" s="496">
        <f t="shared" si="88"/>
        <v>4.6999999999999931E-2</v>
      </c>
      <c r="M6916" s="337"/>
    </row>
    <row r="6917" spans="1:13" s="71" customFormat="1" ht="26.4" customHeight="1">
      <c r="A6917" s="282">
        <v>278</v>
      </c>
      <c r="B6917" s="537"/>
      <c r="C6917" s="441" t="s">
        <v>19</v>
      </c>
      <c r="D6917" s="260" t="s">
        <v>8783</v>
      </c>
      <c r="E6917" s="282" t="s">
        <v>2660</v>
      </c>
      <c r="F6917" s="387">
        <v>640</v>
      </c>
      <c r="G6917" s="443">
        <v>1968</v>
      </c>
      <c r="H6917" s="410" t="s">
        <v>3243</v>
      </c>
      <c r="I6917" s="409" t="s">
        <v>3243</v>
      </c>
      <c r="J6917" s="496">
        <v>0.78900000000000003</v>
      </c>
      <c r="K6917" s="496">
        <v>0.73899999999999999</v>
      </c>
      <c r="L6917" s="496">
        <f t="shared" si="88"/>
        <v>5.0000000000000044E-2</v>
      </c>
      <c r="M6917" s="337"/>
    </row>
    <row r="6918" spans="1:13" s="71" customFormat="1" ht="26.4" customHeight="1">
      <c r="A6918" s="282">
        <v>279</v>
      </c>
      <c r="B6918" s="537"/>
      <c r="C6918" s="441" t="s">
        <v>19</v>
      </c>
      <c r="D6918" s="260" t="s">
        <v>8784</v>
      </c>
      <c r="E6918" s="282" t="s">
        <v>2660</v>
      </c>
      <c r="F6918" s="387">
        <v>646</v>
      </c>
      <c r="G6918" s="443">
        <v>1958</v>
      </c>
      <c r="H6918" s="410" t="s">
        <v>3243</v>
      </c>
      <c r="I6918" s="409" t="s">
        <v>3243</v>
      </c>
      <c r="J6918" s="496">
        <v>0.81699999999999995</v>
      </c>
      <c r="K6918" s="496">
        <v>0.76400000000000001</v>
      </c>
      <c r="L6918" s="496">
        <f t="shared" si="88"/>
        <v>5.2999999999999936E-2</v>
      </c>
      <c r="M6918" s="337"/>
    </row>
    <row r="6919" spans="1:13" s="71" customFormat="1" ht="26.4" customHeight="1">
      <c r="A6919" s="282">
        <v>280</v>
      </c>
      <c r="B6919" s="537"/>
      <c r="C6919" s="441" t="s">
        <v>19</v>
      </c>
      <c r="D6919" s="260" t="s">
        <v>8785</v>
      </c>
      <c r="E6919" s="282" t="s">
        <v>2660</v>
      </c>
      <c r="F6919" s="387">
        <v>647</v>
      </c>
      <c r="G6919" s="443">
        <v>1958</v>
      </c>
      <c r="H6919" s="410" t="s">
        <v>3243</v>
      </c>
      <c r="I6919" s="409" t="s">
        <v>3243</v>
      </c>
      <c r="J6919" s="496">
        <v>0.81699999999999995</v>
      </c>
      <c r="K6919" s="496">
        <v>0.76400000000000001</v>
      </c>
      <c r="L6919" s="496">
        <f t="shared" si="88"/>
        <v>5.2999999999999936E-2</v>
      </c>
      <c r="M6919" s="337"/>
    </row>
    <row r="6920" spans="1:13" s="71" customFormat="1" ht="26.4" customHeight="1">
      <c r="A6920" s="282">
        <v>281</v>
      </c>
      <c r="B6920" s="537"/>
      <c r="C6920" s="441" t="s">
        <v>19</v>
      </c>
      <c r="D6920" s="260" t="s">
        <v>8737</v>
      </c>
      <c r="E6920" s="260" t="s">
        <v>8786</v>
      </c>
      <c r="F6920" s="387">
        <v>648</v>
      </c>
      <c r="G6920" s="443">
        <v>1958</v>
      </c>
      <c r="H6920" s="410" t="s">
        <v>3243</v>
      </c>
      <c r="I6920" s="409" t="s">
        <v>3243</v>
      </c>
      <c r="J6920" s="496">
        <v>0.74199999999999999</v>
      </c>
      <c r="K6920" s="496">
        <v>0.74199999999999999</v>
      </c>
      <c r="L6920" s="496">
        <f t="shared" si="88"/>
        <v>0</v>
      </c>
      <c r="M6920" s="337"/>
    </row>
    <row r="6921" spans="1:13" s="71" customFormat="1" ht="26.4" customHeight="1">
      <c r="A6921" s="282">
        <v>282</v>
      </c>
      <c r="B6921" s="537"/>
      <c r="C6921" s="441" t="s">
        <v>19</v>
      </c>
      <c r="D6921" s="260" t="s">
        <v>8787</v>
      </c>
      <c r="E6921" s="282" t="s">
        <v>2660</v>
      </c>
      <c r="F6921" s="387">
        <v>649</v>
      </c>
      <c r="G6921" s="443">
        <v>1958</v>
      </c>
      <c r="H6921" s="410" t="s">
        <v>3243</v>
      </c>
      <c r="I6921" s="409" t="s">
        <v>3243</v>
      </c>
      <c r="J6921" s="496">
        <v>0.81699999999999995</v>
      </c>
      <c r="K6921" s="496">
        <v>0.76400000000000001</v>
      </c>
      <c r="L6921" s="496">
        <f t="shared" si="88"/>
        <v>5.2999999999999936E-2</v>
      </c>
      <c r="M6921" s="337"/>
    </row>
    <row r="6922" spans="1:13" s="71" customFormat="1" ht="26.4" customHeight="1">
      <c r="A6922" s="282">
        <v>283</v>
      </c>
      <c r="B6922" s="537"/>
      <c r="C6922" s="441" t="s">
        <v>19</v>
      </c>
      <c r="D6922" s="260" t="s">
        <v>8788</v>
      </c>
      <c r="E6922" s="282" t="s">
        <v>2660</v>
      </c>
      <c r="F6922" s="387">
        <v>650</v>
      </c>
      <c r="G6922" s="443">
        <v>1958</v>
      </c>
      <c r="H6922" s="410" t="s">
        <v>3243</v>
      </c>
      <c r="I6922" s="409" t="s">
        <v>3243</v>
      </c>
      <c r="J6922" s="496">
        <v>0.81699999999999995</v>
      </c>
      <c r="K6922" s="496">
        <v>0.76400000000000001</v>
      </c>
      <c r="L6922" s="496">
        <f t="shared" si="88"/>
        <v>5.2999999999999936E-2</v>
      </c>
      <c r="M6922" s="337"/>
    </row>
    <row r="6923" spans="1:13" s="71" customFormat="1" ht="26.4" customHeight="1">
      <c r="A6923" s="282">
        <v>284</v>
      </c>
      <c r="B6923" s="537"/>
      <c r="C6923" s="441" t="s">
        <v>19</v>
      </c>
      <c r="D6923" s="260" t="s">
        <v>8789</v>
      </c>
      <c r="E6923" s="282" t="s">
        <v>2660</v>
      </c>
      <c r="F6923" s="387">
        <v>651</v>
      </c>
      <c r="G6923" s="443">
        <v>1958</v>
      </c>
      <c r="H6923" s="410" t="s">
        <v>3243</v>
      </c>
      <c r="I6923" s="409" t="s">
        <v>3243</v>
      </c>
      <c r="J6923" s="496">
        <v>0.81699999999999995</v>
      </c>
      <c r="K6923" s="496">
        <v>0.76400000000000001</v>
      </c>
      <c r="L6923" s="496">
        <f t="shared" si="88"/>
        <v>5.2999999999999936E-2</v>
      </c>
      <c r="M6923" s="337"/>
    </row>
    <row r="6924" spans="1:13" s="71" customFormat="1" ht="39.6">
      <c r="A6924" s="282">
        <v>285</v>
      </c>
      <c r="B6924" s="537"/>
      <c r="C6924" s="441" t="s">
        <v>19</v>
      </c>
      <c r="D6924" s="260" t="s">
        <v>12814</v>
      </c>
      <c r="E6924" s="282" t="s">
        <v>2660</v>
      </c>
      <c r="F6924" s="387">
        <v>652</v>
      </c>
      <c r="G6924" s="443">
        <v>1958</v>
      </c>
      <c r="H6924" s="410" t="s">
        <v>3243</v>
      </c>
      <c r="I6924" s="409" t="s">
        <v>3243</v>
      </c>
      <c r="J6924" s="496">
        <v>0.81699999999999995</v>
      </c>
      <c r="K6924" s="496">
        <v>0.76400000000000001</v>
      </c>
      <c r="L6924" s="496">
        <f t="shared" si="88"/>
        <v>5.2999999999999936E-2</v>
      </c>
      <c r="M6924" s="337"/>
    </row>
    <row r="6925" spans="1:13" s="71" customFormat="1" ht="26.4" customHeight="1">
      <c r="A6925" s="282">
        <v>286</v>
      </c>
      <c r="B6925" s="537"/>
      <c r="C6925" s="441" t="s">
        <v>19</v>
      </c>
      <c r="D6925" s="260" t="s">
        <v>8790</v>
      </c>
      <c r="E6925" s="282" t="s">
        <v>2660</v>
      </c>
      <c r="F6925" s="387">
        <v>653</v>
      </c>
      <c r="G6925" s="443">
        <v>1958</v>
      </c>
      <c r="H6925" s="410" t="s">
        <v>3243</v>
      </c>
      <c r="I6925" s="409" t="s">
        <v>3243</v>
      </c>
      <c r="J6925" s="496">
        <v>0.81699999999999995</v>
      </c>
      <c r="K6925" s="496">
        <v>0.76400000000000001</v>
      </c>
      <c r="L6925" s="496">
        <f t="shared" si="88"/>
        <v>5.2999999999999936E-2</v>
      </c>
      <c r="M6925" s="337"/>
    </row>
    <row r="6926" spans="1:13" s="71" customFormat="1" ht="26.4" customHeight="1">
      <c r="A6926" s="282">
        <v>287</v>
      </c>
      <c r="B6926" s="537"/>
      <c r="C6926" s="441" t="s">
        <v>19</v>
      </c>
      <c r="D6926" s="260" t="s">
        <v>8791</v>
      </c>
      <c r="E6926" s="282" t="s">
        <v>2660</v>
      </c>
      <c r="F6926" s="387">
        <v>659</v>
      </c>
      <c r="G6926" s="443">
        <v>1952</v>
      </c>
      <c r="H6926" s="410" t="s">
        <v>3243</v>
      </c>
      <c r="I6926" s="409" t="s">
        <v>3243</v>
      </c>
      <c r="J6926" s="496">
        <v>0.72799999999999998</v>
      </c>
      <c r="K6926" s="496">
        <v>0.68100000000000005</v>
      </c>
      <c r="L6926" s="496">
        <f t="shared" si="88"/>
        <v>4.6999999999999931E-2</v>
      </c>
      <c r="M6926" s="337"/>
    </row>
    <row r="6927" spans="1:13" s="71" customFormat="1" ht="26.4" customHeight="1">
      <c r="A6927" s="282">
        <v>288</v>
      </c>
      <c r="B6927" s="537"/>
      <c r="C6927" s="441" t="s">
        <v>19</v>
      </c>
      <c r="D6927" s="260" t="s">
        <v>8792</v>
      </c>
      <c r="E6927" s="282" t="s">
        <v>2660</v>
      </c>
      <c r="F6927" s="387">
        <v>660</v>
      </c>
      <c r="G6927" s="443">
        <v>1952</v>
      </c>
      <c r="H6927" s="410" t="s">
        <v>3243</v>
      </c>
      <c r="I6927" s="409" t="s">
        <v>3243</v>
      </c>
      <c r="J6927" s="496">
        <v>0.72799999999999998</v>
      </c>
      <c r="K6927" s="496">
        <v>0.68100000000000005</v>
      </c>
      <c r="L6927" s="496">
        <f t="shared" si="88"/>
        <v>4.6999999999999931E-2</v>
      </c>
      <c r="M6927" s="337"/>
    </row>
    <row r="6928" spans="1:13" s="71" customFormat="1" ht="26.4" customHeight="1">
      <c r="A6928" s="282">
        <v>289</v>
      </c>
      <c r="B6928" s="537"/>
      <c r="C6928" s="441" t="s">
        <v>19</v>
      </c>
      <c r="D6928" s="260" t="s">
        <v>8793</v>
      </c>
      <c r="E6928" s="282" t="s">
        <v>2660</v>
      </c>
      <c r="F6928" s="387">
        <v>661</v>
      </c>
      <c r="G6928" s="443">
        <v>1952</v>
      </c>
      <c r="H6928" s="410" t="s">
        <v>3243</v>
      </c>
      <c r="I6928" s="409" t="s">
        <v>3243</v>
      </c>
      <c r="J6928" s="496">
        <v>0.72799999999999998</v>
      </c>
      <c r="K6928" s="496">
        <v>0.68100000000000005</v>
      </c>
      <c r="L6928" s="496">
        <f t="shared" si="88"/>
        <v>4.6999999999999931E-2</v>
      </c>
      <c r="M6928" s="337"/>
    </row>
    <row r="6929" spans="1:13" s="71" customFormat="1" ht="26.4" customHeight="1">
      <c r="A6929" s="282">
        <v>290</v>
      </c>
      <c r="B6929" s="537"/>
      <c r="C6929" s="441" t="s">
        <v>19</v>
      </c>
      <c r="D6929" s="260" t="s">
        <v>8794</v>
      </c>
      <c r="E6929" s="282" t="s">
        <v>2660</v>
      </c>
      <c r="F6929" s="387">
        <v>665</v>
      </c>
      <c r="G6929" s="443">
        <v>1959</v>
      </c>
      <c r="H6929" s="410" t="s">
        <v>3243</v>
      </c>
      <c r="I6929" s="409" t="s">
        <v>3243</v>
      </c>
      <c r="J6929" s="496">
        <v>0.66700000000000004</v>
      </c>
      <c r="K6929" s="496">
        <v>0.625</v>
      </c>
      <c r="L6929" s="496">
        <f t="shared" si="88"/>
        <v>4.2000000000000037E-2</v>
      </c>
      <c r="M6929" s="337"/>
    </row>
    <row r="6930" spans="1:13" s="71" customFormat="1" ht="26.4" customHeight="1">
      <c r="A6930" s="282">
        <v>291</v>
      </c>
      <c r="B6930" s="537"/>
      <c r="C6930" s="441" t="s">
        <v>19</v>
      </c>
      <c r="D6930" s="260" t="s">
        <v>8795</v>
      </c>
      <c r="E6930" s="282" t="s">
        <v>2660</v>
      </c>
      <c r="F6930" s="387">
        <v>666</v>
      </c>
      <c r="G6930" s="443">
        <v>1956</v>
      </c>
      <c r="H6930" s="410" t="s">
        <v>3243</v>
      </c>
      <c r="I6930" s="409" t="s">
        <v>3243</v>
      </c>
      <c r="J6930" s="496">
        <v>0.66700000000000004</v>
      </c>
      <c r="K6930" s="496">
        <v>0.625</v>
      </c>
      <c r="L6930" s="496">
        <f t="shared" si="88"/>
        <v>4.2000000000000037E-2</v>
      </c>
      <c r="M6930" s="337"/>
    </row>
    <row r="6931" spans="1:13" s="71" customFormat="1" ht="26.4" customHeight="1">
      <c r="A6931" s="282">
        <v>292</v>
      </c>
      <c r="B6931" s="537"/>
      <c r="C6931" s="441" t="s">
        <v>19</v>
      </c>
      <c r="D6931" s="260" t="s">
        <v>12884</v>
      </c>
      <c r="E6931" s="282" t="s">
        <v>2660</v>
      </c>
      <c r="F6931" s="387">
        <v>667</v>
      </c>
      <c r="G6931" s="443">
        <v>1956</v>
      </c>
      <c r="H6931" s="410" t="s">
        <v>3243</v>
      </c>
      <c r="I6931" s="409" t="s">
        <v>3243</v>
      </c>
      <c r="J6931" s="496">
        <v>0.66700000000000004</v>
      </c>
      <c r="K6931" s="496">
        <v>0.625</v>
      </c>
      <c r="L6931" s="496">
        <f t="shared" si="88"/>
        <v>4.2000000000000037E-2</v>
      </c>
      <c r="M6931" s="337"/>
    </row>
    <row r="6932" spans="1:13" s="71" customFormat="1" ht="26.4" customHeight="1">
      <c r="A6932" s="282">
        <v>293</v>
      </c>
      <c r="B6932" s="537"/>
      <c r="C6932" s="441" t="s">
        <v>19</v>
      </c>
      <c r="D6932" s="260" t="s">
        <v>12815</v>
      </c>
      <c r="E6932" s="282" t="s">
        <v>2660</v>
      </c>
      <c r="F6932" s="387">
        <v>668</v>
      </c>
      <c r="G6932" s="443">
        <v>1956</v>
      </c>
      <c r="H6932" s="410" t="s">
        <v>3243</v>
      </c>
      <c r="I6932" s="409" t="s">
        <v>3243</v>
      </c>
      <c r="J6932" s="496">
        <v>0.66700000000000004</v>
      </c>
      <c r="K6932" s="496">
        <v>0.625</v>
      </c>
      <c r="L6932" s="496">
        <f t="shared" si="88"/>
        <v>4.2000000000000037E-2</v>
      </c>
      <c r="M6932" s="337"/>
    </row>
    <row r="6933" spans="1:13" s="71" customFormat="1" ht="26.4" customHeight="1">
      <c r="A6933" s="282">
        <v>294</v>
      </c>
      <c r="B6933" s="537"/>
      <c r="C6933" s="441" t="s">
        <v>19</v>
      </c>
      <c r="D6933" s="260" t="s">
        <v>8796</v>
      </c>
      <c r="E6933" s="282" t="s">
        <v>2660</v>
      </c>
      <c r="F6933" s="387">
        <v>679</v>
      </c>
      <c r="G6933" s="443">
        <v>1954</v>
      </c>
      <c r="H6933" s="410" t="s">
        <v>3243</v>
      </c>
      <c r="I6933" s="409" t="s">
        <v>3243</v>
      </c>
      <c r="J6933" s="496">
        <v>0.72799999999999998</v>
      </c>
      <c r="K6933" s="496">
        <v>0.68100000000000005</v>
      </c>
      <c r="L6933" s="496">
        <f t="shared" si="88"/>
        <v>4.6999999999999931E-2</v>
      </c>
      <c r="M6933" s="337"/>
    </row>
    <row r="6934" spans="1:13" s="71" customFormat="1" ht="26.4" customHeight="1">
      <c r="A6934" s="282">
        <v>295</v>
      </c>
      <c r="B6934" s="537"/>
      <c r="C6934" s="441" t="s">
        <v>19</v>
      </c>
      <c r="D6934" s="260" t="s">
        <v>8797</v>
      </c>
      <c r="E6934" s="282" t="s">
        <v>2660</v>
      </c>
      <c r="F6934" s="387">
        <v>681</v>
      </c>
      <c r="G6934" s="443">
        <v>1954</v>
      </c>
      <c r="H6934" s="410" t="s">
        <v>3243</v>
      </c>
      <c r="I6934" s="409" t="s">
        <v>3243</v>
      </c>
      <c r="J6934" s="496">
        <v>0.72799999999999998</v>
      </c>
      <c r="K6934" s="496">
        <v>0.68100000000000005</v>
      </c>
      <c r="L6934" s="496">
        <f t="shared" si="88"/>
        <v>4.6999999999999931E-2</v>
      </c>
      <c r="M6934" s="337"/>
    </row>
    <row r="6935" spans="1:13" s="71" customFormat="1" ht="26.4" customHeight="1">
      <c r="A6935" s="282">
        <v>296</v>
      </c>
      <c r="B6935" s="537"/>
      <c r="C6935" s="441" t="s">
        <v>19</v>
      </c>
      <c r="D6935" s="260" t="s">
        <v>8798</v>
      </c>
      <c r="E6935" s="282" t="s">
        <v>2660</v>
      </c>
      <c r="F6935" s="387">
        <v>683</v>
      </c>
      <c r="G6935" s="443">
        <v>1969</v>
      </c>
      <c r="H6935" s="410" t="s">
        <v>3243</v>
      </c>
      <c r="I6935" s="409" t="s">
        <v>3243</v>
      </c>
      <c r="J6935" s="496">
        <v>0.72799999999999998</v>
      </c>
      <c r="K6935" s="496">
        <v>0.68100000000000005</v>
      </c>
      <c r="L6935" s="496">
        <f t="shared" si="88"/>
        <v>4.6999999999999931E-2</v>
      </c>
      <c r="M6935" s="337"/>
    </row>
    <row r="6936" spans="1:13" s="71" customFormat="1" ht="26.4" customHeight="1">
      <c r="A6936" s="282">
        <v>297</v>
      </c>
      <c r="B6936" s="537"/>
      <c r="C6936" s="441" t="s">
        <v>19</v>
      </c>
      <c r="D6936" s="260" t="s">
        <v>8799</v>
      </c>
      <c r="E6936" s="282" t="s">
        <v>2660</v>
      </c>
      <c r="F6936" s="387">
        <v>699</v>
      </c>
      <c r="G6936" s="443">
        <v>2013</v>
      </c>
      <c r="H6936" s="410" t="s">
        <v>3243</v>
      </c>
      <c r="I6936" s="409" t="s">
        <v>3243</v>
      </c>
      <c r="J6936" s="496">
        <v>11.113</v>
      </c>
      <c r="K6936" s="496">
        <v>2.222</v>
      </c>
      <c r="L6936" s="496">
        <f t="shared" si="88"/>
        <v>8.891</v>
      </c>
      <c r="M6936" s="337"/>
    </row>
    <row r="6937" spans="1:13" s="71" customFormat="1" ht="26.4" customHeight="1">
      <c r="A6937" s="282">
        <v>298</v>
      </c>
      <c r="B6937" s="537"/>
      <c r="C6937" s="441" t="s">
        <v>19</v>
      </c>
      <c r="D6937" s="260" t="s">
        <v>8800</v>
      </c>
      <c r="E6937" s="260" t="s">
        <v>8801</v>
      </c>
      <c r="F6937" s="387">
        <v>700</v>
      </c>
      <c r="G6937" s="443">
        <v>1966</v>
      </c>
      <c r="H6937" s="410" t="s">
        <v>5462</v>
      </c>
      <c r="I6937" s="409">
        <v>2064</v>
      </c>
      <c r="J6937" s="496">
        <v>31.443999999999999</v>
      </c>
      <c r="K6937" s="496">
        <v>28.908000000000001</v>
      </c>
      <c r="L6937" s="496">
        <f t="shared" si="88"/>
        <v>2.5359999999999978</v>
      </c>
      <c r="M6937" s="337"/>
    </row>
    <row r="6938" spans="1:13" s="71" customFormat="1" ht="26.4" customHeight="1">
      <c r="A6938" s="282">
        <v>299</v>
      </c>
      <c r="B6938" s="537"/>
      <c r="C6938" s="441" t="s">
        <v>19</v>
      </c>
      <c r="D6938" s="260" t="s">
        <v>8802</v>
      </c>
      <c r="E6938" s="282" t="s">
        <v>2660</v>
      </c>
      <c r="F6938" s="387">
        <v>701</v>
      </c>
      <c r="G6938" s="443">
        <v>2013</v>
      </c>
      <c r="H6938" s="410" t="s">
        <v>3243</v>
      </c>
      <c r="I6938" s="409" t="s">
        <v>3243</v>
      </c>
      <c r="J6938" s="496">
        <v>11.113</v>
      </c>
      <c r="K6938" s="496">
        <v>2.222</v>
      </c>
      <c r="L6938" s="496">
        <f t="shared" si="88"/>
        <v>8.891</v>
      </c>
      <c r="M6938" s="337"/>
    </row>
    <row r="6939" spans="1:13" s="71" customFormat="1" ht="26.4" customHeight="1">
      <c r="A6939" s="282">
        <v>300</v>
      </c>
      <c r="B6939" s="537"/>
      <c r="C6939" s="441" t="s">
        <v>1140</v>
      </c>
      <c r="D6939" s="260" t="s">
        <v>8803</v>
      </c>
      <c r="E6939" s="282" t="s">
        <v>8804</v>
      </c>
      <c r="F6939" s="387">
        <v>702</v>
      </c>
      <c r="G6939" s="443">
        <v>2014</v>
      </c>
      <c r="H6939" s="410" t="s">
        <v>3243</v>
      </c>
      <c r="I6939" s="409" t="s">
        <v>3243</v>
      </c>
      <c r="J6939" s="496">
        <v>10.507</v>
      </c>
      <c r="K6939" s="496">
        <v>1.5760000000000001</v>
      </c>
      <c r="L6939" s="496">
        <f t="shared" si="88"/>
        <v>8.9309999999999992</v>
      </c>
      <c r="M6939" s="337"/>
    </row>
    <row r="6940" spans="1:13" s="71" customFormat="1" ht="39.6">
      <c r="A6940" s="282">
        <v>301</v>
      </c>
      <c r="B6940" s="537"/>
      <c r="C6940" s="441" t="s">
        <v>19</v>
      </c>
      <c r="D6940" s="260" t="s">
        <v>12816</v>
      </c>
      <c r="E6940" s="282" t="s">
        <v>2660</v>
      </c>
      <c r="F6940" s="387">
        <v>703</v>
      </c>
      <c r="G6940" s="443">
        <v>2014</v>
      </c>
      <c r="H6940" s="410" t="s">
        <v>3243</v>
      </c>
      <c r="I6940" s="409" t="s">
        <v>3243</v>
      </c>
      <c r="J6940" s="496">
        <v>10.507</v>
      </c>
      <c r="K6940" s="496">
        <v>1.5409999999999999</v>
      </c>
      <c r="L6940" s="496">
        <f t="shared" si="88"/>
        <v>8.9659999999999993</v>
      </c>
      <c r="M6940" s="337"/>
    </row>
    <row r="6941" spans="1:13" s="71" customFormat="1" ht="26.4" customHeight="1">
      <c r="A6941" s="282">
        <v>302</v>
      </c>
      <c r="B6941" s="537"/>
      <c r="C6941" s="441" t="s">
        <v>19</v>
      </c>
      <c r="D6941" s="260" t="s">
        <v>8805</v>
      </c>
      <c r="E6941" s="282" t="s">
        <v>2660</v>
      </c>
      <c r="F6941" s="387">
        <v>707</v>
      </c>
      <c r="G6941" s="443">
        <v>1957</v>
      </c>
      <c r="H6941" s="410" t="s">
        <v>3243</v>
      </c>
      <c r="I6941" s="409" t="s">
        <v>3243</v>
      </c>
      <c r="J6941" s="496">
        <v>0.78800000000000003</v>
      </c>
      <c r="K6941" s="496">
        <v>0.73799999999999999</v>
      </c>
      <c r="L6941" s="496">
        <f t="shared" si="88"/>
        <v>5.0000000000000044E-2</v>
      </c>
      <c r="M6941" s="337"/>
    </row>
    <row r="6942" spans="1:13" s="71" customFormat="1" ht="26.4" customHeight="1">
      <c r="A6942" s="282">
        <v>303</v>
      </c>
      <c r="B6942" s="537"/>
      <c r="C6942" s="441" t="s">
        <v>19</v>
      </c>
      <c r="D6942" s="260" t="s">
        <v>8806</v>
      </c>
      <c r="E6942" s="282" t="s">
        <v>2660</v>
      </c>
      <c r="F6942" s="387">
        <v>708</v>
      </c>
      <c r="G6942" s="443">
        <v>1957</v>
      </c>
      <c r="H6942" s="410" t="s">
        <v>3243</v>
      </c>
      <c r="I6942" s="409" t="s">
        <v>3243</v>
      </c>
      <c r="J6942" s="496">
        <v>0.78800000000000003</v>
      </c>
      <c r="K6942" s="496">
        <v>0.73799999999999999</v>
      </c>
      <c r="L6942" s="496">
        <f t="shared" si="88"/>
        <v>5.0000000000000044E-2</v>
      </c>
      <c r="M6942" s="337"/>
    </row>
    <row r="6943" spans="1:13" s="71" customFormat="1" ht="26.4" customHeight="1">
      <c r="A6943" s="282">
        <v>304</v>
      </c>
      <c r="B6943" s="537"/>
      <c r="C6943" s="441" t="s">
        <v>19</v>
      </c>
      <c r="D6943" s="260" t="s">
        <v>8807</v>
      </c>
      <c r="E6943" s="282" t="s">
        <v>4540</v>
      </c>
      <c r="F6943" s="387">
        <v>717</v>
      </c>
      <c r="G6943" s="443">
        <v>1986</v>
      </c>
      <c r="H6943" s="410" t="s">
        <v>5462</v>
      </c>
      <c r="I6943" s="409">
        <v>260</v>
      </c>
      <c r="J6943" s="496">
        <v>67</v>
      </c>
      <c r="K6943" s="496">
        <v>11.939</v>
      </c>
      <c r="L6943" s="496">
        <f t="shared" si="88"/>
        <v>55.061</v>
      </c>
      <c r="M6943" s="337"/>
    </row>
    <row r="6944" spans="1:13" s="71" customFormat="1" ht="26.4" customHeight="1">
      <c r="A6944" s="282">
        <v>305</v>
      </c>
      <c r="B6944" s="537"/>
      <c r="C6944" s="441" t="s">
        <v>8604</v>
      </c>
      <c r="D6944" s="260" t="s">
        <v>8808</v>
      </c>
      <c r="E6944" s="282" t="s">
        <v>2660</v>
      </c>
      <c r="F6944" s="387">
        <v>718</v>
      </c>
      <c r="G6944" s="443">
        <v>2014</v>
      </c>
      <c r="H6944" s="410" t="s">
        <v>3243</v>
      </c>
      <c r="I6944" s="409" t="s">
        <v>3243</v>
      </c>
      <c r="J6944" s="496">
        <v>11.468999999999999</v>
      </c>
      <c r="K6944" s="496">
        <v>1.6060000000000001</v>
      </c>
      <c r="L6944" s="496">
        <f t="shared" si="88"/>
        <v>9.8629999999999995</v>
      </c>
      <c r="M6944" s="337"/>
    </row>
    <row r="6945" spans="1:13" s="71" customFormat="1" ht="26.4" customHeight="1">
      <c r="A6945" s="282">
        <v>306</v>
      </c>
      <c r="B6945" s="537"/>
      <c r="C6945" s="441" t="s">
        <v>19</v>
      </c>
      <c r="D6945" s="260" t="s">
        <v>8809</v>
      </c>
      <c r="E6945" s="282" t="s">
        <v>2660</v>
      </c>
      <c r="F6945" s="387">
        <v>721</v>
      </c>
      <c r="G6945" s="443">
        <v>2015</v>
      </c>
      <c r="H6945" s="410" t="s">
        <v>3243</v>
      </c>
      <c r="I6945" s="409" t="s">
        <v>3243</v>
      </c>
      <c r="J6945" s="496">
        <v>15.343999999999999</v>
      </c>
      <c r="K6945" s="496">
        <v>1.7390000000000001</v>
      </c>
      <c r="L6945" s="496">
        <f t="shared" si="88"/>
        <v>13.604999999999999</v>
      </c>
      <c r="M6945" s="337"/>
    </row>
    <row r="6946" spans="1:13" s="71" customFormat="1" ht="26.4" customHeight="1">
      <c r="A6946" s="282">
        <v>307</v>
      </c>
      <c r="B6946" s="537"/>
      <c r="C6946" s="441" t="s">
        <v>19</v>
      </c>
      <c r="D6946" s="260" t="s">
        <v>8809</v>
      </c>
      <c r="E6946" s="282" t="s">
        <v>2660</v>
      </c>
      <c r="F6946" s="387">
        <v>722</v>
      </c>
      <c r="G6946" s="443">
        <v>2015</v>
      </c>
      <c r="H6946" s="410" t="s">
        <v>3243</v>
      </c>
      <c r="I6946" s="409" t="s">
        <v>3243</v>
      </c>
      <c r="J6946" s="496">
        <v>15.343999999999999</v>
      </c>
      <c r="K6946" s="496">
        <v>1.7390000000000001</v>
      </c>
      <c r="L6946" s="496">
        <f t="shared" si="88"/>
        <v>13.604999999999999</v>
      </c>
      <c r="M6946" s="337"/>
    </row>
    <row r="6947" spans="1:13" s="71" customFormat="1" ht="26.4" customHeight="1">
      <c r="A6947" s="282">
        <v>308</v>
      </c>
      <c r="B6947" s="537"/>
      <c r="C6947" s="441" t="s">
        <v>19</v>
      </c>
      <c r="D6947" s="260" t="s">
        <v>8810</v>
      </c>
      <c r="E6947" s="282" t="s">
        <v>2660</v>
      </c>
      <c r="F6947" s="387">
        <v>727</v>
      </c>
      <c r="G6947" s="443">
        <v>1956</v>
      </c>
      <c r="H6947" s="410" t="s">
        <v>3243</v>
      </c>
      <c r="I6947" s="409" t="s">
        <v>3243</v>
      </c>
      <c r="J6947" s="496">
        <v>0.60199999999999998</v>
      </c>
      <c r="K6947" s="496">
        <v>0.217</v>
      </c>
      <c r="L6947" s="496">
        <f t="shared" si="88"/>
        <v>0.38500000000000001</v>
      </c>
      <c r="M6947" s="337"/>
    </row>
    <row r="6948" spans="1:13" s="71" customFormat="1" ht="26.4" customHeight="1">
      <c r="A6948" s="282">
        <v>309</v>
      </c>
      <c r="B6948" s="537"/>
      <c r="C6948" s="441" t="s">
        <v>19</v>
      </c>
      <c r="D6948" s="260" t="s">
        <v>8811</v>
      </c>
      <c r="E6948" s="282" t="s">
        <v>2660</v>
      </c>
      <c r="F6948" s="387">
        <v>728</v>
      </c>
      <c r="G6948" s="443">
        <v>1956</v>
      </c>
      <c r="H6948" s="410" t="s">
        <v>3243</v>
      </c>
      <c r="I6948" s="409" t="s">
        <v>3243</v>
      </c>
      <c r="J6948" s="496">
        <v>0.60199999999999998</v>
      </c>
      <c r="K6948" s="496">
        <v>0.217</v>
      </c>
      <c r="L6948" s="496">
        <f t="shared" si="88"/>
        <v>0.38500000000000001</v>
      </c>
      <c r="M6948" s="337"/>
    </row>
    <row r="6949" spans="1:13" s="71" customFormat="1" ht="26.4" customHeight="1">
      <c r="A6949" s="282">
        <v>310</v>
      </c>
      <c r="B6949" s="537"/>
      <c r="C6949" s="441" t="s">
        <v>19</v>
      </c>
      <c r="D6949" s="260" t="s">
        <v>8812</v>
      </c>
      <c r="E6949" s="282" t="s">
        <v>2660</v>
      </c>
      <c r="F6949" s="387">
        <v>729</v>
      </c>
      <c r="G6949" s="443">
        <v>1956</v>
      </c>
      <c r="H6949" s="410" t="s">
        <v>3243</v>
      </c>
      <c r="I6949" s="409" t="s">
        <v>3243</v>
      </c>
      <c r="J6949" s="496">
        <v>0.60199999999999998</v>
      </c>
      <c r="K6949" s="496">
        <v>0.217</v>
      </c>
      <c r="L6949" s="496">
        <f t="shared" si="88"/>
        <v>0.38500000000000001</v>
      </c>
      <c r="M6949" s="337"/>
    </row>
    <row r="6950" spans="1:13" s="71" customFormat="1" ht="26.4" customHeight="1">
      <c r="A6950" s="282">
        <v>311</v>
      </c>
      <c r="B6950" s="537"/>
      <c r="C6950" s="441" t="s">
        <v>19</v>
      </c>
      <c r="D6950" s="260" t="s">
        <v>8813</v>
      </c>
      <c r="E6950" s="282" t="s">
        <v>2660</v>
      </c>
      <c r="F6950" s="387">
        <v>730</v>
      </c>
      <c r="G6950" s="443">
        <v>1956</v>
      </c>
      <c r="H6950" s="410" t="s">
        <v>3243</v>
      </c>
      <c r="I6950" s="409" t="s">
        <v>3243</v>
      </c>
      <c r="J6950" s="496">
        <v>0.60199999999999998</v>
      </c>
      <c r="K6950" s="496">
        <v>0.217</v>
      </c>
      <c r="L6950" s="496">
        <f t="shared" si="88"/>
        <v>0.38500000000000001</v>
      </c>
      <c r="M6950" s="337"/>
    </row>
    <row r="6951" spans="1:13" s="71" customFormat="1" ht="26.4" customHeight="1">
      <c r="A6951" s="282">
        <v>312</v>
      </c>
      <c r="B6951" s="537"/>
      <c r="C6951" s="441" t="s">
        <v>19</v>
      </c>
      <c r="D6951" s="260" t="s">
        <v>8814</v>
      </c>
      <c r="E6951" s="282" t="s">
        <v>2660</v>
      </c>
      <c r="F6951" s="387">
        <v>731</v>
      </c>
      <c r="G6951" s="443">
        <v>1956</v>
      </c>
      <c r="H6951" s="410" t="s">
        <v>3243</v>
      </c>
      <c r="I6951" s="409" t="s">
        <v>3243</v>
      </c>
      <c r="J6951" s="496">
        <v>0.60199999999999998</v>
      </c>
      <c r="K6951" s="496">
        <v>0.217</v>
      </c>
      <c r="L6951" s="496">
        <f t="shared" si="88"/>
        <v>0.38500000000000001</v>
      </c>
      <c r="M6951" s="337"/>
    </row>
    <row r="6952" spans="1:13" s="71" customFormat="1" ht="26.4" customHeight="1">
      <c r="A6952" s="282">
        <v>313</v>
      </c>
      <c r="B6952" s="537"/>
      <c r="C6952" s="441" t="s">
        <v>19</v>
      </c>
      <c r="D6952" s="260" t="s">
        <v>8815</v>
      </c>
      <c r="E6952" s="282" t="s">
        <v>2660</v>
      </c>
      <c r="F6952" s="387">
        <v>732</v>
      </c>
      <c r="G6952" s="443">
        <v>1956</v>
      </c>
      <c r="H6952" s="410" t="s">
        <v>3243</v>
      </c>
      <c r="I6952" s="409" t="s">
        <v>3243</v>
      </c>
      <c r="J6952" s="496">
        <v>0.60199999999999998</v>
      </c>
      <c r="K6952" s="496">
        <v>0.217</v>
      </c>
      <c r="L6952" s="496">
        <f t="shared" si="88"/>
        <v>0.38500000000000001</v>
      </c>
      <c r="M6952" s="337"/>
    </row>
    <row r="6953" spans="1:13" s="71" customFormat="1" ht="26.4" customHeight="1">
      <c r="A6953" s="282">
        <v>314</v>
      </c>
      <c r="B6953" s="537"/>
      <c r="C6953" s="441" t="s">
        <v>19</v>
      </c>
      <c r="D6953" s="260" t="s">
        <v>8816</v>
      </c>
      <c r="E6953" s="282" t="s">
        <v>2660</v>
      </c>
      <c r="F6953" s="387">
        <v>733</v>
      </c>
      <c r="G6953" s="443">
        <v>1956</v>
      </c>
      <c r="H6953" s="410" t="s">
        <v>3243</v>
      </c>
      <c r="I6953" s="409" t="s">
        <v>3243</v>
      </c>
      <c r="J6953" s="496">
        <v>0.60199999999999998</v>
      </c>
      <c r="K6953" s="496">
        <v>0.217</v>
      </c>
      <c r="L6953" s="496">
        <f t="shared" si="88"/>
        <v>0.38500000000000001</v>
      </c>
      <c r="M6953" s="337"/>
    </row>
    <row r="6954" spans="1:13" s="71" customFormat="1" ht="26.4" customHeight="1">
      <c r="A6954" s="282">
        <v>315</v>
      </c>
      <c r="B6954" s="537"/>
      <c r="C6954" s="441" t="s">
        <v>19</v>
      </c>
      <c r="D6954" s="260" t="s">
        <v>8737</v>
      </c>
      <c r="E6954" s="282" t="s">
        <v>8817</v>
      </c>
      <c r="F6954" s="387">
        <v>734</v>
      </c>
      <c r="G6954" s="443">
        <v>1956</v>
      </c>
      <c r="H6954" s="410" t="s">
        <v>3243</v>
      </c>
      <c r="I6954" s="409" t="s">
        <v>3243</v>
      </c>
      <c r="J6954" s="496">
        <v>0.60199999999999998</v>
      </c>
      <c r="K6954" s="496">
        <v>0.217</v>
      </c>
      <c r="L6954" s="496">
        <f t="shared" si="88"/>
        <v>0.38500000000000001</v>
      </c>
      <c r="M6954" s="337"/>
    </row>
    <row r="6955" spans="1:13" s="71" customFormat="1" ht="26.4" customHeight="1">
      <c r="A6955" s="282">
        <v>316</v>
      </c>
      <c r="B6955" s="537"/>
      <c r="C6955" s="441" t="s">
        <v>19</v>
      </c>
      <c r="D6955" s="260" t="s">
        <v>8737</v>
      </c>
      <c r="E6955" s="282" t="s">
        <v>8620</v>
      </c>
      <c r="F6955" s="387">
        <v>735</v>
      </c>
      <c r="G6955" s="443">
        <v>1956</v>
      </c>
      <c r="H6955" s="410" t="s">
        <v>3243</v>
      </c>
      <c r="I6955" s="409" t="s">
        <v>3243</v>
      </c>
      <c r="J6955" s="496">
        <v>0.60199999999999998</v>
      </c>
      <c r="K6955" s="496">
        <v>0.217</v>
      </c>
      <c r="L6955" s="496">
        <f t="shared" si="88"/>
        <v>0.38500000000000001</v>
      </c>
      <c r="M6955" s="337"/>
    </row>
    <row r="6956" spans="1:13" s="71" customFormat="1" ht="26.4" customHeight="1">
      <c r="A6956" s="282">
        <v>317</v>
      </c>
      <c r="B6956" s="537"/>
      <c r="C6956" s="441" t="s">
        <v>19</v>
      </c>
      <c r="D6956" s="260" t="s">
        <v>8818</v>
      </c>
      <c r="E6956" s="282" t="s">
        <v>2660</v>
      </c>
      <c r="F6956" s="387">
        <v>736</v>
      </c>
      <c r="G6956" s="443">
        <v>1956</v>
      </c>
      <c r="H6956" s="410" t="s">
        <v>3243</v>
      </c>
      <c r="I6956" s="409" t="s">
        <v>3243</v>
      </c>
      <c r="J6956" s="496">
        <v>0.60199999999999998</v>
      </c>
      <c r="K6956" s="496">
        <v>0.217</v>
      </c>
      <c r="L6956" s="496">
        <f t="shared" si="88"/>
        <v>0.38500000000000001</v>
      </c>
      <c r="M6956" s="337"/>
    </row>
    <row r="6957" spans="1:13" s="71" customFormat="1" ht="26.4" customHeight="1">
      <c r="A6957" s="282">
        <v>318</v>
      </c>
      <c r="B6957" s="537"/>
      <c r="C6957" s="441" t="s">
        <v>19</v>
      </c>
      <c r="D6957" s="260" t="s">
        <v>8819</v>
      </c>
      <c r="E6957" s="282" t="s">
        <v>2660</v>
      </c>
      <c r="F6957" s="387">
        <v>737</v>
      </c>
      <c r="G6957" s="443">
        <v>1956</v>
      </c>
      <c r="H6957" s="410" t="s">
        <v>3243</v>
      </c>
      <c r="I6957" s="409" t="s">
        <v>3243</v>
      </c>
      <c r="J6957" s="496">
        <v>0.60199999999999998</v>
      </c>
      <c r="K6957" s="496">
        <v>0.217</v>
      </c>
      <c r="L6957" s="496">
        <f t="shared" ref="L6957:L7020" si="89">J6957-K6957</f>
        <v>0.38500000000000001</v>
      </c>
      <c r="M6957" s="337"/>
    </row>
    <row r="6958" spans="1:13" s="71" customFormat="1" ht="26.4" customHeight="1">
      <c r="A6958" s="282">
        <v>319</v>
      </c>
      <c r="B6958" s="537"/>
      <c r="C6958" s="441" t="s">
        <v>19</v>
      </c>
      <c r="D6958" s="260" t="s">
        <v>8737</v>
      </c>
      <c r="E6958" s="282" t="s">
        <v>2660</v>
      </c>
      <c r="F6958" s="387">
        <v>739</v>
      </c>
      <c r="G6958" s="443">
        <v>1956</v>
      </c>
      <c r="H6958" s="410" t="s">
        <v>3243</v>
      </c>
      <c r="I6958" s="409" t="s">
        <v>3243</v>
      </c>
      <c r="J6958" s="496">
        <v>0.60199999999999998</v>
      </c>
      <c r="K6958" s="496">
        <v>0.217</v>
      </c>
      <c r="L6958" s="496">
        <f t="shared" si="89"/>
        <v>0.38500000000000001</v>
      </c>
      <c r="M6958" s="337"/>
    </row>
    <row r="6959" spans="1:13" s="71" customFormat="1" ht="26.4" customHeight="1">
      <c r="A6959" s="282">
        <v>320</v>
      </c>
      <c r="B6959" s="537"/>
      <c r="C6959" s="441" t="s">
        <v>19</v>
      </c>
      <c r="D6959" s="260" t="s">
        <v>8820</v>
      </c>
      <c r="E6959" s="282" t="s">
        <v>2660</v>
      </c>
      <c r="F6959" s="387">
        <v>738</v>
      </c>
      <c r="G6959" s="443">
        <v>1956</v>
      </c>
      <c r="H6959" s="410" t="s">
        <v>3243</v>
      </c>
      <c r="I6959" s="409" t="s">
        <v>3243</v>
      </c>
      <c r="J6959" s="496">
        <v>0.60199999999999998</v>
      </c>
      <c r="K6959" s="496">
        <v>0.217</v>
      </c>
      <c r="L6959" s="496">
        <f t="shared" si="89"/>
        <v>0.38500000000000001</v>
      </c>
      <c r="M6959" s="337"/>
    </row>
    <row r="6960" spans="1:13" s="71" customFormat="1" ht="26.4" customHeight="1">
      <c r="A6960" s="282">
        <v>321</v>
      </c>
      <c r="B6960" s="537"/>
      <c r="C6960" s="441" t="s">
        <v>19</v>
      </c>
      <c r="D6960" s="260" t="s">
        <v>8737</v>
      </c>
      <c r="E6960" s="260" t="s">
        <v>8620</v>
      </c>
      <c r="F6960" s="387">
        <v>740</v>
      </c>
      <c r="G6960" s="443">
        <v>1956</v>
      </c>
      <c r="H6960" s="410" t="s">
        <v>3243</v>
      </c>
      <c r="I6960" s="409" t="s">
        <v>3243</v>
      </c>
      <c r="J6960" s="496">
        <v>0.60199999999999998</v>
      </c>
      <c r="K6960" s="496">
        <v>0.217</v>
      </c>
      <c r="L6960" s="496">
        <f t="shared" si="89"/>
        <v>0.38500000000000001</v>
      </c>
      <c r="M6960" s="337"/>
    </row>
    <row r="6961" spans="1:13" s="332" customFormat="1" ht="26.4" customHeight="1">
      <c r="A6961" s="445">
        <v>322</v>
      </c>
      <c r="B6961" s="537"/>
      <c r="C6961" s="440" t="s">
        <v>19</v>
      </c>
      <c r="D6961" s="440" t="s">
        <v>8821</v>
      </c>
      <c r="E6961" s="282" t="s">
        <v>2660</v>
      </c>
      <c r="F6961" s="442">
        <v>741</v>
      </c>
      <c r="G6961" s="443">
        <v>1956</v>
      </c>
      <c r="H6961" s="410" t="s">
        <v>3243</v>
      </c>
      <c r="I6961" s="409" t="s">
        <v>3243</v>
      </c>
      <c r="J6961" s="496">
        <v>0.60199999999999998</v>
      </c>
      <c r="K6961" s="496">
        <v>0.217</v>
      </c>
      <c r="L6961" s="496">
        <f t="shared" si="89"/>
        <v>0.38500000000000001</v>
      </c>
      <c r="M6961" s="331"/>
    </row>
    <row r="6962" spans="1:13" s="71" customFormat="1" ht="26.4" customHeight="1">
      <c r="A6962" s="282">
        <v>323</v>
      </c>
      <c r="B6962" s="537"/>
      <c r="C6962" s="441" t="s">
        <v>19</v>
      </c>
      <c r="D6962" s="260" t="s">
        <v>12817</v>
      </c>
      <c r="E6962" s="282" t="s">
        <v>2660</v>
      </c>
      <c r="F6962" s="387">
        <v>742</v>
      </c>
      <c r="G6962" s="443">
        <v>1956</v>
      </c>
      <c r="H6962" s="410" t="s">
        <v>3243</v>
      </c>
      <c r="I6962" s="409" t="s">
        <v>3243</v>
      </c>
      <c r="J6962" s="496">
        <v>0.60199999999999998</v>
      </c>
      <c r="K6962" s="496">
        <v>0.217</v>
      </c>
      <c r="L6962" s="496">
        <f t="shared" si="89"/>
        <v>0.38500000000000001</v>
      </c>
      <c r="M6962" s="337"/>
    </row>
    <row r="6963" spans="1:13" s="71" customFormat="1" ht="26.4" customHeight="1">
      <c r="A6963" s="282">
        <v>324</v>
      </c>
      <c r="B6963" s="537"/>
      <c r="C6963" s="441" t="s">
        <v>19</v>
      </c>
      <c r="D6963" s="260" t="s">
        <v>8822</v>
      </c>
      <c r="E6963" s="282" t="s">
        <v>2660</v>
      </c>
      <c r="F6963" s="387">
        <v>743</v>
      </c>
      <c r="G6963" s="443">
        <v>1956</v>
      </c>
      <c r="H6963" s="410" t="s">
        <v>3243</v>
      </c>
      <c r="I6963" s="409" t="s">
        <v>3243</v>
      </c>
      <c r="J6963" s="496">
        <v>0.60199999999999998</v>
      </c>
      <c r="K6963" s="496">
        <v>0.217</v>
      </c>
      <c r="L6963" s="496">
        <f t="shared" si="89"/>
        <v>0.38500000000000001</v>
      </c>
      <c r="M6963" s="337"/>
    </row>
    <row r="6964" spans="1:13" s="71" customFormat="1" ht="26.4" customHeight="1">
      <c r="A6964" s="282">
        <v>325</v>
      </c>
      <c r="B6964" s="537"/>
      <c r="C6964" s="441" t="s">
        <v>19</v>
      </c>
      <c r="D6964" s="260" t="s">
        <v>8823</v>
      </c>
      <c r="E6964" s="282" t="s">
        <v>2660</v>
      </c>
      <c r="F6964" s="387">
        <v>744</v>
      </c>
      <c r="G6964" s="443">
        <v>1956</v>
      </c>
      <c r="H6964" s="410" t="s">
        <v>3243</v>
      </c>
      <c r="I6964" s="409" t="s">
        <v>3243</v>
      </c>
      <c r="J6964" s="496">
        <v>0.60199999999999998</v>
      </c>
      <c r="K6964" s="496">
        <v>0.217</v>
      </c>
      <c r="L6964" s="496">
        <f t="shared" si="89"/>
        <v>0.38500000000000001</v>
      </c>
      <c r="M6964" s="337"/>
    </row>
    <row r="6965" spans="1:13" s="71" customFormat="1" ht="26.4" customHeight="1">
      <c r="A6965" s="282">
        <v>326</v>
      </c>
      <c r="B6965" s="537"/>
      <c r="C6965" s="441" t="s">
        <v>19</v>
      </c>
      <c r="D6965" s="260" t="s">
        <v>8824</v>
      </c>
      <c r="E6965" s="282" t="s">
        <v>2660</v>
      </c>
      <c r="F6965" s="387">
        <v>745</v>
      </c>
      <c r="G6965" s="443">
        <v>1956</v>
      </c>
      <c r="H6965" s="410" t="s">
        <v>3243</v>
      </c>
      <c r="I6965" s="409" t="s">
        <v>3243</v>
      </c>
      <c r="J6965" s="496">
        <v>0.60199999999999998</v>
      </c>
      <c r="K6965" s="496">
        <v>0.217</v>
      </c>
      <c r="L6965" s="496">
        <f t="shared" si="89"/>
        <v>0.38500000000000001</v>
      </c>
      <c r="M6965" s="337"/>
    </row>
    <row r="6966" spans="1:13" s="71" customFormat="1" ht="26.4" customHeight="1">
      <c r="A6966" s="282">
        <v>327</v>
      </c>
      <c r="B6966" s="537"/>
      <c r="C6966" s="441" t="s">
        <v>19</v>
      </c>
      <c r="D6966" s="260" t="s">
        <v>8825</v>
      </c>
      <c r="E6966" s="282" t="s">
        <v>2660</v>
      </c>
      <c r="F6966" s="387">
        <v>746</v>
      </c>
      <c r="G6966" s="443">
        <v>1956</v>
      </c>
      <c r="H6966" s="410" t="s">
        <v>3243</v>
      </c>
      <c r="I6966" s="409" t="s">
        <v>3243</v>
      </c>
      <c r="J6966" s="496">
        <v>0.60199999999999998</v>
      </c>
      <c r="K6966" s="496">
        <v>0.217</v>
      </c>
      <c r="L6966" s="496">
        <f t="shared" si="89"/>
        <v>0.38500000000000001</v>
      </c>
      <c r="M6966" s="337"/>
    </row>
    <row r="6967" spans="1:13" s="71" customFormat="1" ht="26.4" customHeight="1">
      <c r="A6967" s="282">
        <v>328</v>
      </c>
      <c r="B6967" s="537"/>
      <c r="C6967" s="441" t="s">
        <v>19</v>
      </c>
      <c r="D6967" s="287" t="s">
        <v>13362</v>
      </c>
      <c r="E6967" s="282" t="s">
        <v>2660</v>
      </c>
      <c r="F6967" s="387">
        <v>747</v>
      </c>
      <c r="G6967" s="443">
        <v>1956</v>
      </c>
      <c r="H6967" s="410" t="s">
        <v>3243</v>
      </c>
      <c r="I6967" s="409" t="s">
        <v>3243</v>
      </c>
      <c r="J6967" s="496">
        <v>0.60199999999999998</v>
      </c>
      <c r="K6967" s="496">
        <v>0.217</v>
      </c>
      <c r="L6967" s="496">
        <f t="shared" si="89"/>
        <v>0.38500000000000001</v>
      </c>
      <c r="M6967" s="337"/>
    </row>
    <row r="6968" spans="1:13" s="71" customFormat="1" ht="26.4" customHeight="1">
      <c r="A6968" s="282">
        <v>329</v>
      </c>
      <c r="B6968" s="537"/>
      <c r="C6968" s="441" t="s">
        <v>19</v>
      </c>
      <c r="D6968" s="287" t="s">
        <v>13363</v>
      </c>
      <c r="E6968" s="282" t="s">
        <v>2660</v>
      </c>
      <c r="F6968" s="387">
        <v>748</v>
      </c>
      <c r="G6968" s="443">
        <v>1956</v>
      </c>
      <c r="H6968" s="410" t="s">
        <v>3243</v>
      </c>
      <c r="I6968" s="409" t="s">
        <v>3243</v>
      </c>
      <c r="J6968" s="496">
        <v>0.60199999999999998</v>
      </c>
      <c r="K6968" s="496">
        <v>0.217</v>
      </c>
      <c r="L6968" s="496">
        <f t="shared" si="89"/>
        <v>0.38500000000000001</v>
      </c>
      <c r="M6968" s="337"/>
    </row>
    <row r="6969" spans="1:13" s="71" customFormat="1" ht="26.4" customHeight="1">
      <c r="A6969" s="282">
        <v>330</v>
      </c>
      <c r="B6969" s="537"/>
      <c r="C6969" s="441" t="s">
        <v>13399</v>
      </c>
      <c r="D6969" s="260" t="s">
        <v>8826</v>
      </c>
      <c r="E6969" s="282" t="s">
        <v>2660</v>
      </c>
      <c r="F6969" s="387">
        <v>750</v>
      </c>
      <c r="G6969" s="443">
        <v>1956</v>
      </c>
      <c r="H6969" s="410" t="s">
        <v>3243</v>
      </c>
      <c r="I6969" s="409" t="s">
        <v>3243</v>
      </c>
      <c r="J6969" s="496">
        <v>0.60199999999999998</v>
      </c>
      <c r="K6969" s="496">
        <v>0.217</v>
      </c>
      <c r="L6969" s="496">
        <f t="shared" si="89"/>
        <v>0.38500000000000001</v>
      </c>
      <c r="M6969" s="337"/>
    </row>
    <row r="6970" spans="1:13" s="71" customFormat="1" ht="26.4" customHeight="1">
      <c r="A6970" s="282">
        <v>331</v>
      </c>
      <c r="B6970" s="537"/>
      <c r="C6970" s="441" t="s">
        <v>8604</v>
      </c>
      <c r="D6970" s="260" t="s">
        <v>8827</v>
      </c>
      <c r="E6970" s="282" t="s">
        <v>2660</v>
      </c>
      <c r="F6970" s="387">
        <v>751</v>
      </c>
      <c r="G6970" s="443">
        <v>1956</v>
      </c>
      <c r="H6970" s="410" t="s">
        <v>3243</v>
      </c>
      <c r="I6970" s="409" t="s">
        <v>3243</v>
      </c>
      <c r="J6970" s="496">
        <v>0.60199999999999998</v>
      </c>
      <c r="K6970" s="496">
        <v>0.217</v>
      </c>
      <c r="L6970" s="496">
        <f t="shared" si="89"/>
        <v>0.38500000000000001</v>
      </c>
      <c r="M6970" s="337"/>
    </row>
    <row r="6971" spans="1:13" s="71" customFormat="1" ht="26.4" customHeight="1">
      <c r="A6971" s="282">
        <v>332</v>
      </c>
      <c r="B6971" s="537"/>
      <c r="C6971" s="441" t="s">
        <v>8604</v>
      </c>
      <c r="D6971" s="260" t="s">
        <v>8828</v>
      </c>
      <c r="E6971" s="282" t="s">
        <v>2660</v>
      </c>
      <c r="F6971" s="387">
        <v>752</v>
      </c>
      <c r="G6971" s="443">
        <v>1956</v>
      </c>
      <c r="H6971" s="410" t="s">
        <v>3243</v>
      </c>
      <c r="I6971" s="409" t="s">
        <v>3243</v>
      </c>
      <c r="J6971" s="496">
        <v>0.60199999999999998</v>
      </c>
      <c r="K6971" s="496">
        <v>0.217</v>
      </c>
      <c r="L6971" s="496">
        <f t="shared" si="89"/>
        <v>0.38500000000000001</v>
      </c>
      <c r="M6971" s="337"/>
    </row>
    <row r="6972" spans="1:13" s="71" customFormat="1" ht="26.4" customHeight="1">
      <c r="A6972" s="282">
        <v>333</v>
      </c>
      <c r="B6972" s="537"/>
      <c r="C6972" s="441" t="s">
        <v>8604</v>
      </c>
      <c r="D6972" s="260" t="s">
        <v>8829</v>
      </c>
      <c r="E6972" s="282" t="s">
        <v>2660</v>
      </c>
      <c r="F6972" s="387">
        <v>754</v>
      </c>
      <c r="G6972" s="443">
        <v>1956</v>
      </c>
      <c r="H6972" s="410" t="s">
        <v>3243</v>
      </c>
      <c r="I6972" s="409" t="s">
        <v>3243</v>
      </c>
      <c r="J6972" s="496">
        <v>0.60199999999999998</v>
      </c>
      <c r="K6972" s="496">
        <v>0.217</v>
      </c>
      <c r="L6972" s="496">
        <f t="shared" si="89"/>
        <v>0.38500000000000001</v>
      </c>
      <c r="M6972" s="337"/>
    </row>
    <row r="6973" spans="1:13" s="71" customFormat="1" ht="26.4" customHeight="1">
      <c r="A6973" s="282">
        <v>334</v>
      </c>
      <c r="B6973" s="537"/>
      <c r="C6973" s="441" t="s">
        <v>8604</v>
      </c>
      <c r="D6973" s="260" t="s">
        <v>8830</v>
      </c>
      <c r="E6973" s="282" t="s">
        <v>2660</v>
      </c>
      <c r="F6973" s="387">
        <v>755</v>
      </c>
      <c r="G6973" s="443">
        <v>1956</v>
      </c>
      <c r="H6973" s="410" t="s">
        <v>3243</v>
      </c>
      <c r="I6973" s="409" t="s">
        <v>3243</v>
      </c>
      <c r="J6973" s="496">
        <v>0.60199999999999998</v>
      </c>
      <c r="K6973" s="496">
        <v>0.217</v>
      </c>
      <c r="L6973" s="496">
        <f t="shared" si="89"/>
        <v>0.38500000000000001</v>
      </c>
      <c r="M6973" s="337"/>
    </row>
    <row r="6974" spans="1:13" s="71" customFormat="1" ht="26.4" customHeight="1">
      <c r="A6974" s="282">
        <v>335</v>
      </c>
      <c r="B6974" s="537"/>
      <c r="C6974" s="441" t="s">
        <v>8604</v>
      </c>
      <c r="D6974" s="260" t="s">
        <v>8831</v>
      </c>
      <c r="E6974" s="282" t="s">
        <v>8522</v>
      </c>
      <c r="F6974" s="387">
        <v>818</v>
      </c>
      <c r="G6974" s="443">
        <v>1973</v>
      </c>
      <c r="H6974" s="410" t="s">
        <v>5462</v>
      </c>
      <c r="I6974" s="409">
        <v>500</v>
      </c>
      <c r="J6974" s="496">
        <v>0.81100000000000005</v>
      </c>
      <c r="K6974" s="496">
        <v>0.75900000000000001</v>
      </c>
      <c r="L6974" s="496">
        <f t="shared" si="89"/>
        <v>5.2000000000000046E-2</v>
      </c>
      <c r="M6974" s="337"/>
    </row>
    <row r="6975" spans="1:13" s="71" customFormat="1" ht="26.4" customHeight="1">
      <c r="A6975" s="282">
        <v>336</v>
      </c>
      <c r="B6975" s="537"/>
      <c r="C6975" s="441" t="s">
        <v>8604</v>
      </c>
      <c r="D6975" s="260" t="s">
        <v>8832</v>
      </c>
      <c r="E6975" s="260" t="s">
        <v>8833</v>
      </c>
      <c r="F6975" s="387">
        <v>819</v>
      </c>
      <c r="G6975" s="443">
        <v>1973</v>
      </c>
      <c r="H6975" s="410" t="s">
        <v>5462</v>
      </c>
      <c r="I6975" s="409">
        <v>4700</v>
      </c>
      <c r="J6975" s="496">
        <v>116.18</v>
      </c>
      <c r="K6975" s="496">
        <v>108.809</v>
      </c>
      <c r="L6975" s="496">
        <f t="shared" si="89"/>
        <v>7.3710000000000093</v>
      </c>
      <c r="M6975" s="337"/>
    </row>
    <row r="6976" spans="1:13" s="71" customFormat="1" ht="26.4" customHeight="1">
      <c r="A6976" s="282">
        <v>337</v>
      </c>
      <c r="B6976" s="537"/>
      <c r="C6976" s="441" t="s">
        <v>8604</v>
      </c>
      <c r="D6976" s="260" t="s">
        <v>8834</v>
      </c>
      <c r="E6976" s="282" t="s">
        <v>8522</v>
      </c>
      <c r="F6976" s="387">
        <v>850</v>
      </c>
      <c r="G6976" s="443">
        <v>1975</v>
      </c>
      <c r="H6976" s="410" t="s">
        <v>5462</v>
      </c>
      <c r="I6976" s="409">
        <v>200</v>
      </c>
      <c r="J6976" s="496">
        <v>6.41</v>
      </c>
      <c r="K6976" s="496">
        <v>6.0039999999999996</v>
      </c>
      <c r="L6976" s="496">
        <f t="shared" si="89"/>
        <v>0.40600000000000058</v>
      </c>
      <c r="M6976" s="337"/>
    </row>
    <row r="6977" spans="1:13" s="71" customFormat="1" ht="26.4" customHeight="1">
      <c r="A6977" s="282">
        <v>338</v>
      </c>
      <c r="B6977" s="537"/>
      <c r="C6977" s="441" t="s">
        <v>19</v>
      </c>
      <c r="D6977" s="260" t="s">
        <v>8835</v>
      </c>
      <c r="E6977" s="282" t="s">
        <v>8492</v>
      </c>
      <c r="F6977" s="387">
        <v>867</v>
      </c>
      <c r="G6977" s="443">
        <v>1973</v>
      </c>
      <c r="H6977" s="410" t="s">
        <v>5462</v>
      </c>
      <c r="I6977" s="409">
        <v>179</v>
      </c>
      <c r="J6977" s="496">
        <v>4.7210000000000001</v>
      </c>
      <c r="K6977" s="496">
        <v>4.4169999999999998</v>
      </c>
      <c r="L6977" s="496">
        <f t="shared" si="89"/>
        <v>0.30400000000000027</v>
      </c>
      <c r="M6977" s="337"/>
    </row>
    <row r="6978" spans="1:13" s="71" customFormat="1" ht="52.8">
      <c r="A6978" s="282">
        <v>339</v>
      </c>
      <c r="B6978" s="537"/>
      <c r="C6978" s="441" t="s">
        <v>1140</v>
      </c>
      <c r="D6978" s="260" t="s">
        <v>8836</v>
      </c>
      <c r="E6978" s="282" t="s">
        <v>4540</v>
      </c>
      <c r="F6978" s="387">
        <v>868</v>
      </c>
      <c r="G6978" s="443">
        <v>1966</v>
      </c>
      <c r="H6978" s="410" t="s">
        <v>5462</v>
      </c>
      <c r="I6978" s="409">
        <v>40600</v>
      </c>
      <c r="J6978" s="496">
        <v>65.575999999999993</v>
      </c>
      <c r="K6978" s="496">
        <v>54.692999999999998</v>
      </c>
      <c r="L6978" s="496">
        <f t="shared" si="89"/>
        <v>10.882999999999996</v>
      </c>
      <c r="M6978" s="337"/>
    </row>
    <row r="6979" spans="1:13" s="71" customFormat="1" ht="26.4" customHeight="1">
      <c r="A6979" s="282">
        <v>340</v>
      </c>
      <c r="B6979" s="537"/>
      <c r="C6979" s="441" t="s">
        <v>19</v>
      </c>
      <c r="D6979" s="260" t="s">
        <v>12978</v>
      </c>
      <c r="E6979" s="282" t="s">
        <v>8492</v>
      </c>
      <c r="F6979" s="387">
        <v>912</v>
      </c>
      <c r="G6979" s="443">
        <v>1994</v>
      </c>
      <c r="H6979" s="410" t="s">
        <v>5462</v>
      </c>
      <c r="I6979" s="409">
        <v>4200</v>
      </c>
      <c r="J6979" s="496">
        <v>121.39100000000001</v>
      </c>
      <c r="K6979" s="496">
        <v>109.176</v>
      </c>
      <c r="L6979" s="496">
        <f t="shared" si="89"/>
        <v>12.215000000000003</v>
      </c>
      <c r="M6979" s="337"/>
    </row>
    <row r="6980" spans="1:13" s="71" customFormat="1" ht="26.4" customHeight="1">
      <c r="A6980" s="282">
        <v>341</v>
      </c>
      <c r="B6980" s="537"/>
      <c r="C6980" s="441" t="s">
        <v>8837</v>
      </c>
      <c r="D6980" s="287" t="s">
        <v>8838</v>
      </c>
      <c r="E6980" s="260" t="s">
        <v>8839</v>
      </c>
      <c r="F6980" s="412">
        <v>914</v>
      </c>
      <c r="G6980" s="413">
        <v>1974</v>
      </c>
      <c r="H6980" s="414" t="s">
        <v>5462</v>
      </c>
      <c r="I6980" s="231">
        <v>4400</v>
      </c>
      <c r="J6980" s="385">
        <v>187.38399999999999</v>
      </c>
      <c r="K6980" s="385">
        <v>156.22499999999999</v>
      </c>
      <c r="L6980" s="385">
        <f t="shared" si="89"/>
        <v>31.158999999999992</v>
      </c>
      <c r="M6980" s="337"/>
    </row>
    <row r="6981" spans="1:13" s="71" customFormat="1" ht="26.4" customHeight="1">
      <c r="A6981" s="282">
        <v>342</v>
      </c>
      <c r="B6981" s="537"/>
      <c r="C6981" s="441" t="s">
        <v>8735</v>
      </c>
      <c r="D6981" s="260" t="s">
        <v>8840</v>
      </c>
      <c r="E6981" s="282" t="s">
        <v>8522</v>
      </c>
      <c r="F6981" s="387">
        <v>921</v>
      </c>
      <c r="G6981" s="443">
        <v>1959</v>
      </c>
      <c r="H6981" s="410" t="s">
        <v>5462</v>
      </c>
      <c r="I6981" s="409">
        <v>219</v>
      </c>
      <c r="J6981" s="496">
        <v>4.3460000000000001</v>
      </c>
      <c r="K6981" s="496">
        <v>4.07</v>
      </c>
      <c r="L6981" s="496">
        <f t="shared" si="89"/>
        <v>0.2759999999999998</v>
      </c>
      <c r="M6981" s="337"/>
    </row>
    <row r="6982" spans="1:13" s="71" customFormat="1" ht="26.4" customHeight="1">
      <c r="A6982" s="282">
        <v>343</v>
      </c>
      <c r="B6982" s="537"/>
      <c r="C6982" s="440" t="s">
        <v>19</v>
      </c>
      <c r="D6982" s="444" t="s">
        <v>8841</v>
      </c>
      <c r="E6982" s="282" t="s">
        <v>8492</v>
      </c>
      <c r="F6982" s="387">
        <v>1005</v>
      </c>
      <c r="G6982" s="443">
        <v>1969</v>
      </c>
      <c r="H6982" s="410" t="s">
        <v>5462</v>
      </c>
      <c r="I6982" s="409">
        <v>2500</v>
      </c>
      <c r="J6982" s="496">
        <v>13.728999999999999</v>
      </c>
      <c r="K6982" s="496">
        <v>12.818</v>
      </c>
      <c r="L6982" s="496">
        <f t="shared" si="89"/>
        <v>0.91099999999999959</v>
      </c>
      <c r="M6982" s="337"/>
    </row>
    <row r="6983" spans="1:13" s="71" customFormat="1" ht="37.5" customHeight="1">
      <c r="A6983" s="282">
        <v>344</v>
      </c>
      <c r="B6983" s="537"/>
      <c r="C6983" s="441" t="s">
        <v>19</v>
      </c>
      <c r="D6983" s="260" t="s">
        <v>8842</v>
      </c>
      <c r="E6983" s="260" t="s">
        <v>8843</v>
      </c>
      <c r="F6983" s="387">
        <v>1014</v>
      </c>
      <c r="G6983" s="443">
        <v>1974</v>
      </c>
      <c r="H6983" s="410" t="s">
        <v>5462</v>
      </c>
      <c r="I6983" s="409">
        <v>2800</v>
      </c>
      <c r="J6983" s="496">
        <v>132.328</v>
      </c>
      <c r="K6983" s="496">
        <v>110.366</v>
      </c>
      <c r="L6983" s="496">
        <f t="shared" si="89"/>
        <v>21.962000000000003</v>
      </c>
      <c r="M6983" s="337"/>
    </row>
    <row r="6984" spans="1:13" s="71" customFormat="1" ht="26.4" customHeight="1">
      <c r="A6984" s="282">
        <v>345</v>
      </c>
      <c r="B6984" s="537"/>
      <c r="C6984" s="441" t="s">
        <v>19</v>
      </c>
      <c r="D6984" s="260" t="s">
        <v>8748</v>
      </c>
      <c r="E6984" s="282" t="s">
        <v>8492</v>
      </c>
      <c r="F6984" s="387">
        <v>1185</v>
      </c>
      <c r="G6984" s="443">
        <v>1952</v>
      </c>
      <c r="H6984" s="410" t="s">
        <v>5462</v>
      </c>
      <c r="I6984" s="409">
        <v>1500</v>
      </c>
      <c r="J6984" s="496">
        <v>21.622</v>
      </c>
      <c r="K6984" s="496">
        <v>20.169</v>
      </c>
      <c r="L6984" s="496">
        <f t="shared" si="89"/>
        <v>1.4529999999999994</v>
      </c>
      <c r="M6984" s="337"/>
    </row>
    <row r="6985" spans="1:13" s="71" customFormat="1" ht="26.4" customHeight="1">
      <c r="A6985" s="282">
        <v>346</v>
      </c>
      <c r="B6985" s="537"/>
      <c r="C6985" s="441" t="s">
        <v>19</v>
      </c>
      <c r="D6985" s="260" t="s">
        <v>8751</v>
      </c>
      <c r="E6985" s="282" t="s">
        <v>8492</v>
      </c>
      <c r="F6985" s="387">
        <v>1199</v>
      </c>
      <c r="G6985" s="443">
        <v>1976</v>
      </c>
      <c r="H6985" s="410" t="s">
        <v>5462</v>
      </c>
      <c r="I6985" s="409">
        <v>800</v>
      </c>
      <c r="J6985" s="496">
        <v>1.7070000000000001</v>
      </c>
      <c r="K6985" s="496">
        <v>1.597</v>
      </c>
      <c r="L6985" s="496">
        <f t="shared" si="89"/>
        <v>0.1100000000000001</v>
      </c>
      <c r="M6985" s="337"/>
    </row>
    <row r="6986" spans="1:13" s="71" customFormat="1" ht="26.4" customHeight="1">
      <c r="A6986" s="282">
        <v>347</v>
      </c>
      <c r="B6986" s="537"/>
      <c r="C6986" s="441" t="s">
        <v>19</v>
      </c>
      <c r="D6986" s="260" t="s">
        <v>8844</v>
      </c>
      <c r="E6986" s="282" t="s">
        <v>8492</v>
      </c>
      <c r="F6986" s="387">
        <v>1212</v>
      </c>
      <c r="G6986" s="443">
        <v>1957</v>
      </c>
      <c r="H6986" s="410" t="s">
        <v>5462</v>
      </c>
      <c r="I6986" s="409">
        <v>1521</v>
      </c>
      <c r="J6986" s="496">
        <v>30.713999999999999</v>
      </c>
      <c r="K6986" s="496">
        <v>28.437000000000001</v>
      </c>
      <c r="L6986" s="496">
        <f t="shared" si="89"/>
        <v>2.2769999999999975</v>
      </c>
      <c r="M6986" s="337"/>
    </row>
    <row r="6987" spans="1:13" s="71" customFormat="1" ht="26.4" customHeight="1">
      <c r="A6987" s="282">
        <v>348</v>
      </c>
      <c r="B6987" s="537"/>
      <c r="C6987" s="441" t="s">
        <v>8735</v>
      </c>
      <c r="D6987" s="260" t="s">
        <v>8845</v>
      </c>
      <c r="E6987" s="282" t="s">
        <v>8492</v>
      </c>
      <c r="F6987" s="387">
        <v>1249</v>
      </c>
      <c r="G6987" s="443">
        <v>1978</v>
      </c>
      <c r="H6987" s="410" t="s">
        <v>5462</v>
      </c>
      <c r="I6987" s="409">
        <v>900</v>
      </c>
      <c r="J6987" s="496">
        <v>21.835999999999999</v>
      </c>
      <c r="K6987" s="496">
        <v>21.190999999999999</v>
      </c>
      <c r="L6987" s="496">
        <f t="shared" si="89"/>
        <v>0.64499999999999957</v>
      </c>
      <c r="M6987" s="337"/>
    </row>
    <row r="6988" spans="1:13" s="71" customFormat="1" ht="26.4" customHeight="1">
      <c r="A6988" s="282">
        <v>349</v>
      </c>
      <c r="B6988" s="537"/>
      <c r="C6988" s="441" t="s">
        <v>8735</v>
      </c>
      <c r="D6988" s="260" t="s">
        <v>8846</v>
      </c>
      <c r="E6988" s="282" t="s">
        <v>8492</v>
      </c>
      <c r="F6988" s="387">
        <v>1250</v>
      </c>
      <c r="G6988" s="443">
        <v>1978</v>
      </c>
      <c r="H6988" s="410" t="s">
        <v>5462</v>
      </c>
      <c r="I6988" s="409">
        <v>205</v>
      </c>
      <c r="J6988" s="496">
        <v>2.12</v>
      </c>
      <c r="K6988" s="496">
        <v>1.984</v>
      </c>
      <c r="L6988" s="496">
        <f t="shared" si="89"/>
        <v>0.13600000000000012</v>
      </c>
      <c r="M6988" s="337"/>
    </row>
    <row r="6989" spans="1:13" s="71" customFormat="1" ht="26.4" customHeight="1">
      <c r="A6989" s="282">
        <v>350</v>
      </c>
      <c r="B6989" s="537"/>
      <c r="C6989" s="441" t="s">
        <v>8735</v>
      </c>
      <c r="D6989" s="260" t="s">
        <v>8847</v>
      </c>
      <c r="E6989" s="282" t="s">
        <v>8492</v>
      </c>
      <c r="F6989" s="387">
        <v>1262</v>
      </c>
      <c r="G6989" s="443">
        <v>1978</v>
      </c>
      <c r="H6989" s="410" t="s">
        <v>5462</v>
      </c>
      <c r="I6989" s="409">
        <v>500</v>
      </c>
      <c r="J6989" s="496">
        <v>9.4740000000000002</v>
      </c>
      <c r="K6989" s="496">
        <v>8.8729999999999993</v>
      </c>
      <c r="L6989" s="496">
        <f t="shared" si="89"/>
        <v>0.60100000000000087</v>
      </c>
      <c r="M6989" s="337"/>
    </row>
    <row r="6990" spans="1:13" s="71" customFormat="1" ht="26.4" customHeight="1">
      <c r="A6990" s="282">
        <v>351</v>
      </c>
      <c r="B6990" s="537"/>
      <c r="C6990" s="441" t="s">
        <v>19</v>
      </c>
      <c r="D6990" s="260" t="s">
        <v>8848</v>
      </c>
      <c r="E6990" s="260" t="s">
        <v>8849</v>
      </c>
      <c r="F6990" s="387">
        <v>1332</v>
      </c>
      <c r="G6990" s="443">
        <v>1979</v>
      </c>
      <c r="H6990" s="410" t="s">
        <v>5462</v>
      </c>
      <c r="I6990" s="409">
        <v>7800</v>
      </c>
      <c r="J6990" s="496">
        <v>145.31700000000001</v>
      </c>
      <c r="K6990" s="496">
        <v>121.15300000000001</v>
      </c>
      <c r="L6990" s="496">
        <f t="shared" si="89"/>
        <v>24.164000000000001</v>
      </c>
      <c r="M6990" s="337"/>
    </row>
    <row r="6991" spans="1:13" s="71" customFormat="1" ht="26.4" customHeight="1">
      <c r="A6991" s="282">
        <v>352</v>
      </c>
      <c r="B6991" s="537"/>
      <c r="C6991" s="441" t="s">
        <v>8735</v>
      </c>
      <c r="D6991" s="260" t="s">
        <v>8850</v>
      </c>
      <c r="E6991" s="282" t="s">
        <v>8522</v>
      </c>
      <c r="F6991" s="387">
        <v>1338</v>
      </c>
      <c r="G6991" s="443">
        <v>1979</v>
      </c>
      <c r="H6991" s="410" t="s">
        <v>5462</v>
      </c>
      <c r="I6991" s="409">
        <v>8000</v>
      </c>
      <c r="J6991" s="496">
        <v>36.764000000000003</v>
      </c>
      <c r="K6991" s="496">
        <v>34.362000000000002</v>
      </c>
      <c r="L6991" s="496">
        <f t="shared" si="89"/>
        <v>2.402000000000001</v>
      </c>
      <c r="M6991" s="337"/>
    </row>
    <row r="6992" spans="1:13" s="71" customFormat="1" ht="26.4" customHeight="1">
      <c r="A6992" s="282">
        <v>353</v>
      </c>
      <c r="B6992" s="537"/>
      <c r="C6992" s="441" t="s">
        <v>8735</v>
      </c>
      <c r="D6992" s="260" t="s">
        <v>8851</v>
      </c>
      <c r="E6992" s="282" t="s">
        <v>8522</v>
      </c>
      <c r="F6992" s="387">
        <v>1410</v>
      </c>
      <c r="G6992" s="443">
        <v>1980</v>
      </c>
      <c r="H6992" s="410" t="s">
        <v>5462</v>
      </c>
      <c r="I6992" s="409">
        <v>200</v>
      </c>
      <c r="J6992" s="496">
        <v>5.5439999999999996</v>
      </c>
      <c r="K6992" s="496">
        <v>5.1920000000000002</v>
      </c>
      <c r="L6992" s="496">
        <f t="shared" si="89"/>
        <v>0.35199999999999942</v>
      </c>
      <c r="M6992" s="337"/>
    </row>
    <row r="6993" spans="1:13" s="71" customFormat="1" ht="26.4" customHeight="1">
      <c r="A6993" s="282">
        <v>354</v>
      </c>
      <c r="B6993" s="537"/>
      <c r="C6993" s="441" t="s">
        <v>8735</v>
      </c>
      <c r="D6993" s="260" t="s">
        <v>8852</v>
      </c>
      <c r="E6993" s="282" t="s">
        <v>8522</v>
      </c>
      <c r="F6993" s="387">
        <v>1411</v>
      </c>
      <c r="G6993" s="443">
        <v>1980</v>
      </c>
      <c r="H6993" s="410" t="s">
        <v>5462</v>
      </c>
      <c r="I6993" s="409">
        <v>90</v>
      </c>
      <c r="J6993" s="496">
        <v>2.0110000000000001</v>
      </c>
      <c r="K6993" s="496">
        <v>1.883</v>
      </c>
      <c r="L6993" s="496">
        <f t="shared" si="89"/>
        <v>0.12800000000000011</v>
      </c>
      <c r="M6993" s="337"/>
    </row>
    <row r="6994" spans="1:13" s="71" customFormat="1" ht="26.4" customHeight="1">
      <c r="A6994" s="282">
        <v>355</v>
      </c>
      <c r="B6994" s="537"/>
      <c r="C6994" s="441" t="s">
        <v>8735</v>
      </c>
      <c r="D6994" s="260" t="s">
        <v>8853</v>
      </c>
      <c r="E6994" s="282" t="s">
        <v>8522</v>
      </c>
      <c r="F6994" s="387">
        <v>1412</v>
      </c>
      <c r="G6994" s="443">
        <v>1980</v>
      </c>
      <c r="H6994" s="410" t="s">
        <v>5462</v>
      </c>
      <c r="I6994" s="409">
        <v>800</v>
      </c>
      <c r="J6994" s="496">
        <v>4.8860000000000001</v>
      </c>
      <c r="K6994" s="496">
        <v>4.5720000000000001</v>
      </c>
      <c r="L6994" s="496">
        <f t="shared" si="89"/>
        <v>0.31400000000000006</v>
      </c>
      <c r="M6994" s="337"/>
    </row>
    <row r="6995" spans="1:13" s="71" customFormat="1" ht="26.4" customHeight="1">
      <c r="A6995" s="282">
        <v>356</v>
      </c>
      <c r="B6995" s="537"/>
      <c r="C6995" s="441" t="s">
        <v>8735</v>
      </c>
      <c r="D6995" s="260" t="s">
        <v>8854</v>
      </c>
      <c r="E6995" s="282" t="s">
        <v>8522</v>
      </c>
      <c r="F6995" s="387">
        <v>1464</v>
      </c>
      <c r="G6995" s="443">
        <v>1973</v>
      </c>
      <c r="H6995" s="410" t="s">
        <v>5462</v>
      </c>
      <c r="I6995" s="409">
        <v>500</v>
      </c>
      <c r="J6995" s="496">
        <v>1.399</v>
      </c>
      <c r="K6995" s="496">
        <v>1.31</v>
      </c>
      <c r="L6995" s="496">
        <f t="shared" si="89"/>
        <v>8.8999999999999968E-2</v>
      </c>
      <c r="M6995" s="337"/>
    </row>
    <row r="6996" spans="1:13" s="71" customFormat="1" ht="26.4" customHeight="1">
      <c r="A6996" s="282">
        <v>357</v>
      </c>
      <c r="B6996" s="537"/>
      <c r="C6996" s="441" t="s">
        <v>13400</v>
      </c>
      <c r="D6996" s="260" t="s">
        <v>13401</v>
      </c>
      <c r="E6996" s="260" t="s">
        <v>8855</v>
      </c>
      <c r="F6996" s="387">
        <v>1506</v>
      </c>
      <c r="G6996" s="443">
        <v>1982</v>
      </c>
      <c r="H6996" s="410" t="s">
        <v>5462</v>
      </c>
      <c r="I6996" s="409">
        <v>8400</v>
      </c>
      <c r="J6996" s="496">
        <v>204.75700000000001</v>
      </c>
      <c r="K6996" s="496">
        <v>197.798</v>
      </c>
      <c r="L6996" s="496">
        <f t="shared" si="89"/>
        <v>6.9590000000000032</v>
      </c>
      <c r="M6996" s="337"/>
    </row>
    <row r="6997" spans="1:13" s="71" customFormat="1" ht="26.4" customHeight="1">
      <c r="A6997" s="282">
        <v>358</v>
      </c>
      <c r="B6997" s="537"/>
      <c r="C6997" s="441" t="s">
        <v>8735</v>
      </c>
      <c r="D6997" s="260" t="s">
        <v>8856</v>
      </c>
      <c r="E6997" s="282" t="s">
        <v>8522</v>
      </c>
      <c r="F6997" s="387">
        <v>1526</v>
      </c>
      <c r="G6997" s="443">
        <v>1983</v>
      </c>
      <c r="H6997" s="410" t="s">
        <v>5462</v>
      </c>
      <c r="I6997" s="409">
        <v>500</v>
      </c>
      <c r="J6997" s="496">
        <v>8.3480000000000008</v>
      </c>
      <c r="K6997" s="496">
        <v>7.8179999999999996</v>
      </c>
      <c r="L6997" s="496">
        <f t="shared" si="89"/>
        <v>0.53000000000000114</v>
      </c>
      <c r="M6997" s="337"/>
    </row>
    <row r="6998" spans="1:13" s="71" customFormat="1" ht="39.6">
      <c r="A6998" s="282">
        <v>359</v>
      </c>
      <c r="B6998" s="537"/>
      <c r="C6998" s="441" t="s">
        <v>1140</v>
      </c>
      <c r="D6998" s="260" t="s">
        <v>8857</v>
      </c>
      <c r="E6998" s="260" t="s">
        <v>8858</v>
      </c>
      <c r="F6998" s="387">
        <v>1608</v>
      </c>
      <c r="G6998" s="443">
        <v>1986</v>
      </c>
      <c r="H6998" s="410" t="s">
        <v>5462</v>
      </c>
      <c r="I6998" s="409">
        <v>4500</v>
      </c>
      <c r="J6998" s="496">
        <v>70.138000000000005</v>
      </c>
      <c r="K6998" s="496">
        <v>65.364999999999995</v>
      </c>
      <c r="L6998" s="496">
        <f t="shared" si="89"/>
        <v>4.7730000000000103</v>
      </c>
      <c r="M6998" s="337"/>
    </row>
    <row r="6999" spans="1:13" s="71" customFormat="1" ht="26.4" customHeight="1">
      <c r="A6999" s="282">
        <v>360</v>
      </c>
      <c r="B6999" s="537"/>
      <c r="C6999" s="441" t="s">
        <v>19</v>
      </c>
      <c r="D6999" s="260" t="s">
        <v>8859</v>
      </c>
      <c r="E6999" s="282" t="s">
        <v>8492</v>
      </c>
      <c r="F6999" s="387">
        <v>1732</v>
      </c>
      <c r="G6999" s="443">
        <v>1969</v>
      </c>
      <c r="H6999" s="410" t="s">
        <v>5462</v>
      </c>
      <c r="I6999" s="409">
        <v>2100</v>
      </c>
      <c r="J6999" s="496">
        <v>16.05</v>
      </c>
      <c r="K6999" s="496">
        <v>14.76</v>
      </c>
      <c r="L6999" s="496">
        <f t="shared" si="89"/>
        <v>1.2900000000000009</v>
      </c>
      <c r="M6999" s="337"/>
    </row>
    <row r="7000" spans="1:13" s="71" customFormat="1" ht="26.4" customHeight="1">
      <c r="A7000" s="282">
        <v>361</v>
      </c>
      <c r="B7000" s="537"/>
      <c r="C7000" s="441" t="s">
        <v>19</v>
      </c>
      <c r="D7000" s="260" t="s">
        <v>8860</v>
      </c>
      <c r="E7000" s="260" t="s">
        <v>8485</v>
      </c>
      <c r="F7000" s="387">
        <v>1837</v>
      </c>
      <c r="G7000" s="443">
        <v>1959</v>
      </c>
      <c r="H7000" s="410" t="s">
        <v>5462</v>
      </c>
      <c r="I7000" s="409">
        <v>9100</v>
      </c>
      <c r="J7000" s="496">
        <v>125.333</v>
      </c>
      <c r="K7000" s="496">
        <v>117.035</v>
      </c>
      <c r="L7000" s="496">
        <f t="shared" si="89"/>
        <v>8.2980000000000018</v>
      </c>
      <c r="M7000" s="337"/>
    </row>
    <row r="7001" spans="1:13" s="71" customFormat="1" ht="26.4" customHeight="1">
      <c r="A7001" s="282">
        <v>362</v>
      </c>
      <c r="B7001" s="537"/>
      <c r="C7001" s="441" t="s">
        <v>19</v>
      </c>
      <c r="D7001" s="260" t="s">
        <v>8744</v>
      </c>
      <c r="E7001" s="260" t="s">
        <v>8492</v>
      </c>
      <c r="F7001" s="387">
        <v>1917</v>
      </c>
      <c r="G7001" s="443">
        <v>1954</v>
      </c>
      <c r="H7001" s="410" t="s">
        <v>5462</v>
      </c>
      <c r="I7001" s="409">
        <v>1500</v>
      </c>
      <c r="J7001" s="496">
        <v>20.622</v>
      </c>
      <c r="K7001" s="496">
        <v>19.164000000000001</v>
      </c>
      <c r="L7001" s="496">
        <f t="shared" si="89"/>
        <v>1.4579999999999984</v>
      </c>
      <c r="M7001" s="337"/>
    </row>
    <row r="7002" spans="1:13" s="71" customFormat="1" ht="26.4" customHeight="1">
      <c r="A7002" s="282">
        <v>363</v>
      </c>
      <c r="B7002" s="537"/>
      <c r="C7002" s="441" t="s">
        <v>19</v>
      </c>
      <c r="D7002" s="260" t="s">
        <v>8861</v>
      </c>
      <c r="E7002" s="282" t="s">
        <v>8492</v>
      </c>
      <c r="F7002" s="387">
        <v>1934</v>
      </c>
      <c r="G7002" s="443">
        <v>1956</v>
      </c>
      <c r="H7002" s="410" t="s">
        <v>5462</v>
      </c>
      <c r="I7002" s="409">
        <v>3508.3</v>
      </c>
      <c r="J7002" s="496">
        <v>53.893999999999998</v>
      </c>
      <c r="K7002" s="496">
        <v>49.936999999999998</v>
      </c>
      <c r="L7002" s="496">
        <f t="shared" si="89"/>
        <v>3.9570000000000007</v>
      </c>
      <c r="M7002" s="337"/>
    </row>
    <row r="7003" spans="1:13" s="71" customFormat="1" ht="26.4" customHeight="1">
      <c r="A7003" s="282">
        <v>364</v>
      </c>
      <c r="B7003" s="537"/>
      <c r="C7003" s="441" t="s">
        <v>8735</v>
      </c>
      <c r="D7003" s="260" t="s">
        <v>8862</v>
      </c>
      <c r="E7003" s="282" t="s">
        <v>8616</v>
      </c>
      <c r="F7003" s="387">
        <v>2541</v>
      </c>
      <c r="G7003" s="443">
        <v>1964</v>
      </c>
      <c r="H7003" s="410" t="s">
        <v>5462</v>
      </c>
      <c r="I7003" s="409">
        <v>600</v>
      </c>
      <c r="J7003" s="496">
        <v>2.6349999999999998</v>
      </c>
      <c r="K7003" s="496">
        <v>2.468</v>
      </c>
      <c r="L7003" s="496">
        <f t="shared" si="89"/>
        <v>0.16699999999999982</v>
      </c>
      <c r="M7003" s="337"/>
    </row>
    <row r="7004" spans="1:13" s="71" customFormat="1" ht="26.4" customHeight="1">
      <c r="A7004" s="282">
        <v>365</v>
      </c>
      <c r="B7004" s="537"/>
      <c r="C7004" s="441" t="s">
        <v>8735</v>
      </c>
      <c r="D7004" s="260" t="s">
        <v>8863</v>
      </c>
      <c r="E7004" s="282" t="s">
        <v>8616</v>
      </c>
      <c r="F7004" s="387">
        <v>2542</v>
      </c>
      <c r="G7004" s="443">
        <v>1962</v>
      </c>
      <c r="H7004" s="410" t="s">
        <v>5462</v>
      </c>
      <c r="I7004" s="409">
        <v>400</v>
      </c>
      <c r="J7004" s="496">
        <v>4.3920000000000003</v>
      </c>
      <c r="K7004" s="496">
        <v>4.1130000000000004</v>
      </c>
      <c r="L7004" s="496">
        <f t="shared" si="89"/>
        <v>0.27899999999999991</v>
      </c>
      <c r="M7004" s="337"/>
    </row>
    <row r="7005" spans="1:13" s="71" customFormat="1" ht="26.4" customHeight="1">
      <c r="A7005" s="282">
        <v>366</v>
      </c>
      <c r="B7005" s="537"/>
      <c r="C7005" s="441" t="s">
        <v>8735</v>
      </c>
      <c r="D7005" s="260" t="s">
        <v>8864</v>
      </c>
      <c r="E7005" s="282" t="s">
        <v>8616</v>
      </c>
      <c r="F7005" s="387">
        <v>2543</v>
      </c>
      <c r="G7005" s="443">
        <v>1963</v>
      </c>
      <c r="H7005" s="410" t="s">
        <v>5462</v>
      </c>
      <c r="I7005" s="409">
        <v>500</v>
      </c>
      <c r="J7005" s="496">
        <v>2.6349999999999998</v>
      </c>
      <c r="K7005" s="496">
        <v>2.468</v>
      </c>
      <c r="L7005" s="496">
        <f t="shared" si="89"/>
        <v>0.16699999999999982</v>
      </c>
      <c r="M7005" s="337"/>
    </row>
    <row r="7006" spans="1:13" s="71" customFormat="1" ht="26.4" customHeight="1">
      <c r="A7006" s="282">
        <v>367</v>
      </c>
      <c r="B7006" s="537"/>
      <c r="C7006" s="441" t="s">
        <v>8735</v>
      </c>
      <c r="D7006" s="260" t="s">
        <v>8865</v>
      </c>
      <c r="E7006" s="282" t="s">
        <v>8616</v>
      </c>
      <c r="F7006" s="387">
        <v>2544</v>
      </c>
      <c r="G7006" s="443">
        <v>1967</v>
      </c>
      <c r="H7006" s="410" t="s">
        <v>5462</v>
      </c>
      <c r="I7006" s="409">
        <v>300</v>
      </c>
      <c r="J7006" s="496">
        <v>5.54</v>
      </c>
      <c r="K7006" s="496">
        <v>5.1829999999999998</v>
      </c>
      <c r="L7006" s="496">
        <f t="shared" si="89"/>
        <v>0.35700000000000021</v>
      </c>
      <c r="M7006" s="337"/>
    </row>
    <row r="7007" spans="1:13" s="71" customFormat="1" ht="26.4" customHeight="1">
      <c r="A7007" s="282">
        <v>368</v>
      </c>
      <c r="B7007" s="537"/>
      <c r="C7007" s="441" t="s">
        <v>8735</v>
      </c>
      <c r="D7007" s="260" t="s">
        <v>8866</v>
      </c>
      <c r="E7007" s="282" t="s">
        <v>8616</v>
      </c>
      <c r="F7007" s="387">
        <v>2545</v>
      </c>
      <c r="G7007" s="443">
        <v>1960</v>
      </c>
      <c r="H7007" s="410" t="s">
        <v>5462</v>
      </c>
      <c r="I7007" s="409">
        <v>900</v>
      </c>
      <c r="J7007" s="496">
        <v>6.6479999999999997</v>
      </c>
      <c r="K7007" s="496">
        <v>6.226</v>
      </c>
      <c r="L7007" s="496">
        <f t="shared" si="89"/>
        <v>0.42199999999999971</v>
      </c>
      <c r="M7007" s="337"/>
    </row>
    <row r="7008" spans="1:13" s="71" customFormat="1" ht="26.4" customHeight="1">
      <c r="A7008" s="282">
        <v>369</v>
      </c>
      <c r="B7008" s="537"/>
      <c r="C7008" s="441" t="s">
        <v>8735</v>
      </c>
      <c r="D7008" s="260" t="s">
        <v>8867</v>
      </c>
      <c r="E7008" s="282" t="s">
        <v>8616</v>
      </c>
      <c r="F7008" s="387">
        <v>2546</v>
      </c>
      <c r="G7008" s="443">
        <v>1960</v>
      </c>
      <c r="H7008" s="410" t="s">
        <v>5462</v>
      </c>
      <c r="I7008" s="409">
        <v>300</v>
      </c>
      <c r="J7008" s="496">
        <v>6.6479999999999997</v>
      </c>
      <c r="K7008" s="496">
        <v>6.226</v>
      </c>
      <c r="L7008" s="496">
        <f t="shared" si="89"/>
        <v>0.42199999999999971</v>
      </c>
      <c r="M7008" s="337"/>
    </row>
    <row r="7009" spans="1:13" s="71" customFormat="1" ht="26.4" customHeight="1">
      <c r="A7009" s="282">
        <v>370</v>
      </c>
      <c r="B7009" s="537"/>
      <c r="C7009" s="441" t="s">
        <v>8735</v>
      </c>
      <c r="D7009" s="260" t="s">
        <v>8868</v>
      </c>
      <c r="E7009" s="282" t="s">
        <v>8616</v>
      </c>
      <c r="F7009" s="387">
        <v>2547</v>
      </c>
      <c r="G7009" s="443">
        <v>1965</v>
      </c>
      <c r="H7009" s="410" t="s">
        <v>5462</v>
      </c>
      <c r="I7009" s="409">
        <v>1100</v>
      </c>
      <c r="J7009" s="496">
        <v>6.1479999999999997</v>
      </c>
      <c r="K7009" s="496">
        <v>5.758</v>
      </c>
      <c r="L7009" s="496">
        <f t="shared" si="89"/>
        <v>0.38999999999999968</v>
      </c>
      <c r="M7009" s="337"/>
    </row>
    <row r="7010" spans="1:13" s="71" customFormat="1" ht="26.4" customHeight="1">
      <c r="A7010" s="282">
        <v>371</v>
      </c>
      <c r="B7010" s="537"/>
      <c r="C7010" s="441" t="s">
        <v>8735</v>
      </c>
      <c r="D7010" s="260" t="s">
        <v>8755</v>
      </c>
      <c r="E7010" s="282" t="s">
        <v>8616</v>
      </c>
      <c r="F7010" s="387">
        <v>2552</v>
      </c>
      <c r="G7010" s="443">
        <v>1963</v>
      </c>
      <c r="H7010" s="410" t="s">
        <v>5462</v>
      </c>
      <c r="I7010" s="409">
        <v>500</v>
      </c>
      <c r="J7010" s="496">
        <v>7.6159999999999997</v>
      </c>
      <c r="K7010" s="496">
        <v>7.0179999999999998</v>
      </c>
      <c r="L7010" s="496">
        <f t="shared" si="89"/>
        <v>0.59799999999999986</v>
      </c>
      <c r="M7010" s="337"/>
    </row>
    <row r="7011" spans="1:13" s="71" customFormat="1" ht="26.4" customHeight="1">
      <c r="A7011" s="282">
        <v>372</v>
      </c>
      <c r="B7011" s="537"/>
      <c r="C7011" s="441" t="s">
        <v>8735</v>
      </c>
      <c r="D7011" s="260" t="s">
        <v>8869</v>
      </c>
      <c r="E7011" s="282" t="s">
        <v>8616</v>
      </c>
      <c r="F7011" s="387">
        <v>2553</v>
      </c>
      <c r="G7011" s="443">
        <v>1959</v>
      </c>
      <c r="H7011" s="410" t="s">
        <v>5462</v>
      </c>
      <c r="I7011" s="409">
        <v>1100</v>
      </c>
      <c r="J7011" s="496">
        <v>6.8970000000000002</v>
      </c>
      <c r="K7011" s="496">
        <v>6.3760000000000003</v>
      </c>
      <c r="L7011" s="496">
        <f t="shared" si="89"/>
        <v>0.52099999999999991</v>
      </c>
      <c r="M7011" s="337"/>
    </row>
    <row r="7012" spans="1:13" s="71" customFormat="1" ht="26.4" customHeight="1">
      <c r="A7012" s="282">
        <v>373</v>
      </c>
      <c r="B7012" s="537"/>
      <c r="C7012" s="441" t="s">
        <v>8735</v>
      </c>
      <c r="D7012" s="260" t="s">
        <v>8870</v>
      </c>
      <c r="E7012" s="282" t="s">
        <v>8616</v>
      </c>
      <c r="F7012" s="387">
        <v>2555</v>
      </c>
      <c r="G7012" s="443">
        <v>1954</v>
      </c>
      <c r="H7012" s="410" t="s">
        <v>5462</v>
      </c>
      <c r="I7012" s="409">
        <v>700</v>
      </c>
      <c r="J7012" s="496">
        <v>10.662000000000001</v>
      </c>
      <c r="K7012" s="496">
        <v>9.89</v>
      </c>
      <c r="L7012" s="496">
        <f t="shared" si="89"/>
        <v>0.77200000000000024</v>
      </c>
      <c r="M7012" s="337"/>
    </row>
    <row r="7013" spans="1:13" s="71" customFormat="1" ht="26.4" customHeight="1">
      <c r="A7013" s="282">
        <v>374</v>
      </c>
      <c r="B7013" s="537"/>
      <c r="C7013" s="441" t="s">
        <v>8735</v>
      </c>
      <c r="D7013" s="260" t="s">
        <v>8871</v>
      </c>
      <c r="E7013" s="282" t="s">
        <v>8616</v>
      </c>
      <c r="F7013" s="387">
        <v>2556</v>
      </c>
      <c r="G7013" s="443">
        <v>1954</v>
      </c>
      <c r="H7013" s="410" t="s">
        <v>5462</v>
      </c>
      <c r="I7013" s="409">
        <v>800</v>
      </c>
      <c r="J7013" s="496">
        <v>18.277999999999999</v>
      </c>
      <c r="K7013" s="496">
        <v>16.952999999999999</v>
      </c>
      <c r="L7013" s="496">
        <f t="shared" si="89"/>
        <v>1.3249999999999993</v>
      </c>
      <c r="M7013" s="337"/>
    </row>
    <row r="7014" spans="1:13" s="71" customFormat="1" ht="26.4" customHeight="1">
      <c r="A7014" s="282">
        <v>375</v>
      </c>
      <c r="B7014" s="537"/>
      <c r="C7014" s="441" t="s">
        <v>8735</v>
      </c>
      <c r="D7014" s="260" t="s">
        <v>8872</v>
      </c>
      <c r="E7014" s="282" t="s">
        <v>8616</v>
      </c>
      <c r="F7014" s="387">
        <v>2557</v>
      </c>
      <c r="G7014" s="443">
        <v>1962</v>
      </c>
      <c r="H7014" s="410" t="s">
        <v>5462</v>
      </c>
      <c r="I7014" s="409">
        <v>400</v>
      </c>
      <c r="J7014" s="496">
        <v>6.093</v>
      </c>
      <c r="K7014" s="496">
        <v>5.62</v>
      </c>
      <c r="L7014" s="496">
        <f t="shared" si="89"/>
        <v>0.47299999999999986</v>
      </c>
      <c r="M7014" s="337"/>
    </row>
    <row r="7015" spans="1:13" s="71" customFormat="1" ht="26.4" customHeight="1">
      <c r="A7015" s="282">
        <v>376</v>
      </c>
      <c r="B7015" s="537"/>
      <c r="C7015" s="441" t="s">
        <v>8735</v>
      </c>
      <c r="D7015" s="260" t="s">
        <v>8873</v>
      </c>
      <c r="E7015" s="282" t="s">
        <v>8616</v>
      </c>
      <c r="F7015" s="387">
        <v>2558</v>
      </c>
      <c r="G7015" s="443">
        <v>1962</v>
      </c>
      <c r="H7015" s="410" t="s">
        <v>5462</v>
      </c>
      <c r="I7015" s="409">
        <v>700</v>
      </c>
      <c r="J7015" s="496">
        <v>6.093</v>
      </c>
      <c r="K7015" s="496">
        <v>5.62</v>
      </c>
      <c r="L7015" s="496">
        <f t="shared" si="89"/>
        <v>0.47299999999999986</v>
      </c>
      <c r="M7015" s="337"/>
    </row>
    <row r="7016" spans="1:13" s="71" customFormat="1" ht="26.4" customHeight="1">
      <c r="A7016" s="282">
        <v>377</v>
      </c>
      <c r="B7016" s="537"/>
      <c r="C7016" s="441" t="s">
        <v>8735</v>
      </c>
      <c r="D7016" s="260" t="s">
        <v>8874</v>
      </c>
      <c r="E7016" s="282" t="s">
        <v>8616</v>
      </c>
      <c r="F7016" s="387">
        <v>2559</v>
      </c>
      <c r="G7016" s="443">
        <v>1960</v>
      </c>
      <c r="H7016" s="410" t="s">
        <v>5462</v>
      </c>
      <c r="I7016" s="409">
        <v>700</v>
      </c>
      <c r="J7016" s="496">
        <v>9.0009999999999994</v>
      </c>
      <c r="K7016" s="496">
        <v>7.22</v>
      </c>
      <c r="L7016" s="496">
        <f t="shared" si="89"/>
        <v>1.7809999999999997</v>
      </c>
      <c r="M7016" s="337"/>
    </row>
    <row r="7017" spans="1:13" s="71" customFormat="1" ht="26.4" customHeight="1">
      <c r="A7017" s="282">
        <v>378</v>
      </c>
      <c r="B7017" s="537"/>
      <c r="C7017" s="441" t="s">
        <v>8875</v>
      </c>
      <c r="D7017" s="260" t="s">
        <v>8876</v>
      </c>
      <c r="E7017" s="260" t="s">
        <v>13182</v>
      </c>
      <c r="F7017" s="387">
        <v>3007</v>
      </c>
      <c r="G7017" s="443">
        <v>1980</v>
      </c>
      <c r="H7017" s="410" t="s">
        <v>5462</v>
      </c>
      <c r="I7017" s="409">
        <v>7500</v>
      </c>
      <c r="J7017" s="496">
        <v>622.51199999999994</v>
      </c>
      <c r="K7017" s="496">
        <v>580.65800000000002</v>
      </c>
      <c r="L7017" s="496">
        <f t="shared" si="89"/>
        <v>41.853999999999928</v>
      </c>
      <c r="M7017" s="337"/>
    </row>
    <row r="7018" spans="1:13" s="71" customFormat="1" ht="26.4" customHeight="1">
      <c r="A7018" s="282">
        <v>379</v>
      </c>
      <c r="B7018" s="537"/>
      <c r="C7018" s="441" t="s">
        <v>8877</v>
      </c>
      <c r="D7018" s="260" t="s">
        <v>8878</v>
      </c>
      <c r="E7018" s="282" t="s">
        <v>8522</v>
      </c>
      <c r="F7018" s="387">
        <v>3031</v>
      </c>
      <c r="G7018" s="443">
        <v>1958</v>
      </c>
      <c r="H7018" s="410" t="s">
        <v>5462</v>
      </c>
      <c r="I7018" s="409">
        <v>1800</v>
      </c>
      <c r="J7018" s="496">
        <v>13.175000000000001</v>
      </c>
      <c r="K7018" s="496">
        <v>12.339</v>
      </c>
      <c r="L7018" s="496">
        <f t="shared" si="89"/>
        <v>0.8360000000000003</v>
      </c>
      <c r="M7018" s="337"/>
    </row>
    <row r="7019" spans="1:13" s="71" customFormat="1" ht="26.4" customHeight="1">
      <c r="A7019" s="282">
        <v>380</v>
      </c>
      <c r="B7019" s="537"/>
      <c r="C7019" s="441" t="s">
        <v>8877</v>
      </c>
      <c r="D7019" s="260" t="s">
        <v>8879</v>
      </c>
      <c r="E7019" s="282" t="s">
        <v>8522</v>
      </c>
      <c r="F7019" s="387">
        <v>3032</v>
      </c>
      <c r="G7019" s="443">
        <v>1958</v>
      </c>
      <c r="H7019" s="410" t="s">
        <v>5462</v>
      </c>
      <c r="I7019" s="409">
        <v>1200</v>
      </c>
      <c r="J7019" s="496">
        <v>8.7829999999999995</v>
      </c>
      <c r="K7019" s="496">
        <v>8.2260000000000009</v>
      </c>
      <c r="L7019" s="496">
        <f t="shared" si="89"/>
        <v>0.55699999999999861</v>
      </c>
      <c r="M7019" s="337"/>
    </row>
    <row r="7020" spans="1:13" s="71" customFormat="1" ht="26.4" customHeight="1">
      <c r="A7020" s="282">
        <v>381</v>
      </c>
      <c r="B7020" s="537"/>
      <c r="C7020" s="441" t="s">
        <v>8877</v>
      </c>
      <c r="D7020" s="260" t="s">
        <v>8880</v>
      </c>
      <c r="E7020" s="282" t="s">
        <v>8522</v>
      </c>
      <c r="F7020" s="387">
        <v>3033</v>
      </c>
      <c r="G7020" s="443">
        <v>1956</v>
      </c>
      <c r="H7020" s="410" t="s">
        <v>5462</v>
      </c>
      <c r="I7020" s="409">
        <v>1600</v>
      </c>
      <c r="J7020" s="496">
        <v>6.1479999999999997</v>
      </c>
      <c r="K7020" s="496">
        <v>5.758</v>
      </c>
      <c r="L7020" s="496">
        <f t="shared" si="89"/>
        <v>0.38999999999999968</v>
      </c>
      <c r="M7020" s="337"/>
    </row>
    <row r="7021" spans="1:13" s="71" customFormat="1" ht="26.4" customHeight="1">
      <c r="A7021" s="282">
        <v>382</v>
      </c>
      <c r="B7021" s="537"/>
      <c r="C7021" s="441" t="s">
        <v>8877</v>
      </c>
      <c r="D7021" s="260" t="s">
        <v>8881</v>
      </c>
      <c r="E7021" s="282" t="s">
        <v>8522</v>
      </c>
      <c r="F7021" s="387">
        <v>3034</v>
      </c>
      <c r="G7021" s="443">
        <v>1956</v>
      </c>
      <c r="H7021" s="410" t="s">
        <v>5462</v>
      </c>
      <c r="I7021" s="409">
        <v>700</v>
      </c>
      <c r="J7021" s="496">
        <v>10.54</v>
      </c>
      <c r="K7021" s="496">
        <v>9.8710000000000004</v>
      </c>
      <c r="L7021" s="496">
        <f t="shared" ref="L7021:L7084" si="90">J7021-K7021</f>
        <v>0.66899999999999871</v>
      </c>
      <c r="M7021" s="337"/>
    </row>
    <row r="7022" spans="1:13" s="71" customFormat="1" ht="26.4" customHeight="1">
      <c r="A7022" s="282">
        <v>383</v>
      </c>
      <c r="B7022" s="537"/>
      <c r="C7022" s="441" t="s">
        <v>8877</v>
      </c>
      <c r="D7022" s="260" t="s">
        <v>8882</v>
      </c>
      <c r="E7022" s="282" t="s">
        <v>8522</v>
      </c>
      <c r="F7022" s="387">
        <v>3035</v>
      </c>
      <c r="G7022" s="443">
        <v>1950</v>
      </c>
      <c r="H7022" s="410" t="s">
        <v>5462</v>
      </c>
      <c r="I7022" s="409">
        <v>700</v>
      </c>
      <c r="J7022" s="496">
        <v>1.7569999999999999</v>
      </c>
      <c r="K7022" s="496">
        <v>1.645</v>
      </c>
      <c r="L7022" s="496">
        <f t="shared" si="90"/>
        <v>0.11199999999999988</v>
      </c>
      <c r="M7022" s="337"/>
    </row>
    <row r="7023" spans="1:13" s="71" customFormat="1" ht="26.4" customHeight="1">
      <c r="A7023" s="282">
        <v>384</v>
      </c>
      <c r="B7023" s="537"/>
      <c r="C7023" s="441" t="s">
        <v>8877</v>
      </c>
      <c r="D7023" s="260" t="s">
        <v>8883</v>
      </c>
      <c r="E7023" s="282" t="s">
        <v>8522</v>
      </c>
      <c r="F7023" s="387">
        <v>3036</v>
      </c>
      <c r="G7023" s="443">
        <v>1950</v>
      </c>
      <c r="H7023" s="410" t="s">
        <v>5462</v>
      </c>
      <c r="I7023" s="409">
        <v>700</v>
      </c>
      <c r="J7023" s="496">
        <v>4.3920000000000003</v>
      </c>
      <c r="K7023" s="496">
        <v>4.1130000000000004</v>
      </c>
      <c r="L7023" s="496">
        <f t="shared" si="90"/>
        <v>0.27899999999999991</v>
      </c>
      <c r="M7023" s="337"/>
    </row>
    <row r="7024" spans="1:13" s="71" customFormat="1" ht="26.4" customHeight="1">
      <c r="A7024" s="282">
        <v>385</v>
      </c>
      <c r="B7024" s="537"/>
      <c r="C7024" s="441" t="s">
        <v>8877</v>
      </c>
      <c r="D7024" s="260" t="s">
        <v>8884</v>
      </c>
      <c r="E7024" s="282" t="s">
        <v>8522</v>
      </c>
      <c r="F7024" s="387">
        <v>3037</v>
      </c>
      <c r="G7024" s="443">
        <v>1950</v>
      </c>
      <c r="H7024" s="410" t="s">
        <v>5462</v>
      </c>
      <c r="I7024" s="409">
        <v>600</v>
      </c>
      <c r="J7024" s="496">
        <v>3.5129999999999999</v>
      </c>
      <c r="K7024" s="496">
        <v>3.29</v>
      </c>
      <c r="L7024" s="496">
        <f t="shared" si="90"/>
        <v>0.22299999999999986</v>
      </c>
      <c r="M7024" s="337"/>
    </row>
    <row r="7025" spans="1:13" s="71" customFormat="1" ht="26.4" customHeight="1">
      <c r="A7025" s="282">
        <v>386</v>
      </c>
      <c r="B7025" s="537"/>
      <c r="C7025" s="441" t="s">
        <v>8877</v>
      </c>
      <c r="D7025" s="260" t="s">
        <v>8885</v>
      </c>
      <c r="E7025" s="282" t="s">
        <v>8522</v>
      </c>
      <c r="F7025" s="387">
        <v>3038</v>
      </c>
      <c r="G7025" s="443">
        <v>1950</v>
      </c>
      <c r="H7025" s="410" t="s">
        <v>5462</v>
      </c>
      <c r="I7025" s="409">
        <v>500</v>
      </c>
      <c r="J7025" s="496">
        <v>2.6349999999999998</v>
      </c>
      <c r="K7025" s="496">
        <v>2.468</v>
      </c>
      <c r="L7025" s="496">
        <f t="shared" si="90"/>
        <v>0.16699999999999982</v>
      </c>
      <c r="M7025" s="337"/>
    </row>
    <row r="7026" spans="1:13" s="71" customFormat="1" ht="26.4" customHeight="1">
      <c r="A7026" s="282">
        <v>387</v>
      </c>
      <c r="B7026" s="537"/>
      <c r="C7026" s="441" t="s">
        <v>8877</v>
      </c>
      <c r="D7026" s="260" t="s">
        <v>8886</v>
      </c>
      <c r="E7026" s="282" t="s">
        <v>8522</v>
      </c>
      <c r="F7026" s="387">
        <v>3041</v>
      </c>
      <c r="G7026" s="443">
        <v>1955</v>
      </c>
      <c r="H7026" s="410" t="s">
        <v>5462</v>
      </c>
      <c r="I7026" s="409">
        <v>1100</v>
      </c>
      <c r="J7026" s="496">
        <v>5.27</v>
      </c>
      <c r="K7026" s="496">
        <v>4.9349999999999996</v>
      </c>
      <c r="L7026" s="496">
        <f t="shared" si="90"/>
        <v>0.33499999999999996</v>
      </c>
      <c r="M7026" s="337"/>
    </row>
    <row r="7027" spans="1:13" s="71" customFormat="1" ht="26.4" customHeight="1">
      <c r="A7027" s="282">
        <v>388</v>
      </c>
      <c r="B7027" s="537"/>
      <c r="C7027" s="441" t="s">
        <v>8877</v>
      </c>
      <c r="D7027" s="260" t="s">
        <v>8887</v>
      </c>
      <c r="E7027" s="282" t="s">
        <v>8522</v>
      </c>
      <c r="F7027" s="387">
        <v>3042</v>
      </c>
      <c r="G7027" s="443">
        <v>1955</v>
      </c>
      <c r="H7027" s="410" t="s">
        <v>5462</v>
      </c>
      <c r="I7027" s="409">
        <v>1200</v>
      </c>
      <c r="J7027" s="496">
        <v>9.0709999999999997</v>
      </c>
      <c r="K7027" s="496">
        <v>8.9260000000000002</v>
      </c>
      <c r="L7027" s="496">
        <f t="shared" si="90"/>
        <v>0.14499999999999957</v>
      </c>
      <c r="M7027" s="337"/>
    </row>
    <row r="7028" spans="1:13" s="71" customFormat="1" ht="26.4" customHeight="1">
      <c r="A7028" s="282">
        <v>389</v>
      </c>
      <c r="B7028" s="537"/>
      <c r="C7028" s="441" t="s">
        <v>8877</v>
      </c>
      <c r="D7028" s="260" t="s">
        <v>8888</v>
      </c>
      <c r="E7028" s="282" t="s">
        <v>8522</v>
      </c>
      <c r="F7028" s="387">
        <v>3043</v>
      </c>
      <c r="G7028" s="443">
        <v>1956</v>
      </c>
      <c r="H7028" s="410" t="s">
        <v>5462</v>
      </c>
      <c r="I7028" s="409">
        <v>800</v>
      </c>
      <c r="J7028" s="496">
        <v>12.186</v>
      </c>
      <c r="K7028" s="496">
        <v>11.288</v>
      </c>
      <c r="L7028" s="496">
        <f t="shared" si="90"/>
        <v>0.89799999999999969</v>
      </c>
      <c r="M7028" s="337"/>
    </row>
    <row r="7029" spans="1:13" s="71" customFormat="1" ht="26.4" customHeight="1">
      <c r="A7029" s="282">
        <v>390</v>
      </c>
      <c r="B7029" s="537"/>
      <c r="C7029" s="441" t="s">
        <v>8877</v>
      </c>
      <c r="D7029" s="260" t="s">
        <v>8889</v>
      </c>
      <c r="E7029" s="282" t="s">
        <v>8522</v>
      </c>
      <c r="F7029" s="387">
        <v>3044</v>
      </c>
      <c r="G7029" s="443">
        <v>1956</v>
      </c>
      <c r="H7029" s="410" t="s">
        <v>5462</v>
      </c>
      <c r="I7029" s="409">
        <v>500</v>
      </c>
      <c r="J7029" s="496">
        <v>3.5670000000000002</v>
      </c>
      <c r="K7029" s="496">
        <v>3.3380000000000001</v>
      </c>
      <c r="L7029" s="496">
        <f t="shared" si="90"/>
        <v>0.22900000000000009</v>
      </c>
      <c r="M7029" s="337"/>
    </row>
    <row r="7030" spans="1:13" s="71" customFormat="1" ht="26.4" customHeight="1">
      <c r="A7030" s="282">
        <v>391</v>
      </c>
      <c r="B7030" s="537"/>
      <c r="C7030" s="441" t="s">
        <v>8877</v>
      </c>
      <c r="D7030" s="260" t="s">
        <v>8890</v>
      </c>
      <c r="E7030" s="282" t="s">
        <v>8522</v>
      </c>
      <c r="F7030" s="387">
        <v>3045</v>
      </c>
      <c r="G7030" s="443">
        <v>1956</v>
      </c>
      <c r="H7030" s="410" t="s">
        <v>5462</v>
      </c>
      <c r="I7030" s="409">
        <v>700</v>
      </c>
      <c r="J7030" s="496">
        <v>7.5670000000000002</v>
      </c>
      <c r="K7030" s="496">
        <v>7.0090000000000003</v>
      </c>
      <c r="L7030" s="496">
        <f t="shared" si="90"/>
        <v>0.55799999999999983</v>
      </c>
      <c r="M7030" s="337"/>
    </row>
    <row r="7031" spans="1:13" s="71" customFormat="1" ht="26.4" customHeight="1">
      <c r="A7031" s="282">
        <v>392</v>
      </c>
      <c r="B7031" s="537"/>
      <c r="C7031" s="441" t="s">
        <v>8877</v>
      </c>
      <c r="D7031" s="260" t="s">
        <v>8891</v>
      </c>
      <c r="E7031" s="282" t="s">
        <v>8522</v>
      </c>
      <c r="F7031" s="387">
        <v>3046</v>
      </c>
      <c r="G7031" s="443">
        <v>1956</v>
      </c>
      <c r="H7031" s="410" t="s">
        <v>5462</v>
      </c>
      <c r="I7031" s="409">
        <v>800</v>
      </c>
      <c r="J7031" s="496">
        <v>5.27</v>
      </c>
      <c r="K7031" s="496">
        <v>4.9349999999999996</v>
      </c>
      <c r="L7031" s="496">
        <f t="shared" si="90"/>
        <v>0.33499999999999996</v>
      </c>
      <c r="M7031" s="337"/>
    </row>
    <row r="7032" spans="1:13" s="71" customFormat="1" ht="26.4" customHeight="1">
      <c r="A7032" s="282">
        <v>393</v>
      </c>
      <c r="B7032" s="537"/>
      <c r="C7032" s="441" t="s">
        <v>8877</v>
      </c>
      <c r="D7032" s="260" t="s">
        <v>8892</v>
      </c>
      <c r="E7032" s="282" t="s">
        <v>8522</v>
      </c>
      <c r="F7032" s="387">
        <v>3047</v>
      </c>
      <c r="G7032" s="443">
        <v>1947</v>
      </c>
      <c r="H7032" s="410" t="s">
        <v>5462</v>
      </c>
      <c r="I7032" s="409">
        <v>1400</v>
      </c>
      <c r="J7032" s="496">
        <v>6.1479999999999997</v>
      </c>
      <c r="K7032" s="496">
        <v>5.758</v>
      </c>
      <c r="L7032" s="496">
        <f t="shared" si="90"/>
        <v>0.38999999999999968</v>
      </c>
      <c r="M7032" s="337"/>
    </row>
    <row r="7033" spans="1:13" s="71" customFormat="1" ht="26.4" customHeight="1">
      <c r="A7033" s="282">
        <v>394</v>
      </c>
      <c r="B7033" s="537"/>
      <c r="C7033" s="441" t="s">
        <v>8877</v>
      </c>
      <c r="D7033" s="260" t="s">
        <v>8893</v>
      </c>
      <c r="E7033" s="282" t="s">
        <v>8522</v>
      </c>
      <c r="F7033" s="387">
        <v>3049</v>
      </c>
      <c r="G7033" s="443">
        <v>1948</v>
      </c>
      <c r="H7033" s="410" t="s">
        <v>5462</v>
      </c>
      <c r="I7033" s="409">
        <v>800</v>
      </c>
      <c r="J7033" s="496">
        <v>7.0259999999999998</v>
      </c>
      <c r="K7033" s="496">
        <v>6.58</v>
      </c>
      <c r="L7033" s="496">
        <f t="shared" si="90"/>
        <v>0.44599999999999973</v>
      </c>
      <c r="M7033" s="337"/>
    </row>
    <row r="7034" spans="1:13" s="71" customFormat="1" ht="26.4" customHeight="1">
      <c r="A7034" s="282">
        <v>395</v>
      </c>
      <c r="B7034" s="537"/>
      <c r="C7034" s="441" t="s">
        <v>8730</v>
      </c>
      <c r="D7034" s="260" t="s">
        <v>8540</v>
      </c>
      <c r="E7034" s="282" t="s">
        <v>8894</v>
      </c>
      <c r="F7034" s="387">
        <v>3411</v>
      </c>
      <c r="G7034" s="443">
        <v>1954</v>
      </c>
      <c r="H7034" s="410" t="s">
        <v>5462</v>
      </c>
      <c r="I7034" s="409">
        <v>1300</v>
      </c>
      <c r="J7034" s="496">
        <v>36.188000000000002</v>
      </c>
      <c r="K7034" s="496">
        <v>33.46</v>
      </c>
      <c r="L7034" s="496">
        <f t="shared" si="90"/>
        <v>2.7280000000000015</v>
      </c>
      <c r="M7034" s="337"/>
    </row>
    <row r="7035" spans="1:13" s="71" customFormat="1" ht="26.4" customHeight="1">
      <c r="A7035" s="282">
        <v>396</v>
      </c>
      <c r="B7035" s="537"/>
      <c r="C7035" s="260" t="s">
        <v>8895</v>
      </c>
      <c r="D7035" s="260" t="s">
        <v>8896</v>
      </c>
      <c r="E7035" s="260" t="s">
        <v>8897</v>
      </c>
      <c r="F7035" s="387">
        <v>3412</v>
      </c>
      <c r="G7035" s="443">
        <v>1962</v>
      </c>
      <c r="H7035" s="410" t="s">
        <v>5462</v>
      </c>
      <c r="I7035" s="409">
        <v>2100</v>
      </c>
      <c r="J7035" s="496">
        <v>30.117999999999999</v>
      </c>
      <c r="K7035" s="496">
        <v>28.15</v>
      </c>
      <c r="L7035" s="496">
        <f t="shared" si="90"/>
        <v>1.968</v>
      </c>
      <c r="M7035" s="337"/>
    </row>
    <row r="7036" spans="1:13" s="71" customFormat="1" ht="26.4" customHeight="1">
      <c r="A7036" s="282">
        <v>397</v>
      </c>
      <c r="B7036" s="537"/>
      <c r="C7036" s="441" t="s">
        <v>8898</v>
      </c>
      <c r="D7036" s="260" t="s">
        <v>8899</v>
      </c>
      <c r="E7036" s="260" t="s">
        <v>8900</v>
      </c>
      <c r="F7036" s="387">
        <v>3421</v>
      </c>
      <c r="G7036" s="443">
        <v>1959</v>
      </c>
      <c r="H7036" s="410" t="s">
        <v>5462</v>
      </c>
      <c r="I7036" s="409">
        <v>800</v>
      </c>
      <c r="J7036" s="496">
        <v>4.4749999999999996</v>
      </c>
      <c r="K7036" s="496">
        <v>4.1870000000000003</v>
      </c>
      <c r="L7036" s="496">
        <f t="shared" si="90"/>
        <v>0.28799999999999937</v>
      </c>
      <c r="M7036" s="337"/>
    </row>
    <row r="7037" spans="1:13" s="71" customFormat="1" ht="26.4" customHeight="1">
      <c r="A7037" s="282">
        <v>398</v>
      </c>
      <c r="B7037" s="537"/>
      <c r="C7037" s="441" t="s">
        <v>8898</v>
      </c>
      <c r="D7037" s="260" t="s">
        <v>8901</v>
      </c>
      <c r="E7037" s="282" t="s">
        <v>8902</v>
      </c>
      <c r="F7037" s="387">
        <v>3422</v>
      </c>
      <c r="G7037" s="443">
        <v>1953</v>
      </c>
      <c r="H7037" s="410" t="s">
        <v>5462</v>
      </c>
      <c r="I7037" s="409">
        <v>800</v>
      </c>
      <c r="J7037" s="496">
        <v>7.7560000000000002</v>
      </c>
      <c r="K7037" s="496">
        <v>7.2560000000000002</v>
      </c>
      <c r="L7037" s="496">
        <f t="shared" si="90"/>
        <v>0.5</v>
      </c>
      <c r="M7037" s="337"/>
    </row>
    <row r="7038" spans="1:13" s="71" customFormat="1" ht="26.4" customHeight="1">
      <c r="A7038" s="282">
        <v>399</v>
      </c>
      <c r="B7038" s="537"/>
      <c r="C7038" s="441" t="s">
        <v>8898</v>
      </c>
      <c r="D7038" s="260" t="s">
        <v>8903</v>
      </c>
      <c r="E7038" s="282" t="s">
        <v>8904</v>
      </c>
      <c r="F7038" s="387">
        <v>3423</v>
      </c>
      <c r="G7038" s="443">
        <v>1957</v>
      </c>
      <c r="H7038" s="410" t="s">
        <v>5462</v>
      </c>
      <c r="I7038" s="409">
        <v>500</v>
      </c>
      <c r="J7038" s="496">
        <v>2.4380000000000002</v>
      </c>
      <c r="K7038" s="496">
        <v>2.2829999999999999</v>
      </c>
      <c r="L7038" s="496">
        <f t="shared" si="90"/>
        <v>0.15500000000000025</v>
      </c>
      <c r="M7038" s="337"/>
    </row>
    <row r="7039" spans="1:13" s="71" customFormat="1" ht="26.4" customHeight="1">
      <c r="A7039" s="282">
        <v>400</v>
      </c>
      <c r="B7039" s="537"/>
      <c r="C7039" s="441" t="s">
        <v>8898</v>
      </c>
      <c r="D7039" s="260" t="s">
        <v>8905</v>
      </c>
      <c r="E7039" s="260" t="s">
        <v>8906</v>
      </c>
      <c r="F7039" s="387">
        <v>3424</v>
      </c>
      <c r="G7039" s="443">
        <v>1957</v>
      </c>
      <c r="H7039" s="410" t="s">
        <v>5462</v>
      </c>
      <c r="I7039" s="409">
        <v>500</v>
      </c>
      <c r="J7039" s="496">
        <v>2.4380000000000002</v>
      </c>
      <c r="K7039" s="496">
        <v>2.2829999999999999</v>
      </c>
      <c r="L7039" s="496">
        <f t="shared" si="90"/>
        <v>0.15500000000000025</v>
      </c>
      <c r="M7039" s="337"/>
    </row>
    <row r="7040" spans="1:13" s="71" customFormat="1" ht="26.4" customHeight="1">
      <c r="A7040" s="282">
        <v>401</v>
      </c>
      <c r="B7040" s="537"/>
      <c r="C7040" s="441" t="s">
        <v>8898</v>
      </c>
      <c r="D7040" s="260" t="s">
        <v>8648</v>
      </c>
      <c r="E7040" s="260" t="s">
        <v>8907</v>
      </c>
      <c r="F7040" s="387">
        <v>3425</v>
      </c>
      <c r="G7040" s="443">
        <v>1959</v>
      </c>
      <c r="H7040" s="410" t="s">
        <v>5462</v>
      </c>
      <c r="I7040" s="409">
        <v>1468</v>
      </c>
      <c r="J7040" s="496">
        <v>20.978000000000002</v>
      </c>
      <c r="K7040" s="496">
        <v>19.387</v>
      </c>
      <c r="L7040" s="496">
        <f t="shared" si="90"/>
        <v>1.5910000000000011</v>
      </c>
      <c r="M7040" s="337"/>
    </row>
    <row r="7041" spans="1:13" s="71" customFormat="1" ht="26.4" customHeight="1">
      <c r="A7041" s="282">
        <v>402</v>
      </c>
      <c r="B7041" s="537"/>
      <c r="C7041" s="441" t="s">
        <v>8898</v>
      </c>
      <c r="D7041" s="260" t="s">
        <v>8908</v>
      </c>
      <c r="E7041" s="260" t="s">
        <v>8909</v>
      </c>
      <c r="F7041" s="387">
        <v>3441</v>
      </c>
      <c r="G7041" s="443">
        <v>1960</v>
      </c>
      <c r="H7041" s="410" t="s">
        <v>5462</v>
      </c>
      <c r="I7041" s="409">
        <v>1500</v>
      </c>
      <c r="J7041" s="496">
        <v>82.811999999999998</v>
      </c>
      <c r="K7041" s="496">
        <v>79.39</v>
      </c>
      <c r="L7041" s="496">
        <f t="shared" si="90"/>
        <v>3.421999999999997</v>
      </c>
      <c r="M7041" s="337"/>
    </row>
    <row r="7042" spans="1:13" s="71" customFormat="1" ht="26.4" customHeight="1">
      <c r="A7042" s="282">
        <v>403</v>
      </c>
      <c r="B7042" s="537"/>
      <c r="C7042" s="441" t="s">
        <v>8898</v>
      </c>
      <c r="D7042" s="260" t="s">
        <v>8910</v>
      </c>
      <c r="E7042" s="260" t="s">
        <v>8534</v>
      </c>
      <c r="F7042" s="387">
        <v>3442</v>
      </c>
      <c r="G7042" s="443">
        <v>1981</v>
      </c>
      <c r="H7042" s="410" t="s">
        <v>5462</v>
      </c>
      <c r="I7042" s="409">
        <v>2300</v>
      </c>
      <c r="J7042" s="496">
        <v>93</v>
      </c>
      <c r="K7042" s="496">
        <v>76.828000000000003</v>
      </c>
      <c r="L7042" s="496">
        <f t="shared" si="90"/>
        <v>16.171999999999997</v>
      </c>
      <c r="M7042" s="337"/>
    </row>
    <row r="7043" spans="1:13" s="71" customFormat="1" ht="39.6">
      <c r="A7043" s="282">
        <v>404</v>
      </c>
      <c r="B7043" s="537"/>
      <c r="C7043" s="441" t="s">
        <v>8735</v>
      </c>
      <c r="D7043" s="260" t="s">
        <v>8911</v>
      </c>
      <c r="E7043" s="260" t="s">
        <v>8912</v>
      </c>
      <c r="F7043" s="387">
        <v>4012</v>
      </c>
      <c r="G7043" s="443">
        <v>1973</v>
      </c>
      <c r="H7043" s="410" t="s">
        <v>5462</v>
      </c>
      <c r="I7043" s="409">
        <v>900</v>
      </c>
      <c r="J7043" s="496">
        <v>33.706000000000003</v>
      </c>
      <c r="K7043" s="496">
        <v>31.568000000000001</v>
      </c>
      <c r="L7043" s="496">
        <f t="shared" si="90"/>
        <v>2.1380000000000017</v>
      </c>
      <c r="M7043" s="337"/>
    </row>
    <row r="7044" spans="1:13" s="71" customFormat="1" ht="39.6">
      <c r="A7044" s="282">
        <v>405</v>
      </c>
      <c r="B7044" s="537"/>
      <c r="C7044" s="441" t="s">
        <v>8913</v>
      </c>
      <c r="D7044" s="260" t="s">
        <v>8914</v>
      </c>
      <c r="E7044" s="260" t="s">
        <v>8915</v>
      </c>
      <c r="F7044" s="387">
        <v>5041</v>
      </c>
      <c r="G7044" s="443">
        <v>1975</v>
      </c>
      <c r="H7044" s="410" t="s">
        <v>5462</v>
      </c>
      <c r="I7044" s="409">
        <v>4500</v>
      </c>
      <c r="J7044" s="496">
        <v>263.70299999999997</v>
      </c>
      <c r="K7044" s="496">
        <v>246.971</v>
      </c>
      <c r="L7044" s="496">
        <f t="shared" si="90"/>
        <v>16.731999999999971</v>
      </c>
      <c r="M7044" s="337"/>
    </row>
    <row r="7045" spans="1:13" s="71" customFormat="1" ht="26.4" customHeight="1">
      <c r="A7045" s="282">
        <v>406</v>
      </c>
      <c r="B7045" s="537"/>
      <c r="C7045" s="441" t="s">
        <v>8470</v>
      </c>
      <c r="D7045" s="260" t="s">
        <v>8916</v>
      </c>
      <c r="E7045" s="282" t="s">
        <v>8492</v>
      </c>
      <c r="F7045" s="387">
        <v>5043</v>
      </c>
      <c r="G7045" s="443">
        <v>1984</v>
      </c>
      <c r="H7045" s="410" t="s">
        <v>5462</v>
      </c>
      <c r="I7045" s="409">
        <v>1000</v>
      </c>
      <c r="J7045" s="496">
        <v>15.242000000000001</v>
      </c>
      <c r="K7045" s="496">
        <v>14.012</v>
      </c>
      <c r="L7045" s="496">
        <f t="shared" si="90"/>
        <v>1.2300000000000004</v>
      </c>
      <c r="M7045" s="337"/>
    </row>
    <row r="7046" spans="1:13" s="71" customFormat="1" ht="26.4" customHeight="1">
      <c r="A7046" s="282">
        <v>407</v>
      </c>
      <c r="B7046" s="537"/>
      <c r="C7046" s="441" t="s">
        <v>8470</v>
      </c>
      <c r="D7046" s="260" t="s">
        <v>8917</v>
      </c>
      <c r="E7046" s="282" t="s">
        <v>8492</v>
      </c>
      <c r="F7046" s="387">
        <v>5044</v>
      </c>
      <c r="G7046" s="443">
        <v>1972</v>
      </c>
      <c r="H7046" s="410" t="s">
        <v>5462</v>
      </c>
      <c r="I7046" s="409">
        <v>2100</v>
      </c>
      <c r="J7046" s="496">
        <v>17.559999999999999</v>
      </c>
      <c r="K7046" s="496">
        <v>16.445</v>
      </c>
      <c r="L7046" s="496">
        <f t="shared" si="90"/>
        <v>1.1149999999999984</v>
      </c>
      <c r="M7046" s="337"/>
    </row>
    <row r="7047" spans="1:13" s="71" customFormat="1" ht="26.4" customHeight="1">
      <c r="A7047" s="282">
        <v>408</v>
      </c>
      <c r="B7047" s="537"/>
      <c r="C7047" s="441" t="s">
        <v>8470</v>
      </c>
      <c r="D7047" s="260" t="s">
        <v>8918</v>
      </c>
      <c r="E7047" s="282" t="s">
        <v>8492</v>
      </c>
      <c r="F7047" s="387">
        <v>5045</v>
      </c>
      <c r="G7047" s="443">
        <v>1975</v>
      </c>
      <c r="H7047" s="410" t="s">
        <v>5462</v>
      </c>
      <c r="I7047" s="409">
        <v>1500</v>
      </c>
      <c r="J7047" s="496">
        <v>13.69</v>
      </c>
      <c r="K7047" s="496">
        <v>13.115</v>
      </c>
      <c r="L7047" s="496">
        <f t="shared" si="90"/>
        <v>0.57499999999999929</v>
      </c>
      <c r="M7047" s="337"/>
    </row>
    <row r="7048" spans="1:13" s="71" customFormat="1" ht="26.4" customHeight="1">
      <c r="A7048" s="282">
        <v>409</v>
      </c>
      <c r="B7048" s="537"/>
      <c r="C7048" s="441" t="s">
        <v>8470</v>
      </c>
      <c r="D7048" s="260" t="s">
        <v>8919</v>
      </c>
      <c r="E7048" s="282" t="s">
        <v>8492</v>
      </c>
      <c r="F7048" s="387">
        <v>5046</v>
      </c>
      <c r="G7048" s="443">
        <v>1976</v>
      </c>
      <c r="H7048" s="410" t="s">
        <v>5462</v>
      </c>
      <c r="I7048" s="409">
        <v>400</v>
      </c>
      <c r="J7048" s="496">
        <v>6.3710000000000004</v>
      </c>
      <c r="K7048" s="496">
        <v>5.9660000000000002</v>
      </c>
      <c r="L7048" s="496">
        <f t="shared" si="90"/>
        <v>0.40500000000000025</v>
      </c>
      <c r="M7048" s="337"/>
    </row>
    <row r="7049" spans="1:13" s="71" customFormat="1" ht="26.4" customHeight="1">
      <c r="A7049" s="282">
        <v>410</v>
      </c>
      <c r="B7049" s="537"/>
      <c r="C7049" s="441" t="s">
        <v>8920</v>
      </c>
      <c r="D7049" s="260" t="s">
        <v>8921</v>
      </c>
      <c r="E7049" s="282" t="s">
        <v>8492</v>
      </c>
      <c r="F7049" s="387">
        <v>5050</v>
      </c>
      <c r="G7049" s="443">
        <v>1976</v>
      </c>
      <c r="H7049" s="410" t="s">
        <v>5462</v>
      </c>
      <c r="I7049" s="409">
        <v>1800</v>
      </c>
      <c r="J7049" s="496">
        <v>26.46</v>
      </c>
      <c r="K7049" s="496">
        <v>22.978000000000002</v>
      </c>
      <c r="L7049" s="496">
        <f t="shared" si="90"/>
        <v>3.4819999999999993</v>
      </c>
      <c r="M7049" s="337"/>
    </row>
    <row r="7050" spans="1:13" s="71" customFormat="1" ht="26.4" customHeight="1">
      <c r="A7050" s="282">
        <v>411</v>
      </c>
      <c r="B7050" s="537"/>
      <c r="C7050" s="441" t="s">
        <v>8920</v>
      </c>
      <c r="D7050" s="260" t="s">
        <v>8921</v>
      </c>
      <c r="E7050" s="282" t="s">
        <v>8492</v>
      </c>
      <c r="F7050" s="387">
        <v>5051</v>
      </c>
      <c r="G7050" s="443">
        <v>1976</v>
      </c>
      <c r="H7050" s="410" t="s">
        <v>5462</v>
      </c>
      <c r="I7050" s="409">
        <v>2000</v>
      </c>
      <c r="J7050" s="496">
        <v>29.4</v>
      </c>
      <c r="K7050" s="496">
        <v>25.530999999999999</v>
      </c>
      <c r="L7050" s="496">
        <f t="shared" si="90"/>
        <v>3.8689999999999998</v>
      </c>
      <c r="M7050" s="337"/>
    </row>
    <row r="7051" spans="1:13" s="71" customFormat="1" ht="26.4" customHeight="1">
      <c r="A7051" s="282">
        <v>412</v>
      </c>
      <c r="B7051" s="537"/>
      <c r="C7051" s="441" t="s">
        <v>8922</v>
      </c>
      <c r="D7051" s="260" t="s">
        <v>8923</v>
      </c>
      <c r="E7051" s="282" t="s">
        <v>8492</v>
      </c>
      <c r="F7051" s="387">
        <v>5052</v>
      </c>
      <c r="G7051" s="443">
        <v>1976</v>
      </c>
      <c r="H7051" s="410" t="s">
        <v>5462</v>
      </c>
      <c r="I7051" s="409">
        <v>700</v>
      </c>
      <c r="J7051" s="496">
        <v>10.29</v>
      </c>
      <c r="K7051" s="496">
        <v>8.9359999999999999</v>
      </c>
      <c r="L7051" s="496">
        <f t="shared" si="90"/>
        <v>1.3539999999999992</v>
      </c>
      <c r="M7051" s="337"/>
    </row>
    <row r="7052" spans="1:13" s="71" customFormat="1" ht="26.4" customHeight="1">
      <c r="A7052" s="282">
        <v>413</v>
      </c>
      <c r="B7052" s="537"/>
      <c r="C7052" s="441" t="s">
        <v>8924</v>
      </c>
      <c r="D7052" s="260" t="s">
        <v>8925</v>
      </c>
      <c r="E7052" s="282" t="s">
        <v>8492</v>
      </c>
      <c r="F7052" s="387">
        <v>5094</v>
      </c>
      <c r="G7052" s="443">
        <v>1984</v>
      </c>
      <c r="H7052" s="410" t="s">
        <v>5462</v>
      </c>
      <c r="I7052" s="409">
        <v>1400</v>
      </c>
      <c r="J7052" s="496">
        <v>11.923999999999999</v>
      </c>
      <c r="K7052" s="496">
        <v>11.923999999999999</v>
      </c>
      <c r="L7052" s="496">
        <f t="shared" si="90"/>
        <v>0</v>
      </c>
      <c r="M7052" s="337"/>
    </row>
    <row r="7053" spans="1:13" s="71" customFormat="1" ht="26.4" customHeight="1">
      <c r="A7053" s="282">
        <v>414</v>
      </c>
      <c r="B7053" s="537"/>
      <c r="C7053" s="441" t="s">
        <v>8924</v>
      </c>
      <c r="D7053" s="260" t="s">
        <v>8925</v>
      </c>
      <c r="E7053" s="282" t="s">
        <v>8492</v>
      </c>
      <c r="F7053" s="387">
        <v>5095</v>
      </c>
      <c r="G7053" s="443">
        <v>1984</v>
      </c>
      <c r="H7053" s="410" t="s">
        <v>5462</v>
      </c>
      <c r="I7053" s="409">
        <v>400</v>
      </c>
      <c r="J7053" s="496">
        <v>11.923999999999999</v>
      </c>
      <c r="K7053" s="496">
        <v>11.923999999999999</v>
      </c>
      <c r="L7053" s="496">
        <f t="shared" si="90"/>
        <v>0</v>
      </c>
      <c r="M7053" s="337"/>
    </row>
    <row r="7054" spans="1:13" s="71" customFormat="1" ht="26.4" customHeight="1">
      <c r="A7054" s="282">
        <v>415</v>
      </c>
      <c r="B7054" s="537"/>
      <c r="C7054" s="441" t="s">
        <v>8924</v>
      </c>
      <c r="D7054" s="260" t="s">
        <v>8926</v>
      </c>
      <c r="E7054" s="282" t="s">
        <v>8492</v>
      </c>
      <c r="F7054" s="387">
        <v>5096</v>
      </c>
      <c r="G7054" s="443">
        <v>1984</v>
      </c>
      <c r="H7054" s="410" t="s">
        <v>5462</v>
      </c>
      <c r="I7054" s="409">
        <v>400</v>
      </c>
      <c r="J7054" s="496">
        <v>11.923999999999999</v>
      </c>
      <c r="K7054" s="496">
        <v>11.923999999999999</v>
      </c>
      <c r="L7054" s="496">
        <f t="shared" si="90"/>
        <v>0</v>
      </c>
      <c r="M7054" s="337"/>
    </row>
    <row r="7055" spans="1:13" s="71" customFormat="1" ht="26.4" customHeight="1">
      <c r="A7055" s="282">
        <v>416</v>
      </c>
      <c r="B7055" s="537"/>
      <c r="C7055" s="441" t="s">
        <v>8924</v>
      </c>
      <c r="D7055" s="260" t="s">
        <v>8927</v>
      </c>
      <c r="E7055" s="282" t="s">
        <v>8492</v>
      </c>
      <c r="F7055" s="387">
        <v>5097</v>
      </c>
      <c r="G7055" s="443">
        <v>1984</v>
      </c>
      <c r="H7055" s="410" t="s">
        <v>5462</v>
      </c>
      <c r="I7055" s="409">
        <v>200</v>
      </c>
      <c r="J7055" s="496">
        <v>11.923999999999999</v>
      </c>
      <c r="K7055" s="496">
        <v>11.923999999999999</v>
      </c>
      <c r="L7055" s="496">
        <f t="shared" si="90"/>
        <v>0</v>
      </c>
      <c r="M7055" s="337"/>
    </row>
    <row r="7056" spans="1:13" s="71" customFormat="1" ht="26.4" customHeight="1">
      <c r="A7056" s="282">
        <v>417</v>
      </c>
      <c r="B7056" s="537"/>
      <c r="C7056" s="441" t="s">
        <v>8928</v>
      </c>
      <c r="D7056" s="260" t="s">
        <v>8929</v>
      </c>
      <c r="E7056" s="282" t="s">
        <v>8492</v>
      </c>
      <c r="F7056" s="387">
        <v>5098</v>
      </c>
      <c r="G7056" s="443">
        <v>1984</v>
      </c>
      <c r="H7056" s="410" t="s">
        <v>5462</v>
      </c>
      <c r="I7056" s="409">
        <v>800</v>
      </c>
      <c r="J7056" s="496">
        <v>15.398999999999999</v>
      </c>
      <c r="K7056" s="496">
        <v>15.349</v>
      </c>
      <c r="L7056" s="496">
        <f t="shared" si="90"/>
        <v>4.9999999999998934E-2</v>
      </c>
      <c r="M7056" s="337"/>
    </row>
    <row r="7057" spans="1:13" s="71" customFormat="1" ht="26.4" customHeight="1">
      <c r="A7057" s="282">
        <v>418</v>
      </c>
      <c r="B7057" s="537"/>
      <c r="C7057" s="441" t="s">
        <v>19</v>
      </c>
      <c r="D7057" s="260" t="s">
        <v>8930</v>
      </c>
      <c r="E7057" s="282" t="s">
        <v>8492</v>
      </c>
      <c r="F7057" s="387">
        <v>5123</v>
      </c>
      <c r="G7057" s="443">
        <v>2004</v>
      </c>
      <c r="H7057" s="410" t="s">
        <v>5462</v>
      </c>
      <c r="I7057" s="409">
        <v>843</v>
      </c>
      <c r="J7057" s="496">
        <v>8.0169999999999995</v>
      </c>
      <c r="K7057" s="496">
        <v>5.0469999999999997</v>
      </c>
      <c r="L7057" s="496">
        <f t="shared" si="90"/>
        <v>2.9699999999999998</v>
      </c>
      <c r="M7057" s="337"/>
    </row>
    <row r="7058" spans="1:13" s="71" customFormat="1" ht="26.4" customHeight="1">
      <c r="A7058" s="282">
        <v>419</v>
      </c>
      <c r="B7058" s="537"/>
      <c r="C7058" s="441" t="s">
        <v>19</v>
      </c>
      <c r="D7058" s="260" t="s">
        <v>8931</v>
      </c>
      <c r="E7058" s="260" t="s">
        <v>8476</v>
      </c>
      <c r="F7058" s="387">
        <v>5144</v>
      </c>
      <c r="G7058" s="443">
        <v>2004</v>
      </c>
      <c r="H7058" s="410" t="s">
        <v>3243</v>
      </c>
      <c r="I7058" s="409" t="s">
        <v>3243</v>
      </c>
      <c r="J7058" s="496">
        <v>2.2989999999999999</v>
      </c>
      <c r="K7058" s="496">
        <v>2.2090000000000001</v>
      </c>
      <c r="L7058" s="496">
        <f t="shared" si="90"/>
        <v>8.9999999999999858E-2</v>
      </c>
      <c r="M7058" s="337"/>
    </row>
    <row r="7059" spans="1:13" s="71" customFormat="1" ht="26.4" customHeight="1">
      <c r="A7059" s="282">
        <v>420</v>
      </c>
      <c r="B7059" s="537"/>
      <c r="C7059" s="441" t="s">
        <v>19</v>
      </c>
      <c r="D7059" s="260" t="s">
        <v>8932</v>
      </c>
      <c r="E7059" s="260" t="s">
        <v>8476</v>
      </c>
      <c r="F7059" s="387">
        <v>5145</v>
      </c>
      <c r="G7059" s="443">
        <v>2004</v>
      </c>
      <c r="H7059" s="410" t="s">
        <v>3243</v>
      </c>
      <c r="I7059" s="409" t="s">
        <v>3243</v>
      </c>
      <c r="J7059" s="496">
        <v>2.2989999999999999</v>
      </c>
      <c r="K7059" s="496">
        <v>2.2090000000000001</v>
      </c>
      <c r="L7059" s="496">
        <f t="shared" si="90"/>
        <v>8.9999999999999858E-2</v>
      </c>
      <c r="M7059" s="337"/>
    </row>
    <row r="7060" spans="1:13" s="71" customFormat="1" ht="26.4" customHeight="1">
      <c r="A7060" s="282">
        <v>421</v>
      </c>
      <c r="B7060" s="537"/>
      <c r="C7060" s="441" t="s">
        <v>19</v>
      </c>
      <c r="D7060" s="260" t="s">
        <v>8745</v>
      </c>
      <c r="E7060" s="260" t="s">
        <v>8476</v>
      </c>
      <c r="F7060" s="387">
        <v>5146</v>
      </c>
      <c r="G7060" s="443">
        <v>2004</v>
      </c>
      <c r="H7060" s="410" t="s">
        <v>3243</v>
      </c>
      <c r="I7060" s="409" t="s">
        <v>3243</v>
      </c>
      <c r="J7060" s="496">
        <v>3.9329999999999998</v>
      </c>
      <c r="K7060" s="496">
        <v>3.778</v>
      </c>
      <c r="L7060" s="496">
        <f t="shared" si="90"/>
        <v>0.1549999999999998</v>
      </c>
      <c r="M7060" s="337"/>
    </row>
    <row r="7061" spans="1:13" s="71" customFormat="1" ht="26.4" customHeight="1">
      <c r="A7061" s="282">
        <v>422</v>
      </c>
      <c r="B7061" s="537"/>
      <c r="C7061" s="441" t="s">
        <v>19</v>
      </c>
      <c r="D7061" s="260" t="s">
        <v>8933</v>
      </c>
      <c r="E7061" s="260" t="s">
        <v>8492</v>
      </c>
      <c r="F7061" s="387">
        <v>6068</v>
      </c>
      <c r="G7061" s="443">
        <v>1969</v>
      </c>
      <c r="H7061" s="410" t="s">
        <v>5462</v>
      </c>
      <c r="I7061" s="409">
        <v>3200</v>
      </c>
      <c r="J7061" s="496">
        <v>80.573999999999998</v>
      </c>
      <c r="K7061" s="496">
        <v>75.385000000000005</v>
      </c>
      <c r="L7061" s="496">
        <f t="shared" si="90"/>
        <v>5.188999999999993</v>
      </c>
      <c r="M7061" s="337"/>
    </row>
    <row r="7062" spans="1:13" s="71" customFormat="1" ht="26.4" customHeight="1">
      <c r="A7062" s="282">
        <v>423</v>
      </c>
      <c r="B7062" s="537"/>
      <c r="C7062" s="441" t="s">
        <v>19</v>
      </c>
      <c r="D7062" s="260" t="s">
        <v>8934</v>
      </c>
      <c r="E7062" s="260" t="s">
        <v>8492</v>
      </c>
      <c r="F7062" s="387">
        <v>6069</v>
      </c>
      <c r="G7062" s="443">
        <v>1950</v>
      </c>
      <c r="H7062" s="410" t="s">
        <v>5462</v>
      </c>
      <c r="I7062" s="409">
        <v>1700</v>
      </c>
      <c r="J7062" s="496">
        <v>21.673999999999999</v>
      </c>
      <c r="K7062" s="496">
        <v>20.216000000000001</v>
      </c>
      <c r="L7062" s="496">
        <f t="shared" si="90"/>
        <v>1.4579999999999984</v>
      </c>
      <c r="M7062" s="337"/>
    </row>
    <row r="7063" spans="1:13" s="71" customFormat="1" ht="26.4" customHeight="1">
      <c r="A7063" s="282">
        <v>424</v>
      </c>
      <c r="B7063" s="537"/>
      <c r="C7063" s="441" t="s">
        <v>19</v>
      </c>
      <c r="D7063" s="260" t="s">
        <v>8749</v>
      </c>
      <c r="E7063" s="260" t="s">
        <v>8492</v>
      </c>
      <c r="F7063" s="387">
        <v>6071</v>
      </c>
      <c r="G7063" s="443">
        <v>1959</v>
      </c>
      <c r="H7063" s="410" t="s">
        <v>5462</v>
      </c>
      <c r="I7063" s="409">
        <v>2479</v>
      </c>
      <c r="J7063" s="496">
        <v>33.161999999999999</v>
      </c>
      <c r="K7063" s="496">
        <v>31.058</v>
      </c>
      <c r="L7063" s="496">
        <f t="shared" si="90"/>
        <v>2.1039999999999992</v>
      </c>
      <c r="M7063" s="337"/>
    </row>
    <row r="7064" spans="1:13" s="71" customFormat="1" ht="26.4" customHeight="1">
      <c r="A7064" s="282">
        <v>425</v>
      </c>
      <c r="B7064" s="537"/>
      <c r="C7064" s="441" t="s">
        <v>19</v>
      </c>
      <c r="D7064" s="260" t="s">
        <v>8746</v>
      </c>
      <c r="E7064" s="260" t="s">
        <v>8492</v>
      </c>
      <c r="F7064" s="387">
        <v>6072</v>
      </c>
      <c r="G7064" s="443">
        <v>1959</v>
      </c>
      <c r="H7064" s="410" t="s">
        <v>5462</v>
      </c>
      <c r="I7064" s="409">
        <v>800</v>
      </c>
      <c r="J7064" s="496">
        <v>16.565999999999999</v>
      </c>
      <c r="K7064" s="496">
        <v>15.515000000000001</v>
      </c>
      <c r="L7064" s="496">
        <f t="shared" si="90"/>
        <v>1.0509999999999984</v>
      </c>
      <c r="M7064" s="337"/>
    </row>
    <row r="7065" spans="1:13" s="71" customFormat="1" ht="26.4" customHeight="1">
      <c r="A7065" s="282">
        <v>426</v>
      </c>
      <c r="B7065" s="537"/>
      <c r="C7065" s="441" t="s">
        <v>19</v>
      </c>
      <c r="D7065" s="260" t="s">
        <v>8935</v>
      </c>
      <c r="E7065" s="260" t="s">
        <v>8492</v>
      </c>
      <c r="F7065" s="387">
        <v>6073</v>
      </c>
      <c r="G7065" s="443">
        <v>1969</v>
      </c>
      <c r="H7065" s="410" t="s">
        <v>5462</v>
      </c>
      <c r="I7065" s="409">
        <v>2600</v>
      </c>
      <c r="J7065" s="496">
        <v>47.53</v>
      </c>
      <c r="K7065" s="496">
        <v>43.722999999999999</v>
      </c>
      <c r="L7065" s="496">
        <f t="shared" si="90"/>
        <v>3.8070000000000022</v>
      </c>
      <c r="M7065" s="337"/>
    </row>
    <row r="7066" spans="1:13" s="71" customFormat="1" ht="26.4" customHeight="1">
      <c r="A7066" s="282">
        <v>427</v>
      </c>
      <c r="B7066" s="537"/>
      <c r="C7066" s="441" t="s">
        <v>19</v>
      </c>
      <c r="D7066" s="260" t="s">
        <v>8936</v>
      </c>
      <c r="E7066" s="260" t="s">
        <v>8492</v>
      </c>
      <c r="F7066" s="387">
        <v>6075</v>
      </c>
      <c r="G7066" s="443">
        <v>1961</v>
      </c>
      <c r="H7066" s="410" t="s">
        <v>5462</v>
      </c>
      <c r="I7066" s="409">
        <v>800</v>
      </c>
      <c r="J7066" s="496">
        <v>3.0739999999999998</v>
      </c>
      <c r="K7066" s="496">
        <v>2.8759999999999999</v>
      </c>
      <c r="L7066" s="496">
        <f t="shared" si="90"/>
        <v>0.19799999999999995</v>
      </c>
      <c r="M7066" s="337"/>
    </row>
    <row r="7067" spans="1:13" s="71" customFormat="1" ht="26.4" customHeight="1">
      <c r="A7067" s="282">
        <v>428</v>
      </c>
      <c r="B7067" s="537"/>
      <c r="C7067" s="441" t="s">
        <v>19</v>
      </c>
      <c r="D7067" s="260" t="s">
        <v>8741</v>
      </c>
      <c r="E7067" s="260" t="s">
        <v>8492</v>
      </c>
      <c r="F7067" s="387">
        <v>6077</v>
      </c>
      <c r="G7067" s="443">
        <v>1967</v>
      </c>
      <c r="H7067" s="410" t="s">
        <v>5462</v>
      </c>
      <c r="I7067" s="409">
        <v>800</v>
      </c>
      <c r="J7067" s="496">
        <v>13.763</v>
      </c>
      <c r="K7067" s="496">
        <v>12.89</v>
      </c>
      <c r="L7067" s="496">
        <f t="shared" si="90"/>
        <v>0.87299999999999933</v>
      </c>
      <c r="M7067" s="337"/>
    </row>
    <row r="7068" spans="1:13" s="71" customFormat="1" ht="36" customHeight="1">
      <c r="A7068" s="282">
        <v>429</v>
      </c>
      <c r="B7068" s="537"/>
      <c r="C7068" s="441" t="s">
        <v>19</v>
      </c>
      <c r="D7068" s="260" t="s">
        <v>12885</v>
      </c>
      <c r="E7068" s="282" t="s">
        <v>8937</v>
      </c>
      <c r="F7068" s="387">
        <v>15002</v>
      </c>
      <c r="G7068" s="443">
        <v>1982</v>
      </c>
      <c r="H7068" s="410" t="s">
        <v>5462</v>
      </c>
      <c r="I7068" s="409">
        <v>1500</v>
      </c>
      <c r="J7068" s="496">
        <v>772.2</v>
      </c>
      <c r="K7068" s="496">
        <v>662.95</v>
      </c>
      <c r="L7068" s="496">
        <f t="shared" si="90"/>
        <v>109.25</v>
      </c>
      <c r="M7068" s="337"/>
    </row>
    <row r="7069" spans="1:13" s="71" customFormat="1" ht="26.4" customHeight="1">
      <c r="A7069" s="282">
        <v>430</v>
      </c>
      <c r="B7069" s="537"/>
      <c r="C7069" s="441" t="s">
        <v>8604</v>
      </c>
      <c r="D7069" s="260" t="s">
        <v>12886</v>
      </c>
      <c r="E7069" s="260" t="s">
        <v>13434</v>
      </c>
      <c r="F7069" s="387">
        <v>15302</v>
      </c>
      <c r="G7069" s="443">
        <v>1983</v>
      </c>
      <c r="H7069" s="410" t="s">
        <v>5462</v>
      </c>
      <c r="I7069" s="409">
        <v>2500</v>
      </c>
      <c r="J7069" s="496">
        <v>112.496</v>
      </c>
      <c r="K7069" s="496">
        <v>104.101</v>
      </c>
      <c r="L7069" s="496">
        <f t="shared" si="90"/>
        <v>8.394999999999996</v>
      </c>
      <c r="M7069" s="337"/>
    </row>
    <row r="7070" spans="1:13" s="71" customFormat="1" ht="26.4" customHeight="1">
      <c r="A7070" s="282">
        <v>431</v>
      </c>
      <c r="B7070" s="537"/>
      <c r="C7070" s="441" t="s">
        <v>8490</v>
      </c>
      <c r="D7070" s="260" t="s">
        <v>8764</v>
      </c>
      <c r="E7070" s="282" t="s">
        <v>8522</v>
      </c>
      <c r="F7070" s="387">
        <v>15303</v>
      </c>
      <c r="G7070" s="443">
        <v>1983</v>
      </c>
      <c r="H7070" s="410" t="s">
        <v>5462</v>
      </c>
      <c r="I7070" s="409">
        <v>6000</v>
      </c>
      <c r="J7070" s="496">
        <v>27.805</v>
      </c>
      <c r="K7070" s="496">
        <v>25.73</v>
      </c>
      <c r="L7070" s="496">
        <f t="shared" si="90"/>
        <v>2.0749999999999993</v>
      </c>
      <c r="M7070" s="337"/>
    </row>
    <row r="7071" spans="1:13" s="71" customFormat="1" ht="26.4" customHeight="1">
      <c r="A7071" s="282">
        <v>432</v>
      </c>
      <c r="B7071" s="537"/>
      <c r="C7071" s="441" t="s">
        <v>8490</v>
      </c>
      <c r="D7071" s="260" t="s">
        <v>8938</v>
      </c>
      <c r="E7071" s="282" t="s">
        <v>8522</v>
      </c>
      <c r="F7071" s="387">
        <v>15304</v>
      </c>
      <c r="G7071" s="443">
        <v>1990</v>
      </c>
      <c r="H7071" s="410" t="s">
        <v>5462</v>
      </c>
      <c r="I7071" s="409">
        <v>200</v>
      </c>
      <c r="J7071" s="496">
        <v>0.54100000000000004</v>
      </c>
      <c r="K7071" s="496">
        <v>0.50600000000000001</v>
      </c>
      <c r="L7071" s="496">
        <f t="shared" si="90"/>
        <v>3.5000000000000031E-2</v>
      </c>
      <c r="M7071" s="337"/>
    </row>
    <row r="7072" spans="1:13" s="71" customFormat="1" ht="26.4" customHeight="1">
      <c r="A7072" s="282">
        <v>433</v>
      </c>
      <c r="B7072" s="537"/>
      <c r="C7072" s="441" t="s">
        <v>8490</v>
      </c>
      <c r="D7072" s="260" t="s">
        <v>8763</v>
      </c>
      <c r="E7072" s="282" t="s">
        <v>8522</v>
      </c>
      <c r="F7072" s="387">
        <v>15308</v>
      </c>
      <c r="G7072" s="443">
        <v>1990</v>
      </c>
      <c r="H7072" s="410" t="s">
        <v>5462</v>
      </c>
      <c r="I7072" s="409">
        <v>7000</v>
      </c>
      <c r="J7072" s="496">
        <v>65.751000000000005</v>
      </c>
      <c r="K7072" s="496">
        <v>61.579000000000001</v>
      </c>
      <c r="L7072" s="496">
        <f t="shared" si="90"/>
        <v>4.1720000000000041</v>
      </c>
      <c r="M7072" s="337"/>
    </row>
    <row r="7073" spans="1:13" s="71" customFormat="1" ht="26.4" customHeight="1">
      <c r="A7073" s="282">
        <v>434</v>
      </c>
      <c r="B7073" s="537"/>
      <c r="C7073" s="441" t="s">
        <v>8490</v>
      </c>
      <c r="D7073" s="260" t="s">
        <v>8939</v>
      </c>
      <c r="E7073" s="282" t="s">
        <v>8522</v>
      </c>
      <c r="F7073" s="387">
        <v>25411</v>
      </c>
      <c r="G7073" s="443">
        <v>1960</v>
      </c>
      <c r="H7073" s="410" t="s">
        <v>5462</v>
      </c>
      <c r="I7073" s="409">
        <v>200</v>
      </c>
      <c r="J7073" s="496">
        <v>1.7569999999999999</v>
      </c>
      <c r="K7073" s="496">
        <v>1.645</v>
      </c>
      <c r="L7073" s="496">
        <f t="shared" si="90"/>
        <v>0.11199999999999988</v>
      </c>
      <c r="M7073" s="337"/>
    </row>
    <row r="7074" spans="1:13" s="71" customFormat="1" ht="26.4" customHeight="1">
      <c r="A7074" s="282">
        <v>435</v>
      </c>
      <c r="B7074" s="537"/>
      <c r="C7074" s="441" t="s">
        <v>8490</v>
      </c>
      <c r="D7074" s="260" t="s">
        <v>8940</v>
      </c>
      <c r="E7074" s="282" t="s">
        <v>8522</v>
      </c>
      <c r="F7074" s="387">
        <v>25412</v>
      </c>
      <c r="G7074" s="443">
        <v>1960</v>
      </c>
      <c r="H7074" s="410" t="s">
        <v>5462</v>
      </c>
      <c r="I7074" s="409">
        <v>300</v>
      </c>
      <c r="J7074" s="496">
        <v>2.2160000000000002</v>
      </c>
      <c r="K7074" s="496">
        <v>2.073</v>
      </c>
      <c r="L7074" s="496">
        <f t="shared" si="90"/>
        <v>0.14300000000000024</v>
      </c>
      <c r="M7074" s="337"/>
    </row>
    <row r="7075" spans="1:13" s="71" customFormat="1" ht="26.4" customHeight="1">
      <c r="A7075" s="282">
        <v>436</v>
      </c>
      <c r="B7075" s="537"/>
      <c r="C7075" s="441" t="s">
        <v>8490</v>
      </c>
      <c r="D7075" s="260" t="s">
        <v>8941</v>
      </c>
      <c r="E7075" s="282" t="s">
        <v>8522</v>
      </c>
      <c r="F7075" s="387">
        <v>25413</v>
      </c>
      <c r="G7075" s="443">
        <v>1962</v>
      </c>
      <c r="H7075" s="410" t="s">
        <v>5462</v>
      </c>
      <c r="I7075" s="409">
        <v>600</v>
      </c>
      <c r="J7075" s="496">
        <v>8.0510000000000002</v>
      </c>
      <c r="K7075" s="496">
        <v>7.54</v>
      </c>
      <c r="L7075" s="496">
        <f t="shared" si="90"/>
        <v>0.51100000000000012</v>
      </c>
      <c r="M7075" s="337"/>
    </row>
    <row r="7076" spans="1:13" s="71" customFormat="1" ht="26.4" customHeight="1">
      <c r="A7076" s="282">
        <v>437</v>
      </c>
      <c r="B7076" s="537"/>
      <c r="C7076" s="441" t="s">
        <v>8942</v>
      </c>
      <c r="D7076" s="260" t="s">
        <v>12979</v>
      </c>
      <c r="E7076" s="282" t="s">
        <v>8522</v>
      </c>
      <c r="F7076" s="387">
        <v>25414</v>
      </c>
      <c r="G7076" s="443">
        <v>1966</v>
      </c>
      <c r="H7076" s="410" t="s">
        <v>5462</v>
      </c>
      <c r="I7076" s="409">
        <v>2600</v>
      </c>
      <c r="J7076" s="496">
        <v>28.808</v>
      </c>
      <c r="K7076" s="496">
        <v>26.952999999999999</v>
      </c>
      <c r="L7076" s="496">
        <f t="shared" si="90"/>
        <v>1.8550000000000004</v>
      </c>
      <c r="M7076" s="337"/>
    </row>
    <row r="7077" spans="1:13" s="71" customFormat="1" ht="26.4" customHeight="1">
      <c r="A7077" s="282">
        <v>438</v>
      </c>
      <c r="B7077" s="537"/>
      <c r="C7077" s="441" t="s">
        <v>8490</v>
      </c>
      <c r="D7077" s="260" t="s">
        <v>8943</v>
      </c>
      <c r="E7077" s="282" t="s">
        <v>8522</v>
      </c>
      <c r="F7077" s="387">
        <v>25511</v>
      </c>
      <c r="G7077" s="443">
        <v>1960</v>
      </c>
      <c r="H7077" s="410" t="s">
        <v>5462</v>
      </c>
      <c r="I7077" s="409">
        <v>500</v>
      </c>
      <c r="J7077" s="496">
        <v>12.186</v>
      </c>
      <c r="K7077" s="496">
        <v>11.236000000000001</v>
      </c>
      <c r="L7077" s="496">
        <f t="shared" si="90"/>
        <v>0.94999999999999929</v>
      </c>
      <c r="M7077" s="337"/>
    </row>
    <row r="7078" spans="1:13" s="71" customFormat="1" ht="26.4" customHeight="1">
      <c r="A7078" s="282">
        <v>439</v>
      </c>
      <c r="B7078" s="537"/>
      <c r="C7078" s="441" t="s">
        <v>8490</v>
      </c>
      <c r="D7078" s="260" t="s">
        <v>8944</v>
      </c>
      <c r="E7078" s="282" t="s">
        <v>8522</v>
      </c>
      <c r="F7078" s="387">
        <v>25513</v>
      </c>
      <c r="G7078" s="443">
        <v>1950</v>
      </c>
      <c r="H7078" s="410" t="s">
        <v>5462</v>
      </c>
      <c r="I7078" s="409">
        <v>500</v>
      </c>
      <c r="J7078" s="496">
        <v>11.648</v>
      </c>
      <c r="K7078" s="496">
        <v>10.864000000000001</v>
      </c>
      <c r="L7078" s="496">
        <f t="shared" si="90"/>
        <v>0.78399999999999892</v>
      </c>
      <c r="M7078" s="337"/>
    </row>
    <row r="7079" spans="1:13" s="71" customFormat="1" ht="26.4" customHeight="1">
      <c r="A7079" s="282">
        <v>440</v>
      </c>
      <c r="B7079" s="537"/>
      <c r="C7079" s="441" t="s">
        <v>8490</v>
      </c>
      <c r="D7079" s="260" t="s">
        <v>8945</v>
      </c>
      <c r="E7079" s="282" t="s">
        <v>8522</v>
      </c>
      <c r="F7079" s="387">
        <v>25515</v>
      </c>
      <c r="G7079" s="443">
        <v>1959</v>
      </c>
      <c r="H7079" s="410" t="s">
        <v>5462</v>
      </c>
      <c r="I7079" s="409">
        <v>500</v>
      </c>
      <c r="J7079" s="496">
        <v>10.589</v>
      </c>
      <c r="K7079" s="496">
        <v>9.7880000000000003</v>
      </c>
      <c r="L7079" s="496">
        <f t="shared" si="90"/>
        <v>0.80100000000000016</v>
      </c>
      <c r="M7079" s="337"/>
    </row>
    <row r="7080" spans="1:13" s="71" customFormat="1" ht="26.4" customHeight="1">
      <c r="A7080" s="282">
        <v>441</v>
      </c>
      <c r="B7080" s="537"/>
      <c r="C7080" s="441" t="s">
        <v>8490</v>
      </c>
      <c r="D7080" s="260" t="s">
        <v>8946</v>
      </c>
      <c r="E7080" s="282" t="s">
        <v>8522</v>
      </c>
      <c r="F7080" s="387">
        <v>25516</v>
      </c>
      <c r="G7080" s="443">
        <v>1952</v>
      </c>
      <c r="H7080" s="410" t="s">
        <v>5462</v>
      </c>
      <c r="I7080" s="409">
        <v>700</v>
      </c>
      <c r="J7080" s="496">
        <v>15.305999999999999</v>
      </c>
      <c r="K7080" s="496">
        <v>14.217000000000001</v>
      </c>
      <c r="L7080" s="496">
        <f t="shared" si="90"/>
        <v>1.0889999999999986</v>
      </c>
      <c r="M7080" s="337"/>
    </row>
    <row r="7081" spans="1:13" s="71" customFormat="1" ht="26.4" customHeight="1">
      <c r="A7081" s="282">
        <v>442</v>
      </c>
      <c r="B7081" s="537"/>
      <c r="C7081" s="441" t="s">
        <v>8490</v>
      </c>
      <c r="D7081" s="260" t="s">
        <v>8947</v>
      </c>
      <c r="E7081" s="282" t="s">
        <v>8522</v>
      </c>
      <c r="F7081" s="387">
        <v>25518</v>
      </c>
      <c r="G7081" s="443">
        <v>1952</v>
      </c>
      <c r="H7081" s="410" t="s">
        <v>5462</v>
      </c>
      <c r="I7081" s="409">
        <v>2000</v>
      </c>
      <c r="J7081" s="496">
        <v>30.888000000000002</v>
      </c>
      <c r="K7081" s="496">
        <v>29.190999999999999</v>
      </c>
      <c r="L7081" s="496">
        <f t="shared" si="90"/>
        <v>1.6970000000000027</v>
      </c>
      <c r="M7081" s="337"/>
    </row>
    <row r="7082" spans="1:13" s="71" customFormat="1" ht="26.4" customHeight="1">
      <c r="A7082" s="282">
        <v>443</v>
      </c>
      <c r="B7082" s="537"/>
      <c r="C7082" s="441" t="s">
        <v>8490</v>
      </c>
      <c r="D7082" s="260" t="s">
        <v>8760</v>
      </c>
      <c r="E7082" s="282" t="s">
        <v>8522</v>
      </c>
      <c r="F7082" s="387">
        <v>25519</v>
      </c>
      <c r="G7082" s="443">
        <v>1950</v>
      </c>
      <c r="H7082" s="410" t="s">
        <v>5462</v>
      </c>
      <c r="I7082" s="409">
        <v>2000</v>
      </c>
      <c r="J7082" s="496">
        <v>29.079000000000001</v>
      </c>
      <c r="K7082" s="496">
        <v>27.486000000000001</v>
      </c>
      <c r="L7082" s="496">
        <f t="shared" si="90"/>
        <v>1.593</v>
      </c>
      <c r="M7082" s="337"/>
    </row>
    <row r="7083" spans="1:13" s="71" customFormat="1" ht="26.4" customHeight="1">
      <c r="A7083" s="282">
        <v>444</v>
      </c>
      <c r="B7083" s="537"/>
      <c r="C7083" s="441" t="s">
        <v>8490</v>
      </c>
      <c r="D7083" s="260" t="s">
        <v>8948</v>
      </c>
      <c r="E7083" s="282" t="s">
        <v>8522</v>
      </c>
      <c r="F7083" s="387">
        <v>25520</v>
      </c>
      <c r="G7083" s="443">
        <v>1956</v>
      </c>
      <c r="H7083" s="410" t="s">
        <v>5462</v>
      </c>
      <c r="I7083" s="409">
        <v>900</v>
      </c>
      <c r="J7083" s="496">
        <v>11.077999999999999</v>
      </c>
      <c r="K7083" s="496">
        <v>11.064</v>
      </c>
      <c r="L7083" s="496">
        <f t="shared" si="90"/>
        <v>1.3999999999999346E-2</v>
      </c>
      <c r="M7083" s="337"/>
    </row>
    <row r="7084" spans="1:13" s="71" customFormat="1" ht="26.4" customHeight="1">
      <c r="A7084" s="282">
        <v>445</v>
      </c>
      <c r="B7084" s="537"/>
      <c r="C7084" s="441" t="s">
        <v>8949</v>
      </c>
      <c r="D7084" s="260" t="s">
        <v>8950</v>
      </c>
      <c r="E7084" s="260" t="s">
        <v>8951</v>
      </c>
      <c r="F7084" s="387">
        <v>25521</v>
      </c>
      <c r="G7084" s="443">
        <v>1966</v>
      </c>
      <c r="H7084" s="410" t="s">
        <v>5462</v>
      </c>
      <c r="I7084" s="409">
        <v>3200</v>
      </c>
      <c r="J7084" s="496">
        <v>37.834000000000003</v>
      </c>
      <c r="K7084" s="496">
        <v>34.783000000000001</v>
      </c>
      <c r="L7084" s="496">
        <f t="shared" si="90"/>
        <v>3.0510000000000019</v>
      </c>
      <c r="M7084" s="337"/>
    </row>
    <row r="7085" spans="1:13" s="71" customFormat="1" ht="26.4" customHeight="1">
      <c r="A7085" s="282">
        <v>446</v>
      </c>
      <c r="B7085" s="537"/>
      <c r="C7085" s="451" t="s">
        <v>8490</v>
      </c>
      <c r="D7085" s="287" t="s">
        <v>8952</v>
      </c>
      <c r="E7085" s="282" t="s">
        <v>8522</v>
      </c>
      <c r="F7085" s="387">
        <v>25522</v>
      </c>
      <c r="G7085" s="443">
        <v>1959</v>
      </c>
      <c r="H7085" s="410" t="s">
        <v>5462</v>
      </c>
      <c r="I7085" s="409">
        <v>4200</v>
      </c>
      <c r="J7085" s="496">
        <v>16.215</v>
      </c>
      <c r="K7085" s="496">
        <v>14.989000000000001</v>
      </c>
      <c r="L7085" s="496">
        <f t="shared" ref="L7085:L7148" si="91">J7085-K7085</f>
        <v>1.2259999999999991</v>
      </c>
      <c r="M7085" s="337"/>
    </row>
    <row r="7086" spans="1:13" s="71" customFormat="1" ht="26.4" customHeight="1">
      <c r="A7086" s="282">
        <v>447</v>
      </c>
      <c r="B7086" s="537"/>
      <c r="C7086" s="441" t="s">
        <v>8490</v>
      </c>
      <c r="D7086" s="260" t="s">
        <v>8953</v>
      </c>
      <c r="E7086" s="282" t="s">
        <v>8522</v>
      </c>
      <c r="F7086" s="387">
        <v>25523</v>
      </c>
      <c r="G7086" s="443">
        <v>1967</v>
      </c>
      <c r="H7086" s="410" t="s">
        <v>5462</v>
      </c>
      <c r="I7086" s="409">
        <v>802</v>
      </c>
      <c r="J7086" s="496">
        <v>12.215</v>
      </c>
      <c r="K7086" s="496">
        <v>11.223000000000001</v>
      </c>
      <c r="L7086" s="496">
        <f t="shared" si="91"/>
        <v>0.9919999999999991</v>
      </c>
      <c r="M7086" s="337"/>
    </row>
    <row r="7087" spans="1:13" s="71" customFormat="1" ht="26.4" customHeight="1">
      <c r="A7087" s="282">
        <v>448</v>
      </c>
      <c r="B7087" s="537"/>
      <c r="C7087" s="441" t="s">
        <v>8490</v>
      </c>
      <c r="D7087" s="260" t="s">
        <v>8954</v>
      </c>
      <c r="E7087" s="282" t="s">
        <v>8522</v>
      </c>
      <c r="F7087" s="387">
        <v>25524</v>
      </c>
      <c r="G7087" s="443">
        <v>1962</v>
      </c>
      <c r="H7087" s="410" t="s">
        <v>5462</v>
      </c>
      <c r="I7087" s="409">
        <v>800</v>
      </c>
      <c r="J7087" s="496">
        <v>1.5880000000000001</v>
      </c>
      <c r="K7087" s="496">
        <v>1.4870000000000001</v>
      </c>
      <c r="L7087" s="496">
        <f t="shared" si="91"/>
        <v>0.10099999999999998</v>
      </c>
      <c r="M7087" s="337"/>
    </row>
    <row r="7088" spans="1:13" s="71" customFormat="1" ht="26.4" customHeight="1">
      <c r="A7088" s="282">
        <v>449</v>
      </c>
      <c r="B7088" s="537"/>
      <c r="C7088" s="441" t="s">
        <v>8490</v>
      </c>
      <c r="D7088" s="260" t="s">
        <v>8955</v>
      </c>
      <c r="E7088" s="282" t="s">
        <v>8522</v>
      </c>
      <c r="F7088" s="387">
        <v>25525</v>
      </c>
      <c r="G7088" s="443">
        <v>1964</v>
      </c>
      <c r="H7088" s="410" t="s">
        <v>5462</v>
      </c>
      <c r="I7088" s="409">
        <v>800</v>
      </c>
      <c r="J7088" s="496">
        <v>17.059999999999999</v>
      </c>
      <c r="K7088" s="496">
        <v>15.712</v>
      </c>
      <c r="L7088" s="496">
        <f t="shared" si="91"/>
        <v>1.347999999999999</v>
      </c>
      <c r="M7088" s="337"/>
    </row>
    <row r="7089" spans="1:13" s="71" customFormat="1" ht="26.4" customHeight="1">
      <c r="A7089" s="282">
        <v>450</v>
      </c>
      <c r="B7089" s="537"/>
      <c r="C7089" s="441" t="s">
        <v>8490</v>
      </c>
      <c r="D7089" s="260" t="s">
        <v>8956</v>
      </c>
      <c r="E7089" s="282" t="s">
        <v>8522</v>
      </c>
      <c r="F7089" s="387">
        <v>25526</v>
      </c>
      <c r="G7089" s="443">
        <v>1965</v>
      </c>
      <c r="H7089" s="410" t="s">
        <v>5462</v>
      </c>
      <c r="I7089" s="409">
        <v>900</v>
      </c>
      <c r="J7089" s="496">
        <v>10.662000000000001</v>
      </c>
      <c r="K7089" s="496">
        <v>9.8109999999999999</v>
      </c>
      <c r="L7089" s="496">
        <f t="shared" si="91"/>
        <v>0.85100000000000087</v>
      </c>
      <c r="M7089" s="337"/>
    </row>
    <row r="7090" spans="1:13" s="71" customFormat="1" ht="26.4" customHeight="1">
      <c r="A7090" s="282">
        <v>451</v>
      </c>
      <c r="B7090" s="537"/>
      <c r="C7090" s="441" t="s">
        <v>8490</v>
      </c>
      <c r="D7090" s="260" t="s">
        <v>8615</v>
      </c>
      <c r="E7090" s="282" t="s">
        <v>8522</v>
      </c>
      <c r="F7090" s="387">
        <v>25527</v>
      </c>
      <c r="G7090" s="443">
        <v>1971</v>
      </c>
      <c r="H7090" s="410" t="s">
        <v>5462</v>
      </c>
      <c r="I7090" s="409">
        <v>300</v>
      </c>
      <c r="J7090" s="496">
        <v>8.1739999999999995</v>
      </c>
      <c r="K7090" s="496">
        <v>6.8150000000000004</v>
      </c>
      <c r="L7090" s="496">
        <f t="shared" si="91"/>
        <v>1.3589999999999991</v>
      </c>
      <c r="M7090" s="337"/>
    </row>
    <row r="7091" spans="1:13" s="71" customFormat="1" ht="26.4" customHeight="1">
      <c r="A7091" s="282">
        <v>452</v>
      </c>
      <c r="B7091" s="537"/>
      <c r="C7091" s="441" t="s">
        <v>8490</v>
      </c>
      <c r="D7091" s="260" t="s">
        <v>8957</v>
      </c>
      <c r="E7091" s="282" t="s">
        <v>8522</v>
      </c>
      <c r="F7091" s="387">
        <v>25530</v>
      </c>
      <c r="G7091" s="443">
        <v>1960</v>
      </c>
      <c r="H7091" s="410" t="s">
        <v>5462</v>
      </c>
      <c r="I7091" s="409">
        <v>1800</v>
      </c>
      <c r="J7091" s="496">
        <v>30.082999999999998</v>
      </c>
      <c r="K7091" s="496">
        <v>27.731999999999999</v>
      </c>
      <c r="L7091" s="496">
        <f t="shared" si="91"/>
        <v>2.3509999999999991</v>
      </c>
      <c r="M7091" s="337"/>
    </row>
    <row r="7092" spans="1:13" s="71" customFormat="1" ht="26.4" customHeight="1">
      <c r="A7092" s="282">
        <v>453</v>
      </c>
      <c r="B7092" s="537"/>
      <c r="C7092" s="441" t="s">
        <v>8490</v>
      </c>
      <c r="D7092" s="260" t="s">
        <v>8757</v>
      </c>
      <c r="E7092" s="260" t="s">
        <v>8958</v>
      </c>
      <c r="F7092" s="387">
        <v>25531</v>
      </c>
      <c r="G7092" s="443">
        <v>1959</v>
      </c>
      <c r="H7092" s="410" t="s">
        <v>5462</v>
      </c>
      <c r="I7092" s="409">
        <v>1600</v>
      </c>
      <c r="J7092" s="496">
        <v>15.257</v>
      </c>
      <c r="K7092" s="496">
        <v>14.068</v>
      </c>
      <c r="L7092" s="496">
        <f t="shared" si="91"/>
        <v>1.1890000000000001</v>
      </c>
      <c r="M7092" s="337"/>
    </row>
    <row r="7093" spans="1:13" s="71" customFormat="1" ht="26.4" customHeight="1">
      <c r="A7093" s="282">
        <v>454</v>
      </c>
      <c r="B7093" s="537"/>
      <c r="C7093" s="441" t="s">
        <v>8490</v>
      </c>
      <c r="D7093" s="260" t="s">
        <v>8959</v>
      </c>
      <c r="E7093" s="282" t="s">
        <v>8522</v>
      </c>
      <c r="F7093" s="387">
        <v>25532</v>
      </c>
      <c r="G7093" s="443">
        <v>1960</v>
      </c>
      <c r="H7093" s="410" t="s">
        <v>5462</v>
      </c>
      <c r="I7093" s="409">
        <v>700</v>
      </c>
      <c r="J7093" s="496">
        <v>7.1429999999999998</v>
      </c>
      <c r="K7093" s="496">
        <v>5.73</v>
      </c>
      <c r="L7093" s="496">
        <f t="shared" si="91"/>
        <v>1.4129999999999994</v>
      </c>
      <c r="M7093" s="337"/>
    </row>
    <row r="7094" spans="1:13" s="71" customFormat="1" ht="26.4" customHeight="1">
      <c r="A7094" s="282">
        <v>455</v>
      </c>
      <c r="B7094" s="537"/>
      <c r="C7094" s="441" t="s">
        <v>8575</v>
      </c>
      <c r="D7094" s="260" t="s">
        <v>8960</v>
      </c>
      <c r="E7094" s="282" t="s">
        <v>8522</v>
      </c>
      <c r="F7094" s="387">
        <v>30310</v>
      </c>
      <c r="G7094" s="443">
        <v>1948</v>
      </c>
      <c r="H7094" s="410" t="s">
        <v>5462</v>
      </c>
      <c r="I7094" s="409">
        <v>1600</v>
      </c>
      <c r="J7094" s="496">
        <v>1.054</v>
      </c>
      <c r="K7094" s="496">
        <v>0.98599999999999999</v>
      </c>
      <c r="L7094" s="496">
        <f t="shared" si="91"/>
        <v>6.800000000000006E-2</v>
      </c>
      <c r="M7094" s="337"/>
    </row>
    <row r="7095" spans="1:13" s="71" customFormat="1" ht="26.4" customHeight="1">
      <c r="A7095" s="282">
        <v>456</v>
      </c>
      <c r="B7095" s="537"/>
      <c r="C7095" s="441" t="s">
        <v>8961</v>
      </c>
      <c r="D7095" s="260" t="s">
        <v>8962</v>
      </c>
      <c r="E7095" s="282" t="s">
        <v>8522</v>
      </c>
      <c r="F7095" s="387">
        <v>30311</v>
      </c>
      <c r="G7095" s="443">
        <v>1948</v>
      </c>
      <c r="H7095" s="410" t="s">
        <v>5462</v>
      </c>
      <c r="I7095" s="409">
        <v>1100</v>
      </c>
      <c r="J7095" s="496">
        <v>6.1479999999999997</v>
      </c>
      <c r="K7095" s="496">
        <v>3.758</v>
      </c>
      <c r="L7095" s="496">
        <f t="shared" si="91"/>
        <v>2.3899999999999997</v>
      </c>
      <c r="M7095" s="337"/>
    </row>
    <row r="7096" spans="1:13" s="71" customFormat="1" ht="26.4" customHeight="1">
      <c r="A7096" s="282">
        <v>457</v>
      </c>
      <c r="B7096" s="537"/>
      <c r="C7096" s="441" t="s">
        <v>8961</v>
      </c>
      <c r="D7096" s="260" t="s">
        <v>8963</v>
      </c>
      <c r="E7096" s="282" t="s">
        <v>8522</v>
      </c>
      <c r="F7096" s="387">
        <v>30312</v>
      </c>
      <c r="G7096" s="443">
        <v>1949</v>
      </c>
      <c r="H7096" s="410" t="s">
        <v>5462</v>
      </c>
      <c r="I7096" s="409">
        <v>600</v>
      </c>
      <c r="J7096" s="496">
        <v>7.9050000000000002</v>
      </c>
      <c r="K7096" s="496">
        <v>7.4029999999999996</v>
      </c>
      <c r="L7096" s="496">
        <f t="shared" si="91"/>
        <v>0.50200000000000067</v>
      </c>
      <c r="M7096" s="337"/>
    </row>
    <row r="7097" spans="1:13" s="71" customFormat="1" ht="26.4" customHeight="1">
      <c r="A7097" s="282">
        <v>458</v>
      </c>
      <c r="B7097" s="537"/>
      <c r="C7097" s="441" t="s">
        <v>8961</v>
      </c>
      <c r="D7097" s="260" t="s">
        <v>8964</v>
      </c>
      <c r="E7097" s="282" t="s">
        <v>8522</v>
      </c>
      <c r="F7097" s="387">
        <v>30313</v>
      </c>
      <c r="G7097" s="443">
        <v>1950</v>
      </c>
      <c r="H7097" s="410" t="s">
        <v>5462</v>
      </c>
      <c r="I7097" s="409">
        <v>1000</v>
      </c>
      <c r="J7097" s="496">
        <v>7.0259999999999998</v>
      </c>
      <c r="K7097" s="496">
        <v>6.58</v>
      </c>
      <c r="L7097" s="496">
        <f t="shared" si="91"/>
        <v>0.44599999999999973</v>
      </c>
      <c r="M7097" s="337"/>
    </row>
    <row r="7098" spans="1:13" s="71" customFormat="1" ht="26.4" customHeight="1">
      <c r="A7098" s="282">
        <v>459</v>
      </c>
      <c r="B7098" s="537"/>
      <c r="C7098" s="441" t="s">
        <v>8961</v>
      </c>
      <c r="D7098" s="260" t="s">
        <v>8965</v>
      </c>
      <c r="E7098" s="282" t="s">
        <v>8522</v>
      </c>
      <c r="F7098" s="387">
        <v>30314</v>
      </c>
      <c r="G7098" s="443">
        <v>1950</v>
      </c>
      <c r="H7098" s="410" t="s">
        <v>5462</v>
      </c>
      <c r="I7098" s="409">
        <v>1000</v>
      </c>
      <c r="J7098" s="496">
        <v>3.5129999999999999</v>
      </c>
      <c r="K7098" s="496">
        <v>3.29</v>
      </c>
      <c r="L7098" s="496">
        <f t="shared" si="91"/>
        <v>0.22299999999999986</v>
      </c>
      <c r="M7098" s="337"/>
    </row>
    <row r="7099" spans="1:13" s="71" customFormat="1" ht="26.4" customHeight="1">
      <c r="A7099" s="282">
        <v>460</v>
      </c>
      <c r="B7099" s="537"/>
      <c r="C7099" s="441" t="s">
        <v>8961</v>
      </c>
      <c r="D7099" s="260" t="s">
        <v>8966</v>
      </c>
      <c r="E7099" s="282" t="s">
        <v>8522</v>
      </c>
      <c r="F7099" s="387">
        <v>30315</v>
      </c>
      <c r="G7099" s="443">
        <v>1951</v>
      </c>
      <c r="H7099" s="410" t="s">
        <v>5462</v>
      </c>
      <c r="I7099" s="409">
        <v>800</v>
      </c>
      <c r="J7099" s="496">
        <v>7.0259999999999998</v>
      </c>
      <c r="K7099" s="496">
        <v>6.58</v>
      </c>
      <c r="L7099" s="496">
        <f t="shared" si="91"/>
        <v>0.44599999999999973</v>
      </c>
      <c r="M7099" s="337"/>
    </row>
    <row r="7100" spans="1:13" s="71" customFormat="1" ht="26.4" customHeight="1">
      <c r="A7100" s="282">
        <v>461</v>
      </c>
      <c r="B7100" s="537"/>
      <c r="C7100" s="441" t="s">
        <v>8961</v>
      </c>
      <c r="D7100" s="260" t="s">
        <v>8967</v>
      </c>
      <c r="E7100" s="282" t="s">
        <v>8522</v>
      </c>
      <c r="F7100" s="387">
        <v>30316</v>
      </c>
      <c r="G7100" s="443">
        <v>1951</v>
      </c>
      <c r="H7100" s="410" t="s">
        <v>5462</v>
      </c>
      <c r="I7100" s="409">
        <v>700</v>
      </c>
      <c r="J7100" s="496">
        <v>3.5129999999999999</v>
      </c>
      <c r="K7100" s="496">
        <v>3.29</v>
      </c>
      <c r="L7100" s="496">
        <f t="shared" si="91"/>
        <v>0.22299999999999986</v>
      </c>
      <c r="M7100" s="337"/>
    </row>
    <row r="7101" spans="1:13" s="71" customFormat="1" ht="26.4" customHeight="1">
      <c r="A7101" s="282">
        <v>462</v>
      </c>
      <c r="B7101" s="537"/>
      <c r="C7101" s="441" t="s">
        <v>8961</v>
      </c>
      <c r="D7101" s="260" t="s">
        <v>8968</v>
      </c>
      <c r="E7101" s="282" t="s">
        <v>8522</v>
      </c>
      <c r="F7101" s="387">
        <v>30317</v>
      </c>
      <c r="G7101" s="443">
        <v>1951</v>
      </c>
      <c r="H7101" s="410" t="s">
        <v>5462</v>
      </c>
      <c r="I7101" s="409">
        <v>700</v>
      </c>
      <c r="J7101" s="496">
        <v>3.5129999999999999</v>
      </c>
      <c r="K7101" s="496">
        <v>3.29</v>
      </c>
      <c r="L7101" s="496">
        <f t="shared" si="91"/>
        <v>0.22299999999999986</v>
      </c>
      <c r="M7101" s="337"/>
    </row>
    <row r="7102" spans="1:13" s="71" customFormat="1" ht="26.4" customHeight="1">
      <c r="A7102" s="282">
        <v>463</v>
      </c>
      <c r="B7102" s="537"/>
      <c r="C7102" s="441" t="s">
        <v>8961</v>
      </c>
      <c r="D7102" s="260" t="s">
        <v>8969</v>
      </c>
      <c r="E7102" s="282" t="s">
        <v>8522</v>
      </c>
      <c r="F7102" s="387">
        <v>30318</v>
      </c>
      <c r="G7102" s="443">
        <v>1951</v>
      </c>
      <c r="H7102" s="410" t="s">
        <v>5462</v>
      </c>
      <c r="I7102" s="409">
        <v>700</v>
      </c>
      <c r="J7102" s="496">
        <v>3.5129999999999999</v>
      </c>
      <c r="K7102" s="496">
        <v>3.29</v>
      </c>
      <c r="L7102" s="496">
        <f t="shared" si="91"/>
        <v>0.22299999999999986</v>
      </c>
      <c r="M7102" s="337"/>
    </row>
    <row r="7103" spans="1:13" s="71" customFormat="1" ht="26.4" customHeight="1">
      <c r="A7103" s="282">
        <v>464</v>
      </c>
      <c r="B7103" s="537"/>
      <c r="C7103" s="441" t="s">
        <v>8961</v>
      </c>
      <c r="D7103" s="260" t="s">
        <v>8970</v>
      </c>
      <c r="E7103" s="282" t="s">
        <v>8522</v>
      </c>
      <c r="F7103" s="387">
        <v>30319</v>
      </c>
      <c r="G7103" s="443">
        <v>1952</v>
      </c>
      <c r="H7103" s="410" t="s">
        <v>5462</v>
      </c>
      <c r="I7103" s="409">
        <v>2500</v>
      </c>
      <c r="J7103" s="496">
        <v>7.0259999999999998</v>
      </c>
      <c r="K7103" s="496">
        <v>6.58</v>
      </c>
      <c r="L7103" s="496">
        <f t="shared" si="91"/>
        <v>0.44599999999999973</v>
      </c>
      <c r="M7103" s="337"/>
    </row>
    <row r="7104" spans="1:13" s="71" customFormat="1" ht="26.4" customHeight="1">
      <c r="A7104" s="282">
        <v>465</v>
      </c>
      <c r="B7104" s="537"/>
      <c r="C7104" s="441" t="s">
        <v>8961</v>
      </c>
      <c r="D7104" s="260" t="s">
        <v>8971</v>
      </c>
      <c r="E7104" s="282" t="s">
        <v>8522</v>
      </c>
      <c r="F7104" s="387">
        <v>30320</v>
      </c>
      <c r="G7104" s="443">
        <v>1953</v>
      </c>
      <c r="H7104" s="410" t="s">
        <v>5462</v>
      </c>
      <c r="I7104" s="409">
        <v>800</v>
      </c>
      <c r="J7104" s="496">
        <v>5.27</v>
      </c>
      <c r="K7104" s="496">
        <v>4.9349999999999996</v>
      </c>
      <c r="L7104" s="496">
        <f t="shared" si="91"/>
        <v>0.33499999999999996</v>
      </c>
      <c r="M7104" s="337"/>
    </row>
    <row r="7105" spans="1:13" s="71" customFormat="1" ht="26.4" customHeight="1">
      <c r="A7105" s="282">
        <v>466</v>
      </c>
      <c r="B7105" s="537"/>
      <c r="C7105" s="441" t="s">
        <v>8961</v>
      </c>
      <c r="D7105" s="260" t="s">
        <v>8972</v>
      </c>
      <c r="E7105" s="282" t="s">
        <v>8522</v>
      </c>
      <c r="F7105" s="387">
        <v>30322</v>
      </c>
      <c r="G7105" s="443">
        <v>1970</v>
      </c>
      <c r="H7105" s="410" t="s">
        <v>5462</v>
      </c>
      <c r="I7105" s="409">
        <v>500</v>
      </c>
      <c r="J7105" s="496">
        <v>1.6619999999999999</v>
      </c>
      <c r="K7105" s="496">
        <v>1.556</v>
      </c>
      <c r="L7105" s="496">
        <f t="shared" si="91"/>
        <v>0.10599999999999987</v>
      </c>
      <c r="M7105" s="337"/>
    </row>
    <row r="7106" spans="1:13" s="504" customFormat="1" ht="26.4" customHeight="1">
      <c r="A7106" s="499">
        <v>467</v>
      </c>
      <c r="B7106" s="537"/>
      <c r="C7106" s="450" t="s">
        <v>8973</v>
      </c>
      <c r="D7106" s="450" t="s">
        <v>8974</v>
      </c>
      <c r="E7106" s="499" t="s">
        <v>8522</v>
      </c>
      <c r="F7106" s="500">
        <v>30323</v>
      </c>
      <c r="G7106" s="501">
        <v>1970</v>
      </c>
      <c r="H7106" s="461" t="s">
        <v>5462</v>
      </c>
      <c r="I7106" s="462">
        <v>800</v>
      </c>
      <c r="J7106" s="502">
        <v>6.1479999999999997</v>
      </c>
      <c r="K7106" s="502">
        <v>5.758</v>
      </c>
      <c r="L7106" s="502">
        <f t="shared" si="91"/>
        <v>0.38999999999999968</v>
      </c>
      <c r="M7106" s="503"/>
    </row>
    <row r="7107" spans="1:13" s="71" customFormat="1" ht="26.4" customHeight="1">
      <c r="A7107" s="282">
        <v>468</v>
      </c>
      <c r="B7107" s="537"/>
      <c r="C7107" s="441" t="s">
        <v>8561</v>
      </c>
      <c r="D7107" s="260" t="s">
        <v>8975</v>
      </c>
      <c r="E7107" s="282" t="s">
        <v>8522</v>
      </c>
      <c r="F7107" s="387">
        <v>30324</v>
      </c>
      <c r="G7107" s="443">
        <v>1970</v>
      </c>
      <c r="H7107" s="410" t="s">
        <v>5462</v>
      </c>
      <c r="I7107" s="409">
        <v>600</v>
      </c>
      <c r="J7107" s="496">
        <v>2.1960000000000002</v>
      </c>
      <c r="K7107" s="496">
        <v>2.0539999999999998</v>
      </c>
      <c r="L7107" s="496">
        <f t="shared" si="91"/>
        <v>0.14200000000000035</v>
      </c>
      <c r="M7107" s="337"/>
    </row>
    <row r="7108" spans="1:13" s="71" customFormat="1" ht="26.4" customHeight="1">
      <c r="A7108" s="282">
        <v>469</v>
      </c>
      <c r="B7108" s="537"/>
      <c r="C7108" s="441" t="s">
        <v>8526</v>
      </c>
      <c r="D7108" s="260" t="s">
        <v>8976</v>
      </c>
      <c r="E7108" s="282" t="s">
        <v>8522</v>
      </c>
      <c r="F7108" s="387">
        <v>30325</v>
      </c>
      <c r="G7108" s="443">
        <v>1974</v>
      </c>
      <c r="H7108" s="410" t="s">
        <v>5462</v>
      </c>
      <c r="I7108" s="409">
        <v>1600</v>
      </c>
      <c r="J7108" s="496">
        <v>8.9510000000000005</v>
      </c>
      <c r="K7108" s="496">
        <v>8.3829999999999991</v>
      </c>
      <c r="L7108" s="496">
        <f t="shared" si="91"/>
        <v>0.56800000000000139</v>
      </c>
      <c r="M7108" s="337"/>
    </row>
    <row r="7109" spans="1:13" s="71" customFormat="1" ht="26.4" customHeight="1">
      <c r="A7109" s="282">
        <v>470</v>
      </c>
      <c r="B7109" s="537"/>
      <c r="C7109" s="441" t="s">
        <v>8526</v>
      </c>
      <c r="D7109" s="260" t="s">
        <v>8977</v>
      </c>
      <c r="E7109" s="282" t="s">
        <v>8522</v>
      </c>
      <c r="F7109" s="387">
        <v>30329</v>
      </c>
      <c r="G7109" s="443">
        <v>1956</v>
      </c>
      <c r="H7109" s="410" t="s">
        <v>5462</v>
      </c>
      <c r="I7109" s="409">
        <v>600</v>
      </c>
      <c r="J7109" s="496">
        <v>2.6349999999999998</v>
      </c>
      <c r="K7109" s="496">
        <v>2.468</v>
      </c>
      <c r="L7109" s="496">
        <f t="shared" si="91"/>
        <v>0.16699999999999982</v>
      </c>
      <c r="M7109" s="337"/>
    </row>
    <row r="7110" spans="1:13" s="71" customFormat="1" ht="26.4" customHeight="1">
      <c r="A7110" s="282">
        <v>471</v>
      </c>
      <c r="B7110" s="537"/>
      <c r="C7110" s="441" t="s">
        <v>8526</v>
      </c>
      <c r="D7110" s="260" t="s">
        <v>8978</v>
      </c>
      <c r="E7110" s="282" t="s">
        <v>8522</v>
      </c>
      <c r="F7110" s="387">
        <v>30330</v>
      </c>
      <c r="G7110" s="443">
        <v>1956</v>
      </c>
      <c r="H7110" s="410" t="s">
        <v>5462</v>
      </c>
      <c r="I7110" s="409">
        <v>600</v>
      </c>
      <c r="J7110" s="496">
        <v>21.079000000000001</v>
      </c>
      <c r="K7110" s="496">
        <v>19.722000000000001</v>
      </c>
      <c r="L7110" s="496">
        <f t="shared" si="91"/>
        <v>1.3569999999999993</v>
      </c>
      <c r="M7110" s="337"/>
    </row>
    <row r="7111" spans="1:13" s="71" customFormat="1" ht="26.4" customHeight="1">
      <c r="A7111" s="282">
        <v>472</v>
      </c>
      <c r="B7111" s="537"/>
      <c r="C7111" s="441" t="s">
        <v>8526</v>
      </c>
      <c r="D7111" s="260" t="s">
        <v>8979</v>
      </c>
      <c r="E7111" s="282" t="s">
        <v>8522</v>
      </c>
      <c r="F7111" s="387">
        <v>30331</v>
      </c>
      <c r="G7111" s="443">
        <v>1956</v>
      </c>
      <c r="H7111" s="410" t="s">
        <v>5462</v>
      </c>
      <c r="I7111" s="409">
        <v>400</v>
      </c>
      <c r="J7111" s="496">
        <v>1.7569999999999999</v>
      </c>
      <c r="K7111" s="496">
        <v>1.645</v>
      </c>
      <c r="L7111" s="496">
        <f t="shared" si="91"/>
        <v>0.11199999999999988</v>
      </c>
      <c r="M7111" s="337"/>
    </row>
    <row r="7112" spans="1:13" s="71" customFormat="1" ht="26.4" customHeight="1">
      <c r="A7112" s="282">
        <v>473</v>
      </c>
      <c r="B7112" s="537"/>
      <c r="C7112" s="441" t="s">
        <v>8526</v>
      </c>
      <c r="D7112" s="260" t="s">
        <v>8980</v>
      </c>
      <c r="E7112" s="282" t="s">
        <v>8522</v>
      </c>
      <c r="F7112" s="387">
        <v>30332</v>
      </c>
      <c r="G7112" s="443">
        <v>1956</v>
      </c>
      <c r="H7112" s="410" t="s">
        <v>5462</v>
      </c>
      <c r="I7112" s="409">
        <v>500</v>
      </c>
      <c r="J7112" s="496">
        <v>1.7569999999999999</v>
      </c>
      <c r="K7112" s="496">
        <v>1.645</v>
      </c>
      <c r="L7112" s="496">
        <f t="shared" si="91"/>
        <v>0.11199999999999988</v>
      </c>
      <c r="M7112" s="337"/>
    </row>
    <row r="7113" spans="1:13" s="71" customFormat="1" ht="26.4" customHeight="1">
      <c r="A7113" s="282">
        <v>474</v>
      </c>
      <c r="B7113" s="537"/>
      <c r="C7113" s="441" t="s">
        <v>8526</v>
      </c>
      <c r="D7113" s="260" t="s">
        <v>8981</v>
      </c>
      <c r="E7113" s="282" t="s">
        <v>8522</v>
      </c>
      <c r="F7113" s="387">
        <v>30333</v>
      </c>
      <c r="G7113" s="443">
        <v>1956</v>
      </c>
      <c r="H7113" s="410" t="s">
        <v>5462</v>
      </c>
      <c r="I7113" s="409">
        <v>1100</v>
      </c>
      <c r="J7113" s="496">
        <v>6.1479999999999997</v>
      </c>
      <c r="K7113" s="496">
        <v>5.758</v>
      </c>
      <c r="L7113" s="496">
        <f t="shared" si="91"/>
        <v>0.38999999999999968</v>
      </c>
      <c r="M7113" s="337"/>
    </row>
    <row r="7114" spans="1:13" s="71" customFormat="1" ht="26.4" customHeight="1">
      <c r="A7114" s="282">
        <v>475</v>
      </c>
      <c r="B7114" s="537"/>
      <c r="C7114" s="441" t="s">
        <v>8526</v>
      </c>
      <c r="D7114" s="260" t="s">
        <v>8982</v>
      </c>
      <c r="E7114" s="282" t="s">
        <v>8522</v>
      </c>
      <c r="F7114" s="387">
        <v>30334</v>
      </c>
      <c r="G7114" s="443">
        <v>1956</v>
      </c>
      <c r="H7114" s="410" t="s">
        <v>5462</v>
      </c>
      <c r="I7114" s="409">
        <v>800</v>
      </c>
      <c r="J7114" s="496">
        <v>3.5129999999999999</v>
      </c>
      <c r="K7114" s="496">
        <v>3.29</v>
      </c>
      <c r="L7114" s="496">
        <f t="shared" si="91"/>
        <v>0.22299999999999986</v>
      </c>
      <c r="M7114" s="337"/>
    </row>
    <row r="7115" spans="1:13" s="71" customFormat="1" ht="26.4" customHeight="1">
      <c r="A7115" s="282">
        <v>476</v>
      </c>
      <c r="B7115" s="537"/>
      <c r="C7115" s="441" t="s">
        <v>8526</v>
      </c>
      <c r="D7115" s="260" t="s">
        <v>8983</v>
      </c>
      <c r="E7115" s="282" t="s">
        <v>8522</v>
      </c>
      <c r="F7115" s="387">
        <v>30335</v>
      </c>
      <c r="G7115" s="443">
        <v>1965</v>
      </c>
      <c r="H7115" s="410" t="s">
        <v>5462</v>
      </c>
      <c r="I7115" s="409">
        <v>400</v>
      </c>
      <c r="J7115" s="496">
        <v>3.5129999999999999</v>
      </c>
      <c r="K7115" s="496">
        <v>3.29</v>
      </c>
      <c r="L7115" s="496">
        <f t="shared" si="91"/>
        <v>0.22299999999999986</v>
      </c>
      <c r="M7115" s="337"/>
    </row>
    <row r="7116" spans="1:13" s="71" customFormat="1" ht="26.4" customHeight="1">
      <c r="A7116" s="282">
        <v>477</v>
      </c>
      <c r="B7116" s="537"/>
      <c r="C7116" s="441" t="s">
        <v>8526</v>
      </c>
      <c r="D7116" s="260" t="s">
        <v>8984</v>
      </c>
      <c r="E7116" s="282" t="s">
        <v>8522</v>
      </c>
      <c r="F7116" s="387">
        <v>30336</v>
      </c>
      <c r="G7116" s="443">
        <v>1954</v>
      </c>
      <c r="H7116" s="410" t="s">
        <v>5462</v>
      </c>
      <c r="I7116" s="409">
        <v>1200</v>
      </c>
      <c r="J7116" s="496">
        <v>18.277999999999999</v>
      </c>
      <c r="K7116" s="496">
        <v>16.952999999999999</v>
      </c>
      <c r="L7116" s="496">
        <f t="shared" si="91"/>
        <v>1.3249999999999993</v>
      </c>
      <c r="M7116" s="337"/>
    </row>
    <row r="7117" spans="1:13" s="71" customFormat="1" ht="26.4" customHeight="1">
      <c r="A7117" s="282">
        <v>478</v>
      </c>
      <c r="B7117" s="537"/>
      <c r="C7117" s="441" t="s">
        <v>8526</v>
      </c>
      <c r="D7117" s="260" t="s">
        <v>8985</v>
      </c>
      <c r="E7117" s="282" t="s">
        <v>8522</v>
      </c>
      <c r="F7117" s="387">
        <v>30410</v>
      </c>
      <c r="G7117" s="443">
        <v>2012</v>
      </c>
      <c r="H7117" s="410" t="s">
        <v>5462</v>
      </c>
      <c r="I7117" s="409">
        <v>600</v>
      </c>
      <c r="J7117" s="496">
        <v>4.1890000000000001</v>
      </c>
      <c r="K7117" s="496">
        <v>3.923</v>
      </c>
      <c r="L7117" s="496">
        <f t="shared" si="91"/>
        <v>0.26600000000000001</v>
      </c>
      <c r="M7117" s="337"/>
    </row>
    <row r="7118" spans="1:13" s="71" customFormat="1" ht="26.4" customHeight="1">
      <c r="A7118" s="282">
        <v>479</v>
      </c>
      <c r="B7118" s="537"/>
      <c r="C7118" s="441" t="s">
        <v>8526</v>
      </c>
      <c r="D7118" s="260" t="s">
        <v>8986</v>
      </c>
      <c r="E7118" s="282" t="s">
        <v>8522</v>
      </c>
      <c r="F7118" s="387">
        <v>30411</v>
      </c>
      <c r="G7118" s="443">
        <v>1946</v>
      </c>
      <c r="H7118" s="410" t="s">
        <v>5462</v>
      </c>
      <c r="I7118" s="409">
        <v>600</v>
      </c>
      <c r="J7118" s="496">
        <v>4.1890000000000001</v>
      </c>
      <c r="K7118" s="496">
        <v>3.923</v>
      </c>
      <c r="L7118" s="496">
        <f t="shared" si="91"/>
        <v>0.26600000000000001</v>
      </c>
      <c r="M7118" s="337"/>
    </row>
    <row r="7119" spans="1:13" s="71" customFormat="1" ht="26.4" customHeight="1">
      <c r="A7119" s="282">
        <v>480</v>
      </c>
      <c r="B7119" s="537"/>
      <c r="C7119" s="441" t="s">
        <v>8526</v>
      </c>
      <c r="D7119" s="260" t="s">
        <v>8987</v>
      </c>
      <c r="E7119" s="282" t="s">
        <v>8522</v>
      </c>
      <c r="F7119" s="387">
        <v>30412</v>
      </c>
      <c r="G7119" s="443">
        <v>1946</v>
      </c>
      <c r="H7119" s="410" t="s">
        <v>5462</v>
      </c>
      <c r="I7119" s="409">
        <v>900</v>
      </c>
      <c r="J7119" s="496">
        <v>15.08</v>
      </c>
      <c r="K7119" s="496">
        <v>14.109</v>
      </c>
      <c r="L7119" s="496">
        <f t="shared" si="91"/>
        <v>0.97100000000000009</v>
      </c>
      <c r="M7119" s="337"/>
    </row>
    <row r="7120" spans="1:13" s="71" customFormat="1" ht="26.4" customHeight="1">
      <c r="A7120" s="282">
        <v>481</v>
      </c>
      <c r="B7120" s="537"/>
      <c r="C7120" s="441" t="s">
        <v>8526</v>
      </c>
      <c r="D7120" s="260" t="s">
        <v>8988</v>
      </c>
      <c r="E7120" s="282" t="s">
        <v>8522</v>
      </c>
      <c r="F7120" s="387">
        <v>30413</v>
      </c>
      <c r="G7120" s="443">
        <v>1947</v>
      </c>
      <c r="H7120" s="410" t="s">
        <v>5462</v>
      </c>
      <c r="I7120" s="409">
        <v>1100</v>
      </c>
      <c r="J7120" s="496">
        <v>8.3239999999999998</v>
      </c>
      <c r="K7120" s="496">
        <v>7.7949999999999999</v>
      </c>
      <c r="L7120" s="496">
        <f t="shared" si="91"/>
        <v>0.52899999999999991</v>
      </c>
      <c r="M7120" s="337"/>
    </row>
    <row r="7121" spans="1:13" s="71" customFormat="1" ht="26.4" customHeight="1">
      <c r="A7121" s="282">
        <v>482</v>
      </c>
      <c r="B7121" s="537"/>
      <c r="C7121" s="441" t="s">
        <v>8526</v>
      </c>
      <c r="D7121" s="260" t="s">
        <v>8989</v>
      </c>
      <c r="E7121" s="282" t="s">
        <v>8522</v>
      </c>
      <c r="F7121" s="387">
        <v>30414</v>
      </c>
      <c r="G7121" s="443">
        <v>1949</v>
      </c>
      <c r="H7121" s="410" t="s">
        <v>5462</v>
      </c>
      <c r="I7121" s="409">
        <v>900</v>
      </c>
      <c r="J7121" s="496">
        <v>10.702</v>
      </c>
      <c r="K7121" s="496">
        <v>10.013</v>
      </c>
      <c r="L7121" s="496">
        <f t="shared" si="91"/>
        <v>0.68900000000000006</v>
      </c>
      <c r="M7121" s="337"/>
    </row>
    <row r="7122" spans="1:13" s="71" customFormat="1" ht="26.4" customHeight="1">
      <c r="A7122" s="282">
        <v>483</v>
      </c>
      <c r="B7122" s="537"/>
      <c r="C7122" s="441" t="s">
        <v>8526</v>
      </c>
      <c r="D7122" s="260" t="s">
        <v>8990</v>
      </c>
      <c r="E7122" s="282" t="s">
        <v>8522</v>
      </c>
      <c r="F7122" s="387">
        <v>30415</v>
      </c>
      <c r="G7122" s="443">
        <v>1951</v>
      </c>
      <c r="H7122" s="410" t="s">
        <v>5462</v>
      </c>
      <c r="I7122" s="409">
        <v>1500</v>
      </c>
      <c r="J7122" s="496">
        <v>22.847999999999999</v>
      </c>
      <c r="K7122" s="496">
        <v>21.233000000000001</v>
      </c>
      <c r="L7122" s="496">
        <f t="shared" si="91"/>
        <v>1.6149999999999984</v>
      </c>
      <c r="M7122" s="337"/>
    </row>
    <row r="7123" spans="1:13" s="71" customFormat="1" ht="26.4" customHeight="1">
      <c r="A7123" s="282">
        <v>484</v>
      </c>
      <c r="B7123" s="537"/>
      <c r="C7123" s="441" t="s">
        <v>8561</v>
      </c>
      <c r="D7123" s="260" t="s">
        <v>8991</v>
      </c>
      <c r="E7123" s="282" t="s">
        <v>8522</v>
      </c>
      <c r="F7123" s="387">
        <v>30416</v>
      </c>
      <c r="G7123" s="443">
        <v>1955</v>
      </c>
      <c r="H7123" s="410" t="s">
        <v>5462</v>
      </c>
      <c r="I7123" s="409">
        <v>500</v>
      </c>
      <c r="J7123" s="496">
        <v>6.0940000000000003</v>
      </c>
      <c r="K7123" s="496">
        <v>5.702</v>
      </c>
      <c r="L7123" s="496">
        <f t="shared" si="91"/>
        <v>0.39200000000000035</v>
      </c>
      <c r="M7123" s="337"/>
    </row>
    <row r="7124" spans="1:13" s="71" customFormat="1" ht="26.4" customHeight="1">
      <c r="A7124" s="282">
        <v>485</v>
      </c>
      <c r="B7124" s="537"/>
      <c r="C7124" s="441" t="s">
        <v>8561</v>
      </c>
      <c r="D7124" s="260" t="s">
        <v>8992</v>
      </c>
      <c r="E7124" s="282" t="s">
        <v>8522</v>
      </c>
      <c r="F7124" s="387">
        <v>30417</v>
      </c>
      <c r="G7124" s="443">
        <v>1955</v>
      </c>
      <c r="H7124" s="410" t="s">
        <v>5462</v>
      </c>
      <c r="I7124" s="409">
        <v>600</v>
      </c>
      <c r="J7124" s="496">
        <v>9.9499999999999993</v>
      </c>
      <c r="K7124" s="496">
        <v>9.2240000000000002</v>
      </c>
      <c r="L7124" s="496">
        <f t="shared" si="91"/>
        <v>0.72599999999999909</v>
      </c>
      <c r="M7124" s="337"/>
    </row>
    <row r="7125" spans="1:13" s="71" customFormat="1" ht="26.4" customHeight="1">
      <c r="A7125" s="282">
        <v>486</v>
      </c>
      <c r="B7125" s="537"/>
      <c r="C7125" s="441" t="s">
        <v>8561</v>
      </c>
      <c r="D7125" s="260" t="s">
        <v>8993</v>
      </c>
      <c r="E7125" s="282" t="s">
        <v>8522</v>
      </c>
      <c r="F7125" s="387">
        <v>30418</v>
      </c>
      <c r="G7125" s="443">
        <v>1955</v>
      </c>
      <c r="H7125" s="410" t="s">
        <v>5462</v>
      </c>
      <c r="I7125" s="409">
        <v>800</v>
      </c>
      <c r="J7125" s="496">
        <v>11.055999999999999</v>
      </c>
      <c r="K7125" s="496">
        <v>10.249000000000001</v>
      </c>
      <c r="L7125" s="496">
        <f t="shared" si="91"/>
        <v>0.80699999999999861</v>
      </c>
      <c r="M7125" s="337"/>
    </row>
    <row r="7126" spans="1:13" s="71" customFormat="1" ht="26.4" customHeight="1">
      <c r="A7126" s="282">
        <v>487</v>
      </c>
      <c r="B7126" s="537"/>
      <c r="C7126" s="441" t="s">
        <v>8526</v>
      </c>
      <c r="D7126" s="260" t="s">
        <v>8994</v>
      </c>
      <c r="E7126" s="282" t="s">
        <v>8522</v>
      </c>
      <c r="F7126" s="387">
        <v>30419</v>
      </c>
      <c r="G7126" s="443">
        <v>1956</v>
      </c>
      <c r="H7126" s="410" t="s">
        <v>5462</v>
      </c>
      <c r="I7126" s="409">
        <v>1000</v>
      </c>
      <c r="J7126" s="496">
        <v>16.611999999999998</v>
      </c>
      <c r="K7126" s="496">
        <v>13.85</v>
      </c>
      <c r="L7126" s="496">
        <f t="shared" si="91"/>
        <v>2.7619999999999987</v>
      </c>
      <c r="M7126" s="337"/>
    </row>
    <row r="7127" spans="1:13" s="71" customFormat="1" ht="26.4" customHeight="1">
      <c r="A7127" s="282">
        <v>488</v>
      </c>
      <c r="B7127" s="537"/>
      <c r="C7127" s="441" t="s">
        <v>8526</v>
      </c>
      <c r="D7127" s="260" t="s">
        <v>8995</v>
      </c>
      <c r="E7127" s="282" t="s">
        <v>8522</v>
      </c>
      <c r="F7127" s="387">
        <v>30420</v>
      </c>
      <c r="G7127" s="443">
        <v>1955</v>
      </c>
      <c r="H7127" s="410" t="s">
        <v>5462</v>
      </c>
      <c r="I7127" s="409">
        <v>900</v>
      </c>
      <c r="J7127" s="496">
        <v>11.055999999999999</v>
      </c>
      <c r="K7127" s="496">
        <v>10.249000000000001</v>
      </c>
      <c r="L7127" s="496">
        <f t="shared" si="91"/>
        <v>0.80699999999999861</v>
      </c>
      <c r="M7127" s="337"/>
    </row>
    <row r="7128" spans="1:13" s="71" customFormat="1" ht="26.4" customHeight="1">
      <c r="A7128" s="282">
        <v>489</v>
      </c>
      <c r="B7128" s="537"/>
      <c r="C7128" s="441" t="s">
        <v>8561</v>
      </c>
      <c r="D7128" s="260" t="s">
        <v>8996</v>
      </c>
      <c r="E7128" s="282" t="s">
        <v>8522</v>
      </c>
      <c r="F7128" s="387">
        <v>30421</v>
      </c>
      <c r="G7128" s="443">
        <v>1955</v>
      </c>
      <c r="H7128" s="410" t="s">
        <v>5462</v>
      </c>
      <c r="I7128" s="409">
        <v>1000</v>
      </c>
      <c r="J7128" s="496">
        <v>11.694000000000001</v>
      </c>
      <c r="K7128" s="496">
        <v>10.840999999999999</v>
      </c>
      <c r="L7128" s="496">
        <f t="shared" si="91"/>
        <v>0.85300000000000153</v>
      </c>
      <c r="M7128" s="337"/>
    </row>
    <row r="7129" spans="1:13" s="71" customFormat="1" ht="26.4" customHeight="1">
      <c r="A7129" s="282">
        <v>490</v>
      </c>
      <c r="B7129" s="537"/>
      <c r="C7129" s="441" t="s">
        <v>8561</v>
      </c>
      <c r="D7129" s="260" t="s">
        <v>8997</v>
      </c>
      <c r="E7129" s="282" t="s">
        <v>8522</v>
      </c>
      <c r="F7129" s="387">
        <v>30422</v>
      </c>
      <c r="G7129" s="443">
        <v>1955</v>
      </c>
      <c r="H7129" s="410" t="s">
        <v>5462</v>
      </c>
      <c r="I7129" s="409">
        <v>500</v>
      </c>
      <c r="J7129" s="496">
        <v>9.2129999999999992</v>
      </c>
      <c r="K7129" s="496">
        <v>8.5410000000000004</v>
      </c>
      <c r="L7129" s="496">
        <f t="shared" si="91"/>
        <v>0.67199999999999882</v>
      </c>
      <c r="M7129" s="337"/>
    </row>
    <row r="7130" spans="1:13" s="71" customFormat="1" ht="26.4" customHeight="1">
      <c r="A7130" s="282">
        <v>491</v>
      </c>
      <c r="B7130" s="537"/>
      <c r="C7130" s="441" t="s">
        <v>8561</v>
      </c>
      <c r="D7130" s="260" t="s">
        <v>8998</v>
      </c>
      <c r="E7130" s="282" t="s">
        <v>8522</v>
      </c>
      <c r="F7130" s="387">
        <v>30423</v>
      </c>
      <c r="G7130" s="443">
        <v>1955</v>
      </c>
      <c r="H7130" s="410" t="s">
        <v>5462</v>
      </c>
      <c r="I7130" s="409">
        <v>500</v>
      </c>
      <c r="J7130" s="496">
        <v>9.2129999999999992</v>
      </c>
      <c r="K7130" s="496">
        <v>8.5410000000000004</v>
      </c>
      <c r="L7130" s="496">
        <f t="shared" si="91"/>
        <v>0.67199999999999882</v>
      </c>
      <c r="M7130" s="337"/>
    </row>
    <row r="7131" spans="1:13" s="71" customFormat="1" ht="26.4" customHeight="1">
      <c r="A7131" s="282">
        <v>492</v>
      </c>
      <c r="B7131" s="537"/>
      <c r="C7131" s="441" t="s">
        <v>8961</v>
      </c>
      <c r="D7131" s="260" t="s">
        <v>8999</v>
      </c>
      <c r="E7131" s="260" t="s">
        <v>9000</v>
      </c>
      <c r="F7131" s="387">
        <v>30425</v>
      </c>
      <c r="G7131" s="443">
        <v>1961</v>
      </c>
      <c r="H7131" s="410" t="s">
        <v>5462</v>
      </c>
      <c r="I7131" s="409">
        <v>5300</v>
      </c>
      <c r="J7131" s="496">
        <v>225.91399999999999</v>
      </c>
      <c r="K7131" s="496">
        <v>208.20500000000001</v>
      </c>
      <c r="L7131" s="496">
        <f t="shared" si="91"/>
        <v>17.708999999999975</v>
      </c>
      <c r="M7131" s="337"/>
    </row>
    <row r="7132" spans="1:13" s="71" customFormat="1" ht="26.4" customHeight="1">
      <c r="A7132" s="282">
        <v>493</v>
      </c>
      <c r="B7132" s="537"/>
      <c r="C7132" s="441" t="s">
        <v>8561</v>
      </c>
      <c r="D7132" s="260" t="s">
        <v>9001</v>
      </c>
      <c r="E7132" s="282" t="s">
        <v>8522</v>
      </c>
      <c r="F7132" s="387">
        <v>30426</v>
      </c>
      <c r="G7132" s="443">
        <v>1968</v>
      </c>
      <c r="H7132" s="410" t="s">
        <v>5462</v>
      </c>
      <c r="I7132" s="409">
        <v>500</v>
      </c>
      <c r="J7132" s="496">
        <v>10.933</v>
      </c>
      <c r="K7132" s="496">
        <v>10.023999999999999</v>
      </c>
      <c r="L7132" s="496">
        <f t="shared" si="91"/>
        <v>0.9090000000000007</v>
      </c>
      <c r="M7132" s="337"/>
    </row>
    <row r="7133" spans="1:13" s="71" customFormat="1" ht="26.4" customHeight="1">
      <c r="A7133" s="282">
        <v>494</v>
      </c>
      <c r="B7133" s="537"/>
      <c r="C7133" s="441" t="s">
        <v>8561</v>
      </c>
      <c r="D7133" s="260" t="s">
        <v>9002</v>
      </c>
      <c r="E7133" s="282" t="s">
        <v>8522</v>
      </c>
      <c r="F7133" s="387">
        <v>30427</v>
      </c>
      <c r="G7133" s="443">
        <v>1968</v>
      </c>
      <c r="H7133" s="410" t="s">
        <v>5462</v>
      </c>
      <c r="I7133" s="409">
        <v>700</v>
      </c>
      <c r="J7133" s="496">
        <v>14.212999999999999</v>
      </c>
      <c r="K7133" s="496">
        <v>13.031000000000001</v>
      </c>
      <c r="L7133" s="496">
        <f t="shared" si="91"/>
        <v>1.1819999999999986</v>
      </c>
      <c r="M7133" s="337"/>
    </row>
    <row r="7134" spans="1:13" s="71" customFormat="1" ht="39.6">
      <c r="A7134" s="282">
        <v>495</v>
      </c>
      <c r="B7134" s="537"/>
      <c r="C7134" s="260" t="s">
        <v>8561</v>
      </c>
      <c r="D7134" s="260" t="s">
        <v>9003</v>
      </c>
      <c r="E7134" s="260" t="s">
        <v>9004</v>
      </c>
      <c r="F7134" s="387">
        <v>30428</v>
      </c>
      <c r="G7134" s="443">
        <v>1969</v>
      </c>
      <c r="H7134" s="410" t="s">
        <v>5462</v>
      </c>
      <c r="I7134" s="409">
        <v>10200</v>
      </c>
      <c r="J7134" s="496">
        <v>174.923</v>
      </c>
      <c r="K7134" s="496">
        <v>160.244</v>
      </c>
      <c r="L7134" s="496">
        <f t="shared" si="91"/>
        <v>14.679000000000002</v>
      </c>
      <c r="M7134" s="337"/>
    </row>
    <row r="7135" spans="1:13" s="71" customFormat="1" ht="26.4" customHeight="1">
      <c r="A7135" s="282">
        <v>496</v>
      </c>
      <c r="B7135" s="537"/>
      <c r="C7135" s="260" t="s">
        <v>8973</v>
      </c>
      <c r="D7135" s="260" t="s">
        <v>9005</v>
      </c>
      <c r="E7135" s="282" t="s">
        <v>8522</v>
      </c>
      <c r="F7135" s="387">
        <v>30429</v>
      </c>
      <c r="G7135" s="443">
        <v>1969</v>
      </c>
      <c r="H7135" s="410" t="s">
        <v>5462</v>
      </c>
      <c r="I7135" s="409">
        <v>1200</v>
      </c>
      <c r="J7135" s="496">
        <v>32.723999999999997</v>
      </c>
      <c r="K7135" s="496">
        <v>29.978000000000002</v>
      </c>
      <c r="L7135" s="496">
        <f t="shared" si="91"/>
        <v>2.7459999999999951</v>
      </c>
      <c r="M7135" s="337"/>
    </row>
    <row r="7136" spans="1:13" s="71" customFormat="1" ht="26.4" customHeight="1">
      <c r="A7136" s="282">
        <v>497</v>
      </c>
      <c r="B7136" s="537"/>
      <c r="C7136" s="260" t="s">
        <v>8973</v>
      </c>
      <c r="D7136" s="260" t="s">
        <v>9006</v>
      </c>
      <c r="E7136" s="282" t="s">
        <v>8522</v>
      </c>
      <c r="F7136" s="387">
        <v>30430</v>
      </c>
      <c r="G7136" s="443">
        <v>1969</v>
      </c>
      <c r="H7136" s="410" t="s">
        <v>5462</v>
      </c>
      <c r="I7136" s="409">
        <v>700</v>
      </c>
      <c r="J7136" s="496">
        <v>9.36</v>
      </c>
      <c r="K7136" s="496">
        <v>8.5749999999999993</v>
      </c>
      <c r="L7136" s="496">
        <f t="shared" si="91"/>
        <v>0.78500000000000014</v>
      </c>
      <c r="M7136" s="337"/>
    </row>
    <row r="7137" spans="1:13" s="71" customFormat="1" ht="26.4" customHeight="1">
      <c r="A7137" s="282">
        <v>498</v>
      </c>
      <c r="B7137" s="537"/>
      <c r="C7137" s="441" t="s">
        <v>8500</v>
      </c>
      <c r="D7137" s="260" t="s">
        <v>9007</v>
      </c>
      <c r="E7137" s="260" t="s">
        <v>9008</v>
      </c>
      <c r="F7137" s="387">
        <v>34110</v>
      </c>
      <c r="G7137" s="443">
        <v>1960</v>
      </c>
      <c r="H7137" s="410" t="s">
        <v>5462</v>
      </c>
      <c r="I7137" s="409">
        <v>24400</v>
      </c>
      <c r="J7137" s="496">
        <v>84.962999999999994</v>
      </c>
      <c r="K7137" s="496">
        <v>79.572999999999993</v>
      </c>
      <c r="L7137" s="496">
        <f t="shared" si="91"/>
        <v>5.3900000000000006</v>
      </c>
      <c r="M7137" s="337"/>
    </row>
    <row r="7138" spans="1:13" s="71" customFormat="1" ht="26.4" customHeight="1">
      <c r="A7138" s="282">
        <v>499</v>
      </c>
      <c r="B7138" s="537"/>
      <c r="C7138" s="441" t="s">
        <v>8500</v>
      </c>
      <c r="D7138" s="260" t="s">
        <v>9009</v>
      </c>
      <c r="E7138" s="282" t="s">
        <v>8492</v>
      </c>
      <c r="F7138" s="387">
        <v>34114</v>
      </c>
      <c r="G7138" s="443">
        <v>1961</v>
      </c>
      <c r="H7138" s="410" t="s">
        <v>5462</v>
      </c>
      <c r="I7138" s="409">
        <v>1581</v>
      </c>
      <c r="J7138" s="496">
        <v>23.393000000000001</v>
      </c>
      <c r="K7138" s="496">
        <v>21.885999999999999</v>
      </c>
      <c r="L7138" s="496">
        <f t="shared" si="91"/>
        <v>1.5070000000000014</v>
      </c>
      <c r="M7138" s="337"/>
    </row>
    <row r="7139" spans="1:13" s="71" customFormat="1" ht="26.4" customHeight="1">
      <c r="A7139" s="282">
        <v>500</v>
      </c>
      <c r="B7139" s="537"/>
      <c r="C7139" s="441" t="s">
        <v>8500</v>
      </c>
      <c r="D7139" s="260" t="s">
        <v>9010</v>
      </c>
      <c r="E7139" s="282" t="s">
        <v>8492</v>
      </c>
      <c r="F7139" s="387">
        <v>34120</v>
      </c>
      <c r="G7139" s="443">
        <v>1961</v>
      </c>
      <c r="H7139" s="410" t="s">
        <v>5462</v>
      </c>
      <c r="I7139" s="409">
        <v>680</v>
      </c>
      <c r="J7139" s="496">
        <v>8.407</v>
      </c>
      <c r="K7139" s="496">
        <v>7.8070000000000004</v>
      </c>
      <c r="L7139" s="496">
        <f t="shared" si="91"/>
        <v>0.59999999999999964</v>
      </c>
      <c r="M7139" s="337"/>
    </row>
    <row r="7140" spans="1:13" s="71" customFormat="1" ht="26.4" customHeight="1">
      <c r="A7140" s="282">
        <v>501</v>
      </c>
      <c r="B7140" s="537"/>
      <c r="C7140" s="441" t="s">
        <v>8500</v>
      </c>
      <c r="D7140" s="260" t="s">
        <v>9011</v>
      </c>
      <c r="E7140" s="282" t="s">
        <v>8492</v>
      </c>
      <c r="F7140" s="387">
        <v>34122</v>
      </c>
      <c r="G7140" s="443">
        <v>1961</v>
      </c>
      <c r="H7140" s="410" t="s">
        <v>5462</v>
      </c>
      <c r="I7140" s="409">
        <v>711</v>
      </c>
      <c r="J7140" s="496">
        <v>7.6859999999999999</v>
      </c>
      <c r="K7140" s="496">
        <v>7.0830000000000002</v>
      </c>
      <c r="L7140" s="496">
        <f t="shared" si="91"/>
        <v>0.60299999999999976</v>
      </c>
      <c r="M7140" s="337"/>
    </row>
    <row r="7141" spans="1:13" s="71" customFormat="1" ht="26.4" customHeight="1">
      <c r="A7141" s="282">
        <v>502</v>
      </c>
      <c r="B7141" s="537"/>
      <c r="C7141" s="441" t="s">
        <v>8500</v>
      </c>
      <c r="D7141" s="260" t="s">
        <v>9012</v>
      </c>
      <c r="E7141" s="282" t="s">
        <v>8492</v>
      </c>
      <c r="F7141" s="387">
        <v>34124</v>
      </c>
      <c r="G7141" s="443">
        <v>1959</v>
      </c>
      <c r="H7141" s="410" t="s">
        <v>5462</v>
      </c>
      <c r="I7141" s="409">
        <v>637</v>
      </c>
      <c r="J7141" s="496">
        <v>9.7029999999999994</v>
      </c>
      <c r="K7141" s="496">
        <v>8.9689999999999994</v>
      </c>
      <c r="L7141" s="496">
        <f t="shared" si="91"/>
        <v>0.73399999999999999</v>
      </c>
      <c r="M7141" s="337"/>
    </row>
    <row r="7142" spans="1:13" s="71" customFormat="1" ht="26.4" customHeight="1">
      <c r="A7142" s="282">
        <v>503</v>
      </c>
      <c r="B7142" s="537"/>
      <c r="C7142" s="441" t="s">
        <v>8500</v>
      </c>
      <c r="D7142" s="260" t="s">
        <v>8772</v>
      </c>
      <c r="E7142" s="282" t="s">
        <v>8492</v>
      </c>
      <c r="F7142" s="387">
        <v>34125</v>
      </c>
      <c r="G7142" s="443">
        <v>1960</v>
      </c>
      <c r="H7142" s="410" t="s">
        <v>5462</v>
      </c>
      <c r="I7142" s="409">
        <v>2400</v>
      </c>
      <c r="J7142" s="496">
        <v>20.259</v>
      </c>
      <c r="K7142" s="496">
        <v>16.251000000000001</v>
      </c>
      <c r="L7142" s="496">
        <f t="shared" si="91"/>
        <v>4.0079999999999991</v>
      </c>
      <c r="M7142" s="337"/>
    </row>
    <row r="7143" spans="1:13" s="71" customFormat="1" ht="26.4" customHeight="1">
      <c r="A7143" s="282">
        <v>504</v>
      </c>
      <c r="B7143" s="537"/>
      <c r="C7143" s="441" t="s">
        <v>8500</v>
      </c>
      <c r="D7143" s="260" t="s">
        <v>8542</v>
      </c>
      <c r="E7143" s="282" t="s">
        <v>8492</v>
      </c>
      <c r="F7143" s="387">
        <v>34126</v>
      </c>
      <c r="G7143" s="443">
        <v>1953</v>
      </c>
      <c r="H7143" s="410" t="s">
        <v>5462</v>
      </c>
      <c r="I7143" s="409">
        <v>1700</v>
      </c>
      <c r="J7143" s="496">
        <v>22.800999999999998</v>
      </c>
      <c r="K7143" s="496">
        <v>21.164000000000001</v>
      </c>
      <c r="L7143" s="496">
        <f t="shared" si="91"/>
        <v>1.6369999999999969</v>
      </c>
      <c r="M7143" s="337"/>
    </row>
    <row r="7144" spans="1:13" s="71" customFormat="1" ht="26.4" customHeight="1">
      <c r="A7144" s="282">
        <v>505</v>
      </c>
      <c r="B7144" s="537"/>
      <c r="C7144" s="441" t="s">
        <v>8500</v>
      </c>
      <c r="D7144" s="260" t="s">
        <v>9013</v>
      </c>
      <c r="E7144" s="282" t="s">
        <v>8492</v>
      </c>
      <c r="F7144" s="387">
        <v>34127</v>
      </c>
      <c r="G7144" s="443">
        <v>1963</v>
      </c>
      <c r="H7144" s="410" t="s">
        <v>5462</v>
      </c>
      <c r="I7144" s="409">
        <v>1500</v>
      </c>
      <c r="J7144" s="496">
        <v>27.919</v>
      </c>
      <c r="K7144" s="496">
        <v>25.721</v>
      </c>
      <c r="L7144" s="496">
        <f t="shared" si="91"/>
        <v>2.1980000000000004</v>
      </c>
      <c r="M7144" s="337"/>
    </row>
    <row r="7145" spans="1:13" s="71" customFormat="1" ht="26.4" customHeight="1">
      <c r="A7145" s="282">
        <v>506</v>
      </c>
      <c r="B7145" s="537"/>
      <c r="C7145" s="441" t="s">
        <v>8500</v>
      </c>
      <c r="D7145" s="260" t="s">
        <v>9014</v>
      </c>
      <c r="E7145" s="282" t="s">
        <v>8492</v>
      </c>
      <c r="F7145" s="387">
        <v>34128</v>
      </c>
      <c r="G7145" s="443">
        <v>1956</v>
      </c>
      <c r="H7145" s="410" t="s">
        <v>5462</v>
      </c>
      <c r="I7145" s="409">
        <v>500</v>
      </c>
      <c r="J7145" s="496">
        <v>7.415</v>
      </c>
      <c r="K7145" s="496">
        <v>6.8689999999999998</v>
      </c>
      <c r="L7145" s="496">
        <f t="shared" si="91"/>
        <v>0.54600000000000026</v>
      </c>
      <c r="M7145" s="337"/>
    </row>
    <row r="7146" spans="1:13" s="71" customFormat="1" ht="26.4" customHeight="1">
      <c r="A7146" s="282">
        <v>507</v>
      </c>
      <c r="B7146" s="537"/>
      <c r="C7146" s="441" t="s">
        <v>8500</v>
      </c>
      <c r="D7146" s="260" t="s">
        <v>9015</v>
      </c>
      <c r="E7146" s="282" t="s">
        <v>8492</v>
      </c>
      <c r="F7146" s="387">
        <v>34129</v>
      </c>
      <c r="G7146" s="443">
        <v>1954</v>
      </c>
      <c r="H7146" s="410" t="s">
        <v>5462</v>
      </c>
      <c r="I7146" s="409">
        <v>700</v>
      </c>
      <c r="J7146" s="496">
        <v>9.5920000000000005</v>
      </c>
      <c r="K7146" s="496">
        <v>8.8970000000000002</v>
      </c>
      <c r="L7146" s="496">
        <f t="shared" si="91"/>
        <v>0.69500000000000028</v>
      </c>
      <c r="M7146" s="337"/>
    </row>
    <row r="7147" spans="1:13" s="71" customFormat="1" ht="26.4" customHeight="1">
      <c r="A7147" s="282">
        <v>508</v>
      </c>
      <c r="B7147" s="537"/>
      <c r="C7147" s="441" t="s">
        <v>1140</v>
      </c>
      <c r="D7147" s="260" t="s">
        <v>8765</v>
      </c>
      <c r="E7147" s="282" t="s">
        <v>9016</v>
      </c>
      <c r="F7147" s="387">
        <v>34130</v>
      </c>
      <c r="G7147" s="443">
        <v>1959</v>
      </c>
      <c r="H7147" s="461" t="s">
        <v>5462</v>
      </c>
      <c r="I7147" s="462">
        <v>1200</v>
      </c>
      <c r="J7147" s="496">
        <v>15.117000000000001</v>
      </c>
      <c r="K7147" s="496">
        <v>13.853</v>
      </c>
      <c r="L7147" s="496">
        <f t="shared" si="91"/>
        <v>1.2640000000000011</v>
      </c>
      <c r="M7147" s="337"/>
    </row>
    <row r="7148" spans="1:13" s="71" customFormat="1" ht="26.4" customHeight="1">
      <c r="A7148" s="282">
        <v>509</v>
      </c>
      <c r="B7148" s="537"/>
      <c r="C7148" s="441" t="s">
        <v>1140</v>
      </c>
      <c r="D7148" s="260" t="s">
        <v>9017</v>
      </c>
      <c r="E7148" s="282" t="s">
        <v>9018</v>
      </c>
      <c r="F7148" s="387">
        <v>34131</v>
      </c>
      <c r="G7148" s="443">
        <v>1959</v>
      </c>
      <c r="H7148" s="410" t="s">
        <v>5462</v>
      </c>
      <c r="I7148" s="409">
        <v>1100</v>
      </c>
      <c r="J7148" s="496">
        <v>7.1740000000000004</v>
      </c>
      <c r="K7148" s="496">
        <v>6.64</v>
      </c>
      <c r="L7148" s="496">
        <f t="shared" si="91"/>
        <v>0.5340000000000007</v>
      </c>
      <c r="M7148" s="337"/>
    </row>
    <row r="7149" spans="1:13" s="71" customFormat="1" ht="26.4" customHeight="1">
      <c r="A7149" s="282">
        <v>510</v>
      </c>
      <c r="B7149" s="537"/>
      <c r="C7149" s="441" t="s">
        <v>8500</v>
      </c>
      <c r="D7149" s="260" t="s">
        <v>9019</v>
      </c>
      <c r="E7149" s="282" t="s">
        <v>8492</v>
      </c>
      <c r="F7149" s="387">
        <v>34132</v>
      </c>
      <c r="G7149" s="443">
        <v>1960</v>
      </c>
      <c r="H7149" s="410" t="s">
        <v>5462</v>
      </c>
      <c r="I7149" s="409">
        <v>689</v>
      </c>
      <c r="J7149" s="496">
        <v>12.148999999999999</v>
      </c>
      <c r="K7149" s="496">
        <v>11.26</v>
      </c>
      <c r="L7149" s="496">
        <f t="shared" ref="L7149:L7212" si="92">J7149-K7149</f>
        <v>0.88899999999999935</v>
      </c>
      <c r="M7149" s="337"/>
    </row>
    <row r="7150" spans="1:13" s="71" customFormat="1" ht="26.4" customHeight="1">
      <c r="A7150" s="282">
        <v>511</v>
      </c>
      <c r="B7150" s="537"/>
      <c r="C7150" s="441" t="s">
        <v>8500</v>
      </c>
      <c r="D7150" s="260" t="s">
        <v>8766</v>
      </c>
      <c r="E7150" s="282" t="s">
        <v>8492</v>
      </c>
      <c r="F7150" s="387">
        <v>34135</v>
      </c>
      <c r="G7150" s="443">
        <v>1956</v>
      </c>
      <c r="H7150" s="410" t="s">
        <v>5462</v>
      </c>
      <c r="I7150" s="409">
        <v>500</v>
      </c>
      <c r="J7150" s="496">
        <v>10.933</v>
      </c>
      <c r="K7150" s="496">
        <v>10.127000000000001</v>
      </c>
      <c r="L7150" s="496">
        <f t="shared" si="92"/>
        <v>0.80599999999999916</v>
      </c>
      <c r="M7150" s="337"/>
    </row>
    <row r="7151" spans="1:13" s="71" customFormat="1" ht="26.4" customHeight="1">
      <c r="A7151" s="282">
        <v>512</v>
      </c>
      <c r="B7151" s="537"/>
      <c r="C7151" s="441" t="s">
        <v>8500</v>
      </c>
      <c r="D7151" s="260" t="s">
        <v>9020</v>
      </c>
      <c r="E7151" s="282" t="s">
        <v>8492</v>
      </c>
      <c r="F7151" s="387">
        <v>34139</v>
      </c>
      <c r="G7151" s="443">
        <v>1986</v>
      </c>
      <c r="H7151" s="410" t="s">
        <v>5462</v>
      </c>
      <c r="I7151" s="409">
        <v>288</v>
      </c>
      <c r="J7151" s="496">
        <v>29.863</v>
      </c>
      <c r="K7151" s="496">
        <v>27.495999999999999</v>
      </c>
      <c r="L7151" s="496">
        <f t="shared" si="92"/>
        <v>2.3670000000000009</v>
      </c>
      <c r="M7151" s="337"/>
    </row>
    <row r="7152" spans="1:13" s="71" customFormat="1" ht="26.4" customHeight="1">
      <c r="A7152" s="282">
        <v>513</v>
      </c>
      <c r="B7152" s="537"/>
      <c r="C7152" s="441" t="s">
        <v>9021</v>
      </c>
      <c r="D7152" s="260" t="s">
        <v>9022</v>
      </c>
      <c r="E7152" s="282" t="s">
        <v>8492</v>
      </c>
      <c r="F7152" s="387">
        <v>50421</v>
      </c>
      <c r="G7152" s="443">
        <v>1974</v>
      </c>
      <c r="H7152" s="410" t="s">
        <v>5462</v>
      </c>
      <c r="I7152" s="409">
        <v>450</v>
      </c>
      <c r="J7152" s="496">
        <v>109.626</v>
      </c>
      <c r="K7152" s="496">
        <v>102.67</v>
      </c>
      <c r="L7152" s="496">
        <f t="shared" si="92"/>
        <v>6.9560000000000031</v>
      </c>
      <c r="M7152" s="337"/>
    </row>
    <row r="7153" spans="1:13" s="71" customFormat="1" ht="26.4" customHeight="1">
      <c r="A7153" s="282">
        <v>514</v>
      </c>
      <c r="B7153" s="537"/>
      <c r="C7153" s="441" t="s">
        <v>9021</v>
      </c>
      <c r="D7153" s="260" t="s">
        <v>9023</v>
      </c>
      <c r="E7153" s="282" t="s">
        <v>8492</v>
      </c>
      <c r="F7153" s="387">
        <v>50422</v>
      </c>
      <c r="G7153" s="443">
        <v>1982</v>
      </c>
      <c r="H7153" s="410" t="s">
        <v>5462</v>
      </c>
      <c r="I7153" s="409">
        <v>120</v>
      </c>
      <c r="J7153" s="496">
        <v>29.282</v>
      </c>
      <c r="K7153" s="496">
        <v>27.396000000000001</v>
      </c>
      <c r="L7153" s="496">
        <f t="shared" si="92"/>
        <v>1.8859999999999992</v>
      </c>
      <c r="M7153" s="337"/>
    </row>
    <row r="7154" spans="1:13" s="71" customFormat="1" ht="26.4" customHeight="1">
      <c r="A7154" s="282">
        <v>515</v>
      </c>
      <c r="B7154" s="537"/>
      <c r="C7154" s="441" t="s">
        <v>9021</v>
      </c>
      <c r="D7154" s="260" t="s">
        <v>9024</v>
      </c>
      <c r="E7154" s="282" t="s">
        <v>9025</v>
      </c>
      <c r="F7154" s="387">
        <v>50423</v>
      </c>
      <c r="G7154" s="443">
        <v>1983</v>
      </c>
      <c r="H7154" s="410" t="s">
        <v>5462</v>
      </c>
      <c r="I7154" s="409">
        <v>120</v>
      </c>
      <c r="J7154" s="496">
        <v>29.282</v>
      </c>
      <c r="K7154" s="496">
        <v>27.396000000000001</v>
      </c>
      <c r="L7154" s="496">
        <f t="shared" si="92"/>
        <v>1.8859999999999992</v>
      </c>
      <c r="M7154" s="337"/>
    </row>
    <row r="7155" spans="1:13" s="71" customFormat="1" ht="26.4" customHeight="1">
      <c r="A7155" s="282">
        <v>516</v>
      </c>
      <c r="B7155" s="537"/>
      <c r="C7155" s="441" t="s">
        <v>9021</v>
      </c>
      <c r="D7155" s="260" t="s">
        <v>9026</v>
      </c>
      <c r="E7155" s="282" t="s">
        <v>8492</v>
      </c>
      <c r="F7155" s="387">
        <v>50424</v>
      </c>
      <c r="G7155" s="443">
        <v>1975</v>
      </c>
      <c r="H7155" s="410" t="s">
        <v>5462</v>
      </c>
      <c r="I7155" s="409">
        <v>350</v>
      </c>
      <c r="J7155" s="496">
        <v>85.183999999999997</v>
      </c>
      <c r="K7155" s="496">
        <v>79.698999999999998</v>
      </c>
      <c r="L7155" s="496">
        <f t="shared" si="92"/>
        <v>5.4849999999999994</v>
      </c>
      <c r="M7155" s="337"/>
    </row>
    <row r="7156" spans="1:13" s="71" customFormat="1" ht="26.4" customHeight="1">
      <c r="A7156" s="282">
        <v>517</v>
      </c>
      <c r="B7156" s="537"/>
      <c r="C7156" s="441" t="s">
        <v>9021</v>
      </c>
      <c r="D7156" s="260" t="s">
        <v>9027</v>
      </c>
      <c r="E7156" s="282" t="s">
        <v>8492</v>
      </c>
      <c r="F7156" s="387">
        <v>50425</v>
      </c>
      <c r="G7156" s="443">
        <v>1976</v>
      </c>
      <c r="H7156" s="410" t="s">
        <v>5462</v>
      </c>
      <c r="I7156" s="409">
        <v>250</v>
      </c>
      <c r="J7156" s="496">
        <v>60.863</v>
      </c>
      <c r="K7156" s="496">
        <v>56.944000000000003</v>
      </c>
      <c r="L7156" s="496">
        <f t="shared" si="92"/>
        <v>3.9189999999999969</v>
      </c>
      <c r="M7156" s="337"/>
    </row>
    <row r="7157" spans="1:13" s="71" customFormat="1" ht="26.4" customHeight="1">
      <c r="A7157" s="282">
        <v>518</v>
      </c>
      <c r="B7157" s="537"/>
      <c r="C7157" s="441" t="s">
        <v>9021</v>
      </c>
      <c r="D7157" s="260" t="s">
        <v>9028</v>
      </c>
      <c r="E7157" s="282" t="s">
        <v>8492</v>
      </c>
      <c r="F7157" s="387">
        <v>50426</v>
      </c>
      <c r="G7157" s="443">
        <v>1976</v>
      </c>
      <c r="H7157" s="410" t="s">
        <v>5462</v>
      </c>
      <c r="I7157" s="409">
        <v>180</v>
      </c>
      <c r="J7157" s="496">
        <v>43.802</v>
      </c>
      <c r="K7157" s="496">
        <v>40.981000000000002</v>
      </c>
      <c r="L7157" s="496">
        <f t="shared" si="92"/>
        <v>2.820999999999998</v>
      </c>
      <c r="M7157" s="337"/>
    </row>
    <row r="7158" spans="1:13" s="71" customFormat="1" ht="26.4" customHeight="1">
      <c r="A7158" s="282">
        <v>519</v>
      </c>
      <c r="B7158" s="537"/>
      <c r="C7158" s="441" t="s">
        <v>9021</v>
      </c>
      <c r="D7158" s="260" t="s">
        <v>9029</v>
      </c>
      <c r="E7158" s="282" t="s">
        <v>8492</v>
      </c>
      <c r="F7158" s="387">
        <v>50427</v>
      </c>
      <c r="G7158" s="443">
        <v>1976</v>
      </c>
      <c r="H7158" s="410" t="s">
        <v>5462</v>
      </c>
      <c r="I7158" s="409">
        <v>160</v>
      </c>
      <c r="J7158" s="496">
        <v>38.962000000000003</v>
      </c>
      <c r="K7158" s="496">
        <v>36.49</v>
      </c>
      <c r="L7158" s="496">
        <f t="shared" si="92"/>
        <v>2.4720000000000013</v>
      </c>
      <c r="M7158" s="337"/>
    </row>
    <row r="7159" spans="1:13" s="71" customFormat="1" ht="26.4" customHeight="1">
      <c r="A7159" s="282">
        <v>520</v>
      </c>
      <c r="B7159" s="537"/>
      <c r="C7159" s="441" t="s">
        <v>9030</v>
      </c>
      <c r="D7159" s="260" t="s">
        <v>9031</v>
      </c>
      <c r="E7159" s="282" t="s">
        <v>8492</v>
      </c>
      <c r="F7159" s="387">
        <v>50531</v>
      </c>
      <c r="G7159" s="443">
        <v>1985</v>
      </c>
      <c r="H7159" s="410" t="s">
        <v>5462</v>
      </c>
      <c r="I7159" s="409">
        <v>750</v>
      </c>
      <c r="J7159" s="496">
        <v>11.028</v>
      </c>
      <c r="K7159" s="496">
        <v>9.5820000000000007</v>
      </c>
      <c r="L7159" s="496">
        <f t="shared" si="92"/>
        <v>1.4459999999999997</v>
      </c>
      <c r="M7159" s="337"/>
    </row>
    <row r="7160" spans="1:13" s="71" customFormat="1" ht="26.4" customHeight="1">
      <c r="A7160" s="282">
        <v>521</v>
      </c>
      <c r="B7160" s="537"/>
      <c r="C7160" s="441" t="s">
        <v>9030</v>
      </c>
      <c r="D7160" s="260" t="s">
        <v>9032</v>
      </c>
      <c r="E7160" s="282" t="s">
        <v>8492</v>
      </c>
      <c r="F7160" s="387">
        <v>50532</v>
      </c>
      <c r="G7160" s="443">
        <v>1985</v>
      </c>
      <c r="H7160" s="410" t="s">
        <v>5462</v>
      </c>
      <c r="I7160" s="409">
        <v>200</v>
      </c>
      <c r="J7160" s="496">
        <v>2.9409999999999998</v>
      </c>
      <c r="K7160" s="496">
        <v>2.5550000000000002</v>
      </c>
      <c r="L7160" s="496">
        <f t="shared" si="92"/>
        <v>0.38599999999999968</v>
      </c>
      <c r="M7160" s="337"/>
    </row>
    <row r="7161" spans="1:13" s="71" customFormat="1" ht="26.4" customHeight="1">
      <c r="A7161" s="282">
        <v>522</v>
      </c>
      <c r="B7161" s="537"/>
      <c r="C7161" s="441" t="s">
        <v>9030</v>
      </c>
      <c r="D7161" s="260" t="s">
        <v>9031</v>
      </c>
      <c r="E7161" s="282" t="s">
        <v>8492</v>
      </c>
      <c r="F7161" s="387">
        <v>50533</v>
      </c>
      <c r="G7161" s="443">
        <v>1976</v>
      </c>
      <c r="H7161" s="410" t="s">
        <v>5462</v>
      </c>
      <c r="I7161" s="409">
        <v>400</v>
      </c>
      <c r="J7161" s="496">
        <v>5.8819999999999997</v>
      </c>
      <c r="K7161" s="496">
        <v>5.1109999999999998</v>
      </c>
      <c r="L7161" s="496">
        <f t="shared" si="92"/>
        <v>0.77099999999999991</v>
      </c>
      <c r="M7161" s="337"/>
    </row>
    <row r="7162" spans="1:13" s="71" customFormat="1" ht="26.4" customHeight="1">
      <c r="A7162" s="282">
        <v>523</v>
      </c>
      <c r="B7162" s="537"/>
      <c r="C7162" s="441" t="s">
        <v>9030</v>
      </c>
      <c r="D7162" s="260" t="s">
        <v>9033</v>
      </c>
      <c r="E7162" s="282" t="s">
        <v>8492</v>
      </c>
      <c r="F7162" s="387">
        <v>50534</v>
      </c>
      <c r="G7162" s="443">
        <v>1976</v>
      </c>
      <c r="H7162" s="410" t="s">
        <v>5462</v>
      </c>
      <c r="I7162" s="409">
        <v>200</v>
      </c>
      <c r="J7162" s="496">
        <v>2.9409999999999998</v>
      </c>
      <c r="K7162" s="496">
        <v>2.5550000000000002</v>
      </c>
      <c r="L7162" s="496">
        <f t="shared" si="92"/>
        <v>0.38599999999999968</v>
      </c>
      <c r="M7162" s="337"/>
    </row>
    <row r="7163" spans="1:13" s="71" customFormat="1" ht="26.4" customHeight="1">
      <c r="A7163" s="282">
        <v>524</v>
      </c>
      <c r="B7163" s="537"/>
      <c r="C7163" s="441" t="s">
        <v>9030</v>
      </c>
      <c r="D7163" s="260" t="s">
        <v>9034</v>
      </c>
      <c r="E7163" s="282" t="s">
        <v>8492</v>
      </c>
      <c r="F7163" s="387">
        <v>50535</v>
      </c>
      <c r="G7163" s="443">
        <v>1976</v>
      </c>
      <c r="H7163" s="410" t="s">
        <v>5462</v>
      </c>
      <c r="I7163" s="409">
        <v>600</v>
      </c>
      <c r="J7163" s="496">
        <v>8.8230000000000004</v>
      </c>
      <c r="K7163" s="496">
        <v>7.6660000000000004</v>
      </c>
      <c r="L7163" s="496">
        <f t="shared" si="92"/>
        <v>1.157</v>
      </c>
      <c r="M7163" s="337"/>
    </row>
    <row r="7164" spans="1:13" s="71" customFormat="1" ht="26.4" customHeight="1">
      <c r="A7164" s="282">
        <v>525</v>
      </c>
      <c r="B7164" s="537"/>
      <c r="C7164" s="441" t="s">
        <v>9030</v>
      </c>
      <c r="D7164" s="260" t="s">
        <v>9035</v>
      </c>
      <c r="E7164" s="282" t="s">
        <v>8492</v>
      </c>
      <c r="F7164" s="387">
        <v>50536</v>
      </c>
      <c r="G7164" s="443">
        <v>1976</v>
      </c>
      <c r="H7164" s="410" t="s">
        <v>5462</v>
      </c>
      <c r="I7164" s="409">
        <v>300</v>
      </c>
      <c r="J7164" s="496">
        <v>4.4109999999999996</v>
      </c>
      <c r="K7164" s="496">
        <v>3.8319999999999999</v>
      </c>
      <c r="L7164" s="496">
        <f t="shared" si="92"/>
        <v>0.57899999999999974</v>
      </c>
      <c r="M7164" s="337"/>
    </row>
    <row r="7165" spans="1:13" s="71" customFormat="1" ht="26.4" customHeight="1">
      <c r="A7165" s="282">
        <v>526</v>
      </c>
      <c r="B7165" s="537"/>
      <c r="C7165" s="441" t="s">
        <v>9030</v>
      </c>
      <c r="D7165" s="260" t="s">
        <v>9036</v>
      </c>
      <c r="E7165" s="282" t="s">
        <v>8492</v>
      </c>
      <c r="F7165" s="387">
        <v>50537</v>
      </c>
      <c r="G7165" s="443">
        <v>1976</v>
      </c>
      <c r="H7165" s="410" t="s">
        <v>5462</v>
      </c>
      <c r="I7165" s="409">
        <v>1000</v>
      </c>
      <c r="J7165" s="496">
        <v>14.705</v>
      </c>
      <c r="K7165" s="496">
        <v>12.776</v>
      </c>
      <c r="L7165" s="496">
        <f t="shared" si="92"/>
        <v>1.9290000000000003</v>
      </c>
      <c r="M7165" s="337"/>
    </row>
    <row r="7166" spans="1:13" s="71" customFormat="1" ht="26.4" customHeight="1">
      <c r="A7166" s="282">
        <v>527</v>
      </c>
      <c r="B7166" s="537"/>
      <c r="C7166" s="441" t="s">
        <v>9030</v>
      </c>
      <c r="D7166" s="260" t="s">
        <v>9036</v>
      </c>
      <c r="E7166" s="282" t="s">
        <v>8492</v>
      </c>
      <c r="F7166" s="387">
        <v>50538</v>
      </c>
      <c r="G7166" s="443">
        <v>1976</v>
      </c>
      <c r="H7166" s="410" t="s">
        <v>5462</v>
      </c>
      <c r="I7166" s="409">
        <v>1300</v>
      </c>
      <c r="J7166" s="496">
        <v>19.116</v>
      </c>
      <c r="K7166" s="496">
        <v>16.608000000000001</v>
      </c>
      <c r="L7166" s="496">
        <f t="shared" si="92"/>
        <v>2.5079999999999991</v>
      </c>
      <c r="M7166" s="337"/>
    </row>
    <row r="7167" spans="1:13" s="71" customFormat="1" ht="26.4" customHeight="1">
      <c r="A7167" s="282">
        <v>528</v>
      </c>
      <c r="B7167" s="537"/>
      <c r="C7167" s="441" t="s">
        <v>9037</v>
      </c>
      <c r="D7167" s="260" t="s">
        <v>9038</v>
      </c>
      <c r="E7167" s="282" t="s">
        <v>8492</v>
      </c>
      <c r="F7167" s="387">
        <v>50701</v>
      </c>
      <c r="G7167" s="443">
        <v>1966</v>
      </c>
      <c r="H7167" s="410" t="s">
        <v>5462</v>
      </c>
      <c r="I7167" s="409">
        <v>380</v>
      </c>
      <c r="J7167" s="496">
        <v>4.085</v>
      </c>
      <c r="K7167" s="496">
        <v>3.4060000000000001</v>
      </c>
      <c r="L7167" s="496">
        <f t="shared" si="92"/>
        <v>0.67899999999999983</v>
      </c>
      <c r="M7167" s="337"/>
    </row>
    <row r="7168" spans="1:13" s="71" customFormat="1" ht="26.4" customHeight="1">
      <c r="A7168" s="282">
        <v>529</v>
      </c>
      <c r="B7168" s="537"/>
      <c r="C7168" s="441" t="s">
        <v>9037</v>
      </c>
      <c r="D7168" s="260" t="s">
        <v>9039</v>
      </c>
      <c r="E7168" s="282" t="s">
        <v>8492</v>
      </c>
      <c r="F7168" s="387">
        <v>50702</v>
      </c>
      <c r="G7168" s="443">
        <v>1966</v>
      </c>
      <c r="H7168" s="410" t="s">
        <v>5462</v>
      </c>
      <c r="I7168" s="409">
        <v>365</v>
      </c>
      <c r="J7168" s="496">
        <v>3.923</v>
      </c>
      <c r="K7168" s="496">
        <v>3.2709999999999999</v>
      </c>
      <c r="L7168" s="496">
        <f t="shared" si="92"/>
        <v>0.65200000000000014</v>
      </c>
      <c r="M7168" s="337"/>
    </row>
    <row r="7169" spans="1:13" s="71" customFormat="1" ht="26.4" customHeight="1">
      <c r="A7169" s="282">
        <v>530</v>
      </c>
      <c r="B7169" s="537"/>
      <c r="C7169" s="441" t="s">
        <v>9037</v>
      </c>
      <c r="D7169" s="260" t="s">
        <v>9040</v>
      </c>
      <c r="E7169" s="282" t="s">
        <v>8492</v>
      </c>
      <c r="F7169" s="387">
        <v>50703</v>
      </c>
      <c r="G7169" s="443">
        <v>1966</v>
      </c>
      <c r="H7169" s="410" t="s">
        <v>5462</v>
      </c>
      <c r="I7169" s="409">
        <v>305</v>
      </c>
      <c r="J7169" s="496">
        <v>3.2789999999999999</v>
      </c>
      <c r="K7169" s="496">
        <v>2.7330000000000001</v>
      </c>
      <c r="L7169" s="496">
        <f t="shared" si="92"/>
        <v>0.54599999999999982</v>
      </c>
      <c r="M7169" s="337"/>
    </row>
    <row r="7170" spans="1:13" s="71" customFormat="1" ht="26.4" customHeight="1">
      <c r="A7170" s="282">
        <v>531</v>
      </c>
      <c r="B7170" s="537"/>
      <c r="C7170" s="441" t="s">
        <v>9037</v>
      </c>
      <c r="D7170" s="260" t="s">
        <v>9041</v>
      </c>
      <c r="E7170" s="282" t="s">
        <v>8492</v>
      </c>
      <c r="F7170" s="387">
        <v>50704</v>
      </c>
      <c r="G7170" s="443">
        <v>1966</v>
      </c>
      <c r="H7170" s="410" t="s">
        <v>5462</v>
      </c>
      <c r="I7170" s="409">
        <v>250</v>
      </c>
      <c r="J7170" s="496">
        <v>2.6869999999999998</v>
      </c>
      <c r="K7170" s="496">
        <v>2.2400000000000002</v>
      </c>
      <c r="L7170" s="496">
        <f t="shared" si="92"/>
        <v>0.44699999999999962</v>
      </c>
      <c r="M7170" s="337"/>
    </row>
    <row r="7171" spans="1:13" s="71" customFormat="1" ht="26.4" customHeight="1">
      <c r="A7171" s="282">
        <v>532</v>
      </c>
      <c r="B7171" s="537"/>
      <c r="C7171" s="441" t="s">
        <v>9037</v>
      </c>
      <c r="D7171" s="260" t="s">
        <v>9042</v>
      </c>
      <c r="E7171" s="282" t="s">
        <v>8492</v>
      </c>
      <c r="F7171" s="387">
        <v>50705</v>
      </c>
      <c r="G7171" s="443">
        <v>1966</v>
      </c>
      <c r="H7171" s="410" t="s">
        <v>5462</v>
      </c>
      <c r="I7171" s="409">
        <v>280</v>
      </c>
      <c r="J7171" s="496">
        <v>3.01</v>
      </c>
      <c r="K7171" s="496">
        <v>2.5089999999999999</v>
      </c>
      <c r="L7171" s="496">
        <f t="shared" si="92"/>
        <v>0.50099999999999989</v>
      </c>
      <c r="M7171" s="337"/>
    </row>
    <row r="7172" spans="1:13" s="71" customFormat="1" ht="26.4" customHeight="1">
      <c r="A7172" s="282">
        <v>533</v>
      </c>
      <c r="B7172" s="537"/>
      <c r="C7172" s="441" t="s">
        <v>9037</v>
      </c>
      <c r="D7172" s="260" t="s">
        <v>9043</v>
      </c>
      <c r="E7172" s="282" t="s">
        <v>8492</v>
      </c>
      <c r="F7172" s="387">
        <v>50706</v>
      </c>
      <c r="G7172" s="443">
        <v>1966</v>
      </c>
      <c r="H7172" s="410" t="s">
        <v>5462</v>
      </c>
      <c r="I7172" s="409">
        <v>213</v>
      </c>
      <c r="J7172" s="496">
        <v>2.29</v>
      </c>
      <c r="K7172" s="496">
        <v>1.909</v>
      </c>
      <c r="L7172" s="496">
        <f t="shared" si="92"/>
        <v>0.38100000000000001</v>
      </c>
      <c r="M7172" s="337"/>
    </row>
    <row r="7173" spans="1:13" s="71" customFormat="1" ht="26.4" customHeight="1">
      <c r="A7173" s="282">
        <v>534</v>
      </c>
      <c r="B7173" s="537"/>
      <c r="C7173" s="441" t="s">
        <v>9037</v>
      </c>
      <c r="D7173" s="260" t="s">
        <v>9044</v>
      </c>
      <c r="E7173" s="282" t="s">
        <v>8492</v>
      </c>
      <c r="F7173" s="387">
        <v>50707</v>
      </c>
      <c r="G7173" s="443">
        <v>1966</v>
      </c>
      <c r="H7173" s="410" t="s">
        <v>5462</v>
      </c>
      <c r="I7173" s="409">
        <v>500</v>
      </c>
      <c r="J7173" s="496">
        <v>5.375</v>
      </c>
      <c r="K7173" s="496">
        <v>4.4809999999999999</v>
      </c>
      <c r="L7173" s="496">
        <f t="shared" si="92"/>
        <v>0.89400000000000013</v>
      </c>
      <c r="M7173" s="337"/>
    </row>
    <row r="7174" spans="1:13" s="71" customFormat="1" ht="26.4" customHeight="1">
      <c r="A7174" s="282">
        <v>535</v>
      </c>
      <c r="B7174" s="537"/>
      <c r="C7174" s="441" t="s">
        <v>9037</v>
      </c>
      <c r="D7174" s="260" t="s">
        <v>9045</v>
      </c>
      <c r="E7174" s="282" t="s">
        <v>8492</v>
      </c>
      <c r="F7174" s="387">
        <v>50708</v>
      </c>
      <c r="G7174" s="443">
        <v>1966</v>
      </c>
      <c r="H7174" s="410" t="s">
        <v>5462</v>
      </c>
      <c r="I7174" s="409">
        <v>460</v>
      </c>
      <c r="J7174" s="496">
        <v>4.9450000000000003</v>
      </c>
      <c r="K7174" s="496">
        <v>4.1219999999999999</v>
      </c>
      <c r="L7174" s="496">
        <f t="shared" si="92"/>
        <v>0.8230000000000004</v>
      </c>
      <c r="M7174" s="337"/>
    </row>
    <row r="7175" spans="1:13" s="71" customFormat="1" ht="26.4" customHeight="1">
      <c r="A7175" s="282">
        <v>536</v>
      </c>
      <c r="B7175" s="537"/>
      <c r="C7175" s="441" t="s">
        <v>9037</v>
      </c>
      <c r="D7175" s="260" t="s">
        <v>9046</v>
      </c>
      <c r="E7175" s="282" t="s">
        <v>8492</v>
      </c>
      <c r="F7175" s="387">
        <v>50709</v>
      </c>
      <c r="G7175" s="443">
        <v>1966</v>
      </c>
      <c r="H7175" s="410" t="s">
        <v>5462</v>
      </c>
      <c r="I7175" s="409">
        <v>483</v>
      </c>
      <c r="J7175" s="496">
        <v>5.1920000000000002</v>
      </c>
      <c r="K7175" s="496">
        <v>4.3289999999999997</v>
      </c>
      <c r="L7175" s="496">
        <f t="shared" si="92"/>
        <v>0.86300000000000043</v>
      </c>
      <c r="M7175" s="337"/>
    </row>
    <row r="7176" spans="1:13" s="71" customFormat="1" ht="26.4" customHeight="1">
      <c r="A7176" s="282">
        <v>537</v>
      </c>
      <c r="B7176" s="537"/>
      <c r="C7176" s="441" t="s">
        <v>19</v>
      </c>
      <c r="D7176" s="260" t="s">
        <v>8750</v>
      </c>
      <c r="E7176" s="282" t="s">
        <v>8492</v>
      </c>
      <c r="F7176" s="387">
        <v>60612</v>
      </c>
      <c r="G7176" s="443">
        <v>1968</v>
      </c>
      <c r="H7176" s="410" t="s">
        <v>5462</v>
      </c>
      <c r="I7176" s="409">
        <v>2100</v>
      </c>
      <c r="J7176" s="496">
        <v>47.695999999999998</v>
      </c>
      <c r="K7176" s="496">
        <v>43.731999999999999</v>
      </c>
      <c r="L7176" s="496">
        <f t="shared" si="92"/>
        <v>3.9639999999999986</v>
      </c>
      <c r="M7176" s="337"/>
    </row>
    <row r="7177" spans="1:13" s="71" customFormat="1" ht="26.4" customHeight="1">
      <c r="A7177" s="282">
        <v>538</v>
      </c>
      <c r="B7177" s="537"/>
      <c r="C7177" s="441" t="s">
        <v>19</v>
      </c>
      <c r="D7177" s="260" t="s">
        <v>9047</v>
      </c>
      <c r="E7177" s="282" t="s">
        <v>8492</v>
      </c>
      <c r="F7177" s="387">
        <v>60614</v>
      </c>
      <c r="G7177" s="443">
        <v>1969</v>
      </c>
      <c r="H7177" s="410" t="s">
        <v>5462</v>
      </c>
      <c r="I7177" s="409">
        <v>1500</v>
      </c>
      <c r="J7177" s="496">
        <v>9.5839999999999996</v>
      </c>
      <c r="K7177" s="496">
        <v>8.7799999999999994</v>
      </c>
      <c r="L7177" s="496">
        <f t="shared" si="92"/>
        <v>0.80400000000000027</v>
      </c>
      <c r="M7177" s="337"/>
    </row>
    <row r="7178" spans="1:13" s="71" customFormat="1" ht="26.4" customHeight="1">
      <c r="A7178" s="282">
        <v>539</v>
      </c>
      <c r="B7178" s="537"/>
      <c r="C7178" s="441" t="s">
        <v>19</v>
      </c>
      <c r="D7178" s="260" t="s">
        <v>9048</v>
      </c>
      <c r="E7178" s="282" t="s">
        <v>8492</v>
      </c>
      <c r="F7178" s="387">
        <v>60615</v>
      </c>
      <c r="G7178" s="443">
        <v>1969</v>
      </c>
      <c r="H7178" s="410" t="s">
        <v>5462</v>
      </c>
      <c r="I7178" s="409">
        <v>700</v>
      </c>
      <c r="J7178" s="496">
        <v>12.097</v>
      </c>
      <c r="K7178" s="496">
        <v>11.082000000000001</v>
      </c>
      <c r="L7178" s="496">
        <f t="shared" si="92"/>
        <v>1.0149999999999988</v>
      </c>
      <c r="M7178" s="337"/>
    </row>
    <row r="7179" spans="1:13" s="71" customFormat="1" ht="26.4" customHeight="1">
      <c r="A7179" s="282">
        <v>540</v>
      </c>
      <c r="B7179" s="537"/>
      <c r="C7179" s="441" t="s">
        <v>19</v>
      </c>
      <c r="D7179" s="260" t="s">
        <v>13311</v>
      </c>
      <c r="E7179" s="282" t="s">
        <v>8492</v>
      </c>
      <c r="F7179" s="387">
        <v>60616</v>
      </c>
      <c r="G7179" s="443">
        <v>1969</v>
      </c>
      <c r="H7179" s="410" t="s">
        <v>5462</v>
      </c>
      <c r="I7179" s="409">
        <v>3400</v>
      </c>
      <c r="J7179" s="496">
        <v>49.143999999999998</v>
      </c>
      <c r="K7179" s="496">
        <v>45.02</v>
      </c>
      <c r="L7179" s="496">
        <f t="shared" si="92"/>
        <v>4.1239999999999952</v>
      </c>
      <c r="M7179" s="337"/>
    </row>
    <row r="7180" spans="1:13" s="71" customFormat="1" ht="26.4" customHeight="1">
      <c r="A7180" s="282">
        <v>541</v>
      </c>
      <c r="B7180" s="537"/>
      <c r="C7180" s="441" t="s">
        <v>19</v>
      </c>
      <c r="D7180" s="260" t="s">
        <v>9049</v>
      </c>
      <c r="E7180" s="282" t="s">
        <v>8492</v>
      </c>
      <c r="F7180" s="387">
        <v>60620</v>
      </c>
      <c r="G7180" s="443">
        <v>1969</v>
      </c>
      <c r="H7180" s="410" t="s">
        <v>5462</v>
      </c>
      <c r="I7180" s="409">
        <v>400</v>
      </c>
      <c r="J7180" s="496">
        <v>10.933</v>
      </c>
      <c r="K7180" s="496">
        <v>10.018000000000001</v>
      </c>
      <c r="L7180" s="496">
        <f t="shared" si="92"/>
        <v>0.91499999999999915</v>
      </c>
      <c r="M7180" s="337"/>
    </row>
    <row r="7181" spans="1:13" s="71" customFormat="1" ht="26.4" customHeight="1">
      <c r="A7181" s="282">
        <v>542</v>
      </c>
      <c r="B7181" s="537"/>
      <c r="C7181" s="441" t="s">
        <v>19</v>
      </c>
      <c r="D7181" s="260" t="s">
        <v>9050</v>
      </c>
      <c r="E7181" s="282" t="s">
        <v>8492</v>
      </c>
      <c r="F7181" s="387">
        <v>60621</v>
      </c>
      <c r="G7181" s="443">
        <v>1969</v>
      </c>
      <c r="H7181" s="410" t="s">
        <v>5462</v>
      </c>
      <c r="I7181" s="409">
        <v>750</v>
      </c>
      <c r="J7181" s="496">
        <v>16.399000000000001</v>
      </c>
      <c r="K7181" s="496">
        <v>15.023</v>
      </c>
      <c r="L7181" s="496">
        <f t="shared" si="92"/>
        <v>1.3760000000000012</v>
      </c>
      <c r="M7181" s="337"/>
    </row>
    <row r="7182" spans="1:13" s="71" customFormat="1" ht="26.4" customHeight="1">
      <c r="A7182" s="282">
        <v>543</v>
      </c>
      <c r="B7182" s="537"/>
      <c r="C7182" s="441" t="s">
        <v>19</v>
      </c>
      <c r="D7182" s="260" t="s">
        <v>9051</v>
      </c>
      <c r="E7182" s="282" t="s">
        <v>8492</v>
      </c>
      <c r="F7182" s="387">
        <v>60622</v>
      </c>
      <c r="G7182" s="443">
        <v>1968</v>
      </c>
      <c r="H7182" s="410" t="s">
        <v>5462</v>
      </c>
      <c r="I7182" s="409">
        <v>600</v>
      </c>
      <c r="J7182" s="496">
        <v>9.1389999999999993</v>
      </c>
      <c r="K7182" s="496">
        <v>8.3800000000000008</v>
      </c>
      <c r="L7182" s="496">
        <f t="shared" si="92"/>
        <v>0.75899999999999856</v>
      </c>
      <c r="M7182" s="337"/>
    </row>
    <row r="7183" spans="1:13" s="71" customFormat="1" ht="26.4" customHeight="1">
      <c r="A7183" s="282">
        <v>544</v>
      </c>
      <c r="B7183" s="537"/>
      <c r="C7183" s="441" t="s">
        <v>19</v>
      </c>
      <c r="D7183" s="260" t="s">
        <v>9052</v>
      </c>
      <c r="E7183" s="282" t="s">
        <v>8492</v>
      </c>
      <c r="F7183" s="387">
        <v>60623</v>
      </c>
      <c r="G7183" s="443">
        <v>1968</v>
      </c>
      <c r="H7183" s="410" t="s">
        <v>5462</v>
      </c>
      <c r="I7183" s="409">
        <v>1300</v>
      </c>
      <c r="J7183" s="496">
        <v>31.914000000000001</v>
      </c>
      <c r="K7183" s="496">
        <v>29.260999999999999</v>
      </c>
      <c r="L7183" s="496">
        <f t="shared" si="92"/>
        <v>2.6530000000000022</v>
      </c>
      <c r="M7183" s="337"/>
    </row>
    <row r="7184" spans="1:13" s="71" customFormat="1" ht="26.4" customHeight="1">
      <c r="A7184" s="282">
        <v>545</v>
      </c>
      <c r="B7184" s="537"/>
      <c r="C7184" s="441" t="s">
        <v>19</v>
      </c>
      <c r="D7184" s="260" t="s">
        <v>9053</v>
      </c>
      <c r="E7184" s="282" t="s">
        <v>8492</v>
      </c>
      <c r="F7184" s="387">
        <v>60624</v>
      </c>
      <c r="G7184" s="443">
        <v>1968</v>
      </c>
      <c r="H7184" s="410" t="s">
        <v>5462</v>
      </c>
      <c r="I7184" s="409">
        <v>1500</v>
      </c>
      <c r="J7184" s="496">
        <v>7.1589999999999998</v>
      </c>
      <c r="K7184" s="496">
        <v>6.5640000000000001</v>
      </c>
      <c r="L7184" s="496">
        <f t="shared" si="92"/>
        <v>0.59499999999999975</v>
      </c>
      <c r="M7184" s="337"/>
    </row>
    <row r="7185" spans="1:13" s="71" customFormat="1" ht="26.4" customHeight="1">
      <c r="A7185" s="282">
        <v>546</v>
      </c>
      <c r="B7185" s="537"/>
      <c r="C7185" s="441" t="s">
        <v>19</v>
      </c>
      <c r="D7185" s="260" t="s">
        <v>9054</v>
      </c>
      <c r="E7185" s="282" t="s">
        <v>8492</v>
      </c>
      <c r="F7185" s="387">
        <v>60625</v>
      </c>
      <c r="G7185" s="443">
        <v>1967</v>
      </c>
      <c r="H7185" s="410" t="s">
        <v>5462</v>
      </c>
      <c r="I7185" s="409">
        <v>800</v>
      </c>
      <c r="J7185" s="496">
        <v>12.186</v>
      </c>
      <c r="K7185" s="496">
        <v>11.196</v>
      </c>
      <c r="L7185" s="496">
        <f t="shared" si="92"/>
        <v>0.99000000000000021</v>
      </c>
      <c r="M7185" s="337"/>
    </row>
    <row r="7186" spans="1:13" s="71" customFormat="1" ht="26.4" customHeight="1">
      <c r="A7186" s="282">
        <v>547</v>
      </c>
      <c r="B7186" s="537"/>
      <c r="C7186" s="441" t="s">
        <v>19</v>
      </c>
      <c r="D7186" s="260" t="s">
        <v>8743</v>
      </c>
      <c r="E7186" s="282" t="s">
        <v>8492</v>
      </c>
      <c r="F7186" s="387">
        <v>60626</v>
      </c>
      <c r="G7186" s="443">
        <v>1965</v>
      </c>
      <c r="H7186" s="410" t="s">
        <v>5462</v>
      </c>
      <c r="I7186" s="409">
        <v>1100</v>
      </c>
      <c r="J7186" s="496">
        <v>18.277999999999999</v>
      </c>
      <c r="K7186" s="496">
        <v>16.818999999999999</v>
      </c>
      <c r="L7186" s="496">
        <f t="shared" si="92"/>
        <v>1.4589999999999996</v>
      </c>
      <c r="M7186" s="337"/>
    </row>
    <row r="7187" spans="1:13" s="71" customFormat="1" ht="26.4" customHeight="1">
      <c r="A7187" s="282">
        <v>548</v>
      </c>
      <c r="B7187" s="537"/>
      <c r="C7187" s="441" t="s">
        <v>19</v>
      </c>
      <c r="D7187" s="260" t="s">
        <v>9055</v>
      </c>
      <c r="E7187" s="282" t="s">
        <v>8492</v>
      </c>
      <c r="F7187" s="387">
        <v>60627</v>
      </c>
      <c r="G7187" s="443">
        <v>1963</v>
      </c>
      <c r="H7187" s="410" t="s">
        <v>5462</v>
      </c>
      <c r="I7187" s="409">
        <v>2300</v>
      </c>
      <c r="J7187" s="496">
        <v>33.511000000000003</v>
      </c>
      <c r="K7187" s="496">
        <v>30.881</v>
      </c>
      <c r="L7187" s="496">
        <f t="shared" si="92"/>
        <v>2.6300000000000026</v>
      </c>
      <c r="M7187" s="337"/>
    </row>
    <row r="7188" spans="1:13" s="332" customFormat="1" ht="26.4" customHeight="1">
      <c r="A7188" s="445">
        <v>549</v>
      </c>
      <c r="B7188" s="537"/>
      <c r="C7188" s="440" t="s">
        <v>19</v>
      </c>
      <c r="D7188" s="444" t="s">
        <v>9056</v>
      </c>
      <c r="E7188" s="282" t="s">
        <v>8492</v>
      </c>
      <c r="F7188" s="387">
        <v>60628</v>
      </c>
      <c r="G7188" s="443">
        <v>1961</v>
      </c>
      <c r="H7188" s="410" t="s">
        <v>5462</v>
      </c>
      <c r="I7188" s="409">
        <v>400</v>
      </c>
      <c r="J7188" s="496">
        <v>12.788</v>
      </c>
      <c r="K7188" s="496">
        <v>11.789</v>
      </c>
      <c r="L7188" s="496">
        <f t="shared" si="92"/>
        <v>0.99900000000000055</v>
      </c>
      <c r="M7188" s="331"/>
    </row>
    <row r="7189" spans="1:13" s="71" customFormat="1" ht="26.4" customHeight="1">
      <c r="A7189" s="282">
        <v>550</v>
      </c>
      <c r="B7189" s="537"/>
      <c r="C7189" s="441" t="s">
        <v>19</v>
      </c>
      <c r="D7189" s="260" t="s">
        <v>9057</v>
      </c>
      <c r="E7189" s="282" t="s">
        <v>8492</v>
      </c>
      <c r="F7189" s="387">
        <v>60629</v>
      </c>
      <c r="G7189" s="443">
        <v>1960</v>
      </c>
      <c r="H7189" s="410" t="s">
        <v>5462</v>
      </c>
      <c r="I7189" s="409">
        <v>500</v>
      </c>
      <c r="J7189" s="496">
        <v>7.7409999999999997</v>
      </c>
      <c r="K7189" s="496">
        <v>6.21</v>
      </c>
      <c r="L7189" s="496">
        <f t="shared" si="92"/>
        <v>1.5309999999999997</v>
      </c>
      <c r="M7189" s="337"/>
    </row>
    <row r="7190" spans="1:13" s="71" customFormat="1" ht="26.4" customHeight="1">
      <c r="A7190" s="282">
        <v>551</v>
      </c>
      <c r="B7190" s="537"/>
      <c r="C7190" s="441" t="s">
        <v>19</v>
      </c>
      <c r="D7190" s="260" t="s">
        <v>9058</v>
      </c>
      <c r="E7190" s="282" t="s">
        <v>8492</v>
      </c>
      <c r="F7190" s="387">
        <v>60630</v>
      </c>
      <c r="G7190" s="443">
        <v>1960</v>
      </c>
      <c r="H7190" s="410" t="s">
        <v>5462</v>
      </c>
      <c r="I7190" s="409">
        <v>500</v>
      </c>
      <c r="J7190" s="496">
        <v>1.784</v>
      </c>
      <c r="K7190" s="496">
        <v>1.67</v>
      </c>
      <c r="L7190" s="496">
        <f t="shared" si="92"/>
        <v>0.1140000000000001</v>
      </c>
      <c r="M7190" s="337"/>
    </row>
    <row r="7191" spans="1:13" s="71" customFormat="1" ht="26.4" customHeight="1">
      <c r="A7191" s="282">
        <v>552</v>
      </c>
      <c r="B7191" s="537"/>
      <c r="C7191" s="441" t="s">
        <v>19</v>
      </c>
      <c r="D7191" s="260" t="s">
        <v>9059</v>
      </c>
      <c r="E7191" s="282" t="s">
        <v>8492</v>
      </c>
      <c r="F7191" s="387">
        <v>60631</v>
      </c>
      <c r="G7191" s="443">
        <v>1960</v>
      </c>
      <c r="H7191" s="410" t="s">
        <v>5462</v>
      </c>
      <c r="I7191" s="409">
        <v>500</v>
      </c>
      <c r="J7191" s="496">
        <v>4.0209999999999999</v>
      </c>
      <c r="K7191" s="496">
        <v>3.766</v>
      </c>
      <c r="L7191" s="496">
        <f t="shared" si="92"/>
        <v>0.25499999999999989</v>
      </c>
      <c r="M7191" s="337"/>
    </row>
    <row r="7192" spans="1:13" s="71" customFormat="1" ht="26.4" customHeight="1">
      <c r="A7192" s="282">
        <v>553</v>
      </c>
      <c r="B7192" s="537"/>
      <c r="C7192" s="441" t="s">
        <v>19</v>
      </c>
      <c r="D7192" s="260" t="s">
        <v>9060</v>
      </c>
      <c r="E7192" s="282" t="s">
        <v>8492</v>
      </c>
      <c r="F7192" s="387">
        <v>60632</v>
      </c>
      <c r="G7192" s="443">
        <v>1960</v>
      </c>
      <c r="H7192" s="410" t="s">
        <v>5462</v>
      </c>
      <c r="I7192" s="409">
        <v>600</v>
      </c>
      <c r="J7192" s="496">
        <v>1.784</v>
      </c>
      <c r="K7192" s="496">
        <v>1.67</v>
      </c>
      <c r="L7192" s="496">
        <f t="shared" si="92"/>
        <v>0.1140000000000001</v>
      </c>
      <c r="M7192" s="337"/>
    </row>
    <row r="7193" spans="1:13" s="71" customFormat="1" ht="26.4" customHeight="1">
      <c r="A7193" s="282">
        <v>554</v>
      </c>
      <c r="B7193" s="537"/>
      <c r="C7193" s="441" t="s">
        <v>19</v>
      </c>
      <c r="D7193" s="260" t="s">
        <v>9061</v>
      </c>
      <c r="E7193" s="282" t="s">
        <v>8492</v>
      </c>
      <c r="F7193" s="387">
        <v>60635</v>
      </c>
      <c r="G7193" s="443">
        <v>1960</v>
      </c>
      <c r="H7193" s="410" t="s">
        <v>5462</v>
      </c>
      <c r="I7193" s="409">
        <v>748</v>
      </c>
      <c r="J7193" s="496">
        <v>10.875</v>
      </c>
      <c r="K7193" s="496">
        <v>10.432</v>
      </c>
      <c r="L7193" s="496">
        <f t="shared" si="92"/>
        <v>0.44299999999999962</v>
      </c>
      <c r="M7193" s="337"/>
    </row>
    <row r="7194" spans="1:13" s="71" customFormat="1" ht="26.4" customHeight="1">
      <c r="A7194" s="282">
        <v>555</v>
      </c>
      <c r="B7194" s="537"/>
      <c r="C7194" s="441" t="s">
        <v>19</v>
      </c>
      <c r="D7194" s="260" t="s">
        <v>9062</v>
      </c>
      <c r="E7194" s="282" t="s">
        <v>8492</v>
      </c>
      <c r="F7194" s="387">
        <v>60638</v>
      </c>
      <c r="G7194" s="443">
        <v>1958</v>
      </c>
      <c r="H7194" s="410" t="s">
        <v>5462</v>
      </c>
      <c r="I7194" s="409">
        <v>400</v>
      </c>
      <c r="J7194" s="496">
        <v>1.07</v>
      </c>
      <c r="K7194" s="496">
        <v>1.0009999999999999</v>
      </c>
      <c r="L7194" s="496">
        <f t="shared" si="92"/>
        <v>6.9000000000000172E-2</v>
      </c>
      <c r="M7194" s="337"/>
    </row>
    <row r="7195" spans="1:13" s="71" customFormat="1" ht="26.4" customHeight="1">
      <c r="A7195" s="282">
        <v>556</v>
      </c>
      <c r="B7195" s="537"/>
      <c r="C7195" s="441" t="s">
        <v>19</v>
      </c>
      <c r="D7195" s="260" t="s">
        <v>9063</v>
      </c>
      <c r="E7195" s="282" t="s">
        <v>8492</v>
      </c>
      <c r="F7195" s="387">
        <v>60639</v>
      </c>
      <c r="G7195" s="443">
        <v>1958</v>
      </c>
      <c r="H7195" s="410" t="s">
        <v>5462</v>
      </c>
      <c r="I7195" s="409">
        <v>500</v>
      </c>
      <c r="J7195" s="496">
        <v>4.7560000000000002</v>
      </c>
      <c r="K7195" s="496">
        <v>4.45</v>
      </c>
      <c r="L7195" s="496">
        <f t="shared" si="92"/>
        <v>0.30600000000000005</v>
      </c>
      <c r="M7195" s="337"/>
    </row>
    <row r="7196" spans="1:13" s="71" customFormat="1" ht="26.4" customHeight="1">
      <c r="A7196" s="282">
        <v>557</v>
      </c>
      <c r="B7196" s="537"/>
      <c r="C7196" s="441" t="s">
        <v>19</v>
      </c>
      <c r="D7196" s="260" t="s">
        <v>9064</v>
      </c>
      <c r="E7196" s="282" t="s">
        <v>8492</v>
      </c>
      <c r="F7196" s="387">
        <v>60640</v>
      </c>
      <c r="G7196" s="443">
        <v>1958</v>
      </c>
      <c r="H7196" s="410" t="s">
        <v>5462</v>
      </c>
      <c r="I7196" s="409">
        <v>700</v>
      </c>
      <c r="J7196" s="496">
        <v>7.9969999999999999</v>
      </c>
      <c r="K7196" s="496">
        <v>7.3979999999999997</v>
      </c>
      <c r="L7196" s="496">
        <f t="shared" si="92"/>
        <v>0.5990000000000002</v>
      </c>
      <c r="M7196" s="337"/>
    </row>
    <row r="7197" spans="1:13" s="71" customFormat="1" ht="26.4" customHeight="1">
      <c r="A7197" s="282">
        <v>558</v>
      </c>
      <c r="B7197" s="537"/>
      <c r="C7197" s="441" t="s">
        <v>19</v>
      </c>
      <c r="D7197" s="260" t="s">
        <v>9065</v>
      </c>
      <c r="E7197" s="282" t="s">
        <v>8492</v>
      </c>
      <c r="F7197" s="387">
        <v>60641</v>
      </c>
      <c r="G7197" s="443">
        <v>1958</v>
      </c>
      <c r="H7197" s="410" t="s">
        <v>5462</v>
      </c>
      <c r="I7197" s="409">
        <v>500</v>
      </c>
      <c r="J7197" s="496">
        <v>4.173</v>
      </c>
      <c r="K7197" s="496">
        <v>3.9079999999999999</v>
      </c>
      <c r="L7197" s="496">
        <f t="shared" si="92"/>
        <v>0.26500000000000012</v>
      </c>
      <c r="M7197" s="337"/>
    </row>
    <row r="7198" spans="1:13" s="71" customFormat="1" ht="26.4" customHeight="1">
      <c r="A7198" s="282">
        <v>559</v>
      </c>
      <c r="B7198" s="537"/>
      <c r="C7198" s="441" t="s">
        <v>19</v>
      </c>
      <c r="D7198" s="260" t="s">
        <v>9066</v>
      </c>
      <c r="E7198" s="282" t="s">
        <v>8492</v>
      </c>
      <c r="F7198" s="387">
        <v>60642</v>
      </c>
      <c r="G7198" s="443">
        <v>1958</v>
      </c>
      <c r="H7198" s="410" t="s">
        <v>5462</v>
      </c>
      <c r="I7198" s="409">
        <v>1400</v>
      </c>
      <c r="J7198" s="496">
        <v>30.611999999999998</v>
      </c>
      <c r="K7198" s="496">
        <v>28.32</v>
      </c>
      <c r="L7198" s="496">
        <f t="shared" si="92"/>
        <v>2.291999999999998</v>
      </c>
      <c r="M7198" s="337"/>
    </row>
    <row r="7199" spans="1:13" s="71" customFormat="1" ht="26.4" customHeight="1">
      <c r="A7199" s="282">
        <v>560</v>
      </c>
      <c r="B7199" s="537"/>
      <c r="C7199" s="441" t="s">
        <v>19</v>
      </c>
      <c r="D7199" s="260" t="s">
        <v>9067</v>
      </c>
      <c r="E7199" s="282" t="s">
        <v>8492</v>
      </c>
      <c r="F7199" s="387">
        <v>60644</v>
      </c>
      <c r="G7199" s="443">
        <v>1957</v>
      </c>
      <c r="H7199" s="410" t="s">
        <v>5462</v>
      </c>
      <c r="I7199" s="409">
        <v>1400</v>
      </c>
      <c r="J7199" s="496">
        <v>4.2809999999999997</v>
      </c>
      <c r="K7199" s="496">
        <v>4.0090000000000003</v>
      </c>
      <c r="L7199" s="496">
        <f t="shared" si="92"/>
        <v>0.27199999999999935</v>
      </c>
      <c r="M7199" s="337"/>
    </row>
    <row r="7200" spans="1:13" s="71" customFormat="1" ht="26.4" customHeight="1">
      <c r="A7200" s="282">
        <v>561</v>
      </c>
      <c r="B7200" s="537"/>
      <c r="C7200" s="441" t="s">
        <v>19</v>
      </c>
      <c r="D7200" s="260" t="s">
        <v>9068</v>
      </c>
      <c r="E7200" s="282" t="s">
        <v>8492</v>
      </c>
      <c r="F7200" s="387">
        <v>60647</v>
      </c>
      <c r="G7200" s="443">
        <v>1956</v>
      </c>
      <c r="H7200" s="410" t="s">
        <v>5462</v>
      </c>
      <c r="I7200" s="409">
        <v>1600</v>
      </c>
      <c r="J7200" s="496">
        <v>8.8350000000000009</v>
      </c>
      <c r="K7200" s="496">
        <v>8.1839999999999993</v>
      </c>
      <c r="L7200" s="496">
        <f t="shared" si="92"/>
        <v>0.65100000000000158</v>
      </c>
      <c r="M7200" s="337"/>
    </row>
    <row r="7201" spans="1:13" s="71" customFormat="1" ht="26.4" customHeight="1">
      <c r="A7201" s="282">
        <v>562</v>
      </c>
      <c r="B7201" s="537"/>
      <c r="C7201" s="441" t="s">
        <v>19</v>
      </c>
      <c r="D7201" s="260" t="s">
        <v>8810</v>
      </c>
      <c r="E7201" s="282" t="s">
        <v>8492</v>
      </c>
      <c r="F7201" s="387">
        <v>60648</v>
      </c>
      <c r="G7201" s="443">
        <v>1956</v>
      </c>
      <c r="H7201" s="410" t="s">
        <v>5462</v>
      </c>
      <c r="I7201" s="409">
        <v>1750</v>
      </c>
      <c r="J7201" s="496">
        <v>47.722999999999999</v>
      </c>
      <c r="K7201" s="496">
        <v>44.207999999999998</v>
      </c>
      <c r="L7201" s="496">
        <f t="shared" si="92"/>
        <v>3.5150000000000006</v>
      </c>
      <c r="M7201" s="337"/>
    </row>
    <row r="7202" spans="1:13" s="71" customFormat="1" ht="26.4" customHeight="1">
      <c r="A7202" s="282">
        <v>563</v>
      </c>
      <c r="B7202" s="537"/>
      <c r="C7202" s="441" t="s">
        <v>19</v>
      </c>
      <c r="D7202" s="260" t="s">
        <v>13312</v>
      </c>
      <c r="E7202" s="282" t="s">
        <v>8492</v>
      </c>
      <c r="F7202" s="387">
        <v>60649</v>
      </c>
      <c r="G7202" s="443">
        <v>1956</v>
      </c>
      <c r="H7202" s="410" t="s">
        <v>5462</v>
      </c>
      <c r="I7202" s="409">
        <v>1100</v>
      </c>
      <c r="J7202" s="496">
        <v>29.997</v>
      </c>
      <c r="K7202" s="496">
        <v>27.788</v>
      </c>
      <c r="L7202" s="496">
        <f t="shared" si="92"/>
        <v>2.2089999999999996</v>
      </c>
      <c r="M7202" s="337"/>
    </row>
    <row r="7203" spans="1:13" s="71" customFormat="1" ht="26.4" customHeight="1">
      <c r="A7203" s="282">
        <v>564</v>
      </c>
      <c r="B7203" s="537"/>
      <c r="C7203" s="441" t="s">
        <v>19</v>
      </c>
      <c r="D7203" s="260" t="s">
        <v>9069</v>
      </c>
      <c r="E7203" s="282" t="s">
        <v>8492</v>
      </c>
      <c r="F7203" s="387">
        <v>60650</v>
      </c>
      <c r="G7203" s="443">
        <v>1956</v>
      </c>
      <c r="H7203" s="410" t="s">
        <v>5462</v>
      </c>
      <c r="I7203" s="409">
        <v>300</v>
      </c>
      <c r="J7203" s="496">
        <v>0.67600000000000005</v>
      </c>
      <c r="K7203" s="496">
        <v>0.63300000000000001</v>
      </c>
      <c r="L7203" s="496">
        <f t="shared" si="92"/>
        <v>4.3000000000000038E-2</v>
      </c>
      <c r="M7203" s="337"/>
    </row>
    <row r="7204" spans="1:13" s="71" customFormat="1" ht="26.4" customHeight="1">
      <c r="A7204" s="282">
        <v>565</v>
      </c>
      <c r="B7204" s="537"/>
      <c r="C7204" s="441" t="s">
        <v>19</v>
      </c>
      <c r="D7204" s="260" t="s">
        <v>9070</v>
      </c>
      <c r="E7204" s="282" t="s">
        <v>8492</v>
      </c>
      <c r="F7204" s="387">
        <v>60651</v>
      </c>
      <c r="G7204" s="443">
        <v>1956</v>
      </c>
      <c r="H7204" s="410" t="s">
        <v>5462</v>
      </c>
      <c r="I7204" s="409">
        <v>1500</v>
      </c>
      <c r="J7204" s="496">
        <v>18.277999999999999</v>
      </c>
      <c r="K7204" s="496">
        <v>16.931999999999999</v>
      </c>
      <c r="L7204" s="496">
        <f t="shared" si="92"/>
        <v>1.3460000000000001</v>
      </c>
      <c r="M7204" s="337"/>
    </row>
    <row r="7205" spans="1:13" s="71" customFormat="1" ht="26.4" customHeight="1">
      <c r="A7205" s="282">
        <v>566</v>
      </c>
      <c r="B7205" s="537"/>
      <c r="C7205" s="441" t="s">
        <v>19</v>
      </c>
      <c r="D7205" s="260" t="s">
        <v>9071</v>
      </c>
      <c r="E7205" s="282" t="s">
        <v>8492</v>
      </c>
      <c r="F7205" s="387">
        <v>60652</v>
      </c>
      <c r="G7205" s="443">
        <v>1956</v>
      </c>
      <c r="H7205" s="410" t="s">
        <v>5462</v>
      </c>
      <c r="I7205" s="409">
        <v>400</v>
      </c>
      <c r="J7205" s="496">
        <v>2.0939999999999999</v>
      </c>
      <c r="K7205" s="496">
        <v>1.9590000000000001</v>
      </c>
      <c r="L7205" s="496">
        <f t="shared" si="92"/>
        <v>0.13499999999999979</v>
      </c>
      <c r="M7205" s="337"/>
    </row>
    <row r="7206" spans="1:13" s="71" customFormat="1" ht="26.4" customHeight="1">
      <c r="A7206" s="282">
        <v>567</v>
      </c>
      <c r="B7206" s="537"/>
      <c r="C7206" s="441" t="s">
        <v>19</v>
      </c>
      <c r="D7206" s="260" t="s">
        <v>9072</v>
      </c>
      <c r="E7206" s="282" t="s">
        <v>8492</v>
      </c>
      <c r="F7206" s="387">
        <v>60653</v>
      </c>
      <c r="G7206" s="443">
        <v>1956</v>
      </c>
      <c r="H7206" s="410" t="s">
        <v>5462</v>
      </c>
      <c r="I7206" s="409">
        <v>1515</v>
      </c>
      <c r="J7206" s="496">
        <v>23.091000000000001</v>
      </c>
      <c r="K7206" s="496">
        <v>21.39</v>
      </c>
      <c r="L7206" s="496">
        <f t="shared" si="92"/>
        <v>1.7010000000000005</v>
      </c>
      <c r="M7206" s="337"/>
    </row>
    <row r="7207" spans="1:13" s="71" customFormat="1" ht="26.4" customHeight="1">
      <c r="A7207" s="282">
        <v>568</v>
      </c>
      <c r="B7207" s="537"/>
      <c r="C7207" s="441" t="s">
        <v>19</v>
      </c>
      <c r="D7207" s="260" t="s">
        <v>9073</v>
      </c>
      <c r="E7207" s="282" t="s">
        <v>8492</v>
      </c>
      <c r="F7207" s="387">
        <v>60654</v>
      </c>
      <c r="G7207" s="443">
        <v>1956</v>
      </c>
      <c r="H7207" s="410" t="s">
        <v>5462</v>
      </c>
      <c r="I7207" s="409">
        <v>3400</v>
      </c>
      <c r="J7207" s="496">
        <v>38.536999999999999</v>
      </c>
      <c r="K7207" s="496">
        <v>35.698</v>
      </c>
      <c r="L7207" s="496">
        <f t="shared" si="92"/>
        <v>2.8389999999999986</v>
      </c>
      <c r="M7207" s="337"/>
    </row>
    <row r="7208" spans="1:13" s="71" customFormat="1" ht="26.4" customHeight="1">
      <c r="A7208" s="282">
        <v>569</v>
      </c>
      <c r="B7208" s="537"/>
      <c r="C7208" s="441" t="s">
        <v>19</v>
      </c>
      <c r="D7208" s="260" t="s">
        <v>9074</v>
      </c>
      <c r="E7208" s="282" t="s">
        <v>8492</v>
      </c>
      <c r="F7208" s="387">
        <v>60656</v>
      </c>
      <c r="G7208" s="443">
        <v>1956</v>
      </c>
      <c r="H7208" s="410" t="s">
        <v>5462</v>
      </c>
      <c r="I7208" s="409">
        <v>1500</v>
      </c>
      <c r="J7208" s="496">
        <v>2.359</v>
      </c>
      <c r="K7208" s="496">
        <v>1.6419999999999999</v>
      </c>
      <c r="L7208" s="496">
        <f t="shared" si="92"/>
        <v>0.71700000000000008</v>
      </c>
      <c r="M7208" s="337"/>
    </row>
    <row r="7209" spans="1:13" s="71" customFormat="1" ht="26.4" customHeight="1">
      <c r="A7209" s="282">
        <v>570</v>
      </c>
      <c r="B7209" s="537"/>
      <c r="C7209" s="441" t="s">
        <v>19</v>
      </c>
      <c r="D7209" s="260" t="s">
        <v>9075</v>
      </c>
      <c r="E7209" s="282" t="s">
        <v>8492</v>
      </c>
      <c r="F7209" s="387">
        <v>60657</v>
      </c>
      <c r="G7209" s="443">
        <v>1956</v>
      </c>
      <c r="H7209" s="410" t="s">
        <v>5462</v>
      </c>
      <c r="I7209" s="409">
        <v>600</v>
      </c>
      <c r="J7209" s="496">
        <v>10.662000000000001</v>
      </c>
      <c r="K7209" s="496">
        <v>9.8989999999999991</v>
      </c>
      <c r="L7209" s="496">
        <f t="shared" si="92"/>
        <v>0.76300000000000168</v>
      </c>
      <c r="M7209" s="337"/>
    </row>
    <row r="7210" spans="1:13" s="71" customFormat="1" ht="26.4" customHeight="1">
      <c r="A7210" s="282">
        <v>571</v>
      </c>
      <c r="B7210" s="537"/>
      <c r="C7210" s="441" t="s">
        <v>19</v>
      </c>
      <c r="D7210" s="260" t="s">
        <v>9076</v>
      </c>
      <c r="E7210" s="282" t="s">
        <v>8492</v>
      </c>
      <c r="F7210" s="387">
        <v>60658</v>
      </c>
      <c r="G7210" s="443">
        <v>1956</v>
      </c>
      <c r="H7210" s="410" t="s">
        <v>5462</v>
      </c>
      <c r="I7210" s="409">
        <v>600</v>
      </c>
      <c r="J7210" s="496">
        <v>9.4339999999999993</v>
      </c>
      <c r="K7210" s="496">
        <v>7.8650000000000002</v>
      </c>
      <c r="L7210" s="496">
        <f t="shared" si="92"/>
        <v>1.5689999999999991</v>
      </c>
      <c r="M7210" s="337"/>
    </row>
    <row r="7211" spans="1:13" s="71" customFormat="1" ht="26.4" customHeight="1">
      <c r="A7211" s="282">
        <v>572</v>
      </c>
      <c r="B7211" s="537"/>
      <c r="C7211" s="441" t="s">
        <v>19</v>
      </c>
      <c r="D7211" s="260" t="s">
        <v>9077</v>
      </c>
      <c r="E7211" s="282" t="s">
        <v>8492</v>
      </c>
      <c r="F7211" s="387">
        <v>60659</v>
      </c>
      <c r="G7211" s="443">
        <v>1956</v>
      </c>
      <c r="H7211" s="410" t="s">
        <v>5462</v>
      </c>
      <c r="I7211" s="409">
        <v>1200</v>
      </c>
      <c r="J7211" s="496">
        <v>18.277999999999999</v>
      </c>
      <c r="K7211" s="496">
        <v>16.891999999999999</v>
      </c>
      <c r="L7211" s="496">
        <f t="shared" si="92"/>
        <v>1.3859999999999992</v>
      </c>
      <c r="M7211" s="337"/>
    </row>
    <row r="7212" spans="1:13" s="71" customFormat="1" ht="26.4" customHeight="1">
      <c r="A7212" s="282">
        <v>573</v>
      </c>
      <c r="B7212" s="537"/>
      <c r="C7212" s="441" t="s">
        <v>19</v>
      </c>
      <c r="D7212" s="260" t="s">
        <v>9078</v>
      </c>
      <c r="E7212" s="282" t="s">
        <v>8492</v>
      </c>
      <c r="F7212" s="387">
        <v>60660</v>
      </c>
      <c r="G7212" s="443">
        <v>1956</v>
      </c>
      <c r="H7212" s="410" t="s">
        <v>5462</v>
      </c>
      <c r="I7212" s="409">
        <v>1700</v>
      </c>
      <c r="J7212" s="496">
        <v>24.052</v>
      </c>
      <c r="K7212" s="496">
        <v>22.526</v>
      </c>
      <c r="L7212" s="496">
        <f t="shared" si="92"/>
        <v>1.5259999999999998</v>
      </c>
      <c r="M7212" s="337"/>
    </row>
    <row r="7213" spans="1:13" s="71" customFormat="1" ht="26.4" customHeight="1">
      <c r="A7213" s="282">
        <v>574</v>
      </c>
      <c r="B7213" s="537"/>
      <c r="C7213" s="441" t="s">
        <v>19</v>
      </c>
      <c r="D7213" s="260" t="s">
        <v>13251</v>
      </c>
      <c r="E7213" s="282" t="s">
        <v>8492</v>
      </c>
      <c r="F7213" s="387">
        <v>60661</v>
      </c>
      <c r="G7213" s="443">
        <v>1955</v>
      </c>
      <c r="H7213" s="410" t="s">
        <v>5462</v>
      </c>
      <c r="I7213" s="409">
        <v>800</v>
      </c>
      <c r="J7213" s="496">
        <v>8.0429999999999993</v>
      </c>
      <c r="K7213" s="496">
        <v>7.532</v>
      </c>
      <c r="L7213" s="496">
        <f t="shared" ref="L7213:L7276" si="93">J7213-K7213</f>
        <v>0.51099999999999923</v>
      </c>
      <c r="M7213" s="337"/>
    </row>
    <row r="7214" spans="1:13" s="71" customFormat="1" ht="26.4" customHeight="1">
      <c r="A7214" s="282">
        <v>575</v>
      </c>
      <c r="B7214" s="537"/>
      <c r="C7214" s="441" t="s">
        <v>19</v>
      </c>
      <c r="D7214" s="260" t="s">
        <v>9079</v>
      </c>
      <c r="E7214" s="282" t="s">
        <v>8492</v>
      </c>
      <c r="F7214" s="387">
        <v>60662</v>
      </c>
      <c r="G7214" s="443">
        <v>1955</v>
      </c>
      <c r="H7214" s="410" t="s">
        <v>5462</v>
      </c>
      <c r="I7214" s="409">
        <v>500</v>
      </c>
      <c r="J7214" s="496">
        <v>3.0920000000000001</v>
      </c>
      <c r="K7214" s="496">
        <v>2.8959999999999999</v>
      </c>
      <c r="L7214" s="496">
        <f t="shared" si="93"/>
        <v>0.19600000000000017</v>
      </c>
      <c r="M7214" s="337"/>
    </row>
    <row r="7215" spans="1:13" s="71" customFormat="1" ht="26.4" customHeight="1">
      <c r="A7215" s="282">
        <v>576</v>
      </c>
      <c r="B7215" s="537"/>
      <c r="C7215" s="441" t="s">
        <v>19</v>
      </c>
      <c r="D7215" s="260" t="s">
        <v>9080</v>
      </c>
      <c r="E7215" s="282" t="s">
        <v>8492</v>
      </c>
      <c r="F7215" s="387">
        <v>60663</v>
      </c>
      <c r="G7215" s="443">
        <v>1955</v>
      </c>
      <c r="H7215" s="410" t="s">
        <v>5462</v>
      </c>
      <c r="I7215" s="409">
        <v>454</v>
      </c>
      <c r="J7215" s="496">
        <v>5.3979999999999997</v>
      </c>
      <c r="K7215" s="496">
        <v>5.056</v>
      </c>
      <c r="L7215" s="496">
        <f t="shared" si="93"/>
        <v>0.34199999999999964</v>
      </c>
      <c r="M7215" s="337"/>
    </row>
    <row r="7216" spans="1:13" s="71" customFormat="1" ht="39.6">
      <c r="A7216" s="282">
        <v>577</v>
      </c>
      <c r="B7216" s="537"/>
      <c r="C7216" s="441" t="s">
        <v>19</v>
      </c>
      <c r="D7216" s="260" t="s">
        <v>13252</v>
      </c>
      <c r="E7216" s="260" t="s">
        <v>9081</v>
      </c>
      <c r="F7216" s="387">
        <v>60664</v>
      </c>
      <c r="G7216" s="443">
        <v>1955</v>
      </c>
      <c r="H7216" s="410" t="s">
        <v>5462</v>
      </c>
      <c r="I7216" s="409">
        <v>1100</v>
      </c>
      <c r="J7216" s="496">
        <v>16.754999999999999</v>
      </c>
      <c r="K7216" s="496">
        <v>15.532999999999999</v>
      </c>
      <c r="L7216" s="496">
        <f t="shared" si="93"/>
        <v>1.2219999999999995</v>
      </c>
      <c r="M7216" s="337"/>
    </row>
    <row r="7217" spans="1:13" s="71" customFormat="1" ht="26.4" customHeight="1">
      <c r="A7217" s="282">
        <v>578</v>
      </c>
      <c r="B7217" s="537"/>
      <c r="C7217" s="441" t="s">
        <v>19</v>
      </c>
      <c r="D7217" s="260" t="s">
        <v>9082</v>
      </c>
      <c r="E7217" s="260" t="s">
        <v>8492</v>
      </c>
      <c r="F7217" s="387">
        <v>60665</v>
      </c>
      <c r="G7217" s="443">
        <v>1955</v>
      </c>
      <c r="H7217" s="410" t="s">
        <v>5462</v>
      </c>
      <c r="I7217" s="409">
        <v>700</v>
      </c>
      <c r="J7217" s="496">
        <v>4.9939999999999998</v>
      </c>
      <c r="K7217" s="496">
        <v>4.6769999999999996</v>
      </c>
      <c r="L7217" s="496">
        <f t="shared" si="93"/>
        <v>0.31700000000000017</v>
      </c>
      <c r="M7217" s="337"/>
    </row>
    <row r="7218" spans="1:13" s="71" customFormat="1" ht="26.4" customHeight="1">
      <c r="A7218" s="282">
        <v>579</v>
      </c>
      <c r="B7218" s="537"/>
      <c r="C7218" s="441" t="s">
        <v>19</v>
      </c>
      <c r="D7218" s="260" t="s">
        <v>9083</v>
      </c>
      <c r="E7218" s="260" t="s">
        <v>8492</v>
      </c>
      <c r="F7218" s="387">
        <v>60666</v>
      </c>
      <c r="G7218" s="443">
        <v>1955</v>
      </c>
      <c r="H7218" s="410" t="s">
        <v>5462</v>
      </c>
      <c r="I7218" s="409">
        <v>5500</v>
      </c>
      <c r="J7218" s="496">
        <v>54.018000000000001</v>
      </c>
      <c r="K7218" s="496">
        <v>49.542000000000002</v>
      </c>
      <c r="L7218" s="496">
        <f t="shared" si="93"/>
        <v>4.4759999999999991</v>
      </c>
      <c r="M7218" s="337"/>
    </row>
    <row r="7219" spans="1:13" s="71" customFormat="1" ht="26.4" customHeight="1">
      <c r="A7219" s="282">
        <v>580</v>
      </c>
      <c r="B7219" s="537"/>
      <c r="C7219" s="441" t="s">
        <v>19</v>
      </c>
      <c r="D7219" s="260" t="s">
        <v>9084</v>
      </c>
      <c r="E7219" s="260" t="s">
        <v>8492</v>
      </c>
      <c r="F7219" s="387">
        <v>60667</v>
      </c>
      <c r="G7219" s="443">
        <v>1969</v>
      </c>
      <c r="H7219" s="410" t="s">
        <v>5462</v>
      </c>
      <c r="I7219" s="409">
        <v>500</v>
      </c>
      <c r="J7219" s="496">
        <v>3.7829999999999999</v>
      </c>
      <c r="K7219" s="496">
        <v>3.4660000000000002</v>
      </c>
      <c r="L7219" s="496">
        <f t="shared" si="93"/>
        <v>0.31699999999999973</v>
      </c>
      <c r="M7219" s="337"/>
    </row>
    <row r="7220" spans="1:13" s="71" customFormat="1" ht="26.4" customHeight="1">
      <c r="A7220" s="282">
        <v>581</v>
      </c>
      <c r="B7220" s="537"/>
      <c r="C7220" s="441" t="s">
        <v>19</v>
      </c>
      <c r="D7220" s="260" t="s">
        <v>9085</v>
      </c>
      <c r="E7220" s="260" t="s">
        <v>8492</v>
      </c>
      <c r="F7220" s="387">
        <v>60669</v>
      </c>
      <c r="G7220" s="443">
        <v>1954</v>
      </c>
      <c r="H7220" s="410" t="s">
        <v>5462</v>
      </c>
      <c r="I7220" s="409">
        <v>800</v>
      </c>
      <c r="J7220" s="496">
        <v>7.1210000000000004</v>
      </c>
      <c r="K7220" s="496">
        <v>6.6689999999999996</v>
      </c>
      <c r="L7220" s="496">
        <f t="shared" si="93"/>
        <v>0.45200000000000085</v>
      </c>
      <c r="M7220" s="337"/>
    </row>
    <row r="7221" spans="1:13" s="71" customFormat="1" ht="26.4" customHeight="1">
      <c r="A7221" s="282">
        <v>582</v>
      </c>
      <c r="B7221" s="537"/>
      <c r="C7221" s="441" t="s">
        <v>19</v>
      </c>
      <c r="D7221" s="260" t="s">
        <v>9086</v>
      </c>
      <c r="E7221" s="260" t="s">
        <v>8492</v>
      </c>
      <c r="F7221" s="387">
        <v>60670</v>
      </c>
      <c r="G7221" s="443">
        <v>1953</v>
      </c>
      <c r="H7221" s="410" t="s">
        <v>5462</v>
      </c>
      <c r="I7221" s="409">
        <v>300</v>
      </c>
      <c r="J7221" s="496">
        <v>2.14</v>
      </c>
      <c r="K7221" s="496">
        <v>2.0049999999999999</v>
      </c>
      <c r="L7221" s="496">
        <f t="shared" si="93"/>
        <v>0.13500000000000023</v>
      </c>
      <c r="M7221" s="337"/>
    </row>
    <row r="7222" spans="1:13" s="71" customFormat="1" ht="26.4" customHeight="1">
      <c r="A7222" s="282">
        <v>583</v>
      </c>
      <c r="B7222" s="537"/>
      <c r="C7222" s="441" t="s">
        <v>19</v>
      </c>
      <c r="D7222" s="260" t="s">
        <v>9087</v>
      </c>
      <c r="E7222" s="260" t="s">
        <v>8492</v>
      </c>
      <c r="F7222" s="387">
        <v>60671</v>
      </c>
      <c r="G7222" s="443">
        <v>1953</v>
      </c>
      <c r="H7222" s="410" t="s">
        <v>5462</v>
      </c>
      <c r="I7222" s="409">
        <v>300</v>
      </c>
      <c r="J7222" s="496">
        <v>2.14</v>
      </c>
      <c r="K7222" s="496">
        <v>2.0049999999999999</v>
      </c>
      <c r="L7222" s="496">
        <f t="shared" si="93"/>
        <v>0.13500000000000023</v>
      </c>
      <c r="M7222" s="337"/>
    </row>
    <row r="7223" spans="1:13" s="71" customFormat="1" ht="26.4" customHeight="1">
      <c r="A7223" s="282">
        <v>584</v>
      </c>
      <c r="B7223" s="537"/>
      <c r="C7223" s="441" t="s">
        <v>19</v>
      </c>
      <c r="D7223" s="260" t="s">
        <v>9088</v>
      </c>
      <c r="E7223" s="260" t="s">
        <v>8492</v>
      </c>
      <c r="F7223" s="387">
        <v>60673</v>
      </c>
      <c r="G7223" s="443">
        <v>1950</v>
      </c>
      <c r="H7223" s="410" t="s">
        <v>5462</v>
      </c>
      <c r="I7223" s="409">
        <v>350</v>
      </c>
      <c r="J7223" s="496">
        <v>5.8639999999999999</v>
      </c>
      <c r="K7223" s="496">
        <v>5.492</v>
      </c>
      <c r="L7223" s="496">
        <f t="shared" si="93"/>
        <v>0.37199999999999989</v>
      </c>
      <c r="M7223" s="337"/>
    </row>
    <row r="7224" spans="1:13" s="71" customFormat="1" ht="26.4" customHeight="1">
      <c r="A7224" s="282">
        <v>585</v>
      </c>
      <c r="B7224" s="537"/>
      <c r="C7224" s="441" t="s">
        <v>19</v>
      </c>
      <c r="D7224" s="260" t="s">
        <v>9089</v>
      </c>
      <c r="E7224" s="260" t="s">
        <v>8492</v>
      </c>
      <c r="F7224" s="387">
        <v>60674</v>
      </c>
      <c r="G7224" s="443">
        <v>1950</v>
      </c>
      <c r="H7224" s="410" t="s">
        <v>5462</v>
      </c>
      <c r="I7224" s="409">
        <v>900</v>
      </c>
      <c r="J7224" s="496">
        <v>2.681</v>
      </c>
      <c r="K7224" s="496">
        <v>2.508</v>
      </c>
      <c r="L7224" s="496">
        <f t="shared" si="93"/>
        <v>0.17300000000000004</v>
      </c>
      <c r="M7224" s="337"/>
    </row>
    <row r="7225" spans="1:13" s="71" customFormat="1" ht="26.4" customHeight="1">
      <c r="A7225" s="282">
        <v>586</v>
      </c>
      <c r="B7225" s="537"/>
      <c r="C7225" s="441" t="s">
        <v>9037</v>
      </c>
      <c r="D7225" s="260" t="s">
        <v>9090</v>
      </c>
      <c r="E7225" s="260" t="s">
        <v>8492</v>
      </c>
      <c r="F7225" s="387">
        <v>504210</v>
      </c>
      <c r="G7225" s="443">
        <v>1976</v>
      </c>
      <c r="H7225" s="410" t="s">
        <v>5462</v>
      </c>
      <c r="I7225" s="409">
        <v>450</v>
      </c>
      <c r="J7225" s="496">
        <v>109.505</v>
      </c>
      <c r="K7225" s="496">
        <v>102.45399999999999</v>
      </c>
      <c r="L7225" s="496">
        <f t="shared" si="93"/>
        <v>7.0510000000000019</v>
      </c>
      <c r="M7225" s="337"/>
    </row>
    <row r="7226" spans="1:13" s="71" customFormat="1" ht="26.4" customHeight="1">
      <c r="A7226" s="282">
        <v>587</v>
      </c>
      <c r="B7226" s="537"/>
      <c r="C7226" s="441" t="s">
        <v>9037</v>
      </c>
      <c r="D7226" s="260" t="s">
        <v>9091</v>
      </c>
      <c r="E7226" s="260" t="s">
        <v>8492</v>
      </c>
      <c r="F7226" s="387">
        <v>504211</v>
      </c>
      <c r="G7226" s="443">
        <v>1982</v>
      </c>
      <c r="H7226" s="410" t="s">
        <v>5462</v>
      </c>
      <c r="I7226" s="409">
        <v>170</v>
      </c>
      <c r="J7226" s="496">
        <v>38.292999999999999</v>
      </c>
      <c r="K7226" s="496">
        <v>35.863</v>
      </c>
      <c r="L7226" s="496">
        <f t="shared" si="93"/>
        <v>2.4299999999999997</v>
      </c>
      <c r="M7226" s="337"/>
    </row>
    <row r="7227" spans="1:13" s="71" customFormat="1" ht="26.4" customHeight="1">
      <c r="A7227" s="282">
        <v>588</v>
      </c>
      <c r="B7227" s="537"/>
      <c r="C7227" s="441" t="s">
        <v>9037</v>
      </c>
      <c r="D7227" s="260" t="s">
        <v>9092</v>
      </c>
      <c r="E7227" s="260" t="s">
        <v>8492</v>
      </c>
      <c r="F7227" s="387">
        <v>504214</v>
      </c>
      <c r="G7227" s="443">
        <v>1976</v>
      </c>
      <c r="H7227" s="410" t="s">
        <v>5462</v>
      </c>
      <c r="I7227" s="409">
        <v>170</v>
      </c>
      <c r="J7227" s="496">
        <v>41.14</v>
      </c>
      <c r="K7227" s="496">
        <v>38.53</v>
      </c>
      <c r="L7227" s="496">
        <f t="shared" si="93"/>
        <v>2.6099999999999994</v>
      </c>
      <c r="M7227" s="337"/>
    </row>
    <row r="7228" spans="1:13" s="71" customFormat="1" ht="26.4" customHeight="1">
      <c r="A7228" s="282">
        <v>589</v>
      </c>
      <c r="B7228" s="537"/>
      <c r="C7228" s="441" t="s">
        <v>9037</v>
      </c>
      <c r="D7228" s="260" t="s">
        <v>9093</v>
      </c>
      <c r="E7228" s="260" t="s">
        <v>8492</v>
      </c>
      <c r="F7228" s="387">
        <v>507010</v>
      </c>
      <c r="G7228" s="443">
        <v>1966</v>
      </c>
      <c r="H7228" s="410" t="s">
        <v>5462</v>
      </c>
      <c r="I7228" s="409">
        <v>370</v>
      </c>
      <c r="J7228" s="496">
        <v>3.9769999999999999</v>
      </c>
      <c r="K7228" s="496">
        <v>3.3159999999999998</v>
      </c>
      <c r="L7228" s="496">
        <f t="shared" si="93"/>
        <v>0.66100000000000003</v>
      </c>
      <c r="M7228" s="337"/>
    </row>
    <row r="7229" spans="1:13" s="71" customFormat="1" ht="26.4" customHeight="1">
      <c r="A7229" s="282">
        <v>590</v>
      </c>
      <c r="B7229" s="537"/>
      <c r="C7229" s="441" t="s">
        <v>9037</v>
      </c>
      <c r="D7229" s="260" t="s">
        <v>9094</v>
      </c>
      <c r="E7229" s="260" t="s">
        <v>8492</v>
      </c>
      <c r="F7229" s="387">
        <v>507011</v>
      </c>
      <c r="G7229" s="443">
        <v>1966</v>
      </c>
      <c r="H7229" s="410" t="s">
        <v>5462</v>
      </c>
      <c r="I7229" s="409">
        <v>130</v>
      </c>
      <c r="J7229" s="496">
        <v>1.397</v>
      </c>
      <c r="K7229" s="496">
        <v>1.165</v>
      </c>
      <c r="L7229" s="496">
        <f t="shared" si="93"/>
        <v>0.23199999999999998</v>
      </c>
      <c r="M7229" s="337"/>
    </row>
    <row r="7230" spans="1:13" s="71" customFormat="1" ht="26.4" customHeight="1">
      <c r="A7230" s="282">
        <v>591</v>
      </c>
      <c r="B7230" s="537"/>
      <c r="C7230" s="441" t="s">
        <v>9037</v>
      </c>
      <c r="D7230" s="260" t="s">
        <v>9095</v>
      </c>
      <c r="E7230" s="282" t="s">
        <v>9096</v>
      </c>
      <c r="F7230" s="387">
        <v>507012</v>
      </c>
      <c r="G7230" s="443">
        <v>1966</v>
      </c>
      <c r="H7230" s="410" t="s">
        <v>5462</v>
      </c>
      <c r="I7230" s="409">
        <v>1100</v>
      </c>
      <c r="J7230" s="496">
        <v>11.827</v>
      </c>
      <c r="K7230" s="496">
        <v>9.8610000000000007</v>
      </c>
      <c r="L7230" s="496">
        <f t="shared" si="93"/>
        <v>1.9659999999999993</v>
      </c>
      <c r="M7230" s="337"/>
    </row>
    <row r="7231" spans="1:13" s="71" customFormat="1" ht="26.4" customHeight="1">
      <c r="A7231" s="282">
        <v>592</v>
      </c>
      <c r="B7231" s="537"/>
      <c r="C7231" s="441" t="s">
        <v>9037</v>
      </c>
      <c r="D7231" s="260" t="s">
        <v>9097</v>
      </c>
      <c r="E7231" s="282" t="s">
        <v>8492</v>
      </c>
      <c r="F7231" s="387">
        <v>507013</v>
      </c>
      <c r="G7231" s="443">
        <v>1966</v>
      </c>
      <c r="H7231" s="410" t="s">
        <v>5462</v>
      </c>
      <c r="I7231" s="409">
        <v>840</v>
      </c>
      <c r="J7231" s="496">
        <v>9.032</v>
      </c>
      <c r="K7231" s="496">
        <v>7.53</v>
      </c>
      <c r="L7231" s="496">
        <f t="shared" si="93"/>
        <v>1.5019999999999998</v>
      </c>
      <c r="M7231" s="337"/>
    </row>
    <row r="7232" spans="1:13" s="71" customFormat="1" ht="26.4" customHeight="1">
      <c r="A7232" s="282">
        <v>593</v>
      </c>
      <c r="B7232" s="537"/>
      <c r="C7232" s="441" t="s">
        <v>9037</v>
      </c>
      <c r="D7232" s="260" t="s">
        <v>9098</v>
      </c>
      <c r="E7232" s="282" t="s">
        <v>8492</v>
      </c>
      <c r="F7232" s="387">
        <v>507014</v>
      </c>
      <c r="G7232" s="443">
        <v>1966</v>
      </c>
      <c r="H7232" s="410" t="s">
        <v>5462</v>
      </c>
      <c r="I7232" s="409">
        <v>525</v>
      </c>
      <c r="J7232" s="496">
        <v>5.1680000000000001</v>
      </c>
      <c r="K7232" s="496">
        <v>4.7350000000000003</v>
      </c>
      <c r="L7232" s="496">
        <f t="shared" si="93"/>
        <v>0.43299999999999983</v>
      </c>
      <c r="M7232" s="337"/>
    </row>
    <row r="7233" spans="1:13" s="71" customFormat="1" ht="26.4" customHeight="1">
      <c r="A7233" s="282">
        <v>594</v>
      </c>
      <c r="B7233" s="537"/>
      <c r="C7233" s="441" t="s">
        <v>9099</v>
      </c>
      <c r="D7233" s="260" t="s">
        <v>9100</v>
      </c>
      <c r="E7233" s="282" t="s">
        <v>4540</v>
      </c>
      <c r="F7233" s="387">
        <v>507015</v>
      </c>
      <c r="G7233" s="443">
        <v>1990</v>
      </c>
      <c r="H7233" s="410" t="s">
        <v>5462</v>
      </c>
      <c r="I7233" s="409">
        <v>355.3</v>
      </c>
      <c r="J7233" s="496">
        <v>4.2210000000000001</v>
      </c>
      <c r="K7233" s="496">
        <v>3.9830000000000001</v>
      </c>
      <c r="L7233" s="496">
        <f t="shared" si="93"/>
        <v>0.23799999999999999</v>
      </c>
      <c r="M7233" s="337"/>
    </row>
    <row r="7234" spans="1:13" s="71" customFormat="1" ht="26.4" customHeight="1">
      <c r="A7234" s="282">
        <v>595</v>
      </c>
      <c r="B7234" s="537"/>
      <c r="C7234" s="441" t="s">
        <v>9099</v>
      </c>
      <c r="D7234" s="260" t="s">
        <v>9101</v>
      </c>
      <c r="E7234" s="282" t="s">
        <v>4540</v>
      </c>
      <c r="F7234" s="387">
        <v>507016</v>
      </c>
      <c r="G7234" s="443">
        <v>1986</v>
      </c>
      <c r="H7234" s="410" t="s">
        <v>5462</v>
      </c>
      <c r="I7234" s="409">
        <v>1520</v>
      </c>
      <c r="J7234" s="496">
        <v>4.8239999999999998</v>
      </c>
      <c r="K7234" s="496">
        <v>4.6449999999999996</v>
      </c>
      <c r="L7234" s="496">
        <f t="shared" si="93"/>
        <v>0.17900000000000027</v>
      </c>
      <c r="M7234" s="337"/>
    </row>
    <row r="7235" spans="1:13" s="71" customFormat="1" ht="26.4" customHeight="1">
      <c r="A7235" s="282">
        <v>596</v>
      </c>
      <c r="B7235" s="537"/>
      <c r="C7235" s="441" t="s">
        <v>9099</v>
      </c>
      <c r="D7235" s="260" t="s">
        <v>9102</v>
      </c>
      <c r="E7235" s="282" t="s">
        <v>4540</v>
      </c>
      <c r="F7235" s="387">
        <v>507017</v>
      </c>
      <c r="G7235" s="443">
        <v>1986</v>
      </c>
      <c r="H7235" s="410" t="s">
        <v>5462</v>
      </c>
      <c r="I7235" s="409">
        <v>640</v>
      </c>
      <c r="J7235" s="496">
        <v>4.5330000000000004</v>
      </c>
      <c r="K7235" s="496">
        <v>4.32</v>
      </c>
      <c r="L7235" s="496">
        <f t="shared" si="93"/>
        <v>0.21300000000000008</v>
      </c>
      <c r="M7235" s="337"/>
    </row>
    <row r="7236" spans="1:13" s="71" customFormat="1" ht="26.4" customHeight="1">
      <c r="A7236" s="282">
        <v>597</v>
      </c>
      <c r="B7236" s="537"/>
      <c r="C7236" s="441" t="s">
        <v>9099</v>
      </c>
      <c r="D7236" s="260" t="s">
        <v>9103</v>
      </c>
      <c r="E7236" s="282" t="s">
        <v>9104</v>
      </c>
      <c r="F7236" s="387">
        <v>507018</v>
      </c>
      <c r="G7236" s="443">
        <v>1992</v>
      </c>
      <c r="H7236" s="410" t="s">
        <v>5462</v>
      </c>
      <c r="I7236" s="409">
        <v>110</v>
      </c>
      <c r="J7236" s="496">
        <v>5.9580000000000002</v>
      </c>
      <c r="K7236" s="496">
        <v>5.5940000000000003</v>
      </c>
      <c r="L7236" s="496">
        <f t="shared" si="93"/>
        <v>0.36399999999999988</v>
      </c>
      <c r="M7236" s="337"/>
    </row>
    <row r="7237" spans="1:13" s="71" customFormat="1" ht="26.4" customHeight="1">
      <c r="A7237" s="282">
        <v>598</v>
      </c>
      <c r="B7237" s="537"/>
      <c r="C7237" s="441" t="s">
        <v>9099</v>
      </c>
      <c r="D7237" s="260" t="s">
        <v>9105</v>
      </c>
      <c r="E7237" s="282" t="s">
        <v>4540</v>
      </c>
      <c r="F7237" s="387">
        <v>507019</v>
      </c>
      <c r="G7237" s="443">
        <v>1993</v>
      </c>
      <c r="H7237" s="410" t="s">
        <v>5462</v>
      </c>
      <c r="I7237" s="409">
        <v>60</v>
      </c>
      <c r="J7237" s="496">
        <v>1.0089999999999999</v>
      </c>
      <c r="K7237" s="496">
        <v>0.94599999999999995</v>
      </c>
      <c r="L7237" s="496">
        <f t="shared" si="93"/>
        <v>6.2999999999999945E-2</v>
      </c>
      <c r="M7237" s="337"/>
    </row>
    <row r="7238" spans="1:13" s="71" customFormat="1" ht="26.4" customHeight="1">
      <c r="A7238" s="282">
        <v>599</v>
      </c>
      <c r="B7238" s="537"/>
      <c r="C7238" s="441" t="s">
        <v>9099</v>
      </c>
      <c r="D7238" s="260" t="s">
        <v>9106</v>
      </c>
      <c r="E7238" s="282" t="s">
        <v>4540</v>
      </c>
      <c r="F7238" s="387">
        <v>507020</v>
      </c>
      <c r="G7238" s="443">
        <v>1967</v>
      </c>
      <c r="H7238" s="410" t="s">
        <v>5462</v>
      </c>
      <c r="I7238" s="409">
        <v>129.76</v>
      </c>
      <c r="J7238" s="496">
        <v>6.4000000000000001E-2</v>
      </c>
      <c r="K7238" s="496">
        <v>0.06</v>
      </c>
      <c r="L7238" s="496">
        <f t="shared" si="93"/>
        <v>4.0000000000000036E-3</v>
      </c>
      <c r="M7238" s="337"/>
    </row>
    <row r="7239" spans="1:13" s="71" customFormat="1" ht="26.4" customHeight="1">
      <c r="A7239" s="282">
        <v>600</v>
      </c>
      <c r="B7239" s="537"/>
      <c r="C7239" s="441" t="s">
        <v>9099</v>
      </c>
      <c r="D7239" s="260" t="s">
        <v>9107</v>
      </c>
      <c r="E7239" s="282" t="s">
        <v>4540</v>
      </c>
      <c r="F7239" s="387">
        <v>507021</v>
      </c>
      <c r="G7239" s="443">
        <v>1966</v>
      </c>
      <c r="H7239" s="410" t="s">
        <v>5462</v>
      </c>
      <c r="I7239" s="409">
        <v>133.65</v>
      </c>
      <c r="J7239" s="496">
        <v>4.1000000000000002E-2</v>
      </c>
      <c r="K7239" s="496">
        <v>3.7999999999999999E-2</v>
      </c>
      <c r="L7239" s="496">
        <f t="shared" si="93"/>
        <v>3.0000000000000027E-3</v>
      </c>
      <c r="M7239" s="337"/>
    </row>
    <row r="7240" spans="1:13" s="71" customFormat="1" ht="26.4" customHeight="1">
      <c r="A7240" s="282">
        <v>601</v>
      </c>
      <c r="B7240" s="537"/>
      <c r="C7240" s="441" t="s">
        <v>9099</v>
      </c>
      <c r="D7240" s="260" t="s">
        <v>9108</v>
      </c>
      <c r="E7240" s="282" t="s">
        <v>4540</v>
      </c>
      <c r="F7240" s="387">
        <v>507022</v>
      </c>
      <c r="G7240" s="443">
        <v>1984</v>
      </c>
      <c r="H7240" s="410" t="s">
        <v>5462</v>
      </c>
      <c r="I7240" s="409">
        <v>1380</v>
      </c>
      <c r="J7240" s="496">
        <v>7.6820000000000004</v>
      </c>
      <c r="K7240" s="496">
        <v>7.3209999999999997</v>
      </c>
      <c r="L7240" s="496">
        <f t="shared" si="93"/>
        <v>0.36100000000000065</v>
      </c>
      <c r="M7240" s="337"/>
    </row>
    <row r="7241" spans="1:13" s="71" customFormat="1" ht="26.4" customHeight="1">
      <c r="A7241" s="282">
        <v>602</v>
      </c>
      <c r="B7241" s="537"/>
      <c r="C7241" s="441" t="s">
        <v>9099</v>
      </c>
      <c r="D7241" s="260" t="s">
        <v>9109</v>
      </c>
      <c r="E7241" s="282" t="s">
        <v>4540</v>
      </c>
      <c r="F7241" s="387">
        <v>507023</v>
      </c>
      <c r="G7241" s="443">
        <v>1964</v>
      </c>
      <c r="H7241" s="410" t="s">
        <v>5462</v>
      </c>
      <c r="I7241" s="409">
        <v>27004</v>
      </c>
      <c r="J7241" s="496">
        <v>437.26100000000002</v>
      </c>
      <c r="K7241" s="496">
        <v>427.30200000000002</v>
      </c>
      <c r="L7241" s="496">
        <f t="shared" si="93"/>
        <v>9.9590000000000032</v>
      </c>
      <c r="M7241" s="337"/>
    </row>
    <row r="7242" spans="1:13" s="71" customFormat="1" ht="26.4" customHeight="1">
      <c r="A7242" s="282">
        <v>603</v>
      </c>
      <c r="B7242" s="537"/>
      <c r="C7242" s="441" t="s">
        <v>9099</v>
      </c>
      <c r="D7242" s="260" t="s">
        <v>9110</v>
      </c>
      <c r="E7242" s="282" t="s">
        <v>9111</v>
      </c>
      <c r="F7242" s="387">
        <v>507024</v>
      </c>
      <c r="G7242" s="443">
        <v>1975</v>
      </c>
      <c r="H7242" s="410" t="s">
        <v>5462</v>
      </c>
      <c r="I7242" s="409">
        <v>350</v>
      </c>
      <c r="J7242" s="496">
        <v>0.77400000000000002</v>
      </c>
      <c r="K7242" s="496">
        <v>0.745</v>
      </c>
      <c r="L7242" s="496">
        <f t="shared" si="93"/>
        <v>2.9000000000000026E-2</v>
      </c>
      <c r="M7242" s="337"/>
    </row>
    <row r="7243" spans="1:13" s="71" customFormat="1" ht="26.4" customHeight="1">
      <c r="A7243" s="282">
        <v>604</v>
      </c>
      <c r="B7243" s="537"/>
      <c r="C7243" s="441" t="s">
        <v>9099</v>
      </c>
      <c r="D7243" s="260" t="s">
        <v>9112</v>
      </c>
      <c r="E7243" s="282" t="s">
        <v>4540</v>
      </c>
      <c r="F7243" s="387">
        <v>507025</v>
      </c>
      <c r="G7243" s="443">
        <v>1967</v>
      </c>
      <c r="H7243" s="410" t="s">
        <v>5462</v>
      </c>
      <c r="I7243" s="409">
        <v>2000</v>
      </c>
      <c r="J7243" s="496">
        <v>93.022000000000006</v>
      </c>
      <c r="K7243" s="496">
        <v>89.397000000000006</v>
      </c>
      <c r="L7243" s="496">
        <f t="shared" si="93"/>
        <v>3.625</v>
      </c>
      <c r="M7243" s="337"/>
    </row>
    <row r="7244" spans="1:13" s="71" customFormat="1" ht="26.4" customHeight="1">
      <c r="A7244" s="282">
        <v>605</v>
      </c>
      <c r="B7244" s="537"/>
      <c r="C7244" s="441" t="s">
        <v>9099</v>
      </c>
      <c r="D7244" s="260" t="s">
        <v>9113</v>
      </c>
      <c r="E7244" s="282" t="s">
        <v>4540</v>
      </c>
      <c r="F7244" s="387">
        <v>507026</v>
      </c>
      <c r="G7244" s="443">
        <v>1966</v>
      </c>
      <c r="H7244" s="410" t="s">
        <v>5462</v>
      </c>
      <c r="I7244" s="409">
        <v>110</v>
      </c>
      <c r="J7244" s="496">
        <v>2.4689999999999999</v>
      </c>
      <c r="K7244" s="496">
        <v>2.4060000000000001</v>
      </c>
      <c r="L7244" s="496">
        <f t="shared" si="93"/>
        <v>6.2999999999999723E-2</v>
      </c>
      <c r="M7244" s="337"/>
    </row>
    <row r="7245" spans="1:13" s="71" customFormat="1" ht="26.4" customHeight="1">
      <c r="A7245" s="282">
        <v>606</v>
      </c>
      <c r="B7245" s="537"/>
      <c r="C7245" s="441" t="s">
        <v>9099</v>
      </c>
      <c r="D7245" s="260" t="s">
        <v>9114</v>
      </c>
      <c r="E7245" s="282" t="s">
        <v>8522</v>
      </c>
      <c r="F7245" s="387">
        <v>507027</v>
      </c>
      <c r="G7245" s="443">
        <v>1958</v>
      </c>
      <c r="H7245" s="410" t="s">
        <v>5462</v>
      </c>
      <c r="I7245" s="409">
        <v>360</v>
      </c>
      <c r="J7245" s="496">
        <v>0.251</v>
      </c>
      <c r="K7245" s="496">
        <v>0.22700000000000001</v>
      </c>
      <c r="L7245" s="496">
        <f t="shared" si="93"/>
        <v>2.3999999999999994E-2</v>
      </c>
      <c r="M7245" s="337"/>
    </row>
    <row r="7246" spans="1:13" s="71" customFormat="1" ht="39.6">
      <c r="A7246" s="282">
        <v>607</v>
      </c>
      <c r="B7246" s="537"/>
      <c r="C7246" s="441" t="s">
        <v>9099</v>
      </c>
      <c r="D7246" s="260" t="s">
        <v>9115</v>
      </c>
      <c r="E7246" s="260" t="s">
        <v>9116</v>
      </c>
      <c r="F7246" s="387">
        <v>507028</v>
      </c>
      <c r="G7246" s="443">
        <v>1968</v>
      </c>
      <c r="H7246" s="410" t="s">
        <v>5462</v>
      </c>
      <c r="I7246" s="409">
        <v>3200</v>
      </c>
      <c r="J7246" s="496">
        <v>27.146999999999998</v>
      </c>
      <c r="K7246" s="496">
        <v>26.538</v>
      </c>
      <c r="L7246" s="496">
        <f t="shared" si="93"/>
        <v>0.60899999999999821</v>
      </c>
      <c r="M7246" s="337"/>
    </row>
    <row r="7247" spans="1:13" s="71" customFormat="1" ht="26.4" customHeight="1">
      <c r="A7247" s="282">
        <v>608</v>
      </c>
      <c r="B7247" s="537"/>
      <c r="C7247" s="441" t="s">
        <v>9099</v>
      </c>
      <c r="D7247" s="260" t="s">
        <v>9117</v>
      </c>
      <c r="E7247" s="260" t="s">
        <v>4540</v>
      </c>
      <c r="F7247" s="387">
        <v>507029</v>
      </c>
      <c r="G7247" s="443">
        <v>1980</v>
      </c>
      <c r="H7247" s="410" t="s">
        <v>5462</v>
      </c>
      <c r="I7247" s="409">
        <v>2680</v>
      </c>
      <c r="J7247" s="496">
        <v>1.944</v>
      </c>
      <c r="K7247" s="496">
        <v>1.869</v>
      </c>
      <c r="L7247" s="496">
        <f t="shared" si="93"/>
        <v>7.4999999999999956E-2</v>
      </c>
      <c r="M7247" s="337"/>
    </row>
    <row r="7248" spans="1:13" s="71" customFormat="1" ht="26.4" customHeight="1">
      <c r="A7248" s="282">
        <v>609</v>
      </c>
      <c r="B7248" s="537"/>
      <c r="C7248" s="441" t="s">
        <v>9099</v>
      </c>
      <c r="D7248" s="260" t="s">
        <v>9118</v>
      </c>
      <c r="E7248" s="260" t="s">
        <v>4540</v>
      </c>
      <c r="F7248" s="387">
        <v>507030</v>
      </c>
      <c r="G7248" s="443">
        <v>1965</v>
      </c>
      <c r="H7248" s="410" t="s">
        <v>5462</v>
      </c>
      <c r="I7248" s="409">
        <v>397</v>
      </c>
      <c r="J7248" s="496">
        <v>0.1</v>
      </c>
      <c r="K7248" s="496">
        <v>9.0999999999999998E-2</v>
      </c>
      <c r="L7248" s="496">
        <f t="shared" si="93"/>
        <v>9.000000000000008E-3</v>
      </c>
      <c r="M7248" s="337"/>
    </row>
    <row r="7249" spans="1:13" s="71" customFormat="1" ht="26.4" customHeight="1">
      <c r="A7249" s="282">
        <v>610</v>
      </c>
      <c r="B7249" s="537"/>
      <c r="C7249" s="441" t="s">
        <v>9099</v>
      </c>
      <c r="D7249" s="260" t="s">
        <v>9119</v>
      </c>
      <c r="E7249" s="260" t="s">
        <v>4540</v>
      </c>
      <c r="F7249" s="387">
        <v>507039</v>
      </c>
      <c r="G7249" s="443">
        <v>1966</v>
      </c>
      <c r="H7249" s="410" t="s">
        <v>5462</v>
      </c>
      <c r="I7249" s="409">
        <v>317.17</v>
      </c>
      <c r="J7249" s="496">
        <v>0.1</v>
      </c>
      <c r="K7249" s="496">
        <v>9.0999999999999998E-2</v>
      </c>
      <c r="L7249" s="496">
        <f t="shared" si="93"/>
        <v>9.000000000000008E-3</v>
      </c>
      <c r="M7249" s="337"/>
    </row>
    <row r="7250" spans="1:13" s="71" customFormat="1" ht="26.4" customHeight="1">
      <c r="A7250" s="282">
        <v>611</v>
      </c>
      <c r="B7250" s="537"/>
      <c r="C7250" s="441" t="s">
        <v>9099</v>
      </c>
      <c r="D7250" s="260" t="s">
        <v>9119</v>
      </c>
      <c r="E7250" s="260" t="s">
        <v>4540</v>
      </c>
      <c r="F7250" s="387">
        <v>507040</v>
      </c>
      <c r="G7250" s="443">
        <v>1966</v>
      </c>
      <c r="H7250" s="410" t="s">
        <v>5462</v>
      </c>
      <c r="I7250" s="409">
        <v>517</v>
      </c>
      <c r="J7250" s="496">
        <v>0.1</v>
      </c>
      <c r="K7250" s="496">
        <v>9.0999999999999998E-2</v>
      </c>
      <c r="L7250" s="496">
        <f t="shared" si="93"/>
        <v>9.000000000000008E-3</v>
      </c>
      <c r="M7250" s="337"/>
    </row>
    <row r="7251" spans="1:13" s="71" customFormat="1" ht="26.4" customHeight="1">
      <c r="A7251" s="282">
        <v>612</v>
      </c>
      <c r="B7251" s="537"/>
      <c r="C7251" s="441" t="s">
        <v>9099</v>
      </c>
      <c r="D7251" s="260" t="s">
        <v>9119</v>
      </c>
      <c r="E7251" s="260" t="s">
        <v>4540</v>
      </c>
      <c r="F7251" s="387">
        <v>507041</v>
      </c>
      <c r="G7251" s="443">
        <v>1965</v>
      </c>
      <c r="H7251" s="410" t="s">
        <v>5462</v>
      </c>
      <c r="I7251" s="409">
        <v>337</v>
      </c>
      <c r="J7251" s="496">
        <v>0.1</v>
      </c>
      <c r="K7251" s="496">
        <v>9.0999999999999998E-2</v>
      </c>
      <c r="L7251" s="496">
        <f t="shared" si="93"/>
        <v>9.000000000000008E-3</v>
      </c>
      <c r="M7251" s="337"/>
    </row>
    <row r="7252" spans="1:13" s="71" customFormat="1" ht="26.4" customHeight="1">
      <c r="A7252" s="282">
        <v>613</v>
      </c>
      <c r="B7252" s="537"/>
      <c r="C7252" s="441" t="s">
        <v>9099</v>
      </c>
      <c r="D7252" s="260" t="s">
        <v>9113</v>
      </c>
      <c r="E7252" s="260" t="s">
        <v>4540</v>
      </c>
      <c r="F7252" s="387">
        <v>507042</v>
      </c>
      <c r="G7252" s="443">
        <v>1964</v>
      </c>
      <c r="H7252" s="410" t="s">
        <v>5462</v>
      </c>
      <c r="I7252" s="409">
        <v>472</v>
      </c>
      <c r="J7252" s="496">
        <v>0.1</v>
      </c>
      <c r="K7252" s="496">
        <v>9.0999999999999998E-2</v>
      </c>
      <c r="L7252" s="496">
        <f t="shared" si="93"/>
        <v>9.000000000000008E-3</v>
      </c>
      <c r="M7252" s="337"/>
    </row>
    <row r="7253" spans="1:13" s="71" customFormat="1" ht="26.4" customHeight="1">
      <c r="A7253" s="282">
        <v>614</v>
      </c>
      <c r="B7253" s="537"/>
      <c r="C7253" s="441" t="s">
        <v>9099</v>
      </c>
      <c r="D7253" s="260" t="s">
        <v>9120</v>
      </c>
      <c r="E7253" s="260" t="s">
        <v>4540</v>
      </c>
      <c r="F7253" s="387">
        <v>507043</v>
      </c>
      <c r="G7253" s="443">
        <v>2005</v>
      </c>
      <c r="H7253" s="410" t="s">
        <v>5462</v>
      </c>
      <c r="I7253" s="409">
        <v>80</v>
      </c>
      <c r="J7253" s="496">
        <v>9.673</v>
      </c>
      <c r="K7253" s="496">
        <v>6.2789999999999999</v>
      </c>
      <c r="L7253" s="496">
        <f t="shared" si="93"/>
        <v>3.3940000000000001</v>
      </c>
      <c r="M7253" s="337"/>
    </row>
    <row r="7254" spans="1:13" s="71" customFormat="1" ht="26.4" customHeight="1">
      <c r="A7254" s="282">
        <v>615</v>
      </c>
      <c r="B7254" s="537"/>
      <c r="C7254" s="441" t="s">
        <v>9099</v>
      </c>
      <c r="D7254" s="260" t="s">
        <v>9121</v>
      </c>
      <c r="E7254" s="260" t="s">
        <v>4540</v>
      </c>
      <c r="F7254" s="387">
        <v>507044</v>
      </c>
      <c r="G7254" s="443">
        <v>2005</v>
      </c>
      <c r="H7254" s="410" t="s">
        <v>5462</v>
      </c>
      <c r="I7254" s="409">
        <v>220</v>
      </c>
      <c r="J7254" s="496">
        <v>50.685000000000002</v>
      </c>
      <c r="K7254" s="496">
        <v>32.902000000000001</v>
      </c>
      <c r="L7254" s="496">
        <f t="shared" si="93"/>
        <v>17.783000000000001</v>
      </c>
      <c r="M7254" s="337"/>
    </row>
    <row r="7255" spans="1:13" s="71" customFormat="1" ht="26.4" customHeight="1">
      <c r="A7255" s="282">
        <v>616</v>
      </c>
      <c r="B7255" s="537"/>
      <c r="C7255" s="441" t="s">
        <v>9099</v>
      </c>
      <c r="D7255" s="260" t="s">
        <v>9122</v>
      </c>
      <c r="E7255" s="260" t="s">
        <v>4540</v>
      </c>
      <c r="F7255" s="387">
        <v>507045</v>
      </c>
      <c r="G7255" s="443">
        <v>2005</v>
      </c>
      <c r="H7255" s="410" t="s">
        <v>5462</v>
      </c>
      <c r="I7255" s="409">
        <v>40</v>
      </c>
      <c r="J7255" s="496">
        <v>14.801</v>
      </c>
      <c r="K7255" s="496">
        <v>9.6080000000000005</v>
      </c>
      <c r="L7255" s="496">
        <f t="shared" si="93"/>
        <v>5.1929999999999996</v>
      </c>
      <c r="M7255" s="337"/>
    </row>
    <row r="7256" spans="1:13" s="71" customFormat="1" ht="39.6">
      <c r="A7256" s="282">
        <v>617</v>
      </c>
      <c r="B7256" s="537"/>
      <c r="C7256" s="441" t="s">
        <v>9099</v>
      </c>
      <c r="D7256" s="260" t="s">
        <v>9123</v>
      </c>
      <c r="E7256" s="260" t="s">
        <v>4540</v>
      </c>
      <c r="F7256" s="387">
        <v>507046</v>
      </c>
      <c r="G7256" s="443">
        <v>1967</v>
      </c>
      <c r="H7256" s="410" t="s">
        <v>5462</v>
      </c>
      <c r="I7256" s="409">
        <v>2608</v>
      </c>
      <c r="J7256" s="496">
        <v>65.182000000000002</v>
      </c>
      <c r="K7256" s="496">
        <v>64.123000000000005</v>
      </c>
      <c r="L7256" s="496">
        <f t="shared" si="93"/>
        <v>1.0589999999999975</v>
      </c>
      <c r="M7256" s="337"/>
    </row>
    <row r="7257" spans="1:13" s="71" customFormat="1" ht="26.4">
      <c r="A7257" s="282">
        <v>618</v>
      </c>
      <c r="B7257" s="537"/>
      <c r="C7257" s="441" t="s">
        <v>9099</v>
      </c>
      <c r="D7257" s="260" t="s">
        <v>9124</v>
      </c>
      <c r="E7257" s="260" t="s">
        <v>4540</v>
      </c>
      <c r="F7257" s="387">
        <v>507051</v>
      </c>
      <c r="G7257" s="443">
        <v>1960</v>
      </c>
      <c r="H7257" s="410" t="s">
        <v>5462</v>
      </c>
      <c r="I7257" s="409">
        <v>1179</v>
      </c>
      <c r="J7257" s="496">
        <v>12.244999999999999</v>
      </c>
      <c r="K7257" s="496">
        <v>12.192</v>
      </c>
      <c r="L7257" s="496">
        <f t="shared" si="93"/>
        <v>5.2999999999999048E-2</v>
      </c>
      <c r="M7257" s="337"/>
    </row>
    <row r="7258" spans="1:13" s="71" customFormat="1" ht="39.6">
      <c r="A7258" s="282">
        <v>619</v>
      </c>
      <c r="B7258" s="537"/>
      <c r="C7258" s="441" t="s">
        <v>9099</v>
      </c>
      <c r="D7258" s="260" t="s">
        <v>9125</v>
      </c>
      <c r="E7258" s="260" t="s">
        <v>4540</v>
      </c>
      <c r="F7258" s="387">
        <v>507052</v>
      </c>
      <c r="G7258" s="443">
        <v>1962</v>
      </c>
      <c r="H7258" s="410" t="s">
        <v>5462</v>
      </c>
      <c r="I7258" s="409">
        <v>170</v>
      </c>
      <c r="J7258" s="496">
        <v>1.754</v>
      </c>
      <c r="K7258" s="496">
        <v>1.7410000000000001</v>
      </c>
      <c r="L7258" s="496">
        <f t="shared" si="93"/>
        <v>1.2999999999999901E-2</v>
      </c>
      <c r="M7258" s="337"/>
    </row>
    <row r="7259" spans="1:13" s="71" customFormat="1" ht="26.4" customHeight="1">
      <c r="A7259" s="282">
        <v>620</v>
      </c>
      <c r="B7259" s="537"/>
      <c r="C7259" s="441" t="s">
        <v>9099</v>
      </c>
      <c r="D7259" s="260" t="s">
        <v>9126</v>
      </c>
      <c r="E7259" s="260" t="s">
        <v>4540</v>
      </c>
      <c r="F7259" s="387">
        <v>507062</v>
      </c>
      <c r="G7259" s="443">
        <v>1958</v>
      </c>
      <c r="H7259" s="410" t="s">
        <v>5462</v>
      </c>
      <c r="I7259" s="409">
        <v>690</v>
      </c>
      <c r="J7259" s="496">
        <v>22.558</v>
      </c>
      <c r="K7259" s="496">
        <v>22.538</v>
      </c>
      <c r="L7259" s="496">
        <f t="shared" si="93"/>
        <v>1.9999999999999574E-2</v>
      </c>
      <c r="M7259" s="337"/>
    </row>
    <row r="7260" spans="1:13" s="71" customFormat="1" ht="26.4" customHeight="1">
      <c r="A7260" s="282">
        <v>621</v>
      </c>
      <c r="B7260" s="537"/>
      <c r="C7260" s="441" t="s">
        <v>9099</v>
      </c>
      <c r="D7260" s="260" t="s">
        <v>9127</v>
      </c>
      <c r="E7260" s="260" t="s">
        <v>4540</v>
      </c>
      <c r="F7260" s="387">
        <v>507063</v>
      </c>
      <c r="G7260" s="443">
        <v>1954</v>
      </c>
      <c r="H7260" s="410" t="s">
        <v>5462</v>
      </c>
      <c r="I7260" s="409">
        <v>600</v>
      </c>
      <c r="J7260" s="496">
        <v>24.657</v>
      </c>
      <c r="K7260" s="496">
        <v>24.402000000000001</v>
      </c>
      <c r="L7260" s="496">
        <f t="shared" si="93"/>
        <v>0.25499999999999901</v>
      </c>
      <c r="M7260" s="337"/>
    </row>
    <row r="7261" spans="1:13" s="71" customFormat="1" ht="26.4" customHeight="1">
      <c r="A7261" s="282">
        <v>622</v>
      </c>
      <c r="B7261" s="537"/>
      <c r="C7261" s="441" t="s">
        <v>9099</v>
      </c>
      <c r="D7261" s="260" t="s">
        <v>9128</v>
      </c>
      <c r="E7261" s="260" t="s">
        <v>4540</v>
      </c>
      <c r="F7261" s="387">
        <v>507064</v>
      </c>
      <c r="G7261" s="443">
        <v>1954</v>
      </c>
      <c r="H7261" s="410" t="s">
        <v>5462</v>
      </c>
      <c r="I7261" s="409">
        <v>340</v>
      </c>
      <c r="J7261" s="496">
        <v>14.048</v>
      </c>
      <c r="K7261" s="496">
        <v>13.922000000000001</v>
      </c>
      <c r="L7261" s="496">
        <f t="shared" si="93"/>
        <v>0.12599999999999945</v>
      </c>
      <c r="M7261" s="337"/>
    </row>
    <row r="7262" spans="1:13" s="71" customFormat="1" ht="26.4" customHeight="1">
      <c r="A7262" s="282">
        <v>623</v>
      </c>
      <c r="B7262" s="537"/>
      <c r="C7262" s="441" t="s">
        <v>9099</v>
      </c>
      <c r="D7262" s="260" t="s">
        <v>9129</v>
      </c>
      <c r="E7262" s="260" t="s">
        <v>4540</v>
      </c>
      <c r="F7262" s="387">
        <v>507065</v>
      </c>
      <c r="G7262" s="443">
        <v>1951</v>
      </c>
      <c r="H7262" s="410" t="s">
        <v>5462</v>
      </c>
      <c r="I7262" s="409">
        <v>200</v>
      </c>
      <c r="J7262" s="496">
        <v>5.3440000000000003</v>
      </c>
      <c r="K7262" s="496">
        <v>5.3179999999999996</v>
      </c>
      <c r="L7262" s="496">
        <f t="shared" si="93"/>
        <v>2.6000000000000689E-2</v>
      </c>
      <c r="M7262" s="337"/>
    </row>
    <row r="7263" spans="1:13" s="71" customFormat="1" ht="26.4" customHeight="1">
      <c r="A7263" s="282">
        <v>624</v>
      </c>
      <c r="B7263" s="537"/>
      <c r="C7263" s="441" t="s">
        <v>9099</v>
      </c>
      <c r="D7263" s="260" t="s">
        <v>9119</v>
      </c>
      <c r="E7263" s="260" t="s">
        <v>4540</v>
      </c>
      <c r="F7263" s="387">
        <v>507066</v>
      </c>
      <c r="G7263" s="443">
        <v>1955</v>
      </c>
      <c r="H7263" s="410" t="s">
        <v>5462</v>
      </c>
      <c r="I7263" s="409">
        <v>400</v>
      </c>
      <c r="J7263" s="496">
        <v>8.9339999999999993</v>
      </c>
      <c r="K7263" s="496">
        <v>8.8409999999999993</v>
      </c>
      <c r="L7263" s="496">
        <f t="shared" si="93"/>
        <v>9.2999999999999972E-2</v>
      </c>
      <c r="M7263" s="337"/>
    </row>
    <row r="7264" spans="1:13" s="71" customFormat="1" ht="26.4" customHeight="1">
      <c r="A7264" s="282">
        <v>625</v>
      </c>
      <c r="B7264" s="537"/>
      <c r="C7264" s="441" t="s">
        <v>9099</v>
      </c>
      <c r="D7264" s="260" t="s">
        <v>9130</v>
      </c>
      <c r="E7264" s="260" t="s">
        <v>4540</v>
      </c>
      <c r="F7264" s="387">
        <v>507067</v>
      </c>
      <c r="G7264" s="443">
        <v>1963</v>
      </c>
      <c r="H7264" s="410" t="s">
        <v>5462</v>
      </c>
      <c r="I7264" s="409">
        <v>220</v>
      </c>
      <c r="J7264" s="496">
        <v>3.98</v>
      </c>
      <c r="K7264" s="496">
        <v>3.895</v>
      </c>
      <c r="L7264" s="496">
        <f t="shared" si="93"/>
        <v>8.4999999999999964E-2</v>
      </c>
      <c r="M7264" s="337"/>
    </row>
    <row r="7265" spans="1:13" s="71" customFormat="1" ht="26.4" customHeight="1">
      <c r="A7265" s="282">
        <v>626</v>
      </c>
      <c r="B7265" s="537"/>
      <c r="C7265" s="441" t="s">
        <v>9099</v>
      </c>
      <c r="D7265" s="260" t="s">
        <v>9131</v>
      </c>
      <c r="E7265" s="260" t="s">
        <v>4540</v>
      </c>
      <c r="F7265" s="387">
        <v>507068</v>
      </c>
      <c r="G7265" s="443">
        <v>1960</v>
      </c>
      <c r="H7265" s="410" t="s">
        <v>5462</v>
      </c>
      <c r="I7265" s="409">
        <v>1600</v>
      </c>
      <c r="J7265" s="496">
        <v>48.420999999999999</v>
      </c>
      <c r="K7265" s="496">
        <v>47.585000000000001</v>
      </c>
      <c r="L7265" s="496">
        <f t="shared" si="93"/>
        <v>0.83599999999999852</v>
      </c>
      <c r="M7265" s="337"/>
    </row>
    <row r="7266" spans="1:13" s="71" customFormat="1" ht="26.4" customHeight="1">
      <c r="A7266" s="282">
        <v>627</v>
      </c>
      <c r="B7266" s="537"/>
      <c r="C7266" s="441" t="s">
        <v>9099</v>
      </c>
      <c r="D7266" s="260" t="s">
        <v>9119</v>
      </c>
      <c r="E7266" s="260" t="s">
        <v>4540</v>
      </c>
      <c r="F7266" s="387">
        <v>507069</v>
      </c>
      <c r="G7266" s="443">
        <v>1958</v>
      </c>
      <c r="H7266" s="410" t="s">
        <v>5462</v>
      </c>
      <c r="I7266" s="409">
        <v>250</v>
      </c>
      <c r="J7266" s="496">
        <v>2.714</v>
      </c>
      <c r="K7266" s="496">
        <v>2.6739999999999999</v>
      </c>
      <c r="L7266" s="496">
        <f t="shared" si="93"/>
        <v>4.0000000000000036E-2</v>
      </c>
      <c r="M7266" s="337"/>
    </row>
    <row r="7267" spans="1:13" s="71" customFormat="1" ht="26.4" customHeight="1">
      <c r="A7267" s="282">
        <v>628</v>
      </c>
      <c r="B7267" s="537"/>
      <c r="C7267" s="441" t="s">
        <v>9099</v>
      </c>
      <c r="D7267" s="260" t="s">
        <v>9132</v>
      </c>
      <c r="E7267" s="260" t="s">
        <v>4540</v>
      </c>
      <c r="F7267" s="387">
        <v>507070</v>
      </c>
      <c r="G7267" s="443">
        <v>1950</v>
      </c>
      <c r="H7267" s="410" t="s">
        <v>5462</v>
      </c>
      <c r="I7267" s="409">
        <v>230</v>
      </c>
      <c r="J7267" s="496">
        <v>5.1630000000000003</v>
      </c>
      <c r="K7267" s="496">
        <v>5.1449999999999996</v>
      </c>
      <c r="L7267" s="496">
        <f t="shared" si="93"/>
        <v>1.8000000000000682E-2</v>
      </c>
      <c r="M7267" s="337"/>
    </row>
    <row r="7268" spans="1:13" s="71" customFormat="1" ht="26.4" customHeight="1">
      <c r="A7268" s="282">
        <v>629</v>
      </c>
      <c r="B7268" s="537"/>
      <c r="C7268" s="441" t="s">
        <v>9099</v>
      </c>
      <c r="D7268" s="260" t="s">
        <v>9133</v>
      </c>
      <c r="E7268" s="260" t="s">
        <v>4540</v>
      </c>
      <c r="F7268" s="387">
        <v>507071</v>
      </c>
      <c r="G7268" s="443">
        <v>1961</v>
      </c>
      <c r="H7268" s="410" t="s">
        <v>5462</v>
      </c>
      <c r="I7268" s="409">
        <v>1539</v>
      </c>
      <c r="J7268" s="496">
        <v>22.016999999999999</v>
      </c>
      <c r="K7268" s="496">
        <v>21.884</v>
      </c>
      <c r="L7268" s="496">
        <f t="shared" si="93"/>
        <v>0.13299999999999912</v>
      </c>
      <c r="M7268" s="337"/>
    </row>
    <row r="7269" spans="1:13" s="71" customFormat="1" ht="26.4" customHeight="1">
      <c r="A7269" s="282">
        <v>630</v>
      </c>
      <c r="B7269" s="537"/>
      <c r="C7269" s="441" t="s">
        <v>9134</v>
      </c>
      <c r="D7269" s="260" t="s">
        <v>9135</v>
      </c>
      <c r="E7269" s="260" t="s">
        <v>4540</v>
      </c>
      <c r="F7269" s="387">
        <v>507072</v>
      </c>
      <c r="G7269" s="443">
        <v>1960</v>
      </c>
      <c r="H7269" s="410" t="s">
        <v>5462</v>
      </c>
      <c r="I7269" s="409">
        <v>434</v>
      </c>
      <c r="J7269" s="496">
        <v>4.5069999999999997</v>
      </c>
      <c r="K7269" s="496">
        <v>4.4889999999999999</v>
      </c>
      <c r="L7269" s="496">
        <f t="shared" si="93"/>
        <v>1.7999999999999794E-2</v>
      </c>
      <c r="M7269" s="337"/>
    </row>
    <row r="7270" spans="1:13" s="71" customFormat="1" ht="26.4" customHeight="1">
      <c r="A7270" s="282">
        <v>631</v>
      </c>
      <c r="B7270" s="537"/>
      <c r="C7270" s="441" t="s">
        <v>9099</v>
      </c>
      <c r="D7270" s="260" t="s">
        <v>9135</v>
      </c>
      <c r="E7270" s="260" t="s">
        <v>4540</v>
      </c>
      <c r="F7270" s="387">
        <v>507073</v>
      </c>
      <c r="G7270" s="443">
        <v>1966</v>
      </c>
      <c r="H7270" s="410" t="s">
        <v>5462</v>
      </c>
      <c r="I7270" s="409">
        <v>150</v>
      </c>
      <c r="J7270" s="496">
        <v>3.9460000000000002</v>
      </c>
      <c r="K7270" s="496">
        <v>3.8879999999999999</v>
      </c>
      <c r="L7270" s="496">
        <f t="shared" si="93"/>
        <v>5.8000000000000274E-2</v>
      </c>
      <c r="M7270" s="337"/>
    </row>
    <row r="7271" spans="1:13" s="71" customFormat="1" ht="26.4">
      <c r="A7271" s="282">
        <v>632</v>
      </c>
      <c r="B7271" s="537"/>
      <c r="C7271" s="441" t="s">
        <v>9099</v>
      </c>
      <c r="D7271" s="260" t="s">
        <v>12980</v>
      </c>
      <c r="E7271" s="260" t="s">
        <v>4540</v>
      </c>
      <c r="F7271" s="387">
        <v>507074</v>
      </c>
      <c r="G7271" s="443">
        <v>1962</v>
      </c>
      <c r="H7271" s="410" t="s">
        <v>5462</v>
      </c>
      <c r="I7271" s="409">
        <v>368</v>
      </c>
      <c r="J7271" s="496">
        <v>3.8210000000000002</v>
      </c>
      <c r="K7271" s="496">
        <v>3.7919999999999998</v>
      </c>
      <c r="L7271" s="496">
        <f t="shared" si="93"/>
        <v>2.9000000000000359E-2</v>
      </c>
      <c r="M7271" s="337"/>
    </row>
    <row r="7272" spans="1:13" s="71" customFormat="1" ht="39.6">
      <c r="A7272" s="282">
        <v>633</v>
      </c>
      <c r="B7272" s="537"/>
      <c r="C7272" s="441" t="s">
        <v>9099</v>
      </c>
      <c r="D7272" s="260" t="s">
        <v>12818</v>
      </c>
      <c r="E7272" s="260" t="s">
        <v>8530</v>
      </c>
      <c r="F7272" s="387">
        <v>507075</v>
      </c>
      <c r="G7272" s="443">
        <v>1966</v>
      </c>
      <c r="H7272" s="410" t="s">
        <v>5462</v>
      </c>
      <c r="I7272" s="409">
        <v>2500</v>
      </c>
      <c r="J7272" s="496">
        <v>155.262</v>
      </c>
      <c r="K7272" s="496">
        <v>152.791</v>
      </c>
      <c r="L7272" s="496">
        <f t="shared" si="93"/>
        <v>2.4710000000000036</v>
      </c>
      <c r="M7272" s="337"/>
    </row>
    <row r="7273" spans="1:13" s="71" customFormat="1" ht="26.4" customHeight="1">
      <c r="A7273" s="282">
        <v>634</v>
      </c>
      <c r="B7273" s="537"/>
      <c r="C7273" s="441" t="s">
        <v>9099</v>
      </c>
      <c r="D7273" s="260" t="s">
        <v>9120</v>
      </c>
      <c r="E7273" s="260" t="s">
        <v>4540</v>
      </c>
      <c r="F7273" s="387">
        <v>507076</v>
      </c>
      <c r="G7273" s="443">
        <v>1966</v>
      </c>
      <c r="H7273" s="410" t="s">
        <v>5462</v>
      </c>
      <c r="I7273" s="409">
        <v>1352</v>
      </c>
      <c r="J7273" s="496">
        <v>14.042</v>
      </c>
      <c r="K7273" s="496">
        <v>13.835000000000001</v>
      </c>
      <c r="L7273" s="496">
        <f t="shared" si="93"/>
        <v>0.20699999999999896</v>
      </c>
      <c r="M7273" s="337"/>
    </row>
    <row r="7274" spans="1:13" s="71" customFormat="1" ht="26.4" customHeight="1">
      <c r="A7274" s="282">
        <v>635</v>
      </c>
      <c r="B7274" s="537"/>
      <c r="C7274" s="441" t="s">
        <v>9099</v>
      </c>
      <c r="D7274" s="260" t="s">
        <v>13253</v>
      </c>
      <c r="E7274" s="260" t="s">
        <v>4540</v>
      </c>
      <c r="F7274" s="387">
        <v>507077</v>
      </c>
      <c r="G7274" s="443">
        <v>1963</v>
      </c>
      <c r="H7274" s="410" t="s">
        <v>5462</v>
      </c>
      <c r="I7274" s="409">
        <v>623</v>
      </c>
      <c r="J7274" s="496">
        <v>6.47</v>
      </c>
      <c r="K7274" s="496">
        <v>6.4089999999999998</v>
      </c>
      <c r="L7274" s="496">
        <f t="shared" si="93"/>
        <v>6.0999999999999943E-2</v>
      </c>
      <c r="M7274" s="337"/>
    </row>
    <row r="7275" spans="1:13" s="71" customFormat="1" ht="26.4" customHeight="1">
      <c r="A7275" s="282">
        <v>636</v>
      </c>
      <c r="B7275" s="537"/>
      <c r="C7275" s="441" t="s">
        <v>9099</v>
      </c>
      <c r="D7275" s="260" t="s">
        <v>9136</v>
      </c>
      <c r="E7275" s="282" t="s">
        <v>2660</v>
      </c>
      <c r="F7275" s="387">
        <v>507079</v>
      </c>
      <c r="G7275" s="443">
        <v>2012</v>
      </c>
      <c r="H7275" s="410" t="s">
        <v>3243</v>
      </c>
      <c r="I7275" s="409" t="s">
        <v>3243</v>
      </c>
      <c r="J7275" s="496">
        <v>8.0619999999999994</v>
      </c>
      <c r="K7275" s="496">
        <v>5.5060000000000002</v>
      </c>
      <c r="L7275" s="496">
        <f t="shared" si="93"/>
        <v>2.5559999999999992</v>
      </c>
      <c r="M7275" s="337"/>
    </row>
    <row r="7276" spans="1:13" s="71" customFormat="1" ht="26.4" customHeight="1">
      <c r="A7276" s="282">
        <v>637</v>
      </c>
      <c r="B7276" s="537"/>
      <c r="C7276" s="441" t="s">
        <v>9099</v>
      </c>
      <c r="D7276" s="260" t="s">
        <v>9137</v>
      </c>
      <c r="E7276" s="282" t="s">
        <v>2660</v>
      </c>
      <c r="F7276" s="387">
        <v>507082</v>
      </c>
      <c r="G7276" s="443">
        <v>2012</v>
      </c>
      <c r="H7276" s="410" t="s">
        <v>3243</v>
      </c>
      <c r="I7276" s="409" t="s">
        <v>3243</v>
      </c>
      <c r="J7276" s="496">
        <v>8.0619999999999994</v>
      </c>
      <c r="K7276" s="496">
        <v>5.5060000000000002</v>
      </c>
      <c r="L7276" s="496">
        <f t="shared" si="93"/>
        <v>2.5559999999999992</v>
      </c>
      <c r="M7276" s="337"/>
    </row>
    <row r="7277" spans="1:13" s="71" customFormat="1" ht="26.4" customHeight="1">
      <c r="A7277" s="282">
        <v>638</v>
      </c>
      <c r="B7277" s="537"/>
      <c r="C7277" s="441" t="s">
        <v>9099</v>
      </c>
      <c r="D7277" s="260" t="s">
        <v>9138</v>
      </c>
      <c r="E7277" s="282" t="s">
        <v>2660</v>
      </c>
      <c r="F7277" s="387">
        <v>507106</v>
      </c>
      <c r="G7277" s="443">
        <v>2012</v>
      </c>
      <c r="H7277" s="410" t="s">
        <v>3243</v>
      </c>
      <c r="I7277" s="409" t="s">
        <v>3243</v>
      </c>
      <c r="J7277" s="496">
        <v>7.5640000000000001</v>
      </c>
      <c r="K7277" s="496">
        <v>6.024</v>
      </c>
      <c r="L7277" s="496">
        <f t="shared" ref="L7277:L7340" si="94">J7277-K7277</f>
        <v>1.54</v>
      </c>
      <c r="M7277" s="337"/>
    </row>
    <row r="7278" spans="1:13" s="71" customFormat="1" ht="26.4" customHeight="1">
      <c r="A7278" s="282">
        <v>639</v>
      </c>
      <c r="B7278" s="537"/>
      <c r="C7278" s="441" t="s">
        <v>9099</v>
      </c>
      <c r="D7278" s="260" t="s">
        <v>9139</v>
      </c>
      <c r="E7278" s="282" t="s">
        <v>2660</v>
      </c>
      <c r="F7278" s="387">
        <v>507109</v>
      </c>
      <c r="G7278" s="443">
        <v>2012</v>
      </c>
      <c r="H7278" s="410" t="s">
        <v>3243</v>
      </c>
      <c r="I7278" s="409" t="s">
        <v>3243</v>
      </c>
      <c r="J7278" s="496">
        <v>7.5640000000000001</v>
      </c>
      <c r="K7278" s="496">
        <v>6.024</v>
      </c>
      <c r="L7278" s="496">
        <f t="shared" si="94"/>
        <v>1.54</v>
      </c>
      <c r="M7278" s="337"/>
    </row>
    <row r="7279" spans="1:13" s="71" customFormat="1" ht="26.4" customHeight="1">
      <c r="A7279" s="282">
        <v>640</v>
      </c>
      <c r="B7279" s="537"/>
      <c r="C7279" s="441" t="s">
        <v>9099</v>
      </c>
      <c r="D7279" s="260" t="s">
        <v>9140</v>
      </c>
      <c r="E7279" s="282" t="s">
        <v>4540</v>
      </c>
      <c r="F7279" s="387">
        <v>507110</v>
      </c>
      <c r="G7279" s="443">
        <v>2008</v>
      </c>
      <c r="H7279" s="410" t="s">
        <v>5462</v>
      </c>
      <c r="I7279" s="409">
        <v>85</v>
      </c>
      <c r="J7279" s="496">
        <v>36.514000000000003</v>
      </c>
      <c r="K7279" s="496">
        <v>30.378</v>
      </c>
      <c r="L7279" s="496">
        <f t="shared" si="94"/>
        <v>6.1360000000000028</v>
      </c>
      <c r="M7279" s="337"/>
    </row>
    <row r="7280" spans="1:13" s="71" customFormat="1" ht="26.4" customHeight="1">
      <c r="A7280" s="282">
        <v>641</v>
      </c>
      <c r="B7280" s="537"/>
      <c r="C7280" s="441" t="s">
        <v>9099</v>
      </c>
      <c r="D7280" s="260" t="s">
        <v>9141</v>
      </c>
      <c r="E7280" s="282" t="s">
        <v>8522</v>
      </c>
      <c r="F7280" s="387">
        <v>507127</v>
      </c>
      <c r="G7280" s="443">
        <v>2008</v>
      </c>
      <c r="H7280" s="410" t="s">
        <v>5462</v>
      </c>
      <c r="I7280" s="409">
        <v>380</v>
      </c>
      <c r="J7280" s="496">
        <v>39.345999999999997</v>
      </c>
      <c r="K7280" s="496">
        <v>38.085000000000001</v>
      </c>
      <c r="L7280" s="496">
        <f t="shared" si="94"/>
        <v>1.2609999999999957</v>
      </c>
      <c r="M7280" s="337"/>
    </row>
    <row r="7281" spans="1:13" s="71" customFormat="1" ht="26.4" customHeight="1">
      <c r="A7281" s="282">
        <v>642</v>
      </c>
      <c r="B7281" s="537"/>
      <c r="C7281" s="441" t="s">
        <v>9099</v>
      </c>
      <c r="D7281" s="260" t="s">
        <v>9142</v>
      </c>
      <c r="E7281" s="282" t="s">
        <v>8522</v>
      </c>
      <c r="F7281" s="387">
        <v>507128</v>
      </c>
      <c r="G7281" s="443">
        <v>2008</v>
      </c>
      <c r="H7281" s="410" t="s">
        <v>5462</v>
      </c>
      <c r="I7281" s="409">
        <v>100</v>
      </c>
      <c r="J7281" s="496">
        <v>5.4059999999999997</v>
      </c>
      <c r="K7281" s="496">
        <v>5.2329999999999997</v>
      </c>
      <c r="L7281" s="496">
        <f t="shared" si="94"/>
        <v>0.17300000000000004</v>
      </c>
      <c r="M7281" s="337"/>
    </row>
    <row r="7282" spans="1:13" s="71" customFormat="1" ht="26.4" customHeight="1">
      <c r="A7282" s="282">
        <v>643</v>
      </c>
      <c r="B7282" s="537"/>
      <c r="C7282" s="441" t="s">
        <v>9099</v>
      </c>
      <c r="D7282" s="260" t="s">
        <v>9143</v>
      </c>
      <c r="E7282" s="282" t="s">
        <v>9144</v>
      </c>
      <c r="F7282" s="387">
        <v>507130</v>
      </c>
      <c r="G7282" s="443">
        <v>2008</v>
      </c>
      <c r="H7282" s="410" t="s">
        <v>5462</v>
      </c>
      <c r="I7282" s="409">
        <v>800</v>
      </c>
      <c r="J7282" s="496">
        <v>30.745999999999999</v>
      </c>
      <c r="K7282" s="496">
        <v>29.760999999999999</v>
      </c>
      <c r="L7282" s="496">
        <f t="shared" si="94"/>
        <v>0.98499999999999943</v>
      </c>
      <c r="M7282" s="337"/>
    </row>
    <row r="7283" spans="1:13" s="71" customFormat="1" ht="26.4" customHeight="1">
      <c r="A7283" s="282">
        <v>644</v>
      </c>
      <c r="B7283" s="537"/>
      <c r="C7283" s="441" t="s">
        <v>9134</v>
      </c>
      <c r="D7283" s="260" t="s">
        <v>9145</v>
      </c>
      <c r="E7283" s="282" t="s">
        <v>4540</v>
      </c>
      <c r="F7283" s="387">
        <v>507131</v>
      </c>
      <c r="G7283" s="443">
        <v>2008</v>
      </c>
      <c r="H7283" s="410" t="s">
        <v>5462</v>
      </c>
      <c r="I7283" s="409">
        <v>85</v>
      </c>
      <c r="J7283" s="496">
        <v>23.486000000000001</v>
      </c>
      <c r="K7283" s="496">
        <v>19.539000000000001</v>
      </c>
      <c r="L7283" s="496">
        <f t="shared" si="94"/>
        <v>3.9469999999999992</v>
      </c>
      <c r="M7283" s="337"/>
    </row>
    <row r="7284" spans="1:13" s="71" customFormat="1" ht="26.4" customHeight="1">
      <c r="A7284" s="282">
        <v>645</v>
      </c>
      <c r="B7284" s="537"/>
      <c r="C7284" s="441" t="s">
        <v>9099</v>
      </c>
      <c r="D7284" s="260" t="s">
        <v>9146</v>
      </c>
      <c r="E7284" s="282" t="s">
        <v>8522</v>
      </c>
      <c r="F7284" s="387">
        <v>507132</v>
      </c>
      <c r="G7284" s="443">
        <v>2008</v>
      </c>
      <c r="H7284" s="410" t="s">
        <v>5462</v>
      </c>
      <c r="I7284" s="409">
        <v>90</v>
      </c>
      <c r="J7284" s="496">
        <v>54.902000000000001</v>
      </c>
      <c r="K7284" s="496">
        <v>53.142000000000003</v>
      </c>
      <c r="L7284" s="496">
        <f t="shared" si="94"/>
        <v>1.759999999999998</v>
      </c>
      <c r="M7284" s="337"/>
    </row>
    <row r="7285" spans="1:13" s="71" customFormat="1" ht="26.4" customHeight="1">
      <c r="A7285" s="282">
        <v>646</v>
      </c>
      <c r="B7285" s="537"/>
      <c r="C7285" s="441" t="s">
        <v>9099</v>
      </c>
      <c r="D7285" s="260" t="s">
        <v>9147</v>
      </c>
      <c r="E7285" s="282" t="s">
        <v>8522</v>
      </c>
      <c r="F7285" s="387">
        <v>507133</v>
      </c>
      <c r="G7285" s="443">
        <v>2008</v>
      </c>
      <c r="H7285" s="410" t="s">
        <v>5462</v>
      </c>
      <c r="I7285" s="409">
        <v>300</v>
      </c>
      <c r="J7285" s="496">
        <v>35.625</v>
      </c>
      <c r="K7285" s="496">
        <v>20.332000000000001</v>
      </c>
      <c r="L7285" s="496">
        <f t="shared" si="94"/>
        <v>15.292999999999999</v>
      </c>
      <c r="M7285" s="337"/>
    </row>
    <row r="7286" spans="1:13" s="71" customFormat="1" ht="26.4" customHeight="1">
      <c r="A7286" s="282">
        <v>647</v>
      </c>
      <c r="B7286" s="537"/>
      <c r="C7286" s="441" t="s">
        <v>9099</v>
      </c>
      <c r="D7286" s="260" t="s">
        <v>9148</v>
      </c>
      <c r="E7286" s="282" t="s">
        <v>8522</v>
      </c>
      <c r="F7286" s="387">
        <v>507142</v>
      </c>
      <c r="G7286" s="443">
        <v>1975</v>
      </c>
      <c r="H7286" s="410" t="s">
        <v>5462</v>
      </c>
      <c r="I7286" s="409">
        <v>250</v>
      </c>
      <c r="J7286" s="496">
        <v>0.37</v>
      </c>
      <c r="K7286" s="496">
        <v>0.35399999999999998</v>
      </c>
      <c r="L7286" s="496">
        <f t="shared" si="94"/>
        <v>1.6000000000000014E-2</v>
      </c>
      <c r="M7286" s="337"/>
    </row>
    <row r="7287" spans="1:13" s="71" customFormat="1" ht="26.4">
      <c r="A7287" s="282">
        <v>648</v>
      </c>
      <c r="B7287" s="537"/>
      <c r="C7287" s="441" t="s">
        <v>9099</v>
      </c>
      <c r="D7287" s="260" t="s">
        <v>13254</v>
      </c>
      <c r="E7287" s="282" t="s">
        <v>8522</v>
      </c>
      <c r="F7287" s="387">
        <v>507143</v>
      </c>
      <c r="G7287" s="443">
        <v>2012</v>
      </c>
      <c r="H7287" s="410" t="s">
        <v>5462</v>
      </c>
      <c r="I7287" s="409">
        <v>522</v>
      </c>
      <c r="J7287" s="496">
        <v>13.529</v>
      </c>
      <c r="K7287" s="496">
        <v>11.039</v>
      </c>
      <c r="L7287" s="496">
        <f t="shared" si="94"/>
        <v>2.4900000000000002</v>
      </c>
      <c r="M7287" s="337"/>
    </row>
    <row r="7288" spans="1:13" s="71" customFormat="1" ht="26.4" customHeight="1">
      <c r="A7288" s="282">
        <v>649</v>
      </c>
      <c r="B7288" s="537"/>
      <c r="C7288" s="441" t="s">
        <v>9099</v>
      </c>
      <c r="D7288" s="260" t="s">
        <v>9139</v>
      </c>
      <c r="E7288" s="282" t="s">
        <v>8522</v>
      </c>
      <c r="F7288" s="387">
        <v>507144</v>
      </c>
      <c r="G7288" s="443">
        <v>1966</v>
      </c>
      <c r="H7288" s="410" t="s">
        <v>5462</v>
      </c>
      <c r="I7288" s="409">
        <v>540</v>
      </c>
      <c r="J7288" s="496">
        <v>20.126000000000001</v>
      </c>
      <c r="K7288" s="496">
        <v>16.422000000000001</v>
      </c>
      <c r="L7288" s="496">
        <f t="shared" si="94"/>
        <v>3.7040000000000006</v>
      </c>
      <c r="M7288" s="337"/>
    </row>
    <row r="7289" spans="1:13" s="71" customFormat="1" ht="26.4">
      <c r="A7289" s="282">
        <v>650</v>
      </c>
      <c r="B7289" s="537"/>
      <c r="C7289" s="441" t="s">
        <v>9099</v>
      </c>
      <c r="D7289" s="260" t="s">
        <v>12981</v>
      </c>
      <c r="E7289" s="282" t="s">
        <v>8522</v>
      </c>
      <c r="F7289" s="387">
        <v>507145</v>
      </c>
      <c r="G7289" s="443">
        <v>1980</v>
      </c>
      <c r="H7289" s="410" t="s">
        <v>5462</v>
      </c>
      <c r="I7289" s="409">
        <v>2170</v>
      </c>
      <c r="J7289" s="496">
        <v>1.3089999999999999</v>
      </c>
      <c r="K7289" s="496">
        <v>1.238</v>
      </c>
      <c r="L7289" s="496">
        <f t="shared" si="94"/>
        <v>7.0999999999999952E-2</v>
      </c>
      <c r="M7289" s="337"/>
    </row>
    <row r="7290" spans="1:13" s="71" customFormat="1" ht="39.6">
      <c r="A7290" s="282">
        <v>651</v>
      </c>
      <c r="B7290" s="537"/>
      <c r="C7290" s="441" t="s">
        <v>9099</v>
      </c>
      <c r="D7290" s="260" t="s">
        <v>9149</v>
      </c>
      <c r="E7290" s="282" t="s">
        <v>8522</v>
      </c>
      <c r="F7290" s="387">
        <v>507146</v>
      </c>
      <c r="G7290" s="443">
        <v>1992</v>
      </c>
      <c r="H7290" s="410" t="s">
        <v>5462</v>
      </c>
      <c r="I7290" s="409">
        <v>2840</v>
      </c>
      <c r="J7290" s="496">
        <v>1.7070000000000001</v>
      </c>
      <c r="K7290" s="496">
        <v>1.2749999999999999</v>
      </c>
      <c r="L7290" s="496">
        <f t="shared" si="94"/>
        <v>0.43200000000000016</v>
      </c>
      <c r="M7290" s="337"/>
    </row>
    <row r="7291" spans="1:13" s="71" customFormat="1" ht="26.4" customHeight="1">
      <c r="A7291" s="282">
        <v>652</v>
      </c>
      <c r="B7291" s="537"/>
      <c r="C7291" s="441" t="s">
        <v>9099</v>
      </c>
      <c r="D7291" s="260" t="s">
        <v>9150</v>
      </c>
      <c r="E7291" s="282" t="s">
        <v>8522</v>
      </c>
      <c r="F7291" s="387">
        <v>507147</v>
      </c>
      <c r="G7291" s="443">
        <v>1990</v>
      </c>
      <c r="H7291" s="410" t="s">
        <v>5462</v>
      </c>
      <c r="I7291" s="409">
        <v>640</v>
      </c>
      <c r="J7291" s="496">
        <v>1.913</v>
      </c>
      <c r="K7291" s="496">
        <v>1.796</v>
      </c>
      <c r="L7291" s="496">
        <f t="shared" si="94"/>
        <v>0.11699999999999999</v>
      </c>
      <c r="M7291" s="337"/>
    </row>
    <row r="7292" spans="1:13" s="71" customFormat="1" ht="26.4" customHeight="1">
      <c r="A7292" s="282">
        <v>653</v>
      </c>
      <c r="B7292" s="537"/>
      <c r="C7292" s="441" t="s">
        <v>9099</v>
      </c>
      <c r="D7292" s="260" t="s">
        <v>9151</v>
      </c>
      <c r="E7292" s="282" t="s">
        <v>8522</v>
      </c>
      <c r="F7292" s="387">
        <v>507148</v>
      </c>
      <c r="G7292" s="443">
        <v>1995</v>
      </c>
      <c r="H7292" s="410" t="s">
        <v>5462</v>
      </c>
      <c r="I7292" s="409">
        <v>710</v>
      </c>
      <c r="J7292" s="496">
        <v>1.5369999999999999</v>
      </c>
      <c r="K7292" s="496">
        <v>1.1479999999999999</v>
      </c>
      <c r="L7292" s="496">
        <f t="shared" si="94"/>
        <v>0.38900000000000001</v>
      </c>
      <c r="M7292" s="337"/>
    </row>
    <row r="7293" spans="1:13" s="71" customFormat="1" ht="26.4" customHeight="1">
      <c r="A7293" s="282">
        <v>654</v>
      </c>
      <c r="B7293" s="537"/>
      <c r="C7293" s="441" t="s">
        <v>9099</v>
      </c>
      <c r="D7293" s="260" t="s">
        <v>9119</v>
      </c>
      <c r="E7293" s="282" t="s">
        <v>8522</v>
      </c>
      <c r="F7293" s="387">
        <v>507149</v>
      </c>
      <c r="G7293" s="443">
        <v>1966</v>
      </c>
      <c r="H7293" s="410" t="s">
        <v>5462</v>
      </c>
      <c r="I7293" s="409">
        <v>962</v>
      </c>
      <c r="J7293" s="496">
        <v>19.292000000000002</v>
      </c>
      <c r="K7293" s="496">
        <v>16.995000000000001</v>
      </c>
      <c r="L7293" s="496">
        <f t="shared" si="94"/>
        <v>2.2970000000000006</v>
      </c>
      <c r="M7293" s="337"/>
    </row>
    <row r="7294" spans="1:13" s="71" customFormat="1" ht="26.4" customHeight="1">
      <c r="A7294" s="282">
        <v>655</v>
      </c>
      <c r="B7294" s="537"/>
      <c r="C7294" s="441" t="s">
        <v>9099</v>
      </c>
      <c r="D7294" s="260" t="s">
        <v>9119</v>
      </c>
      <c r="E7294" s="282" t="s">
        <v>8522</v>
      </c>
      <c r="F7294" s="387">
        <v>507150</v>
      </c>
      <c r="G7294" s="443">
        <v>2012</v>
      </c>
      <c r="H7294" s="410" t="s">
        <v>5462</v>
      </c>
      <c r="I7294" s="409">
        <v>796</v>
      </c>
      <c r="J7294" s="496">
        <v>20.62</v>
      </c>
      <c r="K7294" s="496">
        <v>16.826000000000001</v>
      </c>
      <c r="L7294" s="496">
        <f t="shared" si="94"/>
        <v>3.7940000000000005</v>
      </c>
      <c r="M7294" s="337"/>
    </row>
    <row r="7295" spans="1:13" s="71" customFormat="1" ht="26.4" customHeight="1">
      <c r="A7295" s="282">
        <v>656</v>
      </c>
      <c r="B7295" s="537"/>
      <c r="C7295" s="441" t="s">
        <v>9099</v>
      </c>
      <c r="D7295" s="260" t="s">
        <v>9119</v>
      </c>
      <c r="E7295" s="260" t="s">
        <v>9152</v>
      </c>
      <c r="F7295" s="387">
        <v>507151</v>
      </c>
      <c r="G7295" s="443">
        <v>1959</v>
      </c>
      <c r="H7295" s="410" t="s">
        <v>5462</v>
      </c>
      <c r="I7295" s="409">
        <v>500</v>
      </c>
      <c r="J7295" s="496">
        <v>79.307000000000002</v>
      </c>
      <c r="K7295" s="496">
        <v>76.275999999999996</v>
      </c>
      <c r="L7295" s="496">
        <f t="shared" si="94"/>
        <v>3.0310000000000059</v>
      </c>
      <c r="M7295" s="337"/>
    </row>
    <row r="7296" spans="1:13" s="71" customFormat="1" ht="26.4" customHeight="1">
      <c r="A7296" s="282">
        <v>657</v>
      </c>
      <c r="B7296" s="537"/>
      <c r="C7296" s="441" t="s">
        <v>9099</v>
      </c>
      <c r="D7296" s="260" t="s">
        <v>9113</v>
      </c>
      <c r="E7296" s="260" t="s">
        <v>8522</v>
      </c>
      <c r="F7296" s="387">
        <v>507152</v>
      </c>
      <c r="G7296" s="443">
        <v>1959</v>
      </c>
      <c r="H7296" s="410" t="s">
        <v>5462</v>
      </c>
      <c r="I7296" s="409">
        <v>720</v>
      </c>
      <c r="J7296" s="496">
        <v>24.149000000000001</v>
      </c>
      <c r="K7296" s="496">
        <v>21.274000000000001</v>
      </c>
      <c r="L7296" s="496">
        <f t="shared" si="94"/>
        <v>2.875</v>
      </c>
      <c r="M7296" s="337"/>
    </row>
    <row r="7297" spans="1:13" s="71" customFormat="1" ht="26.4" customHeight="1">
      <c r="A7297" s="282">
        <v>658</v>
      </c>
      <c r="B7297" s="537"/>
      <c r="C7297" s="441" t="s">
        <v>9099</v>
      </c>
      <c r="D7297" s="260" t="s">
        <v>9119</v>
      </c>
      <c r="E7297" s="282" t="s">
        <v>8522</v>
      </c>
      <c r="F7297" s="387">
        <v>507153</v>
      </c>
      <c r="G7297" s="443">
        <v>1960</v>
      </c>
      <c r="H7297" s="410" t="s">
        <v>5462</v>
      </c>
      <c r="I7297" s="409">
        <v>700</v>
      </c>
      <c r="J7297" s="496">
        <v>10.856999999999999</v>
      </c>
      <c r="K7297" s="496">
        <v>10.474</v>
      </c>
      <c r="L7297" s="496">
        <f t="shared" si="94"/>
        <v>0.38299999999999912</v>
      </c>
      <c r="M7297" s="337"/>
    </row>
    <row r="7298" spans="1:13" s="71" customFormat="1" ht="39.6">
      <c r="A7298" s="282">
        <v>659</v>
      </c>
      <c r="B7298" s="537"/>
      <c r="C7298" s="441" t="s">
        <v>9099</v>
      </c>
      <c r="D7298" s="260" t="s">
        <v>12819</v>
      </c>
      <c r="E7298" s="282" t="s">
        <v>8522</v>
      </c>
      <c r="F7298" s="387">
        <v>507154</v>
      </c>
      <c r="G7298" s="443">
        <v>1966</v>
      </c>
      <c r="H7298" s="410" t="s">
        <v>5462</v>
      </c>
      <c r="I7298" s="409">
        <v>150</v>
      </c>
      <c r="J7298" s="496">
        <v>27.568999999999999</v>
      </c>
      <c r="K7298" s="496">
        <v>26.478999999999999</v>
      </c>
      <c r="L7298" s="496">
        <f t="shared" si="94"/>
        <v>1.0899999999999999</v>
      </c>
      <c r="M7298" s="337"/>
    </row>
    <row r="7299" spans="1:13" s="71" customFormat="1" ht="26.4" customHeight="1">
      <c r="A7299" s="282">
        <v>660</v>
      </c>
      <c r="B7299" s="537"/>
      <c r="C7299" s="441" t="s">
        <v>9099</v>
      </c>
      <c r="D7299" s="260" t="s">
        <v>9119</v>
      </c>
      <c r="E7299" s="282" t="s">
        <v>8522</v>
      </c>
      <c r="F7299" s="387">
        <v>507155</v>
      </c>
      <c r="G7299" s="443">
        <v>1963</v>
      </c>
      <c r="H7299" s="410" t="s">
        <v>5462</v>
      </c>
      <c r="I7299" s="409">
        <v>422</v>
      </c>
      <c r="J7299" s="496">
        <v>15.911</v>
      </c>
      <c r="K7299" s="496">
        <v>11.885</v>
      </c>
      <c r="L7299" s="496">
        <f t="shared" si="94"/>
        <v>4.0259999999999998</v>
      </c>
      <c r="M7299" s="337"/>
    </row>
    <row r="7300" spans="1:13" s="71" customFormat="1" ht="26.4" customHeight="1">
      <c r="A7300" s="282">
        <v>661</v>
      </c>
      <c r="B7300" s="537"/>
      <c r="C7300" s="441" t="s">
        <v>9099</v>
      </c>
      <c r="D7300" s="260" t="s">
        <v>9119</v>
      </c>
      <c r="E7300" s="282" t="s">
        <v>8522</v>
      </c>
      <c r="F7300" s="387">
        <v>507156</v>
      </c>
      <c r="G7300" s="443">
        <v>1960</v>
      </c>
      <c r="H7300" s="410" t="s">
        <v>5462</v>
      </c>
      <c r="I7300" s="409">
        <v>160</v>
      </c>
      <c r="J7300" s="496">
        <v>22.010999999999999</v>
      </c>
      <c r="K7300" s="496">
        <v>19.39</v>
      </c>
      <c r="L7300" s="496">
        <f t="shared" si="94"/>
        <v>2.6209999999999987</v>
      </c>
      <c r="M7300" s="337"/>
    </row>
    <row r="7301" spans="1:13" s="71" customFormat="1" ht="26.4" customHeight="1">
      <c r="A7301" s="282">
        <v>662</v>
      </c>
      <c r="B7301" s="537"/>
      <c r="C7301" s="441" t="s">
        <v>9099</v>
      </c>
      <c r="D7301" s="260" t="s">
        <v>9100</v>
      </c>
      <c r="E7301" s="282" t="s">
        <v>8522</v>
      </c>
      <c r="F7301" s="387">
        <v>507157</v>
      </c>
      <c r="G7301" s="443">
        <v>1993</v>
      </c>
      <c r="H7301" s="410" t="s">
        <v>5462</v>
      </c>
      <c r="I7301" s="409">
        <v>201.5</v>
      </c>
      <c r="J7301" s="496">
        <v>2.89</v>
      </c>
      <c r="K7301" s="496">
        <v>1.1579999999999999</v>
      </c>
      <c r="L7301" s="496">
        <f t="shared" si="94"/>
        <v>1.7320000000000002</v>
      </c>
      <c r="M7301" s="337"/>
    </row>
    <row r="7302" spans="1:13" s="71" customFormat="1" ht="26.4" customHeight="1">
      <c r="A7302" s="282">
        <v>663</v>
      </c>
      <c r="B7302" s="537"/>
      <c r="C7302" s="441" t="s">
        <v>9099</v>
      </c>
      <c r="D7302" s="260" t="s">
        <v>9153</v>
      </c>
      <c r="E7302" s="260" t="s">
        <v>9154</v>
      </c>
      <c r="F7302" s="387">
        <v>507158</v>
      </c>
      <c r="G7302" s="443">
        <v>1965</v>
      </c>
      <c r="H7302" s="410" t="s">
        <v>5462</v>
      </c>
      <c r="I7302" s="409">
        <v>540</v>
      </c>
      <c r="J7302" s="496">
        <v>0.52400000000000002</v>
      </c>
      <c r="K7302" s="496">
        <v>0.5</v>
      </c>
      <c r="L7302" s="496">
        <f t="shared" si="94"/>
        <v>2.4000000000000021E-2</v>
      </c>
      <c r="M7302" s="337"/>
    </row>
    <row r="7303" spans="1:13" s="71" customFormat="1" ht="26.4" customHeight="1">
      <c r="A7303" s="282">
        <v>664</v>
      </c>
      <c r="B7303" s="537"/>
      <c r="C7303" s="441" t="s">
        <v>9099</v>
      </c>
      <c r="D7303" s="260" t="s">
        <v>9155</v>
      </c>
      <c r="E7303" s="282" t="s">
        <v>8522</v>
      </c>
      <c r="F7303" s="387">
        <v>507159</v>
      </c>
      <c r="G7303" s="443">
        <v>1968</v>
      </c>
      <c r="H7303" s="410" t="s">
        <v>5462</v>
      </c>
      <c r="I7303" s="409">
        <v>290</v>
      </c>
      <c r="J7303" s="496">
        <v>0.29199999999999998</v>
      </c>
      <c r="K7303" s="496">
        <v>0.27800000000000002</v>
      </c>
      <c r="L7303" s="496">
        <f t="shared" si="94"/>
        <v>1.3999999999999957E-2</v>
      </c>
      <c r="M7303" s="337"/>
    </row>
    <row r="7304" spans="1:13" s="71" customFormat="1" ht="26.4" customHeight="1">
      <c r="A7304" s="282">
        <v>665</v>
      </c>
      <c r="B7304" s="537"/>
      <c r="C7304" s="441" t="s">
        <v>9099</v>
      </c>
      <c r="D7304" s="260" t="s">
        <v>9156</v>
      </c>
      <c r="E7304" s="282" t="s">
        <v>8522</v>
      </c>
      <c r="F7304" s="387">
        <v>507160</v>
      </c>
      <c r="G7304" s="443">
        <v>1982</v>
      </c>
      <c r="H7304" s="410" t="s">
        <v>5462</v>
      </c>
      <c r="I7304" s="409">
        <v>580</v>
      </c>
      <c r="J7304" s="496">
        <v>0.23</v>
      </c>
      <c r="K7304" s="496">
        <v>0.215</v>
      </c>
      <c r="L7304" s="496">
        <f t="shared" si="94"/>
        <v>1.5000000000000013E-2</v>
      </c>
      <c r="M7304" s="337"/>
    </row>
    <row r="7305" spans="1:13" s="71" customFormat="1" ht="26.4" customHeight="1">
      <c r="A7305" s="282">
        <v>666</v>
      </c>
      <c r="B7305" s="537"/>
      <c r="C7305" s="441" t="s">
        <v>9099</v>
      </c>
      <c r="D7305" s="260" t="s">
        <v>9157</v>
      </c>
      <c r="E7305" s="282" t="s">
        <v>8522</v>
      </c>
      <c r="F7305" s="387">
        <v>507161</v>
      </c>
      <c r="G7305" s="443">
        <v>1965</v>
      </c>
      <c r="H7305" s="410" t="s">
        <v>5462</v>
      </c>
      <c r="I7305" s="409">
        <v>190</v>
      </c>
      <c r="J7305" s="496">
        <v>0.187</v>
      </c>
      <c r="K7305" s="496">
        <v>0.17899999999999999</v>
      </c>
      <c r="L7305" s="496">
        <f t="shared" si="94"/>
        <v>8.0000000000000071E-3</v>
      </c>
      <c r="M7305" s="337"/>
    </row>
    <row r="7306" spans="1:13" s="71" customFormat="1" ht="26.4" customHeight="1">
      <c r="A7306" s="282">
        <v>667</v>
      </c>
      <c r="B7306" s="537"/>
      <c r="C7306" s="441" t="s">
        <v>9099</v>
      </c>
      <c r="D7306" s="260" t="s">
        <v>9158</v>
      </c>
      <c r="E7306" s="282" t="s">
        <v>8522</v>
      </c>
      <c r="F7306" s="387">
        <v>507162</v>
      </c>
      <c r="G7306" s="443">
        <v>1969</v>
      </c>
      <c r="H7306" s="410" t="s">
        <v>5462</v>
      </c>
      <c r="I7306" s="409">
        <v>316</v>
      </c>
      <c r="J7306" s="496">
        <v>0.313</v>
      </c>
      <c r="K7306" s="496">
        <v>0.29799999999999999</v>
      </c>
      <c r="L7306" s="496">
        <f t="shared" si="94"/>
        <v>1.5000000000000013E-2</v>
      </c>
      <c r="M7306" s="337"/>
    </row>
    <row r="7307" spans="1:13" s="71" customFormat="1" ht="26.4" customHeight="1">
      <c r="A7307" s="282">
        <v>668</v>
      </c>
      <c r="B7307" s="537"/>
      <c r="C7307" s="441" t="s">
        <v>9099</v>
      </c>
      <c r="D7307" s="260" t="s">
        <v>9159</v>
      </c>
      <c r="E7307" s="282" t="s">
        <v>9160</v>
      </c>
      <c r="F7307" s="387">
        <v>507163</v>
      </c>
      <c r="G7307" s="443">
        <v>1968</v>
      </c>
      <c r="H7307" s="410" t="s">
        <v>5462</v>
      </c>
      <c r="I7307" s="409">
        <v>105</v>
      </c>
      <c r="J7307" s="496">
        <v>0.25900000000000001</v>
      </c>
      <c r="K7307" s="496">
        <v>0.193</v>
      </c>
      <c r="L7307" s="496">
        <f t="shared" si="94"/>
        <v>6.6000000000000003E-2</v>
      </c>
      <c r="M7307" s="337"/>
    </row>
    <row r="7308" spans="1:13" s="71" customFormat="1" ht="26.4" customHeight="1">
      <c r="A7308" s="282">
        <v>669</v>
      </c>
      <c r="B7308" s="537"/>
      <c r="C7308" s="441" t="s">
        <v>9099</v>
      </c>
      <c r="D7308" s="260" t="s">
        <v>9161</v>
      </c>
      <c r="E7308" s="282" t="s">
        <v>9162</v>
      </c>
      <c r="F7308" s="387">
        <v>507164</v>
      </c>
      <c r="G7308" s="443">
        <v>1970</v>
      </c>
      <c r="H7308" s="410" t="s">
        <v>5462</v>
      </c>
      <c r="I7308" s="409">
        <v>320</v>
      </c>
      <c r="J7308" s="496">
        <v>0.33100000000000002</v>
      </c>
      <c r="K7308" s="496">
        <v>0.314</v>
      </c>
      <c r="L7308" s="496">
        <f t="shared" si="94"/>
        <v>1.7000000000000015E-2</v>
      </c>
      <c r="M7308" s="337"/>
    </row>
    <row r="7309" spans="1:13" s="71" customFormat="1" ht="26.4" customHeight="1">
      <c r="A7309" s="282">
        <v>670</v>
      </c>
      <c r="B7309" s="537"/>
      <c r="C7309" s="441" t="s">
        <v>9099</v>
      </c>
      <c r="D7309" s="260" t="s">
        <v>9141</v>
      </c>
      <c r="E7309" s="282" t="s">
        <v>8522</v>
      </c>
      <c r="F7309" s="387">
        <v>507165</v>
      </c>
      <c r="G7309" s="443">
        <v>1953</v>
      </c>
      <c r="H7309" s="410" t="s">
        <v>5462</v>
      </c>
      <c r="I7309" s="409">
        <v>380</v>
      </c>
      <c r="J7309" s="496">
        <v>0.625</v>
      </c>
      <c r="K7309" s="496">
        <v>0.50800000000000001</v>
      </c>
      <c r="L7309" s="496">
        <f t="shared" si="94"/>
        <v>0.11699999999999999</v>
      </c>
      <c r="M7309" s="337"/>
    </row>
    <row r="7310" spans="1:13" s="71" customFormat="1" ht="39.6">
      <c r="A7310" s="282">
        <v>671</v>
      </c>
      <c r="B7310" s="537"/>
      <c r="C7310" s="441" t="s">
        <v>9099</v>
      </c>
      <c r="D7310" s="260" t="s">
        <v>9163</v>
      </c>
      <c r="E7310" s="282" t="s">
        <v>8522</v>
      </c>
      <c r="F7310" s="387">
        <v>507166</v>
      </c>
      <c r="G7310" s="443">
        <v>1963</v>
      </c>
      <c r="H7310" s="410" t="s">
        <v>5462</v>
      </c>
      <c r="I7310" s="409">
        <v>134.5</v>
      </c>
      <c r="J7310" s="496">
        <v>3.64</v>
      </c>
      <c r="K7310" s="496">
        <v>3.3279999999999998</v>
      </c>
      <c r="L7310" s="496">
        <f t="shared" si="94"/>
        <v>0.31200000000000028</v>
      </c>
      <c r="M7310" s="337"/>
    </row>
    <row r="7311" spans="1:13" s="71" customFormat="1" ht="39.6">
      <c r="A7311" s="282">
        <v>672</v>
      </c>
      <c r="B7311" s="537"/>
      <c r="C7311" s="441" t="s">
        <v>9099</v>
      </c>
      <c r="D7311" s="260" t="s">
        <v>9164</v>
      </c>
      <c r="E7311" s="282" t="s">
        <v>8522</v>
      </c>
      <c r="F7311" s="387">
        <v>507167</v>
      </c>
      <c r="G7311" s="443">
        <v>1993</v>
      </c>
      <c r="H7311" s="410" t="s">
        <v>5462</v>
      </c>
      <c r="I7311" s="409">
        <v>615</v>
      </c>
      <c r="J7311" s="496">
        <v>1.9910000000000001</v>
      </c>
      <c r="K7311" s="496">
        <v>1.821</v>
      </c>
      <c r="L7311" s="496">
        <f t="shared" si="94"/>
        <v>0.17000000000000015</v>
      </c>
      <c r="M7311" s="337"/>
    </row>
    <row r="7312" spans="1:13" s="71" customFormat="1" ht="26.4" customHeight="1">
      <c r="A7312" s="282">
        <v>673</v>
      </c>
      <c r="B7312" s="537"/>
      <c r="C7312" s="441" t="s">
        <v>9099</v>
      </c>
      <c r="D7312" s="260" t="s">
        <v>9103</v>
      </c>
      <c r="E7312" s="282" t="s">
        <v>8522</v>
      </c>
      <c r="F7312" s="387">
        <v>507168</v>
      </c>
      <c r="G7312" s="443">
        <v>1993</v>
      </c>
      <c r="H7312" s="410" t="s">
        <v>5462</v>
      </c>
      <c r="I7312" s="409">
        <v>75</v>
      </c>
      <c r="J7312" s="496">
        <v>13.262</v>
      </c>
      <c r="K7312" s="496">
        <v>9.9060000000000006</v>
      </c>
      <c r="L7312" s="496">
        <f t="shared" si="94"/>
        <v>3.3559999999999999</v>
      </c>
      <c r="M7312" s="337"/>
    </row>
    <row r="7313" spans="1:13" s="71" customFormat="1" ht="39.6">
      <c r="A7313" s="282">
        <v>674</v>
      </c>
      <c r="B7313" s="537"/>
      <c r="C7313" s="441" t="s">
        <v>9099</v>
      </c>
      <c r="D7313" s="260" t="s">
        <v>9165</v>
      </c>
      <c r="E7313" s="282" t="s">
        <v>8522</v>
      </c>
      <c r="F7313" s="387">
        <v>507169</v>
      </c>
      <c r="G7313" s="443">
        <v>1993</v>
      </c>
      <c r="H7313" s="410" t="s">
        <v>5462</v>
      </c>
      <c r="I7313" s="409">
        <v>30</v>
      </c>
      <c r="J7313" s="496">
        <v>0.68600000000000005</v>
      </c>
      <c r="K7313" s="496">
        <v>0.63200000000000001</v>
      </c>
      <c r="L7313" s="496">
        <f t="shared" si="94"/>
        <v>5.4000000000000048E-2</v>
      </c>
      <c r="M7313" s="337"/>
    </row>
    <row r="7314" spans="1:13" s="71" customFormat="1" ht="26.4" customHeight="1">
      <c r="A7314" s="282">
        <v>675</v>
      </c>
      <c r="B7314" s="537"/>
      <c r="C7314" s="441" t="s">
        <v>9099</v>
      </c>
      <c r="D7314" s="260" t="s">
        <v>9166</v>
      </c>
      <c r="E7314" s="282" t="s">
        <v>8522</v>
      </c>
      <c r="F7314" s="387">
        <v>507170</v>
      </c>
      <c r="G7314" s="443">
        <v>1955</v>
      </c>
      <c r="H7314" s="410" t="s">
        <v>5462</v>
      </c>
      <c r="I7314" s="409">
        <v>340</v>
      </c>
      <c r="J7314" s="496">
        <v>0.115</v>
      </c>
      <c r="K7314" s="496">
        <v>8.1000000000000003E-2</v>
      </c>
      <c r="L7314" s="496">
        <f t="shared" si="94"/>
        <v>3.4000000000000002E-2</v>
      </c>
      <c r="M7314" s="337"/>
    </row>
    <row r="7315" spans="1:13" s="71" customFormat="1" ht="39.6">
      <c r="A7315" s="282">
        <v>676</v>
      </c>
      <c r="B7315" s="537"/>
      <c r="C7315" s="441" t="s">
        <v>9099</v>
      </c>
      <c r="D7315" s="260" t="s">
        <v>9167</v>
      </c>
      <c r="E7315" s="282" t="s">
        <v>8522</v>
      </c>
      <c r="F7315" s="387">
        <v>507171</v>
      </c>
      <c r="G7315" s="443">
        <v>1999</v>
      </c>
      <c r="H7315" s="410" t="s">
        <v>5462</v>
      </c>
      <c r="I7315" s="409">
        <v>104</v>
      </c>
      <c r="J7315" s="496">
        <v>7.2999999999999995E-2</v>
      </c>
      <c r="K7315" s="496">
        <v>5.7000000000000002E-2</v>
      </c>
      <c r="L7315" s="496">
        <f t="shared" si="94"/>
        <v>1.5999999999999993E-2</v>
      </c>
      <c r="M7315" s="337"/>
    </row>
    <row r="7316" spans="1:13" s="71" customFormat="1" ht="26.4" customHeight="1">
      <c r="A7316" s="282">
        <v>677</v>
      </c>
      <c r="B7316" s="537"/>
      <c r="C7316" s="441" t="s">
        <v>9099</v>
      </c>
      <c r="D7316" s="260" t="s">
        <v>9108</v>
      </c>
      <c r="E7316" s="282" t="s">
        <v>8522</v>
      </c>
      <c r="F7316" s="387">
        <v>507172</v>
      </c>
      <c r="G7316" s="443">
        <v>1963</v>
      </c>
      <c r="H7316" s="410" t="s">
        <v>5462</v>
      </c>
      <c r="I7316" s="409">
        <v>500</v>
      </c>
      <c r="J7316" s="496">
        <v>0.17799999999999999</v>
      </c>
      <c r="K7316" s="496">
        <v>0.16</v>
      </c>
      <c r="L7316" s="496">
        <f t="shared" si="94"/>
        <v>1.7999999999999988E-2</v>
      </c>
      <c r="M7316" s="337"/>
    </row>
    <row r="7317" spans="1:13" s="71" customFormat="1" ht="26.4" customHeight="1">
      <c r="A7317" s="282">
        <v>678</v>
      </c>
      <c r="B7317" s="537"/>
      <c r="C7317" s="441" t="s">
        <v>9099</v>
      </c>
      <c r="D7317" s="260" t="s">
        <v>9168</v>
      </c>
      <c r="E7317" s="282" t="s">
        <v>8522</v>
      </c>
      <c r="F7317" s="387">
        <v>507173</v>
      </c>
      <c r="G7317" s="443">
        <v>1948</v>
      </c>
      <c r="H7317" s="410" t="s">
        <v>5462</v>
      </c>
      <c r="I7317" s="409">
        <v>180</v>
      </c>
      <c r="J7317" s="496">
        <v>9.6959999999999997</v>
      </c>
      <c r="K7317" s="496">
        <v>7.2430000000000003</v>
      </c>
      <c r="L7317" s="496">
        <f t="shared" si="94"/>
        <v>2.4529999999999994</v>
      </c>
      <c r="M7317" s="337"/>
    </row>
    <row r="7318" spans="1:13" s="71" customFormat="1" ht="26.4" customHeight="1">
      <c r="A7318" s="282">
        <v>679</v>
      </c>
      <c r="B7318" s="537"/>
      <c r="C7318" s="441" t="s">
        <v>9099</v>
      </c>
      <c r="D7318" s="260" t="s">
        <v>9169</v>
      </c>
      <c r="E7318" s="282" t="s">
        <v>8522</v>
      </c>
      <c r="F7318" s="387">
        <v>507174</v>
      </c>
      <c r="G7318" s="443">
        <v>1950</v>
      </c>
      <c r="H7318" s="410" t="s">
        <v>5462</v>
      </c>
      <c r="I7318" s="409">
        <v>210</v>
      </c>
      <c r="J7318" s="496">
        <v>5.8890000000000002</v>
      </c>
      <c r="K7318" s="496">
        <v>5.819</v>
      </c>
      <c r="L7318" s="496">
        <f t="shared" si="94"/>
        <v>7.0000000000000284E-2</v>
      </c>
      <c r="M7318" s="337"/>
    </row>
    <row r="7319" spans="1:13" s="71" customFormat="1" ht="26.4" customHeight="1">
      <c r="A7319" s="282">
        <v>680</v>
      </c>
      <c r="B7319" s="537"/>
      <c r="C7319" s="441" t="s">
        <v>9099</v>
      </c>
      <c r="D7319" s="260" t="s">
        <v>9170</v>
      </c>
      <c r="E7319" s="282" t="s">
        <v>8522</v>
      </c>
      <c r="F7319" s="387">
        <v>507175</v>
      </c>
      <c r="G7319" s="443">
        <v>1949</v>
      </c>
      <c r="H7319" s="410" t="s">
        <v>5462</v>
      </c>
      <c r="I7319" s="409">
        <v>440</v>
      </c>
      <c r="J7319" s="496">
        <v>5.2480000000000002</v>
      </c>
      <c r="K7319" s="496">
        <v>5.0830000000000002</v>
      </c>
      <c r="L7319" s="496">
        <f t="shared" si="94"/>
        <v>0.16500000000000004</v>
      </c>
      <c r="M7319" s="337"/>
    </row>
    <row r="7320" spans="1:13" s="71" customFormat="1" ht="26.4" customHeight="1">
      <c r="A7320" s="282">
        <v>681</v>
      </c>
      <c r="B7320" s="537"/>
      <c r="C7320" s="441" t="s">
        <v>9099</v>
      </c>
      <c r="D7320" s="260" t="s">
        <v>9171</v>
      </c>
      <c r="E7320" s="282" t="s">
        <v>8492</v>
      </c>
      <c r="F7320" s="387">
        <v>507176</v>
      </c>
      <c r="G7320" s="443">
        <v>1949</v>
      </c>
      <c r="H7320" s="410" t="s">
        <v>5462</v>
      </c>
      <c r="I7320" s="409">
        <v>40</v>
      </c>
      <c r="J7320" s="496">
        <v>0.33800000000000002</v>
      </c>
      <c r="K7320" s="496">
        <v>0.32400000000000001</v>
      </c>
      <c r="L7320" s="496">
        <f t="shared" si="94"/>
        <v>1.4000000000000012E-2</v>
      </c>
      <c r="M7320" s="337"/>
    </row>
    <row r="7321" spans="1:13" s="71" customFormat="1" ht="26.4" customHeight="1">
      <c r="A7321" s="282">
        <v>682</v>
      </c>
      <c r="B7321" s="537"/>
      <c r="C7321" s="441" t="s">
        <v>9099</v>
      </c>
      <c r="D7321" s="260" t="s">
        <v>9129</v>
      </c>
      <c r="E7321" s="282" t="s">
        <v>8522</v>
      </c>
      <c r="F7321" s="387">
        <v>507177</v>
      </c>
      <c r="G7321" s="443">
        <v>1950</v>
      </c>
      <c r="H7321" s="410" t="s">
        <v>5462</v>
      </c>
      <c r="I7321" s="409">
        <v>220</v>
      </c>
      <c r="J7321" s="496">
        <v>2.254</v>
      </c>
      <c r="K7321" s="496">
        <v>2.1920000000000002</v>
      </c>
      <c r="L7321" s="496">
        <f t="shared" si="94"/>
        <v>6.1999999999999833E-2</v>
      </c>
      <c r="M7321" s="337"/>
    </row>
    <row r="7322" spans="1:13" s="71" customFormat="1" ht="26.4" customHeight="1">
      <c r="A7322" s="282">
        <v>683</v>
      </c>
      <c r="B7322" s="537"/>
      <c r="C7322" s="441" t="s">
        <v>9099</v>
      </c>
      <c r="D7322" s="260" t="s">
        <v>9132</v>
      </c>
      <c r="E7322" s="260" t="s">
        <v>9172</v>
      </c>
      <c r="F7322" s="387">
        <v>507178</v>
      </c>
      <c r="G7322" s="443">
        <v>1956</v>
      </c>
      <c r="H7322" s="410" t="s">
        <v>5462</v>
      </c>
      <c r="I7322" s="409">
        <v>2240</v>
      </c>
      <c r="J7322" s="496">
        <v>35.573999999999998</v>
      </c>
      <c r="K7322" s="496">
        <v>35.106000000000002</v>
      </c>
      <c r="L7322" s="496">
        <f t="shared" si="94"/>
        <v>0.46799999999999642</v>
      </c>
      <c r="M7322" s="337"/>
    </row>
    <row r="7323" spans="1:13" s="71" customFormat="1" ht="26.4" customHeight="1">
      <c r="A7323" s="282">
        <v>684</v>
      </c>
      <c r="B7323" s="537"/>
      <c r="C7323" s="441" t="s">
        <v>9099</v>
      </c>
      <c r="D7323" s="260" t="s">
        <v>3</v>
      </c>
      <c r="E7323" s="282" t="s">
        <v>8522</v>
      </c>
      <c r="F7323" s="387">
        <v>507179</v>
      </c>
      <c r="G7323" s="443">
        <v>1956</v>
      </c>
      <c r="H7323" s="410" t="s">
        <v>5462</v>
      </c>
      <c r="I7323" s="409">
        <v>780</v>
      </c>
      <c r="J7323" s="496">
        <v>10.916</v>
      </c>
      <c r="K7323" s="496">
        <v>10.858000000000001</v>
      </c>
      <c r="L7323" s="496">
        <f t="shared" si="94"/>
        <v>5.7999999999999829E-2</v>
      </c>
      <c r="M7323" s="337"/>
    </row>
    <row r="7324" spans="1:13" s="71" customFormat="1" ht="26.4" customHeight="1">
      <c r="A7324" s="282">
        <v>685</v>
      </c>
      <c r="B7324" s="537"/>
      <c r="C7324" s="441" t="s">
        <v>9099</v>
      </c>
      <c r="D7324" s="260" t="s">
        <v>9173</v>
      </c>
      <c r="E7324" s="282" t="s">
        <v>8522</v>
      </c>
      <c r="F7324" s="387">
        <v>507180</v>
      </c>
      <c r="G7324" s="443">
        <v>1956</v>
      </c>
      <c r="H7324" s="410" t="s">
        <v>5462</v>
      </c>
      <c r="I7324" s="409">
        <v>340</v>
      </c>
      <c r="J7324" s="496">
        <v>6.51</v>
      </c>
      <c r="K7324" s="496">
        <v>6.4249999999999998</v>
      </c>
      <c r="L7324" s="496">
        <f t="shared" si="94"/>
        <v>8.4999999999999964E-2</v>
      </c>
      <c r="M7324" s="337"/>
    </row>
    <row r="7325" spans="1:13" s="71" customFormat="1" ht="26.4" customHeight="1">
      <c r="A7325" s="282">
        <v>686</v>
      </c>
      <c r="B7325" s="537"/>
      <c r="C7325" s="441" t="s">
        <v>9099</v>
      </c>
      <c r="D7325" s="260" t="s">
        <v>9174</v>
      </c>
      <c r="E7325" s="260" t="s">
        <v>9175</v>
      </c>
      <c r="F7325" s="387">
        <v>507181</v>
      </c>
      <c r="G7325" s="443">
        <v>1949</v>
      </c>
      <c r="H7325" s="410" t="s">
        <v>5462</v>
      </c>
      <c r="I7325" s="409">
        <v>440</v>
      </c>
      <c r="J7325" s="496">
        <v>6.5140000000000002</v>
      </c>
      <c r="K7325" s="496">
        <v>6.3390000000000004</v>
      </c>
      <c r="L7325" s="496">
        <f t="shared" si="94"/>
        <v>0.17499999999999982</v>
      </c>
      <c r="M7325" s="337"/>
    </row>
    <row r="7326" spans="1:13" s="71" customFormat="1" ht="26.4" customHeight="1">
      <c r="A7326" s="282">
        <v>687</v>
      </c>
      <c r="B7326" s="537"/>
      <c r="C7326" s="441" t="s">
        <v>9099</v>
      </c>
      <c r="D7326" s="260" t="s">
        <v>9176</v>
      </c>
      <c r="E7326" s="260" t="s">
        <v>8522</v>
      </c>
      <c r="F7326" s="387">
        <v>507186</v>
      </c>
      <c r="G7326" s="443">
        <v>1949</v>
      </c>
      <c r="H7326" s="410" t="s">
        <v>5462</v>
      </c>
      <c r="I7326" s="409">
        <v>280</v>
      </c>
      <c r="J7326" s="496">
        <v>2.9910000000000001</v>
      </c>
      <c r="K7326" s="496">
        <v>2.86</v>
      </c>
      <c r="L7326" s="496">
        <f t="shared" si="94"/>
        <v>0.13100000000000023</v>
      </c>
      <c r="M7326" s="337"/>
    </row>
    <row r="7327" spans="1:13" s="71" customFormat="1" ht="26.4" customHeight="1">
      <c r="A7327" s="282">
        <v>688</v>
      </c>
      <c r="B7327" s="537"/>
      <c r="C7327" s="441" t="s">
        <v>9099</v>
      </c>
      <c r="D7327" s="260" t="s">
        <v>9177</v>
      </c>
      <c r="E7327" s="282" t="s">
        <v>8522</v>
      </c>
      <c r="F7327" s="387">
        <v>507187</v>
      </c>
      <c r="G7327" s="443">
        <v>1949</v>
      </c>
      <c r="H7327" s="410" t="s">
        <v>5462</v>
      </c>
      <c r="I7327" s="409">
        <v>1180</v>
      </c>
      <c r="J7327" s="496">
        <v>18.393999999999998</v>
      </c>
      <c r="K7327" s="496">
        <v>17.899999999999999</v>
      </c>
      <c r="L7327" s="496">
        <f t="shared" si="94"/>
        <v>0.49399999999999977</v>
      </c>
      <c r="M7327" s="337"/>
    </row>
    <row r="7328" spans="1:13" s="71" customFormat="1" ht="39.6">
      <c r="A7328" s="282">
        <v>689</v>
      </c>
      <c r="B7328" s="537"/>
      <c r="C7328" s="441" t="s">
        <v>9099</v>
      </c>
      <c r="D7328" s="260" t="s">
        <v>9178</v>
      </c>
      <c r="E7328" s="260" t="s">
        <v>9179</v>
      </c>
      <c r="F7328" s="387">
        <v>507189</v>
      </c>
      <c r="G7328" s="443">
        <v>1960</v>
      </c>
      <c r="H7328" s="410" t="s">
        <v>5462</v>
      </c>
      <c r="I7328" s="409">
        <v>47900</v>
      </c>
      <c r="J7328" s="496">
        <v>201.291</v>
      </c>
      <c r="K7328" s="496">
        <v>194.83799999999999</v>
      </c>
      <c r="L7328" s="496">
        <f t="shared" si="94"/>
        <v>6.453000000000003</v>
      </c>
      <c r="M7328" s="337"/>
    </row>
    <row r="7329" spans="1:13" s="71" customFormat="1" ht="26.4" customHeight="1">
      <c r="A7329" s="282">
        <v>690</v>
      </c>
      <c r="B7329" s="537"/>
      <c r="C7329" s="441" t="s">
        <v>9099</v>
      </c>
      <c r="D7329" s="260" t="s">
        <v>9180</v>
      </c>
      <c r="E7329" s="260" t="s">
        <v>8522</v>
      </c>
      <c r="F7329" s="387">
        <v>507190</v>
      </c>
      <c r="G7329" s="443">
        <v>1960</v>
      </c>
      <c r="H7329" s="410" t="s">
        <v>5462</v>
      </c>
      <c r="I7329" s="409">
        <v>300</v>
      </c>
      <c r="J7329" s="496">
        <v>3.8279999999999998</v>
      </c>
      <c r="K7329" s="496">
        <v>3.7050000000000001</v>
      </c>
      <c r="L7329" s="496">
        <f t="shared" si="94"/>
        <v>0.12299999999999978</v>
      </c>
      <c r="M7329" s="337"/>
    </row>
    <row r="7330" spans="1:13" s="71" customFormat="1" ht="26.4" customHeight="1">
      <c r="A7330" s="282">
        <v>691</v>
      </c>
      <c r="B7330" s="537"/>
      <c r="C7330" s="441" t="s">
        <v>9099</v>
      </c>
      <c r="D7330" s="260" t="s">
        <v>9181</v>
      </c>
      <c r="E7330" s="282" t="s">
        <v>8522</v>
      </c>
      <c r="F7330" s="387">
        <v>507191</v>
      </c>
      <c r="G7330" s="443">
        <v>1960</v>
      </c>
      <c r="H7330" s="410" t="s">
        <v>5462</v>
      </c>
      <c r="I7330" s="409">
        <v>270</v>
      </c>
      <c r="J7330" s="496">
        <v>4.194</v>
      </c>
      <c r="K7330" s="496">
        <v>3.5219999999999998</v>
      </c>
      <c r="L7330" s="496">
        <f t="shared" si="94"/>
        <v>0.67200000000000015</v>
      </c>
      <c r="M7330" s="337"/>
    </row>
    <row r="7331" spans="1:13" s="71" customFormat="1" ht="26.4" customHeight="1">
      <c r="A7331" s="282">
        <v>692</v>
      </c>
      <c r="B7331" s="537"/>
      <c r="C7331" s="441" t="s">
        <v>9099</v>
      </c>
      <c r="D7331" s="260" t="s">
        <v>9182</v>
      </c>
      <c r="E7331" s="260" t="s">
        <v>9152</v>
      </c>
      <c r="F7331" s="387">
        <v>507192</v>
      </c>
      <c r="G7331" s="443">
        <v>1960</v>
      </c>
      <c r="H7331" s="410" t="s">
        <v>5462</v>
      </c>
      <c r="I7331" s="409">
        <v>500</v>
      </c>
      <c r="J7331" s="496">
        <v>6.3719999999999999</v>
      </c>
      <c r="K7331" s="496">
        <v>6.2809999999999997</v>
      </c>
      <c r="L7331" s="496">
        <f t="shared" si="94"/>
        <v>9.1000000000000192E-2</v>
      </c>
      <c r="M7331" s="337"/>
    </row>
    <row r="7332" spans="1:13" s="71" customFormat="1" ht="26.4" customHeight="1">
      <c r="A7332" s="282">
        <v>693</v>
      </c>
      <c r="B7332" s="537"/>
      <c r="C7332" s="441" t="s">
        <v>9099</v>
      </c>
      <c r="D7332" s="260" t="s">
        <v>9183</v>
      </c>
      <c r="E7332" s="260" t="s">
        <v>9184</v>
      </c>
      <c r="F7332" s="387">
        <v>507193</v>
      </c>
      <c r="G7332" s="443">
        <v>1964</v>
      </c>
      <c r="H7332" s="410" t="s">
        <v>5462</v>
      </c>
      <c r="I7332" s="409">
        <v>640</v>
      </c>
      <c r="J7332" s="496">
        <v>8.8580000000000005</v>
      </c>
      <c r="K7332" s="496">
        <v>8.5519999999999996</v>
      </c>
      <c r="L7332" s="496">
        <f t="shared" si="94"/>
        <v>0.30600000000000094</v>
      </c>
      <c r="M7332" s="337"/>
    </row>
    <row r="7333" spans="1:13" s="71" customFormat="1" ht="26.4" customHeight="1">
      <c r="A7333" s="282">
        <v>694</v>
      </c>
      <c r="B7333" s="537"/>
      <c r="C7333" s="441" t="s">
        <v>9099</v>
      </c>
      <c r="D7333" s="260" t="s">
        <v>9130</v>
      </c>
      <c r="E7333" s="260" t="s">
        <v>9185</v>
      </c>
      <c r="F7333" s="387">
        <v>507194</v>
      </c>
      <c r="G7333" s="443"/>
      <c r="H7333" s="410" t="s">
        <v>5462</v>
      </c>
      <c r="I7333" s="409">
        <v>1260</v>
      </c>
      <c r="J7333" s="496">
        <v>29.655999999999999</v>
      </c>
      <c r="K7333" s="496">
        <v>27.585999999999999</v>
      </c>
      <c r="L7333" s="496">
        <f t="shared" si="94"/>
        <v>2.0700000000000003</v>
      </c>
      <c r="M7333" s="337"/>
    </row>
    <row r="7334" spans="1:13" s="71" customFormat="1" ht="26.4" customHeight="1">
      <c r="A7334" s="282">
        <v>695</v>
      </c>
      <c r="B7334" s="537"/>
      <c r="C7334" s="441" t="s">
        <v>9099</v>
      </c>
      <c r="D7334" s="260" t="s">
        <v>9132</v>
      </c>
      <c r="E7334" s="282" t="s">
        <v>8522</v>
      </c>
      <c r="F7334" s="387">
        <v>507195</v>
      </c>
      <c r="G7334" s="443">
        <v>1948</v>
      </c>
      <c r="H7334" s="410" t="s">
        <v>5462</v>
      </c>
      <c r="I7334" s="409">
        <v>200</v>
      </c>
      <c r="J7334" s="496">
        <v>10.773</v>
      </c>
      <c r="K7334" s="496">
        <v>8.0459999999999994</v>
      </c>
      <c r="L7334" s="496">
        <f t="shared" si="94"/>
        <v>2.7270000000000003</v>
      </c>
      <c r="M7334" s="337"/>
    </row>
    <row r="7335" spans="1:13" s="71" customFormat="1" ht="26.4" customHeight="1">
      <c r="A7335" s="282">
        <v>696</v>
      </c>
      <c r="B7335" s="537"/>
      <c r="C7335" s="441" t="s">
        <v>9099</v>
      </c>
      <c r="D7335" s="260" t="s">
        <v>9186</v>
      </c>
      <c r="E7335" s="282" t="s">
        <v>8522</v>
      </c>
      <c r="F7335" s="387">
        <v>507196</v>
      </c>
      <c r="G7335" s="443">
        <v>1964</v>
      </c>
      <c r="H7335" s="410" t="s">
        <v>5462</v>
      </c>
      <c r="I7335" s="409">
        <v>300</v>
      </c>
      <c r="J7335" s="496">
        <v>5.26</v>
      </c>
      <c r="K7335" s="496">
        <v>5.0780000000000003</v>
      </c>
      <c r="L7335" s="496">
        <f t="shared" si="94"/>
        <v>0.1819999999999995</v>
      </c>
      <c r="M7335" s="337"/>
    </row>
    <row r="7336" spans="1:13" s="71" customFormat="1" ht="26.4" customHeight="1">
      <c r="A7336" s="282">
        <v>697</v>
      </c>
      <c r="B7336" s="537"/>
      <c r="C7336" s="441" t="s">
        <v>9099</v>
      </c>
      <c r="D7336" s="260" t="s">
        <v>9129</v>
      </c>
      <c r="E7336" s="282" t="s">
        <v>8522</v>
      </c>
      <c r="F7336" s="387">
        <v>507197</v>
      </c>
      <c r="G7336" s="443">
        <v>1960</v>
      </c>
      <c r="H7336" s="410" t="s">
        <v>5462</v>
      </c>
      <c r="I7336" s="409">
        <v>420</v>
      </c>
      <c r="J7336" s="496">
        <v>5.3490000000000002</v>
      </c>
      <c r="K7336" s="496">
        <v>4.806</v>
      </c>
      <c r="L7336" s="496">
        <f t="shared" si="94"/>
        <v>0.54300000000000015</v>
      </c>
      <c r="M7336" s="337"/>
    </row>
    <row r="7337" spans="1:13" s="71" customFormat="1" ht="26.4" customHeight="1">
      <c r="A7337" s="282">
        <v>698</v>
      </c>
      <c r="B7337" s="537"/>
      <c r="C7337" s="441" t="s">
        <v>9099</v>
      </c>
      <c r="D7337" s="260" t="s">
        <v>9131</v>
      </c>
      <c r="E7337" s="260" t="s">
        <v>9187</v>
      </c>
      <c r="F7337" s="387">
        <v>507198</v>
      </c>
      <c r="G7337" s="443">
        <v>1954</v>
      </c>
      <c r="H7337" s="410" t="s">
        <v>5462</v>
      </c>
      <c r="I7337" s="409">
        <v>860</v>
      </c>
      <c r="J7337" s="496">
        <v>12.862</v>
      </c>
      <c r="K7337" s="496">
        <v>12.257</v>
      </c>
      <c r="L7337" s="496">
        <f t="shared" si="94"/>
        <v>0.60500000000000043</v>
      </c>
      <c r="M7337" s="337"/>
    </row>
    <row r="7338" spans="1:13" s="71" customFormat="1" ht="26.4" customHeight="1">
      <c r="A7338" s="282">
        <v>699</v>
      </c>
      <c r="B7338" s="537"/>
      <c r="C7338" s="441" t="s">
        <v>9099</v>
      </c>
      <c r="D7338" s="260" t="s">
        <v>9188</v>
      </c>
      <c r="E7338" s="260" t="s">
        <v>9189</v>
      </c>
      <c r="F7338" s="387">
        <v>507199</v>
      </c>
      <c r="G7338" s="443">
        <v>1954</v>
      </c>
      <c r="H7338" s="410" t="s">
        <v>5462</v>
      </c>
      <c r="I7338" s="409">
        <v>780</v>
      </c>
      <c r="J7338" s="496">
        <v>11.994999999999999</v>
      </c>
      <c r="K7338" s="496">
        <v>11.432</v>
      </c>
      <c r="L7338" s="496">
        <f t="shared" si="94"/>
        <v>0.56299999999999883</v>
      </c>
      <c r="M7338" s="337"/>
    </row>
    <row r="7339" spans="1:13" s="71" customFormat="1" ht="26.4" customHeight="1">
      <c r="A7339" s="282">
        <v>700</v>
      </c>
      <c r="B7339" s="537"/>
      <c r="C7339" s="441" t="s">
        <v>9099</v>
      </c>
      <c r="D7339" s="260" t="s">
        <v>9127</v>
      </c>
      <c r="E7339" s="260" t="s">
        <v>9190</v>
      </c>
      <c r="F7339" s="387">
        <v>507200</v>
      </c>
      <c r="G7339" s="443">
        <v>1952</v>
      </c>
      <c r="H7339" s="410" t="s">
        <v>5462</v>
      </c>
      <c r="I7339" s="409">
        <v>1310</v>
      </c>
      <c r="J7339" s="496">
        <v>19.757000000000001</v>
      </c>
      <c r="K7339" s="496">
        <v>18.856000000000002</v>
      </c>
      <c r="L7339" s="496">
        <f t="shared" si="94"/>
        <v>0.9009999999999998</v>
      </c>
      <c r="M7339" s="337"/>
    </row>
    <row r="7340" spans="1:13" s="71" customFormat="1" ht="26.4" customHeight="1">
      <c r="A7340" s="282">
        <v>701</v>
      </c>
      <c r="B7340" s="537"/>
      <c r="C7340" s="441" t="s">
        <v>9099</v>
      </c>
      <c r="D7340" s="260" t="s">
        <v>13255</v>
      </c>
      <c r="E7340" s="260" t="s">
        <v>9191</v>
      </c>
      <c r="F7340" s="387">
        <v>507201</v>
      </c>
      <c r="G7340" s="443">
        <v>1956</v>
      </c>
      <c r="H7340" s="410" t="s">
        <v>5462</v>
      </c>
      <c r="I7340" s="409">
        <v>900</v>
      </c>
      <c r="J7340" s="496">
        <v>11.941000000000001</v>
      </c>
      <c r="K7340" s="496">
        <v>11.362</v>
      </c>
      <c r="L7340" s="496">
        <f t="shared" si="94"/>
        <v>0.57900000000000063</v>
      </c>
      <c r="M7340" s="337"/>
    </row>
    <row r="7341" spans="1:13" s="71" customFormat="1" ht="26.4" customHeight="1">
      <c r="A7341" s="282">
        <v>702</v>
      </c>
      <c r="B7341" s="537"/>
      <c r="C7341" s="441" t="s">
        <v>9099</v>
      </c>
      <c r="D7341" s="260" t="s">
        <v>12887</v>
      </c>
      <c r="E7341" s="260" t="s">
        <v>9192</v>
      </c>
      <c r="F7341" s="387">
        <v>507202</v>
      </c>
      <c r="G7341" s="443">
        <v>1960</v>
      </c>
      <c r="H7341" s="410" t="s">
        <v>5462</v>
      </c>
      <c r="I7341" s="409">
        <v>260</v>
      </c>
      <c r="J7341" s="496">
        <v>2.6240000000000001</v>
      </c>
      <c r="K7341" s="496">
        <v>2.5870000000000002</v>
      </c>
      <c r="L7341" s="496">
        <f t="shared" ref="L7341:L7404" si="95">J7341-K7341</f>
        <v>3.6999999999999922E-2</v>
      </c>
      <c r="M7341" s="337"/>
    </row>
    <row r="7342" spans="1:13" s="71" customFormat="1" ht="26.4" customHeight="1">
      <c r="A7342" s="282">
        <v>703</v>
      </c>
      <c r="B7342" s="537"/>
      <c r="C7342" s="441" t="s">
        <v>9099</v>
      </c>
      <c r="D7342" s="260" t="s">
        <v>9126</v>
      </c>
      <c r="E7342" s="260" t="s">
        <v>9190</v>
      </c>
      <c r="F7342" s="387">
        <v>507203</v>
      </c>
      <c r="G7342" s="443">
        <v>1959</v>
      </c>
      <c r="H7342" s="410" t="s">
        <v>5462</v>
      </c>
      <c r="I7342" s="409">
        <v>500</v>
      </c>
      <c r="J7342" s="496">
        <v>6.36</v>
      </c>
      <c r="K7342" s="496">
        <v>6.2709999999999999</v>
      </c>
      <c r="L7342" s="496">
        <f t="shared" si="95"/>
        <v>8.9000000000000412E-2</v>
      </c>
      <c r="M7342" s="337"/>
    </row>
    <row r="7343" spans="1:13" s="71" customFormat="1" ht="26.4" customHeight="1">
      <c r="A7343" s="282">
        <v>704</v>
      </c>
      <c r="B7343" s="537"/>
      <c r="C7343" s="441" t="s">
        <v>9099</v>
      </c>
      <c r="D7343" s="260" t="s">
        <v>9193</v>
      </c>
      <c r="E7343" s="260" t="s">
        <v>9194</v>
      </c>
      <c r="F7343" s="387">
        <v>507204</v>
      </c>
      <c r="G7343" s="443">
        <v>1959</v>
      </c>
      <c r="H7343" s="410" t="s">
        <v>5462</v>
      </c>
      <c r="I7343" s="409">
        <v>340</v>
      </c>
      <c r="J7343" s="496">
        <v>4.7480000000000002</v>
      </c>
      <c r="K7343" s="496">
        <v>4.6820000000000004</v>
      </c>
      <c r="L7343" s="496">
        <f t="shared" si="95"/>
        <v>6.5999999999999837E-2</v>
      </c>
      <c r="M7343" s="337"/>
    </row>
    <row r="7344" spans="1:13" s="71" customFormat="1" ht="26.4" customHeight="1">
      <c r="A7344" s="282">
        <v>705</v>
      </c>
      <c r="B7344" s="537"/>
      <c r="C7344" s="441" t="s">
        <v>9099</v>
      </c>
      <c r="D7344" s="260" t="s">
        <v>9195</v>
      </c>
      <c r="E7344" s="282" t="s">
        <v>8522</v>
      </c>
      <c r="F7344" s="387">
        <v>507205</v>
      </c>
      <c r="G7344" s="443">
        <v>1957</v>
      </c>
      <c r="H7344" s="410" t="s">
        <v>5462</v>
      </c>
      <c r="I7344" s="409">
        <v>280</v>
      </c>
      <c r="J7344" s="496">
        <v>0.26600000000000001</v>
      </c>
      <c r="K7344" s="496">
        <v>0.255</v>
      </c>
      <c r="L7344" s="496">
        <f t="shared" si="95"/>
        <v>1.100000000000001E-2</v>
      </c>
      <c r="M7344" s="337"/>
    </row>
    <row r="7345" spans="1:13" s="71" customFormat="1" ht="26.4" customHeight="1">
      <c r="A7345" s="282">
        <v>706</v>
      </c>
      <c r="B7345" s="537"/>
      <c r="C7345" s="441" t="s">
        <v>9099</v>
      </c>
      <c r="D7345" s="260" t="s">
        <v>9196</v>
      </c>
      <c r="E7345" s="282" t="s">
        <v>8616</v>
      </c>
      <c r="F7345" s="387">
        <v>507206</v>
      </c>
      <c r="G7345" s="443">
        <v>1958</v>
      </c>
      <c r="H7345" s="410" t="s">
        <v>5462</v>
      </c>
      <c r="I7345" s="409">
        <v>160</v>
      </c>
      <c r="J7345" s="496">
        <v>0.14899999999999999</v>
      </c>
      <c r="K7345" s="496">
        <v>0.14299999999999999</v>
      </c>
      <c r="L7345" s="496">
        <f t="shared" si="95"/>
        <v>6.0000000000000053E-3</v>
      </c>
      <c r="M7345" s="337"/>
    </row>
    <row r="7346" spans="1:13" s="71" customFormat="1" ht="26.4" customHeight="1">
      <c r="A7346" s="282">
        <v>707</v>
      </c>
      <c r="B7346" s="537"/>
      <c r="C7346" s="441" t="s">
        <v>9099</v>
      </c>
      <c r="D7346" s="260" t="s">
        <v>9197</v>
      </c>
      <c r="E7346" s="282" t="s">
        <v>8616</v>
      </c>
      <c r="F7346" s="387">
        <v>507207</v>
      </c>
      <c r="G7346" s="443">
        <v>1958</v>
      </c>
      <c r="H7346" s="410" t="s">
        <v>5462</v>
      </c>
      <c r="I7346" s="409">
        <v>100</v>
      </c>
      <c r="J7346" s="496">
        <v>0.219</v>
      </c>
      <c r="K7346" s="496">
        <v>0.16400000000000001</v>
      </c>
      <c r="L7346" s="496">
        <f t="shared" si="95"/>
        <v>5.4999999999999993E-2</v>
      </c>
      <c r="M7346" s="337"/>
    </row>
    <row r="7347" spans="1:13" s="71" customFormat="1" ht="26.4" customHeight="1">
      <c r="A7347" s="282">
        <v>708</v>
      </c>
      <c r="B7347" s="537"/>
      <c r="C7347" s="441" t="s">
        <v>9099</v>
      </c>
      <c r="D7347" s="260" t="s">
        <v>9198</v>
      </c>
      <c r="E7347" s="282" t="s">
        <v>8616</v>
      </c>
      <c r="F7347" s="387">
        <v>507208</v>
      </c>
      <c r="G7347" s="443">
        <v>1966</v>
      </c>
      <c r="H7347" s="410" t="s">
        <v>5462</v>
      </c>
      <c r="I7347" s="409">
        <v>260</v>
      </c>
      <c r="J7347" s="496">
        <v>0.61099999999999999</v>
      </c>
      <c r="K7347" s="496">
        <v>0.45600000000000002</v>
      </c>
      <c r="L7347" s="496">
        <f t="shared" si="95"/>
        <v>0.15499999999999997</v>
      </c>
      <c r="M7347" s="337"/>
    </row>
    <row r="7348" spans="1:13" s="71" customFormat="1" ht="26.4" customHeight="1">
      <c r="A7348" s="282">
        <v>709</v>
      </c>
      <c r="B7348" s="537"/>
      <c r="C7348" s="441" t="s">
        <v>9099</v>
      </c>
      <c r="D7348" s="260" t="s">
        <v>9147</v>
      </c>
      <c r="E7348" s="282" t="s">
        <v>8616</v>
      </c>
      <c r="F7348" s="387">
        <v>507209</v>
      </c>
      <c r="G7348" s="443">
        <v>1958</v>
      </c>
      <c r="H7348" s="410" t="s">
        <v>5462</v>
      </c>
      <c r="I7348" s="409">
        <v>220</v>
      </c>
      <c r="J7348" s="496">
        <v>0.153</v>
      </c>
      <c r="K7348" s="496">
        <v>0.105</v>
      </c>
      <c r="L7348" s="496">
        <f t="shared" si="95"/>
        <v>4.8000000000000001E-2</v>
      </c>
      <c r="M7348" s="337"/>
    </row>
    <row r="7349" spans="1:13" s="71" customFormat="1" ht="26.4" customHeight="1">
      <c r="A7349" s="282">
        <v>710</v>
      </c>
      <c r="B7349" s="537"/>
      <c r="C7349" s="441" t="s">
        <v>9099</v>
      </c>
      <c r="D7349" s="260" t="s">
        <v>9199</v>
      </c>
      <c r="E7349" s="282" t="s">
        <v>8616</v>
      </c>
      <c r="F7349" s="387">
        <v>507210</v>
      </c>
      <c r="G7349" s="443">
        <v>1979</v>
      </c>
      <c r="H7349" s="410" t="s">
        <v>5462</v>
      </c>
      <c r="I7349" s="409">
        <v>700</v>
      </c>
      <c r="J7349" s="496">
        <v>1.3440000000000001</v>
      </c>
      <c r="K7349" s="496">
        <v>1.004</v>
      </c>
      <c r="L7349" s="496">
        <f t="shared" si="95"/>
        <v>0.34000000000000008</v>
      </c>
      <c r="M7349" s="337"/>
    </row>
    <row r="7350" spans="1:13" s="71" customFormat="1" ht="26.4" customHeight="1">
      <c r="A7350" s="282">
        <v>711</v>
      </c>
      <c r="B7350" s="537"/>
      <c r="C7350" s="441" t="s">
        <v>9099</v>
      </c>
      <c r="D7350" s="260" t="s">
        <v>9200</v>
      </c>
      <c r="E7350" s="282" t="s">
        <v>8616</v>
      </c>
      <c r="F7350" s="387">
        <v>507211</v>
      </c>
      <c r="G7350" s="443">
        <v>1959</v>
      </c>
      <c r="H7350" s="410" t="s">
        <v>5462</v>
      </c>
      <c r="I7350" s="409">
        <v>280</v>
      </c>
      <c r="J7350" s="496">
        <v>0.26600000000000001</v>
      </c>
      <c r="K7350" s="496">
        <v>0.255</v>
      </c>
      <c r="L7350" s="496">
        <f t="shared" si="95"/>
        <v>1.100000000000001E-2</v>
      </c>
      <c r="M7350" s="337"/>
    </row>
    <row r="7351" spans="1:13" s="71" customFormat="1" ht="26.4" customHeight="1">
      <c r="A7351" s="282">
        <v>712</v>
      </c>
      <c r="B7351" s="537"/>
      <c r="C7351" s="441" t="s">
        <v>9099</v>
      </c>
      <c r="D7351" s="260" t="s">
        <v>9201</v>
      </c>
      <c r="E7351" s="282" t="s">
        <v>8616</v>
      </c>
      <c r="F7351" s="387">
        <v>507212</v>
      </c>
      <c r="G7351" s="443">
        <v>1959</v>
      </c>
      <c r="H7351" s="410" t="s">
        <v>5462</v>
      </c>
      <c r="I7351" s="409">
        <v>320</v>
      </c>
      <c r="J7351" s="496">
        <v>0.29699999999999999</v>
      </c>
      <c r="K7351" s="496">
        <v>0.28499999999999998</v>
      </c>
      <c r="L7351" s="496">
        <f t="shared" si="95"/>
        <v>1.2000000000000011E-2</v>
      </c>
      <c r="M7351" s="337"/>
    </row>
    <row r="7352" spans="1:13" s="71" customFormat="1" ht="26.4" customHeight="1">
      <c r="A7352" s="282">
        <v>713</v>
      </c>
      <c r="B7352" s="537"/>
      <c r="C7352" s="441" t="s">
        <v>9099</v>
      </c>
      <c r="D7352" s="260" t="s">
        <v>9202</v>
      </c>
      <c r="E7352" s="282" t="s">
        <v>8616</v>
      </c>
      <c r="F7352" s="387">
        <v>507213</v>
      </c>
      <c r="G7352" s="443">
        <v>1958</v>
      </c>
      <c r="H7352" s="410" t="s">
        <v>5462</v>
      </c>
      <c r="I7352" s="409">
        <v>360</v>
      </c>
      <c r="J7352" s="496">
        <v>0.82899999999999996</v>
      </c>
      <c r="K7352" s="496">
        <v>0.61899999999999999</v>
      </c>
      <c r="L7352" s="496">
        <f t="shared" si="95"/>
        <v>0.20999999999999996</v>
      </c>
      <c r="M7352" s="337"/>
    </row>
    <row r="7353" spans="1:13" s="71" customFormat="1" ht="26.4" customHeight="1">
      <c r="A7353" s="282">
        <v>714</v>
      </c>
      <c r="B7353" s="537"/>
      <c r="C7353" s="441" t="s">
        <v>9099</v>
      </c>
      <c r="D7353" s="260" t="s">
        <v>9203</v>
      </c>
      <c r="E7353" s="282" t="s">
        <v>8616</v>
      </c>
      <c r="F7353" s="387">
        <v>507214</v>
      </c>
      <c r="G7353" s="443">
        <v>1950</v>
      </c>
      <c r="H7353" s="410" t="s">
        <v>5462</v>
      </c>
      <c r="I7353" s="409">
        <v>1660</v>
      </c>
      <c r="J7353" s="496">
        <v>0.115</v>
      </c>
      <c r="K7353" s="496">
        <v>7.9000000000000001E-2</v>
      </c>
      <c r="L7353" s="496">
        <f t="shared" si="95"/>
        <v>3.6000000000000004E-2</v>
      </c>
      <c r="M7353" s="337"/>
    </row>
    <row r="7354" spans="1:13" s="71" customFormat="1" ht="26.4" customHeight="1">
      <c r="A7354" s="282">
        <v>715</v>
      </c>
      <c r="B7354" s="537"/>
      <c r="C7354" s="441" t="s">
        <v>9099</v>
      </c>
      <c r="D7354" s="260" t="s">
        <v>9203</v>
      </c>
      <c r="E7354" s="282" t="s">
        <v>8616</v>
      </c>
      <c r="F7354" s="387">
        <v>507215</v>
      </c>
      <c r="G7354" s="443">
        <v>1955</v>
      </c>
      <c r="H7354" s="410" t="s">
        <v>5462</v>
      </c>
      <c r="I7354" s="409">
        <v>440</v>
      </c>
      <c r="J7354" s="496">
        <v>0.307</v>
      </c>
      <c r="K7354" s="496">
        <v>0.21099999999999999</v>
      </c>
      <c r="L7354" s="496">
        <f t="shared" si="95"/>
        <v>9.6000000000000002E-2</v>
      </c>
      <c r="M7354" s="337"/>
    </row>
    <row r="7355" spans="1:13" s="71" customFormat="1" ht="26.4" customHeight="1">
      <c r="A7355" s="282">
        <v>716</v>
      </c>
      <c r="B7355" s="537"/>
      <c r="C7355" s="441" t="s">
        <v>9099</v>
      </c>
      <c r="D7355" s="260" t="s">
        <v>9143</v>
      </c>
      <c r="E7355" s="282" t="s">
        <v>8616</v>
      </c>
      <c r="F7355" s="387">
        <v>507216</v>
      </c>
      <c r="G7355" s="443">
        <v>1950</v>
      </c>
      <c r="H7355" s="410" t="s">
        <v>5462</v>
      </c>
      <c r="I7355" s="409">
        <v>440</v>
      </c>
      <c r="J7355" s="496">
        <v>0.17100000000000001</v>
      </c>
      <c r="K7355" s="496">
        <v>0.153</v>
      </c>
      <c r="L7355" s="496">
        <f t="shared" si="95"/>
        <v>1.8000000000000016E-2</v>
      </c>
      <c r="M7355" s="337"/>
    </row>
    <row r="7356" spans="1:13" s="71" customFormat="1" ht="26.4" customHeight="1">
      <c r="A7356" s="282">
        <v>717</v>
      </c>
      <c r="B7356" s="537"/>
      <c r="C7356" s="441" t="s">
        <v>9099</v>
      </c>
      <c r="D7356" s="260" t="s">
        <v>9203</v>
      </c>
      <c r="E7356" s="260" t="s">
        <v>9204</v>
      </c>
      <c r="F7356" s="387">
        <v>507217</v>
      </c>
      <c r="G7356" s="443">
        <v>1955</v>
      </c>
      <c r="H7356" s="410" t="s">
        <v>5462</v>
      </c>
      <c r="I7356" s="409">
        <v>200</v>
      </c>
      <c r="J7356" s="496">
        <v>0.14000000000000001</v>
      </c>
      <c r="K7356" s="496">
        <v>9.6000000000000002E-2</v>
      </c>
      <c r="L7356" s="496">
        <f t="shared" si="95"/>
        <v>4.4000000000000011E-2</v>
      </c>
      <c r="M7356" s="337"/>
    </row>
    <row r="7357" spans="1:13" s="71" customFormat="1" ht="26.4" customHeight="1">
      <c r="A7357" s="282">
        <v>718</v>
      </c>
      <c r="B7357" s="537"/>
      <c r="C7357" s="441" t="s">
        <v>9099</v>
      </c>
      <c r="D7357" s="260" t="s">
        <v>9205</v>
      </c>
      <c r="E7357" s="260" t="s">
        <v>8616</v>
      </c>
      <c r="F7357" s="387">
        <v>507218</v>
      </c>
      <c r="G7357" s="443">
        <v>1957</v>
      </c>
      <c r="H7357" s="410" t="s">
        <v>5462</v>
      </c>
      <c r="I7357" s="409">
        <v>440</v>
      </c>
      <c r="J7357" s="496">
        <v>1.0109999999999999</v>
      </c>
      <c r="K7357" s="496">
        <v>0.755</v>
      </c>
      <c r="L7357" s="496">
        <f t="shared" si="95"/>
        <v>0.25599999999999989</v>
      </c>
      <c r="M7357" s="337"/>
    </row>
    <row r="7358" spans="1:13" s="71" customFormat="1" ht="26.4" customHeight="1">
      <c r="A7358" s="282">
        <v>719</v>
      </c>
      <c r="B7358" s="537"/>
      <c r="C7358" s="441" t="s">
        <v>9099</v>
      </c>
      <c r="D7358" s="260" t="s">
        <v>9206</v>
      </c>
      <c r="E7358" s="260" t="s">
        <v>8616</v>
      </c>
      <c r="F7358" s="387">
        <v>507219</v>
      </c>
      <c r="G7358" s="443">
        <v>1957</v>
      </c>
      <c r="H7358" s="410" t="s">
        <v>5462</v>
      </c>
      <c r="I7358" s="409">
        <v>440</v>
      </c>
      <c r="J7358" s="496">
        <v>1.0109999999999999</v>
      </c>
      <c r="K7358" s="496">
        <v>0.755</v>
      </c>
      <c r="L7358" s="496">
        <f t="shared" si="95"/>
        <v>0.25599999999999989</v>
      </c>
      <c r="M7358" s="337"/>
    </row>
    <row r="7359" spans="1:13" s="71" customFormat="1" ht="26.4" customHeight="1">
      <c r="A7359" s="282">
        <v>720</v>
      </c>
      <c r="B7359" s="537"/>
      <c r="C7359" s="441" t="s">
        <v>9099</v>
      </c>
      <c r="D7359" s="260" t="s">
        <v>9207</v>
      </c>
      <c r="E7359" s="260" t="s">
        <v>8616</v>
      </c>
      <c r="F7359" s="387">
        <v>507220</v>
      </c>
      <c r="G7359" s="443">
        <v>1957</v>
      </c>
      <c r="H7359" s="410" t="s">
        <v>5462</v>
      </c>
      <c r="I7359" s="409">
        <v>440</v>
      </c>
      <c r="J7359" s="496">
        <v>1.0109999999999999</v>
      </c>
      <c r="K7359" s="496">
        <v>0.755</v>
      </c>
      <c r="L7359" s="496">
        <f t="shared" si="95"/>
        <v>0.25599999999999989</v>
      </c>
      <c r="M7359" s="337"/>
    </row>
    <row r="7360" spans="1:13" s="71" customFormat="1" ht="26.4" customHeight="1">
      <c r="A7360" s="282">
        <v>721</v>
      </c>
      <c r="B7360" s="537"/>
      <c r="C7360" s="441" t="s">
        <v>9099</v>
      </c>
      <c r="D7360" s="260" t="s">
        <v>9208</v>
      </c>
      <c r="E7360" s="260" t="s">
        <v>8616</v>
      </c>
      <c r="F7360" s="387">
        <v>507221</v>
      </c>
      <c r="G7360" s="443">
        <v>1958</v>
      </c>
      <c r="H7360" s="410" t="s">
        <v>5462</v>
      </c>
      <c r="I7360" s="409">
        <v>340</v>
      </c>
      <c r="J7360" s="496">
        <v>0.79200000000000004</v>
      </c>
      <c r="K7360" s="496">
        <v>0.59099999999999997</v>
      </c>
      <c r="L7360" s="496">
        <f t="shared" si="95"/>
        <v>0.20100000000000007</v>
      </c>
      <c r="M7360" s="337"/>
    </row>
    <row r="7361" spans="1:13" s="71" customFormat="1" ht="26.4" customHeight="1">
      <c r="A7361" s="282">
        <v>722</v>
      </c>
      <c r="B7361" s="537"/>
      <c r="C7361" s="441" t="s">
        <v>9099</v>
      </c>
      <c r="D7361" s="260" t="s">
        <v>9203</v>
      </c>
      <c r="E7361" s="260" t="s">
        <v>8616</v>
      </c>
      <c r="F7361" s="387">
        <v>507224</v>
      </c>
      <c r="G7361" s="443">
        <v>2005</v>
      </c>
      <c r="H7361" s="410" t="s">
        <v>5462</v>
      </c>
      <c r="I7361" s="409">
        <v>680</v>
      </c>
      <c r="J7361" s="496">
        <v>39.463000000000001</v>
      </c>
      <c r="K7361" s="496">
        <v>25.617000000000001</v>
      </c>
      <c r="L7361" s="496">
        <f t="shared" si="95"/>
        <v>13.846</v>
      </c>
      <c r="M7361" s="337"/>
    </row>
    <row r="7362" spans="1:13" s="71" customFormat="1" ht="26.4" customHeight="1">
      <c r="A7362" s="282">
        <v>723</v>
      </c>
      <c r="B7362" s="537"/>
      <c r="C7362" s="441" t="s">
        <v>9099</v>
      </c>
      <c r="D7362" s="260" t="s">
        <v>9209</v>
      </c>
      <c r="E7362" s="260" t="s">
        <v>8616</v>
      </c>
      <c r="F7362" s="387">
        <v>507229</v>
      </c>
      <c r="G7362" s="443">
        <v>2005</v>
      </c>
      <c r="H7362" s="410" t="s">
        <v>5462</v>
      </c>
      <c r="I7362" s="409">
        <v>900</v>
      </c>
      <c r="J7362" s="496">
        <v>23.978000000000002</v>
      </c>
      <c r="K7362" s="496">
        <v>21.41</v>
      </c>
      <c r="L7362" s="496">
        <f t="shared" si="95"/>
        <v>2.5680000000000014</v>
      </c>
      <c r="M7362" s="337"/>
    </row>
    <row r="7363" spans="1:13" s="71" customFormat="1" ht="26.4" customHeight="1">
      <c r="A7363" s="282">
        <v>724</v>
      </c>
      <c r="B7363" s="537"/>
      <c r="C7363" s="441" t="s">
        <v>9099</v>
      </c>
      <c r="D7363" s="260" t="s">
        <v>9210</v>
      </c>
      <c r="E7363" s="282" t="s">
        <v>9211</v>
      </c>
      <c r="F7363" s="387">
        <v>507230</v>
      </c>
      <c r="G7363" s="443">
        <v>1968</v>
      </c>
      <c r="H7363" s="410" t="s">
        <v>5462</v>
      </c>
      <c r="I7363" s="409">
        <v>13226</v>
      </c>
      <c r="J7363" s="496">
        <v>2.5169999999999999</v>
      </c>
      <c r="K7363" s="496">
        <v>1.88</v>
      </c>
      <c r="L7363" s="496">
        <f t="shared" si="95"/>
        <v>0.63700000000000001</v>
      </c>
      <c r="M7363" s="337"/>
    </row>
    <row r="7364" spans="1:13" s="71" customFormat="1" ht="26.4" customHeight="1">
      <c r="A7364" s="282">
        <v>725</v>
      </c>
      <c r="B7364" s="537"/>
      <c r="C7364" s="441" t="s">
        <v>9099</v>
      </c>
      <c r="D7364" s="260" t="s">
        <v>9212</v>
      </c>
      <c r="E7364" s="282" t="s">
        <v>8522</v>
      </c>
      <c r="F7364" s="387">
        <v>507231</v>
      </c>
      <c r="G7364" s="443">
        <v>1959</v>
      </c>
      <c r="H7364" s="410" t="s">
        <v>5462</v>
      </c>
      <c r="I7364" s="409">
        <v>340</v>
      </c>
      <c r="J7364" s="496">
        <v>0.79200000000000004</v>
      </c>
      <c r="K7364" s="496">
        <v>0.59099999999999997</v>
      </c>
      <c r="L7364" s="496">
        <f t="shared" si="95"/>
        <v>0.20100000000000007</v>
      </c>
      <c r="M7364" s="337"/>
    </row>
    <row r="7365" spans="1:13" s="71" customFormat="1" ht="26.4" customHeight="1">
      <c r="A7365" s="282">
        <v>726</v>
      </c>
      <c r="B7365" s="537"/>
      <c r="C7365" s="441" t="s">
        <v>9099</v>
      </c>
      <c r="D7365" s="260" t="s">
        <v>9213</v>
      </c>
      <c r="E7365" s="282" t="s">
        <v>8522</v>
      </c>
      <c r="F7365" s="387">
        <v>507232</v>
      </c>
      <c r="G7365" s="443">
        <v>1958</v>
      </c>
      <c r="H7365" s="410" t="s">
        <v>5462</v>
      </c>
      <c r="I7365" s="409">
        <v>216</v>
      </c>
      <c r="J7365" s="496">
        <v>0.20499999999999999</v>
      </c>
      <c r="K7365" s="496">
        <v>0.19700000000000001</v>
      </c>
      <c r="L7365" s="496">
        <f t="shared" si="95"/>
        <v>7.9999999999999793E-3</v>
      </c>
      <c r="M7365" s="337"/>
    </row>
    <row r="7366" spans="1:13" s="71" customFormat="1" ht="26.4" customHeight="1">
      <c r="A7366" s="282">
        <v>727</v>
      </c>
      <c r="B7366" s="537"/>
      <c r="C7366" s="441" t="s">
        <v>9099</v>
      </c>
      <c r="D7366" s="260" t="s">
        <v>9214</v>
      </c>
      <c r="E7366" s="260" t="s">
        <v>9215</v>
      </c>
      <c r="F7366" s="387">
        <v>507233</v>
      </c>
      <c r="G7366" s="443">
        <v>1968</v>
      </c>
      <c r="H7366" s="410" t="s">
        <v>5462</v>
      </c>
      <c r="I7366" s="409">
        <v>417</v>
      </c>
      <c r="J7366" s="496">
        <v>0.41899999999999998</v>
      </c>
      <c r="K7366" s="496">
        <v>0.39900000000000002</v>
      </c>
      <c r="L7366" s="496">
        <f t="shared" si="95"/>
        <v>1.9999999999999962E-2</v>
      </c>
      <c r="M7366" s="337"/>
    </row>
    <row r="7367" spans="1:13" s="71" customFormat="1" ht="26.4" customHeight="1">
      <c r="A7367" s="282">
        <v>728</v>
      </c>
      <c r="B7367" s="537"/>
      <c r="C7367" s="441" t="s">
        <v>9099</v>
      </c>
      <c r="D7367" s="260" t="s">
        <v>9216</v>
      </c>
      <c r="E7367" s="260" t="s">
        <v>8522</v>
      </c>
      <c r="F7367" s="387">
        <v>507234</v>
      </c>
      <c r="G7367" s="443">
        <v>1968</v>
      </c>
      <c r="H7367" s="410" t="s">
        <v>5462</v>
      </c>
      <c r="I7367" s="409">
        <v>4661</v>
      </c>
      <c r="J7367" s="496">
        <v>0.16200000000000001</v>
      </c>
      <c r="K7367" s="496">
        <v>0.154</v>
      </c>
      <c r="L7367" s="496">
        <f t="shared" si="95"/>
        <v>8.0000000000000071E-3</v>
      </c>
      <c r="M7367" s="337"/>
    </row>
    <row r="7368" spans="1:13" s="71" customFormat="1" ht="26.4" customHeight="1">
      <c r="A7368" s="282">
        <v>729</v>
      </c>
      <c r="B7368" s="537"/>
      <c r="C7368" s="441" t="s">
        <v>9099</v>
      </c>
      <c r="D7368" s="260" t="s">
        <v>9217</v>
      </c>
      <c r="E7368" s="260" t="s">
        <v>9215</v>
      </c>
      <c r="F7368" s="387">
        <v>507235</v>
      </c>
      <c r="G7368" s="443">
        <v>1958</v>
      </c>
      <c r="H7368" s="410" t="s">
        <v>5462</v>
      </c>
      <c r="I7368" s="409">
        <v>4200</v>
      </c>
      <c r="J7368" s="496">
        <v>0.39900000000000002</v>
      </c>
      <c r="K7368" s="496">
        <v>0.38300000000000001</v>
      </c>
      <c r="L7368" s="496">
        <f t="shared" si="95"/>
        <v>1.6000000000000014E-2</v>
      </c>
      <c r="M7368" s="337"/>
    </row>
    <row r="7369" spans="1:13" s="71" customFormat="1" ht="26.4" customHeight="1">
      <c r="A7369" s="282">
        <v>730</v>
      </c>
      <c r="B7369" s="537"/>
      <c r="C7369" s="441" t="s">
        <v>9099</v>
      </c>
      <c r="D7369" s="260" t="s">
        <v>9199</v>
      </c>
      <c r="E7369" s="260" t="s">
        <v>9215</v>
      </c>
      <c r="F7369" s="387">
        <v>507236</v>
      </c>
      <c r="G7369" s="443">
        <v>1955</v>
      </c>
      <c r="H7369" s="410" t="s">
        <v>5462</v>
      </c>
      <c r="I7369" s="409">
        <v>5100</v>
      </c>
      <c r="J7369" s="496">
        <v>0.46500000000000002</v>
      </c>
      <c r="K7369" s="496">
        <v>0.44700000000000001</v>
      </c>
      <c r="L7369" s="496">
        <f t="shared" si="95"/>
        <v>1.8000000000000016E-2</v>
      </c>
      <c r="M7369" s="337"/>
    </row>
    <row r="7370" spans="1:13" s="71" customFormat="1" ht="26.4" customHeight="1">
      <c r="A7370" s="282">
        <v>731</v>
      </c>
      <c r="B7370" s="537"/>
      <c r="C7370" s="441" t="s">
        <v>9099</v>
      </c>
      <c r="D7370" s="260" t="s">
        <v>9218</v>
      </c>
      <c r="E7370" s="260" t="s">
        <v>8522</v>
      </c>
      <c r="F7370" s="387">
        <v>507237</v>
      </c>
      <c r="G7370" s="443">
        <v>1988</v>
      </c>
      <c r="H7370" s="410" t="s">
        <v>5462</v>
      </c>
      <c r="I7370" s="409">
        <v>300</v>
      </c>
      <c r="J7370" s="496">
        <v>0.439</v>
      </c>
      <c r="K7370" s="496">
        <v>0.39400000000000002</v>
      </c>
      <c r="L7370" s="496">
        <f t="shared" si="95"/>
        <v>4.4999999999999984E-2</v>
      </c>
      <c r="M7370" s="337"/>
    </row>
    <row r="7371" spans="1:13" s="71" customFormat="1" ht="26.4" customHeight="1">
      <c r="A7371" s="282">
        <v>732</v>
      </c>
      <c r="B7371" s="537"/>
      <c r="C7371" s="441" t="s">
        <v>9099</v>
      </c>
      <c r="D7371" s="260" t="s">
        <v>9219</v>
      </c>
      <c r="E7371" s="260" t="s">
        <v>8522</v>
      </c>
      <c r="F7371" s="387">
        <v>507238</v>
      </c>
      <c r="G7371" s="443">
        <v>1958</v>
      </c>
      <c r="H7371" s="410" t="s">
        <v>5462</v>
      </c>
      <c r="I7371" s="409">
        <v>240</v>
      </c>
      <c r="J7371" s="496">
        <v>0.222</v>
      </c>
      <c r="K7371" s="496">
        <v>0.21299999999999999</v>
      </c>
      <c r="L7371" s="496">
        <f t="shared" si="95"/>
        <v>9.000000000000008E-3</v>
      </c>
      <c r="M7371" s="337"/>
    </row>
    <row r="7372" spans="1:13" s="71" customFormat="1" ht="26.4" customHeight="1">
      <c r="A7372" s="282">
        <v>733</v>
      </c>
      <c r="B7372" s="537"/>
      <c r="C7372" s="441" t="s">
        <v>9099</v>
      </c>
      <c r="D7372" s="260" t="s">
        <v>9220</v>
      </c>
      <c r="E7372" s="260" t="s">
        <v>8522</v>
      </c>
      <c r="F7372" s="387">
        <v>507239</v>
      </c>
      <c r="G7372" s="443">
        <v>1965</v>
      </c>
      <c r="H7372" s="410" t="s">
        <v>5462</v>
      </c>
      <c r="I7372" s="409">
        <v>280</v>
      </c>
      <c r="J7372" s="496">
        <v>0.1</v>
      </c>
      <c r="K7372" s="496">
        <v>9.6000000000000002E-2</v>
      </c>
      <c r="L7372" s="496">
        <f t="shared" si="95"/>
        <v>4.0000000000000036E-3</v>
      </c>
      <c r="M7372" s="337"/>
    </row>
    <row r="7373" spans="1:13" s="71" customFormat="1" ht="26.4" customHeight="1">
      <c r="A7373" s="282">
        <v>734</v>
      </c>
      <c r="B7373" s="537"/>
      <c r="C7373" s="441" t="s">
        <v>9099</v>
      </c>
      <c r="D7373" s="260" t="s">
        <v>9221</v>
      </c>
      <c r="E7373" s="260" t="s">
        <v>8522</v>
      </c>
      <c r="F7373" s="387">
        <v>507240</v>
      </c>
      <c r="G7373" s="443">
        <v>1965</v>
      </c>
      <c r="H7373" s="410" t="s">
        <v>5462</v>
      </c>
      <c r="I7373" s="409">
        <v>280</v>
      </c>
      <c r="J7373" s="496">
        <v>0.1</v>
      </c>
      <c r="K7373" s="496">
        <v>9.6000000000000002E-2</v>
      </c>
      <c r="L7373" s="496">
        <f t="shared" si="95"/>
        <v>4.0000000000000036E-3</v>
      </c>
      <c r="M7373" s="337"/>
    </row>
    <row r="7374" spans="1:13" s="71" customFormat="1" ht="26.4" customHeight="1">
      <c r="A7374" s="282">
        <v>735</v>
      </c>
      <c r="B7374" s="537"/>
      <c r="C7374" s="441" t="s">
        <v>9099</v>
      </c>
      <c r="D7374" s="260" t="s">
        <v>9222</v>
      </c>
      <c r="E7374" s="260" t="s">
        <v>8522</v>
      </c>
      <c r="F7374" s="387">
        <v>507241</v>
      </c>
      <c r="G7374" s="443">
        <v>1959</v>
      </c>
      <c r="H7374" s="410" t="s">
        <v>5462</v>
      </c>
      <c r="I7374" s="409">
        <v>420</v>
      </c>
      <c r="J7374" s="496">
        <v>0.97299999999999998</v>
      </c>
      <c r="K7374" s="496">
        <v>0.72699999999999998</v>
      </c>
      <c r="L7374" s="496">
        <f t="shared" si="95"/>
        <v>0.246</v>
      </c>
      <c r="M7374" s="337"/>
    </row>
    <row r="7375" spans="1:13" s="71" customFormat="1" ht="26.4" customHeight="1">
      <c r="A7375" s="282">
        <v>736</v>
      </c>
      <c r="B7375" s="537"/>
      <c r="C7375" s="441" t="s">
        <v>9099</v>
      </c>
      <c r="D7375" s="260" t="s">
        <v>9223</v>
      </c>
      <c r="E7375" s="260" t="s">
        <v>8522</v>
      </c>
      <c r="F7375" s="387">
        <v>507242</v>
      </c>
      <c r="G7375" s="443">
        <v>1969</v>
      </c>
      <c r="H7375" s="410" t="s">
        <v>5462</v>
      </c>
      <c r="I7375" s="409">
        <v>540</v>
      </c>
      <c r="J7375" s="496">
        <v>0.182</v>
      </c>
      <c r="K7375" s="496">
        <v>0.17299999999999999</v>
      </c>
      <c r="L7375" s="496">
        <f t="shared" si="95"/>
        <v>9.000000000000008E-3</v>
      </c>
      <c r="M7375" s="337"/>
    </row>
    <row r="7376" spans="1:13" s="71" customFormat="1" ht="26.4" customHeight="1">
      <c r="A7376" s="282">
        <v>737</v>
      </c>
      <c r="B7376" s="537"/>
      <c r="C7376" s="441" t="s">
        <v>9099</v>
      </c>
      <c r="D7376" s="260" t="s">
        <v>9224</v>
      </c>
      <c r="E7376" s="260" t="s">
        <v>8522</v>
      </c>
      <c r="F7376" s="387">
        <v>507243</v>
      </c>
      <c r="G7376" s="443">
        <v>1986</v>
      </c>
      <c r="H7376" s="410" t="s">
        <v>5462</v>
      </c>
      <c r="I7376" s="409">
        <v>320</v>
      </c>
      <c r="J7376" s="496">
        <v>0.39700000000000002</v>
      </c>
      <c r="K7376" s="496">
        <v>0.36799999999999999</v>
      </c>
      <c r="L7376" s="496">
        <f t="shared" si="95"/>
        <v>2.9000000000000026E-2</v>
      </c>
      <c r="M7376" s="337"/>
    </row>
    <row r="7377" spans="1:13" s="71" customFormat="1" ht="26.4" customHeight="1">
      <c r="A7377" s="282">
        <v>738</v>
      </c>
      <c r="B7377" s="537"/>
      <c r="C7377" s="441" t="s">
        <v>9099</v>
      </c>
      <c r="D7377" s="260" t="s">
        <v>9225</v>
      </c>
      <c r="E7377" s="260" t="s">
        <v>8522</v>
      </c>
      <c r="F7377" s="387">
        <v>507244</v>
      </c>
      <c r="G7377" s="443">
        <v>1968</v>
      </c>
      <c r="H7377" s="410" t="s">
        <v>5462</v>
      </c>
      <c r="I7377" s="409">
        <v>125</v>
      </c>
      <c r="J7377" s="496">
        <v>0.23200000000000001</v>
      </c>
      <c r="K7377" s="496">
        <v>0.17299999999999999</v>
      </c>
      <c r="L7377" s="496">
        <f t="shared" si="95"/>
        <v>5.9000000000000025E-2</v>
      </c>
      <c r="M7377" s="337"/>
    </row>
    <row r="7378" spans="1:13" s="71" customFormat="1" ht="26.4" customHeight="1">
      <c r="A7378" s="282">
        <v>739</v>
      </c>
      <c r="B7378" s="537"/>
      <c r="C7378" s="441" t="s">
        <v>9099</v>
      </c>
      <c r="D7378" s="260" t="s">
        <v>9226</v>
      </c>
      <c r="E7378" s="260" t="s">
        <v>8522</v>
      </c>
      <c r="F7378" s="387">
        <v>507245</v>
      </c>
      <c r="G7378" s="443">
        <v>1978</v>
      </c>
      <c r="H7378" s="410" t="s">
        <v>5462</v>
      </c>
      <c r="I7378" s="409">
        <v>420</v>
      </c>
      <c r="J7378" s="496">
        <v>0.46200000000000002</v>
      </c>
      <c r="K7378" s="496">
        <v>0.435</v>
      </c>
      <c r="L7378" s="496">
        <f t="shared" si="95"/>
        <v>2.7000000000000024E-2</v>
      </c>
      <c r="M7378" s="337"/>
    </row>
    <row r="7379" spans="1:13" s="71" customFormat="1" ht="26.4" customHeight="1">
      <c r="A7379" s="282">
        <v>740</v>
      </c>
      <c r="B7379" s="537"/>
      <c r="C7379" s="441" t="s">
        <v>9099</v>
      </c>
      <c r="D7379" s="260" t="s">
        <v>9227</v>
      </c>
      <c r="E7379" s="260" t="s">
        <v>8522</v>
      </c>
      <c r="F7379" s="387">
        <v>507246</v>
      </c>
      <c r="G7379" s="443">
        <v>1957</v>
      </c>
      <c r="H7379" s="410" t="s">
        <v>5462</v>
      </c>
      <c r="I7379" s="409">
        <v>260</v>
      </c>
      <c r="J7379" s="496">
        <v>0.57899999999999996</v>
      </c>
      <c r="K7379" s="496">
        <v>0.432</v>
      </c>
      <c r="L7379" s="496">
        <f t="shared" si="95"/>
        <v>0.14699999999999996</v>
      </c>
      <c r="M7379" s="337"/>
    </row>
    <row r="7380" spans="1:13" s="71" customFormat="1" ht="26.4" customHeight="1">
      <c r="A7380" s="282">
        <v>741</v>
      </c>
      <c r="B7380" s="537"/>
      <c r="C7380" s="441" t="s">
        <v>9099</v>
      </c>
      <c r="D7380" s="260" t="s">
        <v>9228</v>
      </c>
      <c r="E7380" s="260" t="s">
        <v>8522</v>
      </c>
      <c r="F7380" s="387">
        <v>507247</v>
      </c>
      <c r="G7380" s="443">
        <v>1955</v>
      </c>
      <c r="H7380" s="410" t="s">
        <v>5462</v>
      </c>
      <c r="I7380" s="409">
        <v>100</v>
      </c>
      <c r="J7380" s="496">
        <v>0.251</v>
      </c>
      <c r="K7380" s="496">
        <v>0.188</v>
      </c>
      <c r="L7380" s="496">
        <f t="shared" si="95"/>
        <v>6.3E-2</v>
      </c>
      <c r="M7380" s="337"/>
    </row>
    <row r="7381" spans="1:13" s="71" customFormat="1" ht="26.4" customHeight="1">
      <c r="A7381" s="282">
        <v>742</v>
      </c>
      <c r="B7381" s="537"/>
      <c r="C7381" s="441" t="s">
        <v>9099</v>
      </c>
      <c r="D7381" s="260" t="s">
        <v>9229</v>
      </c>
      <c r="E7381" s="260" t="s">
        <v>8522</v>
      </c>
      <c r="F7381" s="387">
        <v>507248</v>
      </c>
      <c r="G7381" s="443">
        <v>1999</v>
      </c>
      <c r="H7381" s="410" t="s">
        <v>5462</v>
      </c>
      <c r="I7381" s="409">
        <v>190</v>
      </c>
      <c r="J7381" s="496">
        <v>0.20499999999999999</v>
      </c>
      <c r="K7381" s="496">
        <v>0.18099999999999999</v>
      </c>
      <c r="L7381" s="496">
        <f t="shared" si="95"/>
        <v>2.3999999999999994E-2</v>
      </c>
      <c r="M7381" s="337"/>
    </row>
    <row r="7382" spans="1:13" s="71" customFormat="1" ht="26.4" customHeight="1">
      <c r="A7382" s="282">
        <v>743</v>
      </c>
      <c r="B7382" s="537"/>
      <c r="C7382" s="441" t="s">
        <v>9099</v>
      </c>
      <c r="D7382" s="260" t="s">
        <v>9230</v>
      </c>
      <c r="E7382" s="260" t="s">
        <v>8522</v>
      </c>
      <c r="F7382" s="387">
        <v>507249</v>
      </c>
      <c r="G7382" s="443">
        <v>1955</v>
      </c>
      <c r="H7382" s="410" t="s">
        <v>5462</v>
      </c>
      <c r="I7382" s="409">
        <v>300</v>
      </c>
      <c r="J7382" s="496">
        <v>7.0999999999999994E-2</v>
      </c>
      <c r="K7382" s="496">
        <v>4.9000000000000002E-2</v>
      </c>
      <c r="L7382" s="496">
        <f t="shared" si="95"/>
        <v>2.1999999999999992E-2</v>
      </c>
      <c r="M7382" s="337"/>
    </row>
    <row r="7383" spans="1:13" s="71" customFormat="1" ht="26.4" customHeight="1">
      <c r="A7383" s="282">
        <v>744</v>
      </c>
      <c r="B7383" s="537"/>
      <c r="C7383" s="441" t="s">
        <v>9099</v>
      </c>
      <c r="D7383" s="260" t="s">
        <v>9231</v>
      </c>
      <c r="E7383" s="260" t="s">
        <v>8522</v>
      </c>
      <c r="F7383" s="387">
        <v>507250</v>
      </c>
      <c r="G7383" s="443">
        <v>1968</v>
      </c>
      <c r="H7383" s="410" t="s">
        <v>5462</v>
      </c>
      <c r="I7383" s="409">
        <v>190</v>
      </c>
      <c r="J7383" s="496">
        <v>0.189</v>
      </c>
      <c r="K7383" s="496">
        <v>0.18</v>
      </c>
      <c r="L7383" s="496">
        <f t="shared" si="95"/>
        <v>9.000000000000008E-3</v>
      </c>
      <c r="M7383" s="337"/>
    </row>
    <row r="7384" spans="1:13" s="71" customFormat="1" ht="26.4" customHeight="1">
      <c r="A7384" s="282">
        <v>745</v>
      </c>
      <c r="B7384" s="537"/>
      <c r="C7384" s="441" t="s">
        <v>9099</v>
      </c>
      <c r="D7384" s="260" t="s">
        <v>9232</v>
      </c>
      <c r="E7384" s="260" t="s">
        <v>8522</v>
      </c>
      <c r="F7384" s="387">
        <v>507251</v>
      </c>
      <c r="G7384" s="443">
        <v>1958</v>
      </c>
      <c r="H7384" s="410" t="s">
        <v>5462</v>
      </c>
      <c r="I7384" s="409">
        <v>190</v>
      </c>
      <c r="J7384" s="496">
        <v>0.185</v>
      </c>
      <c r="K7384" s="496">
        <v>0.17799999999999999</v>
      </c>
      <c r="L7384" s="496">
        <f t="shared" si="95"/>
        <v>7.0000000000000062E-3</v>
      </c>
      <c r="M7384" s="337"/>
    </row>
    <row r="7385" spans="1:13" s="71" customFormat="1" ht="26.4" customHeight="1">
      <c r="A7385" s="282">
        <v>746</v>
      </c>
      <c r="B7385" s="537"/>
      <c r="C7385" s="441" t="s">
        <v>9099</v>
      </c>
      <c r="D7385" s="260" t="s">
        <v>9233</v>
      </c>
      <c r="E7385" s="260" t="s">
        <v>8522</v>
      </c>
      <c r="F7385" s="387">
        <v>507252</v>
      </c>
      <c r="G7385" s="443">
        <v>1965</v>
      </c>
      <c r="H7385" s="410" t="s">
        <v>5462</v>
      </c>
      <c r="I7385" s="409">
        <v>280</v>
      </c>
      <c r="J7385" s="496">
        <v>0.26900000000000002</v>
      </c>
      <c r="K7385" s="496">
        <v>0.25700000000000001</v>
      </c>
      <c r="L7385" s="496">
        <f t="shared" si="95"/>
        <v>1.2000000000000011E-2</v>
      </c>
      <c r="M7385" s="337"/>
    </row>
    <row r="7386" spans="1:13" s="71" customFormat="1" ht="26.4" customHeight="1">
      <c r="A7386" s="282">
        <v>747</v>
      </c>
      <c r="B7386" s="537"/>
      <c r="C7386" s="441" t="s">
        <v>9099</v>
      </c>
      <c r="D7386" s="260" t="s">
        <v>9234</v>
      </c>
      <c r="E7386" s="260" t="s">
        <v>8522</v>
      </c>
      <c r="F7386" s="387">
        <v>507253</v>
      </c>
      <c r="G7386" s="443">
        <v>1959</v>
      </c>
      <c r="H7386" s="410" t="s">
        <v>5462</v>
      </c>
      <c r="I7386" s="409">
        <v>200</v>
      </c>
      <c r="J7386" s="496">
        <v>6.5000000000000002E-2</v>
      </c>
      <c r="K7386" s="496">
        <v>6.2E-2</v>
      </c>
      <c r="L7386" s="496">
        <f t="shared" si="95"/>
        <v>3.0000000000000027E-3</v>
      </c>
      <c r="M7386" s="337"/>
    </row>
    <row r="7387" spans="1:13" s="71" customFormat="1" ht="26.4" customHeight="1">
      <c r="A7387" s="282">
        <v>748</v>
      </c>
      <c r="B7387" s="537"/>
      <c r="C7387" s="441" t="s">
        <v>9099</v>
      </c>
      <c r="D7387" s="260" t="s">
        <v>9180</v>
      </c>
      <c r="E7387" s="260" t="s">
        <v>8522</v>
      </c>
      <c r="F7387" s="387">
        <v>507254</v>
      </c>
      <c r="G7387" s="443">
        <v>1966</v>
      </c>
      <c r="H7387" s="410" t="s">
        <v>5462</v>
      </c>
      <c r="I7387" s="409">
        <v>530</v>
      </c>
      <c r="J7387" s="496">
        <v>0.98699999999999999</v>
      </c>
      <c r="K7387" s="496">
        <v>0.73699999999999999</v>
      </c>
      <c r="L7387" s="496">
        <f t="shared" si="95"/>
        <v>0.25</v>
      </c>
      <c r="M7387" s="337"/>
    </row>
    <row r="7388" spans="1:13" s="71" customFormat="1" ht="26.4" customHeight="1">
      <c r="A7388" s="282">
        <v>749</v>
      </c>
      <c r="B7388" s="537"/>
      <c r="C7388" s="441" t="s">
        <v>9099</v>
      </c>
      <c r="D7388" s="260" t="s">
        <v>9146</v>
      </c>
      <c r="E7388" s="260" t="s">
        <v>8522</v>
      </c>
      <c r="F7388" s="387">
        <v>507255</v>
      </c>
      <c r="G7388" s="443">
        <v>1966</v>
      </c>
      <c r="H7388" s="410" t="s">
        <v>5462</v>
      </c>
      <c r="I7388" s="409">
        <v>270</v>
      </c>
      <c r="J7388" s="496">
        <v>0.251</v>
      </c>
      <c r="K7388" s="496">
        <v>0.22500000000000001</v>
      </c>
      <c r="L7388" s="496">
        <f t="shared" si="95"/>
        <v>2.5999999999999995E-2</v>
      </c>
      <c r="M7388" s="337"/>
    </row>
    <row r="7389" spans="1:13" s="71" customFormat="1" ht="26.4" customHeight="1">
      <c r="A7389" s="282">
        <v>750</v>
      </c>
      <c r="B7389" s="537"/>
      <c r="C7389" s="441" t="s">
        <v>9099</v>
      </c>
      <c r="D7389" s="260" t="s">
        <v>9235</v>
      </c>
      <c r="E7389" s="260" t="s">
        <v>8522</v>
      </c>
      <c r="F7389" s="387">
        <v>507256</v>
      </c>
      <c r="G7389" s="443">
        <v>1968</v>
      </c>
      <c r="H7389" s="410" t="s">
        <v>5462</v>
      </c>
      <c r="I7389" s="409">
        <v>280</v>
      </c>
      <c r="J7389" s="496">
        <v>0.52</v>
      </c>
      <c r="K7389" s="496">
        <v>0.38800000000000001</v>
      </c>
      <c r="L7389" s="496">
        <f t="shared" si="95"/>
        <v>0.13200000000000001</v>
      </c>
      <c r="M7389" s="337"/>
    </row>
    <row r="7390" spans="1:13" s="71" customFormat="1" ht="26.4" customHeight="1">
      <c r="A7390" s="282">
        <v>751</v>
      </c>
      <c r="B7390" s="537"/>
      <c r="C7390" s="441" t="s">
        <v>9099</v>
      </c>
      <c r="D7390" s="260" t="s">
        <v>9183</v>
      </c>
      <c r="E7390" s="260" t="s">
        <v>8522</v>
      </c>
      <c r="F7390" s="387">
        <v>507257</v>
      </c>
      <c r="G7390" s="443">
        <v>2012</v>
      </c>
      <c r="H7390" s="410" t="s">
        <v>5462</v>
      </c>
      <c r="I7390" s="409">
        <v>2000</v>
      </c>
      <c r="J7390" s="496">
        <v>0.56299999999999994</v>
      </c>
      <c r="K7390" s="496">
        <v>0.42</v>
      </c>
      <c r="L7390" s="496">
        <f t="shared" si="95"/>
        <v>0.14299999999999996</v>
      </c>
      <c r="M7390" s="337"/>
    </row>
    <row r="7391" spans="1:13" s="71" customFormat="1" ht="26.4" customHeight="1">
      <c r="A7391" s="282">
        <v>752</v>
      </c>
      <c r="B7391" s="537"/>
      <c r="C7391" s="441" t="s">
        <v>9099</v>
      </c>
      <c r="D7391" s="260" t="s">
        <v>9236</v>
      </c>
      <c r="E7391" s="260" t="s">
        <v>8522</v>
      </c>
      <c r="F7391" s="387">
        <v>507258</v>
      </c>
      <c r="G7391" s="443">
        <v>1987</v>
      </c>
      <c r="H7391" s="410" t="s">
        <v>5462</v>
      </c>
      <c r="I7391" s="409">
        <v>400</v>
      </c>
      <c r="J7391" s="496">
        <v>0.35499999999999998</v>
      </c>
      <c r="K7391" s="496">
        <v>0.26500000000000001</v>
      </c>
      <c r="L7391" s="496">
        <f t="shared" si="95"/>
        <v>8.9999999999999969E-2</v>
      </c>
      <c r="M7391" s="337"/>
    </row>
    <row r="7392" spans="1:13" s="71" customFormat="1" ht="26.4" customHeight="1">
      <c r="A7392" s="282">
        <v>753</v>
      </c>
      <c r="B7392" s="537"/>
      <c r="C7392" s="441" t="s">
        <v>9099</v>
      </c>
      <c r="D7392" s="260" t="s">
        <v>9237</v>
      </c>
      <c r="E7392" s="260" t="s">
        <v>8522</v>
      </c>
      <c r="F7392" s="387">
        <v>507260</v>
      </c>
      <c r="G7392" s="443">
        <v>1985</v>
      </c>
      <c r="H7392" s="410" t="s">
        <v>5462</v>
      </c>
      <c r="I7392" s="409">
        <v>1100</v>
      </c>
      <c r="J7392" s="496">
        <v>0.42099999999999999</v>
      </c>
      <c r="K7392" s="496">
        <v>0.4</v>
      </c>
      <c r="L7392" s="496">
        <f t="shared" si="95"/>
        <v>2.0999999999999963E-2</v>
      </c>
      <c r="M7392" s="337"/>
    </row>
    <row r="7393" spans="1:13" s="71" customFormat="1" ht="26.4" customHeight="1">
      <c r="A7393" s="282">
        <v>754</v>
      </c>
      <c r="B7393" s="537"/>
      <c r="C7393" s="441" t="s">
        <v>9099</v>
      </c>
      <c r="D7393" s="260" t="s">
        <v>9238</v>
      </c>
      <c r="E7393" s="260" t="s">
        <v>8522</v>
      </c>
      <c r="F7393" s="387">
        <v>507261</v>
      </c>
      <c r="G7393" s="443">
        <v>1968</v>
      </c>
      <c r="H7393" s="410" t="s">
        <v>5462</v>
      </c>
      <c r="I7393" s="409">
        <v>210</v>
      </c>
      <c r="J7393" s="496">
        <v>0.52</v>
      </c>
      <c r="K7393" s="496">
        <v>0.38800000000000001</v>
      </c>
      <c r="L7393" s="496">
        <f t="shared" si="95"/>
        <v>0.13200000000000001</v>
      </c>
      <c r="M7393" s="337"/>
    </row>
    <row r="7394" spans="1:13" s="71" customFormat="1" ht="26.4" customHeight="1">
      <c r="A7394" s="282">
        <v>755</v>
      </c>
      <c r="B7394" s="537"/>
      <c r="C7394" s="441" t="s">
        <v>9099</v>
      </c>
      <c r="D7394" s="260" t="s">
        <v>9239</v>
      </c>
      <c r="E7394" s="260" t="s">
        <v>8522</v>
      </c>
      <c r="F7394" s="387">
        <v>507262</v>
      </c>
      <c r="G7394" s="443">
        <v>1955</v>
      </c>
      <c r="H7394" s="410" t="s">
        <v>5462</v>
      </c>
      <c r="I7394" s="409">
        <v>460</v>
      </c>
      <c r="J7394" s="496">
        <v>0.28799999999999998</v>
      </c>
      <c r="K7394" s="496">
        <v>0.215</v>
      </c>
      <c r="L7394" s="496">
        <f t="shared" si="95"/>
        <v>7.2999999999999982E-2</v>
      </c>
      <c r="M7394" s="337"/>
    </row>
    <row r="7395" spans="1:13" s="71" customFormat="1" ht="26.4" customHeight="1">
      <c r="A7395" s="282">
        <v>756</v>
      </c>
      <c r="B7395" s="537"/>
      <c r="C7395" s="441" t="s">
        <v>9099</v>
      </c>
      <c r="D7395" s="260" t="s">
        <v>9234</v>
      </c>
      <c r="E7395" s="260" t="s">
        <v>8522</v>
      </c>
      <c r="F7395" s="387">
        <v>507263</v>
      </c>
      <c r="G7395" s="443">
        <v>1968</v>
      </c>
      <c r="H7395" s="410" t="s">
        <v>5462</v>
      </c>
      <c r="I7395" s="409">
        <v>200</v>
      </c>
      <c r="J7395" s="496">
        <v>0.23499999999999999</v>
      </c>
      <c r="K7395" s="496">
        <v>0.21099999999999999</v>
      </c>
      <c r="L7395" s="496">
        <f t="shared" si="95"/>
        <v>2.3999999999999994E-2</v>
      </c>
      <c r="M7395" s="337"/>
    </row>
    <row r="7396" spans="1:13" s="71" customFormat="1" ht="26.4" customHeight="1">
      <c r="A7396" s="282">
        <v>757</v>
      </c>
      <c r="B7396" s="537"/>
      <c r="C7396" s="441" t="s">
        <v>9099</v>
      </c>
      <c r="D7396" s="260" t="s">
        <v>9234</v>
      </c>
      <c r="E7396" s="260" t="s">
        <v>8522</v>
      </c>
      <c r="F7396" s="387">
        <v>507264</v>
      </c>
      <c r="G7396" s="443">
        <v>1959</v>
      </c>
      <c r="H7396" s="410" t="s">
        <v>5462</v>
      </c>
      <c r="I7396" s="409">
        <v>100</v>
      </c>
      <c r="J7396" s="496">
        <v>0.04</v>
      </c>
      <c r="K7396" s="496">
        <v>3.7999999999999999E-2</v>
      </c>
      <c r="L7396" s="496">
        <f t="shared" si="95"/>
        <v>2.0000000000000018E-3</v>
      </c>
      <c r="M7396" s="337"/>
    </row>
    <row r="7397" spans="1:13" s="71" customFormat="1" ht="26.4" customHeight="1">
      <c r="A7397" s="282">
        <v>758</v>
      </c>
      <c r="B7397" s="537"/>
      <c r="C7397" s="441" t="s">
        <v>9099</v>
      </c>
      <c r="D7397" s="260" t="s">
        <v>9240</v>
      </c>
      <c r="E7397" s="260" t="s">
        <v>8522</v>
      </c>
      <c r="F7397" s="387">
        <v>507265</v>
      </c>
      <c r="G7397" s="443">
        <v>1968</v>
      </c>
      <c r="H7397" s="410" t="s">
        <v>5462</v>
      </c>
      <c r="I7397" s="409">
        <v>220</v>
      </c>
      <c r="J7397" s="496">
        <v>0.53600000000000003</v>
      </c>
      <c r="K7397" s="496">
        <v>0.40100000000000002</v>
      </c>
      <c r="L7397" s="496">
        <f t="shared" si="95"/>
        <v>0.13500000000000001</v>
      </c>
      <c r="M7397" s="337"/>
    </row>
    <row r="7398" spans="1:13" s="71" customFormat="1" ht="26.4" customHeight="1">
      <c r="A7398" s="282">
        <v>759</v>
      </c>
      <c r="B7398" s="537"/>
      <c r="C7398" s="441" t="s">
        <v>9099</v>
      </c>
      <c r="D7398" s="260" t="s">
        <v>9241</v>
      </c>
      <c r="E7398" s="260" t="s">
        <v>8522</v>
      </c>
      <c r="F7398" s="387">
        <v>507266</v>
      </c>
      <c r="G7398" s="443"/>
      <c r="H7398" s="410" t="s">
        <v>5462</v>
      </c>
      <c r="I7398" s="409">
        <v>190</v>
      </c>
      <c r="J7398" s="496">
        <v>0.189</v>
      </c>
      <c r="K7398" s="496">
        <v>0.18</v>
      </c>
      <c r="L7398" s="496">
        <f t="shared" si="95"/>
        <v>9.000000000000008E-3</v>
      </c>
      <c r="M7398" s="337"/>
    </row>
    <row r="7399" spans="1:13" s="71" customFormat="1" ht="26.4" customHeight="1">
      <c r="A7399" s="282">
        <v>760</v>
      </c>
      <c r="B7399" s="537"/>
      <c r="C7399" s="441" t="s">
        <v>9099</v>
      </c>
      <c r="D7399" s="260" t="s">
        <v>9242</v>
      </c>
      <c r="E7399" s="260" t="s">
        <v>8522</v>
      </c>
      <c r="F7399" s="387">
        <v>507267</v>
      </c>
      <c r="G7399" s="443">
        <v>1968</v>
      </c>
      <c r="H7399" s="410" t="s">
        <v>5462</v>
      </c>
      <c r="I7399" s="409">
        <v>160</v>
      </c>
      <c r="J7399" s="496">
        <v>0.16500000000000001</v>
      </c>
      <c r="K7399" s="496">
        <v>0.157</v>
      </c>
      <c r="L7399" s="496">
        <f t="shared" si="95"/>
        <v>8.0000000000000071E-3</v>
      </c>
      <c r="M7399" s="337"/>
    </row>
    <row r="7400" spans="1:13" s="71" customFormat="1" ht="26.4" customHeight="1">
      <c r="A7400" s="282">
        <v>761</v>
      </c>
      <c r="B7400" s="537"/>
      <c r="C7400" s="441" t="s">
        <v>9099</v>
      </c>
      <c r="D7400" s="260" t="s">
        <v>9243</v>
      </c>
      <c r="E7400" s="260" t="s">
        <v>8522</v>
      </c>
      <c r="F7400" s="387">
        <v>507268</v>
      </c>
      <c r="G7400" s="443">
        <v>1968</v>
      </c>
      <c r="H7400" s="410" t="s">
        <v>5462</v>
      </c>
      <c r="I7400" s="409">
        <v>140</v>
      </c>
      <c r="J7400" s="496">
        <v>9.8000000000000004E-2</v>
      </c>
      <c r="K7400" s="496">
        <v>2.8000000000000001E-2</v>
      </c>
      <c r="L7400" s="496">
        <f t="shared" si="95"/>
        <v>7.0000000000000007E-2</v>
      </c>
      <c r="M7400" s="337"/>
    </row>
    <row r="7401" spans="1:13" s="71" customFormat="1" ht="26.4" customHeight="1">
      <c r="A7401" s="282">
        <v>762</v>
      </c>
      <c r="B7401" s="537"/>
      <c r="C7401" s="441" t="s">
        <v>9099</v>
      </c>
      <c r="D7401" s="260" t="s">
        <v>9108</v>
      </c>
      <c r="E7401" s="282" t="s">
        <v>2660</v>
      </c>
      <c r="F7401" s="387">
        <v>507269</v>
      </c>
      <c r="G7401" s="443">
        <v>2014</v>
      </c>
      <c r="H7401" s="410" t="s">
        <v>4930</v>
      </c>
      <c r="I7401" s="409" t="s">
        <v>3243</v>
      </c>
      <c r="J7401" s="496">
        <v>0.125</v>
      </c>
      <c r="K7401" s="496">
        <v>9.1999999999999998E-2</v>
      </c>
      <c r="L7401" s="496">
        <f t="shared" si="95"/>
        <v>3.3000000000000002E-2</v>
      </c>
      <c r="M7401" s="337"/>
    </row>
    <row r="7402" spans="1:13" s="71" customFormat="1" ht="26.4" customHeight="1">
      <c r="A7402" s="282">
        <v>763</v>
      </c>
      <c r="B7402" s="537"/>
      <c r="C7402" s="441" t="s">
        <v>9099</v>
      </c>
      <c r="D7402" s="260" t="s">
        <v>9244</v>
      </c>
      <c r="E7402" s="282" t="s">
        <v>2660</v>
      </c>
      <c r="F7402" s="387">
        <v>507270</v>
      </c>
      <c r="G7402" s="443">
        <v>2014</v>
      </c>
      <c r="H7402" s="410" t="s">
        <v>4930</v>
      </c>
      <c r="I7402" s="409" t="s">
        <v>3243</v>
      </c>
      <c r="J7402" s="496">
        <v>0.125</v>
      </c>
      <c r="K7402" s="496">
        <v>9.1999999999999998E-2</v>
      </c>
      <c r="L7402" s="496">
        <f t="shared" si="95"/>
        <v>3.3000000000000002E-2</v>
      </c>
      <c r="M7402" s="337"/>
    </row>
    <row r="7403" spans="1:13" s="71" customFormat="1" ht="26.4" customHeight="1">
      <c r="A7403" s="282">
        <v>764</v>
      </c>
      <c r="B7403" s="537"/>
      <c r="C7403" s="441" t="s">
        <v>9099</v>
      </c>
      <c r="D7403" s="260" t="s">
        <v>9100</v>
      </c>
      <c r="E7403" s="282" t="s">
        <v>2660</v>
      </c>
      <c r="F7403" s="387">
        <v>507271</v>
      </c>
      <c r="G7403" s="443">
        <v>2014</v>
      </c>
      <c r="H7403" s="410" t="s">
        <v>4930</v>
      </c>
      <c r="I7403" s="409" t="s">
        <v>3243</v>
      </c>
      <c r="J7403" s="496">
        <v>0.125</v>
      </c>
      <c r="K7403" s="496">
        <v>9.1999999999999998E-2</v>
      </c>
      <c r="L7403" s="496">
        <f t="shared" si="95"/>
        <v>3.3000000000000002E-2</v>
      </c>
      <c r="M7403" s="337"/>
    </row>
    <row r="7404" spans="1:13" s="71" customFormat="1" ht="26.4" customHeight="1">
      <c r="A7404" s="282">
        <v>765</v>
      </c>
      <c r="B7404" s="537"/>
      <c r="C7404" s="441" t="s">
        <v>9099</v>
      </c>
      <c r="D7404" s="260" t="s">
        <v>9245</v>
      </c>
      <c r="E7404" s="282" t="s">
        <v>2660</v>
      </c>
      <c r="F7404" s="387">
        <v>507272</v>
      </c>
      <c r="G7404" s="443">
        <v>2014</v>
      </c>
      <c r="H7404" s="410" t="s">
        <v>4930</v>
      </c>
      <c r="I7404" s="409" t="s">
        <v>3243</v>
      </c>
      <c r="J7404" s="496">
        <v>0.125</v>
      </c>
      <c r="K7404" s="496">
        <v>9.1999999999999998E-2</v>
      </c>
      <c r="L7404" s="496">
        <f t="shared" si="95"/>
        <v>3.3000000000000002E-2</v>
      </c>
      <c r="M7404" s="337"/>
    </row>
    <row r="7405" spans="1:13" s="71" customFormat="1" ht="26.4" customHeight="1">
      <c r="A7405" s="282">
        <v>766</v>
      </c>
      <c r="B7405" s="537"/>
      <c r="C7405" s="441" t="s">
        <v>9099</v>
      </c>
      <c r="D7405" s="260" t="s">
        <v>9246</v>
      </c>
      <c r="E7405" s="282" t="s">
        <v>2660</v>
      </c>
      <c r="F7405" s="387">
        <v>507273</v>
      </c>
      <c r="G7405" s="443">
        <v>2014</v>
      </c>
      <c r="H7405" s="410" t="s">
        <v>4930</v>
      </c>
      <c r="I7405" s="409" t="s">
        <v>3243</v>
      </c>
      <c r="J7405" s="496">
        <v>0.125</v>
      </c>
      <c r="K7405" s="496">
        <v>9.1999999999999998E-2</v>
      </c>
      <c r="L7405" s="496">
        <f t="shared" ref="L7405:L7468" si="96">J7405-K7405</f>
        <v>3.3000000000000002E-2</v>
      </c>
      <c r="M7405" s="337"/>
    </row>
    <row r="7406" spans="1:13" s="71" customFormat="1" ht="26.4" customHeight="1">
      <c r="A7406" s="282">
        <v>767</v>
      </c>
      <c r="B7406" s="537"/>
      <c r="C7406" s="441" t="s">
        <v>9099</v>
      </c>
      <c r="D7406" s="260" t="s">
        <v>9247</v>
      </c>
      <c r="E7406" s="282" t="s">
        <v>2660</v>
      </c>
      <c r="F7406" s="387">
        <v>507274</v>
      </c>
      <c r="G7406" s="443">
        <v>2014</v>
      </c>
      <c r="H7406" s="410" t="s">
        <v>4930</v>
      </c>
      <c r="I7406" s="409" t="s">
        <v>3243</v>
      </c>
      <c r="J7406" s="496">
        <v>0.125</v>
      </c>
      <c r="K7406" s="496">
        <v>9.1999999999999998E-2</v>
      </c>
      <c r="L7406" s="496">
        <f t="shared" si="96"/>
        <v>3.3000000000000002E-2</v>
      </c>
      <c r="M7406" s="337"/>
    </row>
    <row r="7407" spans="1:13" s="71" customFormat="1" ht="26.4" customHeight="1">
      <c r="A7407" s="282">
        <v>768</v>
      </c>
      <c r="B7407" s="537"/>
      <c r="C7407" s="441" t="s">
        <v>9099</v>
      </c>
      <c r="D7407" s="260" t="s">
        <v>9248</v>
      </c>
      <c r="E7407" s="282" t="s">
        <v>2660</v>
      </c>
      <c r="F7407" s="387">
        <v>507275</v>
      </c>
      <c r="G7407" s="443">
        <v>2014</v>
      </c>
      <c r="H7407" s="410" t="s">
        <v>4930</v>
      </c>
      <c r="I7407" s="409" t="s">
        <v>3243</v>
      </c>
      <c r="J7407" s="496">
        <v>0.125</v>
      </c>
      <c r="K7407" s="496">
        <v>9.1999999999999998E-2</v>
      </c>
      <c r="L7407" s="496">
        <f t="shared" si="96"/>
        <v>3.3000000000000002E-2</v>
      </c>
      <c r="M7407" s="337"/>
    </row>
    <row r="7408" spans="1:13" s="71" customFormat="1" ht="26.4" customHeight="1">
      <c r="A7408" s="282">
        <v>769</v>
      </c>
      <c r="B7408" s="537"/>
      <c r="C7408" s="441" t="s">
        <v>9099</v>
      </c>
      <c r="D7408" s="260" t="s">
        <v>9249</v>
      </c>
      <c r="E7408" s="282" t="s">
        <v>2660</v>
      </c>
      <c r="F7408" s="387">
        <v>507276</v>
      </c>
      <c r="G7408" s="443">
        <v>2014</v>
      </c>
      <c r="H7408" s="410" t="s">
        <v>4930</v>
      </c>
      <c r="I7408" s="409" t="s">
        <v>3243</v>
      </c>
      <c r="J7408" s="496">
        <v>0.125</v>
      </c>
      <c r="K7408" s="496">
        <v>9.1999999999999998E-2</v>
      </c>
      <c r="L7408" s="496">
        <f t="shared" si="96"/>
        <v>3.3000000000000002E-2</v>
      </c>
      <c r="M7408" s="337"/>
    </row>
    <row r="7409" spans="1:13" s="71" customFormat="1" ht="26.4" customHeight="1">
      <c r="A7409" s="282">
        <v>770</v>
      </c>
      <c r="B7409" s="537"/>
      <c r="C7409" s="441" t="s">
        <v>9099</v>
      </c>
      <c r="D7409" s="260" t="s">
        <v>9250</v>
      </c>
      <c r="E7409" s="282" t="s">
        <v>2660</v>
      </c>
      <c r="F7409" s="387">
        <v>507277</v>
      </c>
      <c r="G7409" s="443">
        <v>2014</v>
      </c>
      <c r="H7409" s="410" t="s">
        <v>4930</v>
      </c>
      <c r="I7409" s="409" t="s">
        <v>3243</v>
      </c>
      <c r="J7409" s="496">
        <v>0.125</v>
      </c>
      <c r="K7409" s="496">
        <v>9.1999999999999998E-2</v>
      </c>
      <c r="L7409" s="496">
        <f t="shared" si="96"/>
        <v>3.3000000000000002E-2</v>
      </c>
      <c r="M7409" s="337"/>
    </row>
    <row r="7410" spans="1:13" s="71" customFormat="1" ht="26.4" customHeight="1">
      <c r="A7410" s="282">
        <v>771</v>
      </c>
      <c r="B7410" s="537"/>
      <c r="C7410" s="441" t="s">
        <v>9099</v>
      </c>
      <c r="D7410" s="260" t="s">
        <v>9251</v>
      </c>
      <c r="E7410" s="282" t="s">
        <v>2660</v>
      </c>
      <c r="F7410" s="387">
        <v>507278</v>
      </c>
      <c r="G7410" s="443">
        <v>2014</v>
      </c>
      <c r="H7410" s="410" t="s">
        <v>4930</v>
      </c>
      <c r="I7410" s="409" t="s">
        <v>3243</v>
      </c>
      <c r="J7410" s="496">
        <v>0.125</v>
      </c>
      <c r="K7410" s="496">
        <v>9.1999999999999998E-2</v>
      </c>
      <c r="L7410" s="496">
        <f t="shared" si="96"/>
        <v>3.3000000000000002E-2</v>
      </c>
      <c r="M7410" s="337"/>
    </row>
    <row r="7411" spans="1:13" s="71" customFormat="1" ht="26.4" customHeight="1">
      <c r="A7411" s="282">
        <v>772</v>
      </c>
      <c r="B7411" s="537"/>
      <c r="C7411" s="441" t="s">
        <v>9099</v>
      </c>
      <c r="D7411" s="260" t="s">
        <v>9252</v>
      </c>
      <c r="E7411" s="282" t="s">
        <v>2660</v>
      </c>
      <c r="F7411" s="387">
        <v>507279</v>
      </c>
      <c r="G7411" s="443">
        <v>2014</v>
      </c>
      <c r="H7411" s="410" t="s">
        <v>4930</v>
      </c>
      <c r="I7411" s="409" t="s">
        <v>3243</v>
      </c>
      <c r="J7411" s="496">
        <v>0.125</v>
      </c>
      <c r="K7411" s="496">
        <v>9.1999999999999998E-2</v>
      </c>
      <c r="L7411" s="496">
        <f t="shared" si="96"/>
        <v>3.3000000000000002E-2</v>
      </c>
      <c r="M7411" s="337"/>
    </row>
    <row r="7412" spans="1:13" s="71" customFormat="1" ht="26.4" customHeight="1">
      <c r="A7412" s="282">
        <v>773</v>
      </c>
      <c r="B7412" s="537"/>
      <c r="C7412" s="441" t="s">
        <v>9099</v>
      </c>
      <c r="D7412" s="260" t="s">
        <v>9253</v>
      </c>
      <c r="E7412" s="282" t="s">
        <v>2660</v>
      </c>
      <c r="F7412" s="387">
        <v>507280</v>
      </c>
      <c r="G7412" s="443">
        <v>2014</v>
      </c>
      <c r="H7412" s="410" t="s">
        <v>4930</v>
      </c>
      <c r="I7412" s="409" t="s">
        <v>3243</v>
      </c>
      <c r="J7412" s="496">
        <v>0.125</v>
      </c>
      <c r="K7412" s="496">
        <v>9.1999999999999998E-2</v>
      </c>
      <c r="L7412" s="496">
        <f t="shared" si="96"/>
        <v>3.3000000000000002E-2</v>
      </c>
      <c r="M7412" s="337"/>
    </row>
    <row r="7413" spans="1:13" s="71" customFormat="1" ht="26.4" customHeight="1">
      <c r="A7413" s="282">
        <v>774</v>
      </c>
      <c r="B7413" s="537"/>
      <c r="C7413" s="441" t="s">
        <v>9099</v>
      </c>
      <c r="D7413" s="260" t="s">
        <v>9254</v>
      </c>
      <c r="E7413" s="282" t="s">
        <v>2660</v>
      </c>
      <c r="F7413" s="387">
        <v>507281</v>
      </c>
      <c r="G7413" s="443">
        <v>2014</v>
      </c>
      <c r="H7413" s="410" t="s">
        <v>4930</v>
      </c>
      <c r="I7413" s="409" t="s">
        <v>3243</v>
      </c>
      <c r="J7413" s="496">
        <v>0.125</v>
      </c>
      <c r="K7413" s="496">
        <v>9.1999999999999998E-2</v>
      </c>
      <c r="L7413" s="496">
        <f t="shared" si="96"/>
        <v>3.3000000000000002E-2</v>
      </c>
      <c r="M7413" s="337"/>
    </row>
    <row r="7414" spans="1:13" s="71" customFormat="1" ht="26.4" customHeight="1">
      <c r="A7414" s="282">
        <v>775</v>
      </c>
      <c r="B7414" s="537"/>
      <c r="C7414" s="441" t="s">
        <v>9099</v>
      </c>
      <c r="D7414" s="260" t="s">
        <v>12888</v>
      </c>
      <c r="E7414" s="282" t="s">
        <v>2660</v>
      </c>
      <c r="F7414" s="387">
        <v>507282</v>
      </c>
      <c r="G7414" s="443">
        <v>2014</v>
      </c>
      <c r="H7414" s="410" t="s">
        <v>4930</v>
      </c>
      <c r="I7414" s="409" t="s">
        <v>3243</v>
      </c>
      <c r="J7414" s="496">
        <v>0.125</v>
      </c>
      <c r="K7414" s="496">
        <v>9.1999999999999998E-2</v>
      </c>
      <c r="L7414" s="496">
        <f t="shared" si="96"/>
        <v>3.3000000000000002E-2</v>
      </c>
      <c r="M7414" s="337"/>
    </row>
    <row r="7415" spans="1:13" s="71" customFormat="1" ht="26.4" customHeight="1">
      <c r="A7415" s="282">
        <v>776</v>
      </c>
      <c r="B7415" s="537"/>
      <c r="C7415" s="441" t="s">
        <v>9099</v>
      </c>
      <c r="D7415" s="260" t="s">
        <v>9255</v>
      </c>
      <c r="E7415" s="282" t="s">
        <v>2660</v>
      </c>
      <c r="F7415" s="387">
        <v>507283</v>
      </c>
      <c r="G7415" s="443">
        <v>2014</v>
      </c>
      <c r="H7415" s="410" t="s">
        <v>4930</v>
      </c>
      <c r="I7415" s="409" t="s">
        <v>3243</v>
      </c>
      <c r="J7415" s="496">
        <v>0.125</v>
      </c>
      <c r="K7415" s="496">
        <v>9.1999999999999998E-2</v>
      </c>
      <c r="L7415" s="496">
        <f t="shared" si="96"/>
        <v>3.3000000000000002E-2</v>
      </c>
      <c r="M7415" s="337"/>
    </row>
    <row r="7416" spans="1:13" s="71" customFormat="1" ht="26.4" customHeight="1">
      <c r="A7416" s="282">
        <v>777</v>
      </c>
      <c r="B7416" s="537"/>
      <c r="C7416" s="441" t="s">
        <v>9099</v>
      </c>
      <c r="D7416" s="260" t="s">
        <v>9256</v>
      </c>
      <c r="E7416" s="282" t="s">
        <v>2660</v>
      </c>
      <c r="F7416" s="387">
        <v>507284</v>
      </c>
      <c r="G7416" s="443">
        <v>2014</v>
      </c>
      <c r="H7416" s="410" t="s">
        <v>4930</v>
      </c>
      <c r="I7416" s="409" t="s">
        <v>3243</v>
      </c>
      <c r="J7416" s="496">
        <v>0.125</v>
      </c>
      <c r="K7416" s="496">
        <v>9.1999999999999998E-2</v>
      </c>
      <c r="L7416" s="496">
        <f t="shared" si="96"/>
        <v>3.3000000000000002E-2</v>
      </c>
      <c r="M7416" s="337"/>
    </row>
    <row r="7417" spans="1:13" s="71" customFormat="1" ht="26.4" customHeight="1">
      <c r="A7417" s="282">
        <v>778</v>
      </c>
      <c r="B7417" s="537"/>
      <c r="C7417" s="441" t="s">
        <v>9099</v>
      </c>
      <c r="D7417" s="260" t="s">
        <v>9257</v>
      </c>
      <c r="E7417" s="282" t="s">
        <v>2660</v>
      </c>
      <c r="F7417" s="387">
        <v>507285</v>
      </c>
      <c r="G7417" s="443">
        <v>2014</v>
      </c>
      <c r="H7417" s="410" t="s">
        <v>4930</v>
      </c>
      <c r="I7417" s="409" t="s">
        <v>3243</v>
      </c>
      <c r="J7417" s="496">
        <v>0.125</v>
      </c>
      <c r="K7417" s="496">
        <v>9.1999999999999998E-2</v>
      </c>
      <c r="L7417" s="496">
        <f t="shared" si="96"/>
        <v>3.3000000000000002E-2</v>
      </c>
      <c r="M7417" s="337"/>
    </row>
    <row r="7418" spans="1:13" s="71" customFormat="1" ht="26.4" customHeight="1">
      <c r="A7418" s="282">
        <v>779</v>
      </c>
      <c r="B7418" s="537"/>
      <c r="C7418" s="441" t="s">
        <v>9099</v>
      </c>
      <c r="D7418" s="260" t="s">
        <v>9258</v>
      </c>
      <c r="E7418" s="282" t="s">
        <v>2660</v>
      </c>
      <c r="F7418" s="387">
        <v>507286</v>
      </c>
      <c r="G7418" s="443">
        <v>2014</v>
      </c>
      <c r="H7418" s="410" t="s">
        <v>4930</v>
      </c>
      <c r="I7418" s="409" t="s">
        <v>3243</v>
      </c>
      <c r="J7418" s="496">
        <v>0.125</v>
      </c>
      <c r="K7418" s="496">
        <v>9.1999999999999998E-2</v>
      </c>
      <c r="L7418" s="496">
        <f t="shared" si="96"/>
        <v>3.3000000000000002E-2</v>
      </c>
      <c r="M7418" s="337"/>
    </row>
    <row r="7419" spans="1:13" s="71" customFormat="1" ht="26.4" customHeight="1">
      <c r="A7419" s="282">
        <v>780</v>
      </c>
      <c r="B7419" s="537"/>
      <c r="C7419" s="441" t="s">
        <v>9099</v>
      </c>
      <c r="D7419" s="260" t="s">
        <v>9259</v>
      </c>
      <c r="E7419" s="282" t="s">
        <v>2660</v>
      </c>
      <c r="F7419" s="387">
        <v>507287</v>
      </c>
      <c r="G7419" s="443">
        <v>2014</v>
      </c>
      <c r="H7419" s="410" t="s">
        <v>4930</v>
      </c>
      <c r="I7419" s="409" t="s">
        <v>3243</v>
      </c>
      <c r="J7419" s="496">
        <v>0.125</v>
      </c>
      <c r="K7419" s="496">
        <v>9.1999999999999998E-2</v>
      </c>
      <c r="L7419" s="496">
        <f t="shared" si="96"/>
        <v>3.3000000000000002E-2</v>
      </c>
      <c r="M7419" s="337"/>
    </row>
    <row r="7420" spans="1:13" s="71" customFormat="1" ht="26.4" customHeight="1">
      <c r="A7420" s="282">
        <v>781</v>
      </c>
      <c r="B7420" s="537"/>
      <c r="C7420" s="441" t="s">
        <v>9099</v>
      </c>
      <c r="D7420" s="260" t="s">
        <v>9260</v>
      </c>
      <c r="E7420" s="282" t="s">
        <v>2660</v>
      </c>
      <c r="F7420" s="387">
        <v>507288</v>
      </c>
      <c r="G7420" s="443">
        <v>2014</v>
      </c>
      <c r="H7420" s="410" t="s">
        <v>4930</v>
      </c>
      <c r="I7420" s="409" t="s">
        <v>3243</v>
      </c>
      <c r="J7420" s="496">
        <v>0.125</v>
      </c>
      <c r="K7420" s="496">
        <v>9.1999999999999998E-2</v>
      </c>
      <c r="L7420" s="496">
        <f t="shared" si="96"/>
        <v>3.3000000000000002E-2</v>
      </c>
      <c r="M7420" s="337"/>
    </row>
    <row r="7421" spans="1:13" s="71" customFormat="1" ht="26.4" customHeight="1">
      <c r="A7421" s="282">
        <v>782</v>
      </c>
      <c r="B7421" s="537"/>
      <c r="C7421" s="441" t="s">
        <v>9099</v>
      </c>
      <c r="D7421" s="260" t="s">
        <v>9261</v>
      </c>
      <c r="E7421" s="282" t="s">
        <v>2660</v>
      </c>
      <c r="F7421" s="387">
        <v>507289</v>
      </c>
      <c r="G7421" s="443">
        <v>2014</v>
      </c>
      <c r="H7421" s="410" t="s">
        <v>4930</v>
      </c>
      <c r="I7421" s="409" t="s">
        <v>3243</v>
      </c>
      <c r="J7421" s="496">
        <v>0.125</v>
      </c>
      <c r="K7421" s="496">
        <v>9.1999999999999998E-2</v>
      </c>
      <c r="L7421" s="496">
        <f t="shared" si="96"/>
        <v>3.3000000000000002E-2</v>
      </c>
      <c r="M7421" s="337"/>
    </row>
    <row r="7422" spans="1:13" s="71" customFormat="1" ht="26.4" customHeight="1">
      <c r="A7422" s="282">
        <v>783</v>
      </c>
      <c r="B7422" s="537"/>
      <c r="C7422" s="441" t="s">
        <v>9099</v>
      </c>
      <c r="D7422" s="260" t="s">
        <v>9262</v>
      </c>
      <c r="E7422" s="282" t="s">
        <v>2660</v>
      </c>
      <c r="F7422" s="387">
        <v>507290</v>
      </c>
      <c r="G7422" s="443">
        <v>2014</v>
      </c>
      <c r="H7422" s="410" t="s">
        <v>4930</v>
      </c>
      <c r="I7422" s="409" t="s">
        <v>3243</v>
      </c>
      <c r="J7422" s="496">
        <v>0.125</v>
      </c>
      <c r="K7422" s="496">
        <v>9.1999999999999998E-2</v>
      </c>
      <c r="L7422" s="496">
        <f t="shared" si="96"/>
        <v>3.3000000000000002E-2</v>
      </c>
      <c r="M7422" s="337"/>
    </row>
    <row r="7423" spans="1:13" s="71" customFormat="1" ht="26.4" customHeight="1">
      <c r="A7423" s="282">
        <v>784</v>
      </c>
      <c r="B7423" s="537"/>
      <c r="C7423" s="441" t="s">
        <v>9099</v>
      </c>
      <c r="D7423" s="260" t="s">
        <v>9263</v>
      </c>
      <c r="E7423" s="282" t="s">
        <v>2660</v>
      </c>
      <c r="F7423" s="387">
        <v>507291</v>
      </c>
      <c r="G7423" s="443">
        <v>2014</v>
      </c>
      <c r="H7423" s="410" t="s">
        <v>4930</v>
      </c>
      <c r="I7423" s="409" t="s">
        <v>3243</v>
      </c>
      <c r="J7423" s="496">
        <v>0.125</v>
      </c>
      <c r="K7423" s="496">
        <v>9.1999999999999998E-2</v>
      </c>
      <c r="L7423" s="496">
        <f t="shared" si="96"/>
        <v>3.3000000000000002E-2</v>
      </c>
      <c r="M7423" s="337"/>
    </row>
    <row r="7424" spans="1:13" s="71" customFormat="1" ht="26.4" customHeight="1">
      <c r="A7424" s="282">
        <v>785</v>
      </c>
      <c r="B7424" s="537"/>
      <c r="C7424" s="441" t="s">
        <v>9099</v>
      </c>
      <c r="D7424" s="260" t="s">
        <v>9264</v>
      </c>
      <c r="E7424" s="282" t="s">
        <v>2660</v>
      </c>
      <c r="F7424" s="387">
        <v>507292</v>
      </c>
      <c r="G7424" s="443">
        <v>2014</v>
      </c>
      <c r="H7424" s="410" t="s">
        <v>4930</v>
      </c>
      <c r="I7424" s="409" t="s">
        <v>3243</v>
      </c>
      <c r="J7424" s="496">
        <v>0.125</v>
      </c>
      <c r="K7424" s="496">
        <v>9.1999999999999998E-2</v>
      </c>
      <c r="L7424" s="496">
        <f t="shared" si="96"/>
        <v>3.3000000000000002E-2</v>
      </c>
      <c r="M7424" s="337"/>
    </row>
    <row r="7425" spans="1:13" s="71" customFormat="1" ht="26.4" customHeight="1">
      <c r="A7425" s="282">
        <v>786</v>
      </c>
      <c r="B7425" s="537"/>
      <c r="C7425" s="441" t="s">
        <v>9099</v>
      </c>
      <c r="D7425" s="260" t="s">
        <v>9265</v>
      </c>
      <c r="E7425" s="282" t="s">
        <v>2660</v>
      </c>
      <c r="F7425" s="387">
        <v>507293</v>
      </c>
      <c r="G7425" s="443">
        <v>2014</v>
      </c>
      <c r="H7425" s="410" t="s">
        <v>4930</v>
      </c>
      <c r="I7425" s="409" t="s">
        <v>3243</v>
      </c>
      <c r="J7425" s="496">
        <v>0.125</v>
      </c>
      <c r="K7425" s="496">
        <v>9.1999999999999998E-2</v>
      </c>
      <c r="L7425" s="496">
        <f t="shared" si="96"/>
        <v>3.3000000000000002E-2</v>
      </c>
      <c r="M7425" s="337"/>
    </row>
    <row r="7426" spans="1:13" s="71" customFormat="1" ht="26.4" customHeight="1">
      <c r="A7426" s="282">
        <v>787</v>
      </c>
      <c r="B7426" s="537"/>
      <c r="C7426" s="441" t="s">
        <v>9099</v>
      </c>
      <c r="D7426" s="260" t="s">
        <v>9266</v>
      </c>
      <c r="E7426" s="282" t="s">
        <v>2660</v>
      </c>
      <c r="F7426" s="387">
        <v>507294</v>
      </c>
      <c r="G7426" s="443">
        <v>2014</v>
      </c>
      <c r="H7426" s="410" t="s">
        <v>4930</v>
      </c>
      <c r="I7426" s="409" t="s">
        <v>3243</v>
      </c>
      <c r="J7426" s="496">
        <v>0.125</v>
      </c>
      <c r="K7426" s="496">
        <v>9.1999999999999998E-2</v>
      </c>
      <c r="L7426" s="496">
        <f t="shared" si="96"/>
        <v>3.3000000000000002E-2</v>
      </c>
      <c r="M7426" s="337"/>
    </row>
    <row r="7427" spans="1:13" s="71" customFormat="1" ht="26.4" customHeight="1">
      <c r="A7427" s="282">
        <v>788</v>
      </c>
      <c r="B7427" s="537"/>
      <c r="C7427" s="441" t="s">
        <v>9099</v>
      </c>
      <c r="D7427" s="260" t="s">
        <v>9267</v>
      </c>
      <c r="E7427" s="282" t="s">
        <v>2660</v>
      </c>
      <c r="F7427" s="387">
        <v>507295</v>
      </c>
      <c r="G7427" s="443">
        <v>2014</v>
      </c>
      <c r="H7427" s="410" t="s">
        <v>4930</v>
      </c>
      <c r="I7427" s="409" t="s">
        <v>3243</v>
      </c>
      <c r="J7427" s="496">
        <v>0.125</v>
      </c>
      <c r="K7427" s="496">
        <v>9.1999999999999998E-2</v>
      </c>
      <c r="L7427" s="496">
        <f t="shared" si="96"/>
        <v>3.3000000000000002E-2</v>
      </c>
      <c r="M7427" s="337"/>
    </row>
    <row r="7428" spans="1:13" s="71" customFormat="1" ht="26.4" customHeight="1">
      <c r="A7428" s="282">
        <v>789</v>
      </c>
      <c r="B7428" s="537"/>
      <c r="C7428" s="441" t="s">
        <v>9099</v>
      </c>
      <c r="D7428" s="260" t="s">
        <v>9239</v>
      </c>
      <c r="E7428" s="282" t="s">
        <v>2660</v>
      </c>
      <c r="F7428" s="387">
        <v>507296</v>
      </c>
      <c r="G7428" s="443">
        <v>2014</v>
      </c>
      <c r="H7428" s="410" t="s">
        <v>4930</v>
      </c>
      <c r="I7428" s="409" t="s">
        <v>3243</v>
      </c>
      <c r="J7428" s="496">
        <v>0.125</v>
      </c>
      <c r="K7428" s="496">
        <v>9.1999999999999998E-2</v>
      </c>
      <c r="L7428" s="496">
        <f t="shared" si="96"/>
        <v>3.3000000000000002E-2</v>
      </c>
      <c r="M7428" s="337"/>
    </row>
    <row r="7429" spans="1:13" s="71" customFormat="1" ht="26.4" customHeight="1">
      <c r="A7429" s="282">
        <v>790</v>
      </c>
      <c r="B7429" s="537"/>
      <c r="C7429" s="441" t="s">
        <v>9099</v>
      </c>
      <c r="D7429" s="260" t="s">
        <v>9268</v>
      </c>
      <c r="E7429" s="282" t="s">
        <v>2660</v>
      </c>
      <c r="F7429" s="387">
        <v>507297</v>
      </c>
      <c r="G7429" s="443">
        <v>2014</v>
      </c>
      <c r="H7429" s="410" t="s">
        <v>4930</v>
      </c>
      <c r="I7429" s="409" t="s">
        <v>3243</v>
      </c>
      <c r="J7429" s="496">
        <v>0.125</v>
      </c>
      <c r="K7429" s="496">
        <v>9.1999999999999998E-2</v>
      </c>
      <c r="L7429" s="496">
        <f t="shared" si="96"/>
        <v>3.3000000000000002E-2</v>
      </c>
      <c r="M7429" s="337"/>
    </row>
    <row r="7430" spans="1:13" s="71" customFormat="1" ht="26.4" customHeight="1">
      <c r="A7430" s="282">
        <v>791</v>
      </c>
      <c r="B7430" s="537"/>
      <c r="C7430" s="441" t="s">
        <v>9099</v>
      </c>
      <c r="D7430" s="260" t="s">
        <v>9269</v>
      </c>
      <c r="E7430" s="282" t="s">
        <v>2660</v>
      </c>
      <c r="F7430" s="387">
        <v>507298</v>
      </c>
      <c r="G7430" s="443">
        <v>2014</v>
      </c>
      <c r="H7430" s="410" t="s">
        <v>4930</v>
      </c>
      <c r="I7430" s="409" t="s">
        <v>3243</v>
      </c>
      <c r="J7430" s="496">
        <v>0.125</v>
      </c>
      <c r="K7430" s="496">
        <v>9.1999999999999998E-2</v>
      </c>
      <c r="L7430" s="496">
        <f t="shared" si="96"/>
        <v>3.3000000000000002E-2</v>
      </c>
      <c r="M7430" s="337"/>
    </row>
    <row r="7431" spans="1:13" s="71" customFormat="1" ht="26.4" customHeight="1">
      <c r="A7431" s="282">
        <v>792</v>
      </c>
      <c r="B7431" s="537"/>
      <c r="C7431" s="441" t="s">
        <v>9099</v>
      </c>
      <c r="D7431" s="260" t="s">
        <v>9270</v>
      </c>
      <c r="E7431" s="282" t="s">
        <v>2660</v>
      </c>
      <c r="F7431" s="387">
        <v>507299</v>
      </c>
      <c r="G7431" s="443">
        <v>2014</v>
      </c>
      <c r="H7431" s="410" t="s">
        <v>4930</v>
      </c>
      <c r="I7431" s="409" t="s">
        <v>3243</v>
      </c>
      <c r="J7431" s="496">
        <v>0.125</v>
      </c>
      <c r="K7431" s="496">
        <v>9.1999999999999998E-2</v>
      </c>
      <c r="L7431" s="496">
        <f t="shared" si="96"/>
        <v>3.3000000000000002E-2</v>
      </c>
      <c r="M7431" s="337"/>
    </row>
    <row r="7432" spans="1:13" s="71" customFormat="1" ht="26.4" customHeight="1">
      <c r="A7432" s="282">
        <v>793</v>
      </c>
      <c r="B7432" s="537"/>
      <c r="C7432" s="441" t="s">
        <v>9099</v>
      </c>
      <c r="D7432" s="260" t="s">
        <v>9271</v>
      </c>
      <c r="E7432" s="282" t="s">
        <v>2660</v>
      </c>
      <c r="F7432" s="387">
        <v>507300</v>
      </c>
      <c r="G7432" s="443">
        <v>2014</v>
      </c>
      <c r="H7432" s="410" t="s">
        <v>4930</v>
      </c>
      <c r="I7432" s="409" t="s">
        <v>3243</v>
      </c>
      <c r="J7432" s="496">
        <v>0.125</v>
      </c>
      <c r="K7432" s="496">
        <v>9.1999999999999998E-2</v>
      </c>
      <c r="L7432" s="496">
        <f t="shared" si="96"/>
        <v>3.3000000000000002E-2</v>
      </c>
      <c r="M7432" s="337"/>
    </row>
    <row r="7433" spans="1:13" s="71" customFormat="1" ht="26.4" customHeight="1">
      <c r="A7433" s="282">
        <v>794</v>
      </c>
      <c r="B7433" s="537"/>
      <c r="C7433" s="441" t="s">
        <v>9099</v>
      </c>
      <c r="D7433" s="260" t="s">
        <v>9272</v>
      </c>
      <c r="E7433" s="282" t="s">
        <v>2660</v>
      </c>
      <c r="F7433" s="387">
        <v>507301</v>
      </c>
      <c r="G7433" s="443">
        <v>2014</v>
      </c>
      <c r="H7433" s="410" t="s">
        <v>4930</v>
      </c>
      <c r="I7433" s="409" t="s">
        <v>3243</v>
      </c>
      <c r="J7433" s="496">
        <v>0.125</v>
      </c>
      <c r="K7433" s="496">
        <v>9.1999999999999998E-2</v>
      </c>
      <c r="L7433" s="496">
        <f t="shared" si="96"/>
        <v>3.3000000000000002E-2</v>
      </c>
      <c r="M7433" s="337"/>
    </row>
    <row r="7434" spans="1:13" s="71" customFormat="1" ht="26.4" customHeight="1">
      <c r="A7434" s="282">
        <v>795</v>
      </c>
      <c r="B7434" s="537"/>
      <c r="C7434" s="441" t="s">
        <v>9099</v>
      </c>
      <c r="D7434" s="260" t="s">
        <v>9273</v>
      </c>
      <c r="E7434" s="282" t="s">
        <v>2660</v>
      </c>
      <c r="F7434" s="387">
        <v>507302</v>
      </c>
      <c r="G7434" s="443">
        <v>2014</v>
      </c>
      <c r="H7434" s="410" t="s">
        <v>4930</v>
      </c>
      <c r="I7434" s="409" t="s">
        <v>3243</v>
      </c>
      <c r="J7434" s="496">
        <v>0.125</v>
      </c>
      <c r="K7434" s="496">
        <v>9.1999999999999998E-2</v>
      </c>
      <c r="L7434" s="496">
        <f t="shared" si="96"/>
        <v>3.3000000000000002E-2</v>
      </c>
      <c r="M7434" s="337"/>
    </row>
    <row r="7435" spans="1:13" s="71" customFormat="1" ht="26.4" customHeight="1">
      <c r="A7435" s="282">
        <v>796</v>
      </c>
      <c r="B7435" s="537"/>
      <c r="C7435" s="441" t="s">
        <v>9099</v>
      </c>
      <c r="D7435" s="260" t="s">
        <v>9274</v>
      </c>
      <c r="E7435" s="282" t="s">
        <v>2660</v>
      </c>
      <c r="F7435" s="387">
        <v>507303</v>
      </c>
      <c r="G7435" s="443">
        <v>2014</v>
      </c>
      <c r="H7435" s="410" t="s">
        <v>4930</v>
      </c>
      <c r="I7435" s="409" t="s">
        <v>3243</v>
      </c>
      <c r="J7435" s="496">
        <v>0.125</v>
      </c>
      <c r="K7435" s="496">
        <v>9.1999999999999998E-2</v>
      </c>
      <c r="L7435" s="496">
        <f t="shared" si="96"/>
        <v>3.3000000000000002E-2</v>
      </c>
      <c r="M7435" s="337"/>
    </row>
    <row r="7436" spans="1:13" s="71" customFormat="1" ht="26.4" customHeight="1">
      <c r="A7436" s="282">
        <v>797</v>
      </c>
      <c r="B7436" s="537"/>
      <c r="C7436" s="441" t="s">
        <v>9099</v>
      </c>
      <c r="D7436" s="260" t="s">
        <v>9275</v>
      </c>
      <c r="E7436" s="282" t="s">
        <v>2660</v>
      </c>
      <c r="F7436" s="387">
        <v>507304</v>
      </c>
      <c r="G7436" s="443">
        <v>2014</v>
      </c>
      <c r="H7436" s="410" t="s">
        <v>4930</v>
      </c>
      <c r="I7436" s="409" t="s">
        <v>3243</v>
      </c>
      <c r="J7436" s="496">
        <v>0.125</v>
      </c>
      <c r="K7436" s="496">
        <v>9.1999999999999998E-2</v>
      </c>
      <c r="L7436" s="496">
        <f t="shared" si="96"/>
        <v>3.3000000000000002E-2</v>
      </c>
      <c r="M7436" s="337"/>
    </row>
    <row r="7437" spans="1:13" s="71" customFormat="1" ht="26.4" customHeight="1">
      <c r="A7437" s="282">
        <v>798</v>
      </c>
      <c r="B7437" s="537"/>
      <c r="C7437" s="441" t="s">
        <v>9099</v>
      </c>
      <c r="D7437" s="260" t="s">
        <v>9276</v>
      </c>
      <c r="E7437" s="439" t="s">
        <v>2660</v>
      </c>
      <c r="F7437" s="393">
        <v>507305</v>
      </c>
      <c r="G7437" s="443">
        <v>2014</v>
      </c>
      <c r="H7437" s="410" t="s">
        <v>4930</v>
      </c>
      <c r="I7437" s="409" t="s">
        <v>3243</v>
      </c>
      <c r="J7437" s="496">
        <v>0.125</v>
      </c>
      <c r="K7437" s="496">
        <v>9.1999999999999998E-2</v>
      </c>
      <c r="L7437" s="496">
        <f t="shared" si="96"/>
        <v>3.3000000000000002E-2</v>
      </c>
      <c r="M7437" s="337"/>
    </row>
    <row r="7438" spans="1:13" s="71" customFormat="1" ht="26.4" customHeight="1">
      <c r="A7438" s="282">
        <v>799</v>
      </c>
      <c r="B7438" s="537"/>
      <c r="C7438" s="441" t="s">
        <v>19</v>
      </c>
      <c r="D7438" s="441" t="s">
        <v>9277</v>
      </c>
      <c r="E7438" s="441" t="s">
        <v>9278</v>
      </c>
      <c r="F7438" s="442">
        <v>2058</v>
      </c>
      <c r="G7438" s="443">
        <v>1956</v>
      </c>
      <c r="H7438" s="489" t="s">
        <v>1149</v>
      </c>
      <c r="I7438" s="409">
        <v>848.9</v>
      </c>
      <c r="J7438" s="495">
        <v>16.241</v>
      </c>
      <c r="K7438" s="495">
        <v>11.579000000000001</v>
      </c>
      <c r="L7438" s="496">
        <f t="shared" si="96"/>
        <v>4.661999999999999</v>
      </c>
      <c r="M7438" s="337"/>
    </row>
    <row r="7439" spans="1:13" s="71" customFormat="1" ht="26.4" customHeight="1">
      <c r="A7439" s="282">
        <v>800</v>
      </c>
      <c r="B7439" s="537"/>
      <c r="C7439" s="441" t="s">
        <v>19</v>
      </c>
      <c r="D7439" s="441" t="s">
        <v>9277</v>
      </c>
      <c r="E7439" s="441" t="s">
        <v>9279</v>
      </c>
      <c r="F7439" s="442">
        <v>62</v>
      </c>
      <c r="G7439" s="443">
        <v>2005</v>
      </c>
      <c r="H7439" s="489" t="s">
        <v>1149</v>
      </c>
      <c r="I7439" s="409">
        <v>107.2</v>
      </c>
      <c r="J7439" s="495">
        <v>35.296999999999997</v>
      </c>
      <c r="K7439" s="495">
        <v>17.126999999999999</v>
      </c>
      <c r="L7439" s="496">
        <f t="shared" si="96"/>
        <v>18.169999999999998</v>
      </c>
      <c r="M7439" s="337"/>
    </row>
    <row r="7440" spans="1:13" s="71" customFormat="1" ht="26.4" customHeight="1">
      <c r="A7440" s="282">
        <v>801</v>
      </c>
      <c r="B7440" s="537"/>
      <c r="C7440" s="441" t="s">
        <v>19</v>
      </c>
      <c r="D7440" s="441" t="s">
        <v>9277</v>
      </c>
      <c r="E7440" s="441" t="s">
        <v>9280</v>
      </c>
      <c r="F7440" s="442">
        <v>2072</v>
      </c>
      <c r="G7440" s="443">
        <v>1999</v>
      </c>
      <c r="H7440" s="489" t="s">
        <v>1149</v>
      </c>
      <c r="I7440" s="409">
        <v>79.8</v>
      </c>
      <c r="J7440" s="495">
        <v>1.2</v>
      </c>
      <c r="K7440" s="495">
        <v>0.85499999999999998</v>
      </c>
      <c r="L7440" s="496">
        <f t="shared" si="96"/>
        <v>0.34499999999999997</v>
      </c>
      <c r="M7440" s="337"/>
    </row>
    <row r="7441" spans="1:13" s="71" customFormat="1" ht="26.4" customHeight="1">
      <c r="A7441" s="282">
        <v>802</v>
      </c>
      <c r="B7441" s="537"/>
      <c r="C7441" s="441" t="s">
        <v>19</v>
      </c>
      <c r="D7441" s="441" t="s">
        <v>9281</v>
      </c>
      <c r="E7441" s="441" t="s">
        <v>9282</v>
      </c>
      <c r="F7441" s="442">
        <v>600</v>
      </c>
      <c r="G7441" s="443">
        <v>1965</v>
      </c>
      <c r="H7441" s="489" t="s">
        <v>1149</v>
      </c>
      <c r="I7441" s="409">
        <v>121.7</v>
      </c>
      <c r="J7441" s="495">
        <v>155.41300000000001</v>
      </c>
      <c r="K7441" s="495">
        <v>129.571</v>
      </c>
      <c r="L7441" s="496">
        <f t="shared" si="96"/>
        <v>25.842000000000013</v>
      </c>
      <c r="M7441" s="337"/>
    </row>
    <row r="7442" spans="1:13" s="71" customFormat="1" ht="26.4" customHeight="1">
      <c r="A7442" s="282">
        <v>803</v>
      </c>
      <c r="B7442" s="537"/>
      <c r="C7442" s="441" t="s">
        <v>19</v>
      </c>
      <c r="D7442" s="441" t="s">
        <v>9281</v>
      </c>
      <c r="E7442" s="441" t="s">
        <v>9283</v>
      </c>
      <c r="F7442" s="442">
        <v>597</v>
      </c>
      <c r="G7442" s="443">
        <v>1965</v>
      </c>
      <c r="H7442" s="489" t="s">
        <v>1136</v>
      </c>
      <c r="I7442" s="409">
        <v>672</v>
      </c>
      <c r="J7442" s="495">
        <v>163.786</v>
      </c>
      <c r="K7442" s="495">
        <v>151.398</v>
      </c>
      <c r="L7442" s="496">
        <f t="shared" si="96"/>
        <v>12.388000000000005</v>
      </c>
      <c r="M7442" s="337"/>
    </row>
    <row r="7443" spans="1:13" s="71" customFormat="1" ht="26.4" customHeight="1">
      <c r="A7443" s="282">
        <v>804</v>
      </c>
      <c r="B7443" s="537"/>
      <c r="C7443" s="441" t="s">
        <v>19</v>
      </c>
      <c r="D7443" s="441" t="s">
        <v>9281</v>
      </c>
      <c r="E7443" s="441" t="s">
        <v>1079</v>
      </c>
      <c r="F7443" s="442">
        <v>594</v>
      </c>
      <c r="G7443" s="443">
        <v>1965</v>
      </c>
      <c r="H7443" s="489" t="s">
        <v>1149</v>
      </c>
      <c r="I7443" s="409">
        <v>19.899999999999999</v>
      </c>
      <c r="J7443" s="495">
        <v>4.9000000000000004</v>
      </c>
      <c r="K7443" s="495">
        <v>4.4960000000000004</v>
      </c>
      <c r="L7443" s="496">
        <f t="shared" si="96"/>
        <v>0.40399999999999991</v>
      </c>
      <c r="M7443" s="337"/>
    </row>
    <row r="7444" spans="1:13" s="71" customFormat="1" ht="26.4" customHeight="1">
      <c r="A7444" s="282">
        <v>805</v>
      </c>
      <c r="B7444" s="537"/>
      <c r="C7444" s="441" t="s">
        <v>19</v>
      </c>
      <c r="D7444" s="441" t="s">
        <v>9281</v>
      </c>
      <c r="E7444" s="441" t="s">
        <v>9284</v>
      </c>
      <c r="F7444" s="442">
        <v>4014</v>
      </c>
      <c r="G7444" s="443">
        <v>1965</v>
      </c>
      <c r="H7444" s="489" t="s">
        <v>1149</v>
      </c>
      <c r="I7444" s="409">
        <v>23.8</v>
      </c>
      <c r="J7444" s="495">
        <v>27.952999999999999</v>
      </c>
      <c r="K7444" s="495">
        <v>25.85</v>
      </c>
      <c r="L7444" s="496">
        <f t="shared" si="96"/>
        <v>2.102999999999998</v>
      </c>
      <c r="M7444" s="337"/>
    </row>
    <row r="7445" spans="1:13" s="71" customFormat="1" ht="26.4" customHeight="1">
      <c r="A7445" s="282">
        <v>806</v>
      </c>
      <c r="B7445" s="537"/>
      <c r="C7445" s="441" t="s">
        <v>19</v>
      </c>
      <c r="D7445" s="441" t="s">
        <v>9281</v>
      </c>
      <c r="E7445" s="441" t="s">
        <v>9285</v>
      </c>
      <c r="F7445" s="442">
        <v>119</v>
      </c>
      <c r="G7445" s="443">
        <v>2009</v>
      </c>
      <c r="H7445" s="489" t="s">
        <v>1136</v>
      </c>
      <c r="I7445" s="409">
        <v>7.5</v>
      </c>
      <c r="J7445" s="495">
        <v>1.5</v>
      </c>
      <c r="K7445" s="495">
        <v>0.42899999999999999</v>
      </c>
      <c r="L7445" s="496">
        <f t="shared" si="96"/>
        <v>1.071</v>
      </c>
      <c r="M7445" s="337"/>
    </row>
    <row r="7446" spans="1:13" s="71" customFormat="1" ht="26.4" customHeight="1">
      <c r="A7446" s="282">
        <v>807</v>
      </c>
      <c r="B7446" s="537"/>
      <c r="C7446" s="441" t="s">
        <v>19</v>
      </c>
      <c r="D7446" s="441" t="s">
        <v>9281</v>
      </c>
      <c r="E7446" s="441" t="s">
        <v>9285</v>
      </c>
      <c r="F7446" s="442">
        <v>120</v>
      </c>
      <c r="G7446" s="443">
        <v>2009</v>
      </c>
      <c r="H7446" s="489" t="s">
        <v>1136</v>
      </c>
      <c r="I7446" s="409">
        <v>7.5</v>
      </c>
      <c r="J7446" s="495">
        <v>1.5</v>
      </c>
      <c r="K7446" s="495">
        <v>0.42899999999999999</v>
      </c>
      <c r="L7446" s="496">
        <f t="shared" si="96"/>
        <v>1.071</v>
      </c>
      <c r="M7446" s="337"/>
    </row>
    <row r="7447" spans="1:13" s="71" customFormat="1" ht="26.4" customHeight="1">
      <c r="A7447" s="282">
        <v>808</v>
      </c>
      <c r="B7447" s="537"/>
      <c r="C7447" s="441" t="s">
        <v>19</v>
      </c>
      <c r="D7447" s="441" t="s">
        <v>9281</v>
      </c>
      <c r="E7447" s="441" t="s">
        <v>9286</v>
      </c>
      <c r="F7447" s="442">
        <v>596</v>
      </c>
      <c r="G7447" s="443">
        <v>1965</v>
      </c>
      <c r="H7447" s="489" t="s">
        <v>1149</v>
      </c>
      <c r="I7447" s="409">
        <v>4.5999999999999996</v>
      </c>
      <c r="J7447" s="495">
        <v>0.247</v>
      </c>
      <c r="K7447" s="495">
        <v>0.23100000000000001</v>
      </c>
      <c r="L7447" s="496">
        <f t="shared" si="96"/>
        <v>1.5999999999999986E-2</v>
      </c>
      <c r="M7447" s="337"/>
    </row>
    <row r="7448" spans="1:13" s="71" customFormat="1" ht="26.4" customHeight="1">
      <c r="A7448" s="282">
        <v>809</v>
      </c>
      <c r="B7448" s="537"/>
      <c r="C7448" s="441" t="s">
        <v>19</v>
      </c>
      <c r="D7448" s="441" t="s">
        <v>9287</v>
      </c>
      <c r="E7448" s="441" t="s">
        <v>9288</v>
      </c>
      <c r="F7448" s="442">
        <v>4013</v>
      </c>
      <c r="G7448" s="443">
        <v>1972</v>
      </c>
      <c r="H7448" s="489" t="s">
        <v>1149</v>
      </c>
      <c r="I7448" s="409">
        <v>222.7</v>
      </c>
      <c r="J7448" s="495">
        <v>212.04400000000001</v>
      </c>
      <c r="K7448" s="495">
        <v>179.98699999999999</v>
      </c>
      <c r="L7448" s="496">
        <f t="shared" si="96"/>
        <v>32.057000000000016</v>
      </c>
      <c r="M7448" s="337"/>
    </row>
    <row r="7449" spans="1:13" s="71" customFormat="1" ht="26.4" customHeight="1">
      <c r="A7449" s="282">
        <v>810</v>
      </c>
      <c r="B7449" s="537"/>
      <c r="C7449" s="441" t="s">
        <v>19</v>
      </c>
      <c r="D7449" s="441" t="s">
        <v>9287</v>
      </c>
      <c r="E7449" s="441" t="s">
        <v>9289</v>
      </c>
      <c r="F7449" s="442">
        <v>256</v>
      </c>
      <c r="G7449" s="443">
        <v>1972</v>
      </c>
      <c r="H7449" s="489" t="s">
        <v>1149</v>
      </c>
      <c r="I7449" s="409">
        <v>25.8</v>
      </c>
      <c r="J7449" s="495">
        <v>1.1000000000000001</v>
      </c>
      <c r="K7449" s="495">
        <v>0.33</v>
      </c>
      <c r="L7449" s="496">
        <f t="shared" si="96"/>
        <v>0.77</v>
      </c>
      <c r="M7449" s="337"/>
    </row>
    <row r="7450" spans="1:13" s="71" customFormat="1" ht="26.4" customHeight="1">
      <c r="A7450" s="282">
        <v>811</v>
      </c>
      <c r="B7450" s="537"/>
      <c r="C7450" s="441" t="s">
        <v>19</v>
      </c>
      <c r="D7450" s="441" t="s">
        <v>9287</v>
      </c>
      <c r="E7450" s="441" t="s">
        <v>9290</v>
      </c>
      <c r="F7450" s="442">
        <v>393</v>
      </c>
      <c r="G7450" s="443">
        <v>2010</v>
      </c>
      <c r="H7450" s="489" t="s">
        <v>1149</v>
      </c>
      <c r="I7450" s="409">
        <v>77.7</v>
      </c>
      <c r="J7450" s="495">
        <v>53.953000000000003</v>
      </c>
      <c r="K7450" s="495">
        <v>7.3090000000000002</v>
      </c>
      <c r="L7450" s="496">
        <f t="shared" si="96"/>
        <v>46.644000000000005</v>
      </c>
      <c r="M7450" s="337"/>
    </row>
    <row r="7451" spans="1:13" s="71" customFormat="1" ht="26.4" customHeight="1">
      <c r="A7451" s="282">
        <v>812</v>
      </c>
      <c r="B7451" s="537"/>
      <c r="C7451" s="441" t="s">
        <v>19</v>
      </c>
      <c r="D7451" s="441" t="s">
        <v>9291</v>
      </c>
      <c r="E7451" s="441" t="s">
        <v>9292</v>
      </c>
      <c r="F7451" s="442">
        <v>4020</v>
      </c>
      <c r="G7451" s="443">
        <v>1981</v>
      </c>
      <c r="H7451" s="489" t="s">
        <v>1149</v>
      </c>
      <c r="I7451" s="409">
        <v>232.3</v>
      </c>
      <c r="J7451" s="495">
        <v>249.589</v>
      </c>
      <c r="K7451" s="495">
        <v>249.589</v>
      </c>
      <c r="L7451" s="496">
        <f t="shared" si="96"/>
        <v>0</v>
      </c>
      <c r="M7451" s="337"/>
    </row>
    <row r="7452" spans="1:13" s="71" customFormat="1" ht="26.4" customHeight="1">
      <c r="A7452" s="282">
        <v>813</v>
      </c>
      <c r="B7452" s="537"/>
      <c r="C7452" s="441" t="s">
        <v>19</v>
      </c>
      <c r="D7452" s="441" t="s">
        <v>9291</v>
      </c>
      <c r="E7452" s="441" t="s">
        <v>9289</v>
      </c>
      <c r="F7452" s="442">
        <v>4021</v>
      </c>
      <c r="G7452" s="443">
        <v>1981</v>
      </c>
      <c r="H7452" s="489" t="s">
        <v>1149</v>
      </c>
      <c r="I7452" s="409">
        <v>37.200000000000003</v>
      </c>
      <c r="J7452" s="495">
        <v>12.901</v>
      </c>
      <c r="K7452" s="495">
        <v>12.875</v>
      </c>
      <c r="L7452" s="496">
        <f t="shared" si="96"/>
        <v>2.5999999999999801E-2</v>
      </c>
      <c r="M7452" s="337"/>
    </row>
    <row r="7453" spans="1:13" s="71" customFormat="1" ht="26.4" customHeight="1">
      <c r="A7453" s="282">
        <v>814</v>
      </c>
      <c r="B7453" s="537"/>
      <c r="C7453" s="260" t="s">
        <v>19</v>
      </c>
      <c r="D7453" s="260" t="s">
        <v>8720</v>
      </c>
      <c r="E7453" s="260" t="s">
        <v>9293</v>
      </c>
      <c r="F7453" s="372">
        <v>712</v>
      </c>
      <c r="G7453" s="415">
        <v>1969</v>
      </c>
      <c r="H7453" s="407" t="s">
        <v>1149</v>
      </c>
      <c r="I7453" s="470">
        <v>163.30000000000001</v>
      </c>
      <c r="J7453" s="497">
        <v>151.58099999999999</v>
      </c>
      <c r="K7453" s="497">
        <v>139.31</v>
      </c>
      <c r="L7453" s="496">
        <f t="shared" si="96"/>
        <v>12.270999999999987</v>
      </c>
      <c r="M7453" s="337"/>
    </row>
    <row r="7454" spans="1:13" s="71" customFormat="1" ht="26.4" customHeight="1">
      <c r="A7454" s="282">
        <v>815</v>
      </c>
      <c r="B7454" s="537"/>
      <c r="C7454" s="441" t="s">
        <v>19</v>
      </c>
      <c r="D7454" s="441" t="s">
        <v>8720</v>
      </c>
      <c r="E7454" s="441" t="s">
        <v>9294</v>
      </c>
      <c r="F7454" s="442">
        <v>117</v>
      </c>
      <c r="G7454" s="443">
        <v>1969</v>
      </c>
      <c r="H7454" s="489" t="s">
        <v>1149</v>
      </c>
      <c r="I7454" s="409">
        <v>19.100000000000001</v>
      </c>
      <c r="J7454" s="495">
        <v>3.85</v>
      </c>
      <c r="K7454" s="495">
        <v>3.5129999999999999</v>
      </c>
      <c r="L7454" s="496">
        <f t="shared" si="96"/>
        <v>0.33700000000000019</v>
      </c>
      <c r="M7454" s="337"/>
    </row>
    <row r="7455" spans="1:13" s="71" customFormat="1" ht="26.4" customHeight="1">
      <c r="A7455" s="282">
        <v>816</v>
      </c>
      <c r="B7455" s="537"/>
      <c r="C7455" s="441" t="s">
        <v>19</v>
      </c>
      <c r="D7455" s="441" t="s">
        <v>9295</v>
      </c>
      <c r="E7455" s="441" t="s">
        <v>9296</v>
      </c>
      <c r="F7455" s="442">
        <v>124</v>
      </c>
      <c r="G7455" s="443">
        <v>1980</v>
      </c>
      <c r="H7455" s="489" t="s">
        <v>1149</v>
      </c>
      <c r="I7455" s="409">
        <v>436.6</v>
      </c>
      <c r="J7455" s="495">
        <v>3.879</v>
      </c>
      <c r="K7455" s="495">
        <v>2.8359999999999999</v>
      </c>
      <c r="L7455" s="496">
        <f t="shared" si="96"/>
        <v>1.0430000000000001</v>
      </c>
      <c r="M7455" s="337"/>
    </row>
    <row r="7456" spans="1:13" s="71" customFormat="1" ht="26.4" customHeight="1">
      <c r="A7456" s="282">
        <v>817</v>
      </c>
      <c r="B7456" s="537"/>
      <c r="C7456" s="441" t="s">
        <v>19</v>
      </c>
      <c r="D7456" s="441" t="s">
        <v>9295</v>
      </c>
      <c r="E7456" s="441" t="s">
        <v>9297</v>
      </c>
      <c r="F7456" s="442">
        <v>113</v>
      </c>
      <c r="G7456" s="443">
        <v>1998</v>
      </c>
      <c r="H7456" s="489" t="s">
        <v>1149</v>
      </c>
      <c r="I7456" s="409">
        <v>159.19999999999999</v>
      </c>
      <c r="J7456" s="495">
        <v>1.403</v>
      </c>
      <c r="K7456" s="495">
        <v>1.0249999999999999</v>
      </c>
      <c r="L7456" s="496">
        <f t="shared" si="96"/>
        <v>0.37800000000000011</v>
      </c>
      <c r="M7456" s="337"/>
    </row>
    <row r="7457" spans="1:13" s="71" customFormat="1" ht="26.4" customHeight="1">
      <c r="A7457" s="282">
        <v>818</v>
      </c>
      <c r="B7457" s="537"/>
      <c r="C7457" s="441" t="s">
        <v>19</v>
      </c>
      <c r="D7457" s="441" t="s">
        <v>9295</v>
      </c>
      <c r="E7457" s="441" t="s">
        <v>9298</v>
      </c>
      <c r="F7457" s="442">
        <v>112</v>
      </c>
      <c r="G7457" s="443">
        <v>1970</v>
      </c>
      <c r="H7457" s="489" t="s">
        <v>1149</v>
      </c>
      <c r="I7457" s="490">
        <v>334</v>
      </c>
      <c r="J7457" s="495">
        <v>3.4729999999999999</v>
      </c>
      <c r="K7457" s="495">
        <v>2.5390000000000001</v>
      </c>
      <c r="L7457" s="496">
        <f t="shared" si="96"/>
        <v>0.93399999999999972</v>
      </c>
      <c r="M7457" s="337"/>
    </row>
    <row r="7458" spans="1:13" s="71" customFormat="1" ht="26.4" customHeight="1">
      <c r="A7458" s="282">
        <v>819</v>
      </c>
      <c r="B7458" s="537"/>
      <c r="C7458" s="441" t="s">
        <v>19</v>
      </c>
      <c r="D7458" s="441" t="s">
        <v>9295</v>
      </c>
      <c r="E7458" s="441" t="s">
        <v>2674</v>
      </c>
      <c r="F7458" s="442">
        <v>2073</v>
      </c>
      <c r="G7458" s="443">
        <v>1999</v>
      </c>
      <c r="H7458" s="489" t="s">
        <v>1149</v>
      </c>
      <c r="I7458" s="409">
        <v>55.2</v>
      </c>
      <c r="J7458" s="495">
        <v>21.25</v>
      </c>
      <c r="K7458" s="495">
        <v>15.146000000000001</v>
      </c>
      <c r="L7458" s="496">
        <f t="shared" si="96"/>
        <v>6.1039999999999992</v>
      </c>
      <c r="M7458" s="337"/>
    </row>
    <row r="7459" spans="1:13" s="71" customFormat="1" ht="26.4" customHeight="1">
      <c r="A7459" s="282">
        <v>820</v>
      </c>
      <c r="B7459" s="537"/>
      <c r="C7459" s="441" t="s">
        <v>19</v>
      </c>
      <c r="D7459" s="441" t="s">
        <v>9295</v>
      </c>
      <c r="E7459" s="441" t="s">
        <v>9299</v>
      </c>
      <c r="F7459" s="442">
        <v>2063</v>
      </c>
      <c r="G7459" s="443">
        <v>1998</v>
      </c>
      <c r="H7459" s="489" t="s">
        <v>1149</v>
      </c>
      <c r="I7459" s="490">
        <v>128</v>
      </c>
      <c r="J7459" s="495">
        <v>47.228000000000002</v>
      </c>
      <c r="K7459" s="495">
        <v>39.786000000000001</v>
      </c>
      <c r="L7459" s="496">
        <f t="shared" si="96"/>
        <v>7.4420000000000002</v>
      </c>
      <c r="M7459" s="337"/>
    </row>
    <row r="7460" spans="1:13" s="71" customFormat="1" ht="26.4" customHeight="1">
      <c r="A7460" s="282">
        <v>821</v>
      </c>
      <c r="B7460" s="537"/>
      <c r="C7460" s="441" t="s">
        <v>19</v>
      </c>
      <c r="D7460" s="441" t="s">
        <v>9295</v>
      </c>
      <c r="E7460" s="441" t="s">
        <v>9300</v>
      </c>
      <c r="F7460" s="442">
        <v>364</v>
      </c>
      <c r="G7460" s="443">
        <v>2010</v>
      </c>
      <c r="H7460" s="489" t="s">
        <v>1149</v>
      </c>
      <c r="I7460" s="409">
        <v>93.8</v>
      </c>
      <c r="J7460" s="495">
        <v>17.231000000000002</v>
      </c>
      <c r="K7460" s="495">
        <v>3.637</v>
      </c>
      <c r="L7460" s="496">
        <f t="shared" si="96"/>
        <v>13.594000000000001</v>
      </c>
      <c r="M7460" s="337"/>
    </row>
    <row r="7461" spans="1:13" s="71" customFormat="1" ht="26.4" customHeight="1">
      <c r="A7461" s="282">
        <v>822</v>
      </c>
      <c r="B7461" s="537"/>
      <c r="C7461" s="441" t="s">
        <v>19</v>
      </c>
      <c r="D7461" s="441" t="s">
        <v>9295</v>
      </c>
      <c r="E7461" s="441" t="s">
        <v>9301</v>
      </c>
      <c r="F7461" s="442">
        <v>1730</v>
      </c>
      <c r="G7461" s="443">
        <v>1970</v>
      </c>
      <c r="H7461" s="489" t="s">
        <v>1149</v>
      </c>
      <c r="I7461" s="409">
        <v>399.2</v>
      </c>
      <c r="J7461" s="495">
        <v>3.222</v>
      </c>
      <c r="K7461" s="495">
        <v>2.5179999999999998</v>
      </c>
      <c r="L7461" s="496">
        <f t="shared" si="96"/>
        <v>0.70400000000000018</v>
      </c>
      <c r="M7461" s="337"/>
    </row>
    <row r="7462" spans="1:13" s="71" customFormat="1" ht="26.4" customHeight="1">
      <c r="A7462" s="282">
        <v>823</v>
      </c>
      <c r="B7462" s="537"/>
      <c r="C7462" s="441" t="s">
        <v>19</v>
      </c>
      <c r="D7462" s="441" t="s">
        <v>9295</v>
      </c>
      <c r="E7462" s="441" t="s">
        <v>9302</v>
      </c>
      <c r="F7462" s="442">
        <v>3600</v>
      </c>
      <c r="G7462" s="443">
        <v>1970</v>
      </c>
      <c r="H7462" s="489" t="s">
        <v>1149</v>
      </c>
      <c r="I7462" s="409">
        <v>14.4</v>
      </c>
      <c r="J7462" s="495">
        <v>11.912000000000001</v>
      </c>
      <c r="K7462" s="495">
        <v>11.855</v>
      </c>
      <c r="L7462" s="496">
        <f t="shared" si="96"/>
        <v>5.7000000000000384E-2</v>
      </c>
      <c r="M7462" s="337"/>
    </row>
    <row r="7463" spans="1:13" s="71" customFormat="1" ht="26.4" customHeight="1">
      <c r="A7463" s="282">
        <v>824</v>
      </c>
      <c r="B7463" s="537"/>
      <c r="C7463" s="441" t="s">
        <v>19</v>
      </c>
      <c r="D7463" s="441" t="s">
        <v>9295</v>
      </c>
      <c r="E7463" s="441" t="s">
        <v>9303</v>
      </c>
      <c r="F7463" s="442">
        <v>2074</v>
      </c>
      <c r="G7463" s="443">
        <v>1999</v>
      </c>
      <c r="H7463" s="489" t="s">
        <v>1149</v>
      </c>
      <c r="I7463" s="409">
        <v>13.8</v>
      </c>
      <c r="J7463" s="495">
        <v>1.2</v>
      </c>
      <c r="K7463" s="495">
        <v>0.84899999999999998</v>
      </c>
      <c r="L7463" s="496">
        <f t="shared" si="96"/>
        <v>0.35099999999999998</v>
      </c>
      <c r="M7463" s="337"/>
    </row>
    <row r="7464" spans="1:13" s="71" customFormat="1" ht="26.4" customHeight="1">
      <c r="A7464" s="282">
        <v>825</v>
      </c>
      <c r="B7464" s="537"/>
      <c r="C7464" s="441" t="s">
        <v>19</v>
      </c>
      <c r="D7464" s="441" t="s">
        <v>9295</v>
      </c>
      <c r="E7464" s="441" t="s">
        <v>9304</v>
      </c>
      <c r="F7464" s="442">
        <v>2075</v>
      </c>
      <c r="G7464" s="443">
        <v>1999</v>
      </c>
      <c r="H7464" s="489" t="s">
        <v>1149</v>
      </c>
      <c r="I7464" s="409">
        <v>48.6</v>
      </c>
      <c r="J7464" s="495">
        <v>2.68</v>
      </c>
      <c r="K7464" s="495">
        <v>1.91</v>
      </c>
      <c r="L7464" s="496">
        <f t="shared" si="96"/>
        <v>0.77000000000000024</v>
      </c>
      <c r="M7464" s="337"/>
    </row>
    <row r="7465" spans="1:13" s="71" customFormat="1" ht="26.4" customHeight="1">
      <c r="A7465" s="282">
        <v>826</v>
      </c>
      <c r="B7465" s="537"/>
      <c r="C7465" s="441" t="s">
        <v>8500</v>
      </c>
      <c r="D7465" s="441" t="s">
        <v>9305</v>
      </c>
      <c r="E7465" s="441" t="s">
        <v>9306</v>
      </c>
      <c r="F7465" s="442">
        <v>5058</v>
      </c>
      <c r="G7465" s="443">
        <v>1956</v>
      </c>
      <c r="H7465" s="489" t="s">
        <v>1149</v>
      </c>
      <c r="I7465" s="409">
        <v>962.6</v>
      </c>
      <c r="J7465" s="495">
        <v>104.907</v>
      </c>
      <c r="K7465" s="495">
        <v>98.251000000000005</v>
      </c>
      <c r="L7465" s="496">
        <f t="shared" si="96"/>
        <v>6.6559999999999917</v>
      </c>
      <c r="M7465" s="337"/>
    </row>
    <row r="7466" spans="1:13" s="71" customFormat="1" ht="26.4" customHeight="1">
      <c r="A7466" s="282">
        <v>827</v>
      </c>
      <c r="B7466" s="537"/>
      <c r="C7466" s="441" t="s">
        <v>8500</v>
      </c>
      <c r="D7466" s="441" t="s">
        <v>9305</v>
      </c>
      <c r="E7466" s="441" t="s">
        <v>9307</v>
      </c>
      <c r="F7466" s="442">
        <v>61</v>
      </c>
      <c r="G7466" s="443">
        <v>2005</v>
      </c>
      <c r="H7466" s="489" t="s">
        <v>1149</v>
      </c>
      <c r="I7466" s="409">
        <v>293.2</v>
      </c>
      <c r="J7466" s="495">
        <v>33.524999999999999</v>
      </c>
      <c r="K7466" s="495">
        <v>16.024999999999999</v>
      </c>
      <c r="L7466" s="496">
        <f t="shared" si="96"/>
        <v>17.5</v>
      </c>
      <c r="M7466" s="337"/>
    </row>
    <row r="7467" spans="1:13" s="71" customFormat="1" ht="26.4" customHeight="1">
      <c r="A7467" s="282">
        <v>828</v>
      </c>
      <c r="B7467" s="537"/>
      <c r="C7467" s="441" t="s">
        <v>8500</v>
      </c>
      <c r="D7467" s="441" t="s">
        <v>9308</v>
      </c>
      <c r="E7467" s="441" t="s">
        <v>2704</v>
      </c>
      <c r="F7467" s="442">
        <v>356</v>
      </c>
      <c r="G7467" s="443">
        <v>1962</v>
      </c>
      <c r="H7467" s="489" t="s">
        <v>1149</v>
      </c>
      <c r="I7467" s="409">
        <v>361.3</v>
      </c>
      <c r="J7467" s="495">
        <v>27.908999999999999</v>
      </c>
      <c r="K7467" s="495">
        <v>25.706</v>
      </c>
      <c r="L7467" s="496">
        <f t="shared" si="96"/>
        <v>2.2029999999999994</v>
      </c>
      <c r="M7467" s="337"/>
    </row>
    <row r="7468" spans="1:13" s="71" customFormat="1" ht="26.4" customHeight="1">
      <c r="A7468" s="282">
        <v>829</v>
      </c>
      <c r="B7468" s="537"/>
      <c r="C7468" s="441" t="s">
        <v>8500</v>
      </c>
      <c r="D7468" s="441" t="s">
        <v>9308</v>
      </c>
      <c r="E7468" s="441" t="s">
        <v>9309</v>
      </c>
      <c r="F7468" s="442">
        <v>348</v>
      </c>
      <c r="G7468" s="443">
        <v>1962</v>
      </c>
      <c r="H7468" s="489" t="s">
        <v>1136</v>
      </c>
      <c r="I7468" s="409">
        <v>324.8</v>
      </c>
      <c r="J7468" s="495">
        <v>98.066999999999993</v>
      </c>
      <c r="K7468" s="495">
        <v>91.659000000000006</v>
      </c>
      <c r="L7468" s="496">
        <f t="shared" si="96"/>
        <v>6.407999999999987</v>
      </c>
      <c r="M7468" s="337"/>
    </row>
    <row r="7469" spans="1:13" s="71" customFormat="1" ht="15.6">
      <c r="A7469" s="282">
        <v>830</v>
      </c>
      <c r="B7469" s="537"/>
      <c r="C7469" s="534" t="s">
        <v>8500</v>
      </c>
      <c r="D7469" s="534" t="s">
        <v>9310</v>
      </c>
      <c r="E7469" s="534" t="s">
        <v>9311</v>
      </c>
      <c r="F7469" s="561">
        <v>3443</v>
      </c>
      <c r="G7469" s="562">
        <v>1962</v>
      </c>
      <c r="H7469" s="569" t="s">
        <v>1136</v>
      </c>
      <c r="I7469" s="570">
        <v>40.700000000000003</v>
      </c>
      <c r="J7469" s="571">
        <v>56.069000000000003</v>
      </c>
      <c r="K7469" s="571">
        <v>51.642000000000003</v>
      </c>
      <c r="L7469" s="564">
        <v>4.4269999999999996</v>
      </c>
      <c r="M7469" s="337"/>
    </row>
    <row r="7470" spans="1:13" s="71" customFormat="1" ht="15.6">
      <c r="A7470" s="282">
        <v>831</v>
      </c>
      <c r="B7470" s="537"/>
      <c r="C7470" s="534"/>
      <c r="D7470" s="534"/>
      <c r="E7470" s="534"/>
      <c r="F7470" s="561"/>
      <c r="G7470" s="563"/>
      <c r="H7470" s="569"/>
      <c r="I7470" s="570"/>
      <c r="J7470" s="572"/>
      <c r="K7470" s="572"/>
      <c r="L7470" s="565"/>
      <c r="M7470" s="337"/>
    </row>
    <row r="7471" spans="1:13" s="71" customFormat="1" ht="15.6">
      <c r="A7471" s="282">
        <v>832</v>
      </c>
      <c r="B7471" s="537"/>
      <c r="C7471" s="534" t="s">
        <v>8500</v>
      </c>
      <c r="D7471" s="534" t="s">
        <v>9312</v>
      </c>
      <c r="E7471" s="534" t="s">
        <v>9292</v>
      </c>
      <c r="F7471" s="561">
        <v>34431</v>
      </c>
      <c r="G7471" s="562">
        <v>1962</v>
      </c>
      <c r="H7471" s="569" t="s">
        <v>1136</v>
      </c>
      <c r="I7471" s="570">
        <v>38.5</v>
      </c>
      <c r="J7471" s="571">
        <v>56.069000000000003</v>
      </c>
      <c r="K7471" s="571">
        <v>51.642000000000003</v>
      </c>
      <c r="L7471" s="564">
        <f t="shared" ref="L7471:L7482" si="97">J7471-K7471</f>
        <v>4.4269999999999996</v>
      </c>
      <c r="M7471" s="337"/>
    </row>
    <row r="7472" spans="1:13" s="71" customFormat="1" ht="15.6">
      <c r="A7472" s="282">
        <v>833</v>
      </c>
      <c r="B7472" s="537"/>
      <c r="C7472" s="534"/>
      <c r="D7472" s="534"/>
      <c r="E7472" s="534"/>
      <c r="F7472" s="561"/>
      <c r="G7472" s="563"/>
      <c r="H7472" s="569"/>
      <c r="I7472" s="570"/>
      <c r="J7472" s="572"/>
      <c r="K7472" s="572"/>
      <c r="L7472" s="565"/>
      <c r="M7472" s="337"/>
    </row>
    <row r="7473" spans="1:13" s="71" customFormat="1" ht="26.4" customHeight="1">
      <c r="A7473" s="282">
        <v>834</v>
      </c>
      <c r="B7473" s="537"/>
      <c r="C7473" s="441" t="s">
        <v>8500</v>
      </c>
      <c r="D7473" s="441" t="s">
        <v>9313</v>
      </c>
      <c r="E7473" s="441" t="s">
        <v>9293</v>
      </c>
      <c r="F7473" s="442">
        <v>34432</v>
      </c>
      <c r="G7473" s="443">
        <v>1962</v>
      </c>
      <c r="H7473" s="489" t="s">
        <v>1136</v>
      </c>
      <c r="I7473" s="409">
        <v>38.5</v>
      </c>
      <c r="J7473" s="495">
        <v>56.069000000000003</v>
      </c>
      <c r="K7473" s="495">
        <v>51.642000000000003</v>
      </c>
      <c r="L7473" s="496">
        <f t="shared" si="97"/>
        <v>4.4269999999999996</v>
      </c>
      <c r="M7473" s="337"/>
    </row>
    <row r="7474" spans="1:13" s="71" customFormat="1" ht="26.4" customHeight="1">
      <c r="A7474" s="282">
        <v>835</v>
      </c>
      <c r="B7474" s="537"/>
      <c r="C7474" s="441" t="s">
        <v>8500</v>
      </c>
      <c r="D7474" s="441" t="s">
        <v>9313</v>
      </c>
      <c r="E7474" s="441" t="s">
        <v>9314</v>
      </c>
      <c r="F7474" s="442">
        <v>362</v>
      </c>
      <c r="G7474" s="443">
        <v>1962</v>
      </c>
      <c r="H7474" s="489" t="s">
        <v>1136</v>
      </c>
      <c r="I7474" s="409">
        <v>53.4</v>
      </c>
      <c r="J7474" s="495">
        <v>1.1000000000000001</v>
      </c>
      <c r="K7474" s="495">
        <v>0.38700000000000001</v>
      </c>
      <c r="L7474" s="496">
        <f t="shared" si="97"/>
        <v>0.71300000000000008</v>
      </c>
      <c r="M7474" s="337"/>
    </row>
    <row r="7475" spans="1:13" s="71" customFormat="1" ht="26.4" customHeight="1">
      <c r="A7475" s="282">
        <v>836</v>
      </c>
      <c r="B7475" s="537"/>
      <c r="C7475" s="441" t="s">
        <v>19</v>
      </c>
      <c r="D7475" s="260" t="s">
        <v>8908</v>
      </c>
      <c r="E7475" s="441" t="s">
        <v>9315</v>
      </c>
      <c r="F7475" s="442">
        <v>20701</v>
      </c>
      <c r="G7475" s="443">
        <v>1981</v>
      </c>
      <c r="H7475" s="489" t="s">
        <v>1136</v>
      </c>
      <c r="I7475" s="409">
        <v>447.8</v>
      </c>
      <c r="J7475" s="495">
        <v>265.791</v>
      </c>
      <c r="K7475" s="495">
        <v>244.904</v>
      </c>
      <c r="L7475" s="496">
        <f t="shared" si="97"/>
        <v>20.887</v>
      </c>
      <c r="M7475" s="337"/>
    </row>
    <row r="7476" spans="1:13" s="71" customFormat="1" ht="26.4" customHeight="1">
      <c r="A7476" s="282">
        <v>837</v>
      </c>
      <c r="B7476" s="537"/>
      <c r="C7476" s="441" t="s">
        <v>19</v>
      </c>
      <c r="D7476" s="260" t="s">
        <v>8908</v>
      </c>
      <c r="E7476" s="441" t="s">
        <v>9289</v>
      </c>
      <c r="F7476" s="442">
        <v>432</v>
      </c>
      <c r="G7476" s="443">
        <v>1981</v>
      </c>
      <c r="H7476" s="489" t="s">
        <v>1136</v>
      </c>
      <c r="I7476" s="409">
        <v>70.099999999999994</v>
      </c>
      <c r="J7476" s="495">
        <v>9.6780000000000008</v>
      </c>
      <c r="K7476" s="495">
        <v>8.9580000000000002</v>
      </c>
      <c r="L7476" s="496">
        <f t="shared" si="97"/>
        <v>0.72000000000000064</v>
      </c>
      <c r="M7476" s="337"/>
    </row>
    <row r="7477" spans="1:13" s="71" customFormat="1" ht="26.4" customHeight="1">
      <c r="A7477" s="282">
        <v>838</v>
      </c>
      <c r="B7477" s="537"/>
      <c r="C7477" s="463" t="s">
        <v>8735</v>
      </c>
      <c r="D7477" s="441" t="s">
        <v>9316</v>
      </c>
      <c r="E7477" s="441" t="s">
        <v>9317</v>
      </c>
      <c r="F7477" s="442">
        <v>2064</v>
      </c>
      <c r="G7477" s="443">
        <v>1998</v>
      </c>
      <c r="H7477" s="489" t="s">
        <v>1136</v>
      </c>
      <c r="I7477" s="409">
        <v>658.2</v>
      </c>
      <c r="J7477" s="495">
        <v>13.926</v>
      </c>
      <c r="K7477" s="495">
        <v>10.18</v>
      </c>
      <c r="L7477" s="496">
        <f t="shared" si="97"/>
        <v>3.7460000000000004</v>
      </c>
      <c r="M7477" s="337"/>
    </row>
    <row r="7478" spans="1:13" s="71" customFormat="1" ht="26.4" customHeight="1">
      <c r="A7478" s="282">
        <v>839</v>
      </c>
      <c r="B7478" s="537"/>
      <c r="C7478" s="463" t="s">
        <v>8735</v>
      </c>
      <c r="D7478" s="441" t="s">
        <v>9316</v>
      </c>
      <c r="E7478" s="441" t="s">
        <v>9318</v>
      </c>
      <c r="F7478" s="442">
        <v>235</v>
      </c>
      <c r="G7478" s="443">
        <v>1949</v>
      </c>
      <c r="H7478" s="489" t="s">
        <v>1136</v>
      </c>
      <c r="I7478" s="409">
        <v>139</v>
      </c>
      <c r="J7478" s="495">
        <v>17.446999999999999</v>
      </c>
      <c r="K7478" s="495">
        <v>16.274000000000001</v>
      </c>
      <c r="L7478" s="496">
        <f t="shared" si="97"/>
        <v>1.1729999999999983</v>
      </c>
      <c r="M7478" s="337"/>
    </row>
    <row r="7479" spans="1:13" s="71" customFormat="1" ht="26.4" customHeight="1">
      <c r="A7479" s="282">
        <v>840</v>
      </c>
      <c r="B7479" s="537"/>
      <c r="C7479" s="463" t="s">
        <v>8735</v>
      </c>
      <c r="D7479" s="441" t="s">
        <v>9319</v>
      </c>
      <c r="E7479" s="441" t="s">
        <v>2704</v>
      </c>
      <c r="F7479" s="442">
        <v>1010</v>
      </c>
      <c r="G7479" s="443">
        <v>1959</v>
      </c>
      <c r="H7479" s="489" t="s">
        <v>1136</v>
      </c>
      <c r="I7479" s="409">
        <v>273.10000000000002</v>
      </c>
      <c r="J7479" s="495">
        <v>42.98</v>
      </c>
      <c r="K7479" s="495">
        <v>40.213000000000001</v>
      </c>
      <c r="L7479" s="496">
        <f t="shared" si="97"/>
        <v>2.7669999999999959</v>
      </c>
      <c r="M7479" s="337"/>
    </row>
    <row r="7480" spans="1:13" s="71" customFormat="1" ht="26.4" customHeight="1">
      <c r="A7480" s="282">
        <v>841</v>
      </c>
      <c r="B7480" s="537"/>
      <c r="C7480" s="463" t="s">
        <v>8735</v>
      </c>
      <c r="D7480" s="441" t="s">
        <v>9319</v>
      </c>
      <c r="E7480" s="441" t="s">
        <v>13387</v>
      </c>
      <c r="F7480" s="442">
        <v>1012</v>
      </c>
      <c r="G7480" s="443">
        <v>1959</v>
      </c>
      <c r="H7480" s="489" t="s">
        <v>1136</v>
      </c>
      <c r="I7480" s="409">
        <v>33.200000000000003</v>
      </c>
      <c r="J7480" s="495">
        <v>4.657</v>
      </c>
      <c r="K7480" s="495">
        <v>4.3620000000000001</v>
      </c>
      <c r="L7480" s="496">
        <f t="shared" si="97"/>
        <v>0.29499999999999993</v>
      </c>
      <c r="M7480" s="337"/>
    </row>
    <row r="7481" spans="1:13" s="71" customFormat="1" ht="26.4" customHeight="1">
      <c r="A7481" s="282">
        <v>842</v>
      </c>
      <c r="B7481" s="537"/>
      <c r="C7481" s="463" t="s">
        <v>8735</v>
      </c>
      <c r="D7481" s="441" t="s">
        <v>9320</v>
      </c>
      <c r="E7481" s="441" t="s">
        <v>12890</v>
      </c>
      <c r="F7481" s="442">
        <v>2006</v>
      </c>
      <c r="G7481" s="443">
        <v>1959</v>
      </c>
      <c r="H7481" s="489" t="s">
        <v>1136</v>
      </c>
      <c r="I7481" s="409">
        <v>254.2</v>
      </c>
      <c r="J7481" s="495">
        <v>40.387999999999998</v>
      </c>
      <c r="K7481" s="495">
        <v>38.262</v>
      </c>
      <c r="L7481" s="496">
        <f t="shared" si="97"/>
        <v>2.1259999999999977</v>
      </c>
      <c r="M7481" s="337"/>
    </row>
    <row r="7482" spans="1:13" s="71" customFormat="1" ht="26.4" customHeight="1">
      <c r="A7482" s="282">
        <v>843</v>
      </c>
      <c r="B7482" s="537"/>
      <c r="C7482" s="463" t="s">
        <v>8735</v>
      </c>
      <c r="D7482" s="441" t="s">
        <v>9320</v>
      </c>
      <c r="E7482" s="441" t="s">
        <v>12889</v>
      </c>
      <c r="F7482" s="442">
        <v>2007</v>
      </c>
      <c r="G7482" s="443">
        <v>1959</v>
      </c>
      <c r="H7482" s="489" t="s">
        <v>1136</v>
      </c>
      <c r="I7482" s="409">
        <v>254.2</v>
      </c>
      <c r="J7482" s="495">
        <v>40.387999999999998</v>
      </c>
      <c r="K7482" s="495">
        <v>38.262</v>
      </c>
      <c r="L7482" s="496">
        <f t="shared" si="97"/>
        <v>2.1259999999999977</v>
      </c>
      <c r="M7482" s="337"/>
    </row>
    <row r="7483" spans="1:13" s="71" customFormat="1" ht="26.4" customHeight="1">
      <c r="A7483" s="282">
        <v>844</v>
      </c>
      <c r="B7483" s="537"/>
      <c r="C7483" s="463" t="s">
        <v>8735</v>
      </c>
      <c r="D7483" s="441" t="s">
        <v>8832</v>
      </c>
      <c r="E7483" s="441" t="s">
        <v>9311</v>
      </c>
      <c r="F7483" s="442">
        <v>263</v>
      </c>
      <c r="G7483" s="443">
        <v>1949</v>
      </c>
      <c r="H7483" s="489" t="s">
        <v>1149</v>
      </c>
      <c r="I7483" s="409">
        <v>37.4</v>
      </c>
      <c r="J7483" s="495">
        <v>10.349</v>
      </c>
      <c r="K7483" s="495">
        <v>9.6820000000000004</v>
      </c>
      <c r="L7483" s="496">
        <v>0.66600000000000004</v>
      </c>
      <c r="M7483" s="337"/>
    </row>
    <row r="7484" spans="1:13" s="71" customFormat="1" ht="26.4" customHeight="1">
      <c r="A7484" s="282">
        <v>845</v>
      </c>
      <c r="B7484" s="537"/>
      <c r="C7484" s="463" t="s">
        <v>8735</v>
      </c>
      <c r="D7484" s="441" t="s">
        <v>9321</v>
      </c>
      <c r="E7484" s="441" t="s">
        <v>9292</v>
      </c>
      <c r="F7484" s="442">
        <v>1341</v>
      </c>
      <c r="G7484" s="443">
        <v>1979</v>
      </c>
      <c r="H7484" s="489" t="s">
        <v>1149</v>
      </c>
      <c r="I7484" s="409">
        <v>28.3</v>
      </c>
      <c r="J7484" s="495">
        <v>79.036000000000001</v>
      </c>
      <c r="K7484" s="495">
        <v>65.894000000000005</v>
      </c>
      <c r="L7484" s="496">
        <f t="shared" ref="L7484:L7508" si="98">J7484-K7484</f>
        <v>13.141999999999996</v>
      </c>
      <c r="M7484" s="337"/>
    </row>
    <row r="7485" spans="1:13" s="71" customFormat="1" ht="26.4" customHeight="1">
      <c r="A7485" s="282">
        <v>846</v>
      </c>
      <c r="B7485" s="537"/>
      <c r="C7485" s="441" t="s">
        <v>9322</v>
      </c>
      <c r="D7485" s="441" t="s">
        <v>9323</v>
      </c>
      <c r="E7485" s="441" t="s">
        <v>9324</v>
      </c>
      <c r="F7485" s="442">
        <v>233</v>
      </c>
      <c r="G7485" s="443">
        <v>1965</v>
      </c>
      <c r="H7485" s="489" t="s">
        <v>1149</v>
      </c>
      <c r="I7485" s="409">
        <v>302.3</v>
      </c>
      <c r="J7485" s="495">
        <v>8.0429999999999993</v>
      </c>
      <c r="K7485" s="495">
        <v>7.532</v>
      </c>
      <c r="L7485" s="496">
        <f t="shared" si="98"/>
        <v>0.51099999999999923</v>
      </c>
      <c r="M7485" s="337"/>
    </row>
    <row r="7486" spans="1:13" s="71" customFormat="1" ht="26.4" customHeight="1">
      <c r="A7486" s="282">
        <v>847</v>
      </c>
      <c r="B7486" s="537"/>
      <c r="C7486" s="441" t="s">
        <v>9322</v>
      </c>
      <c r="D7486" s="441" t="s">
        <v>9323</v>
      </c>
      <c r="E7486" s="441" t="s">
        <v>9325</v>
      </c>
      <c r="F7486" s="442">
        <v>238</v>
      </c>
      <c r="G7486" s="443">
        <v>1979</v>
      </c>
      <c r="H7486" s="489" t="s">
        <v>1149</v>
      </c>
      <c r="I7486" s="409">
        <v>48.4</v>
      </c>
      <c r="J7486" s="495">
        <v>56.14</v>
      </c>
      <c r="K7486" s="495">
        <v>53.412999999999997</v>
      </c>
      <c r="L7486" s="496">
        <f t="shared" si="98"/>
        <v>2.7270000000000039</v>
      </c>
      <c r="M7486" s="337"/>
    </row>
    <row r="7487" spans="1:13" s="71" customFormat="1" ht="26.4" customHeight="1">
      <c r="A7487" s="282">
        <v>848</v>
      </c>
      <c r="B7487" s="537"/>
      <c r="C7487" s="441" t="s">
        <v>9322</v>
      </c>
      <c r="D7487" s="441" t="s">
        <v>9323</v>
      </c>
      <c r="E7487" s="441" t="s">
        <v>9326</v>
      </c>
      <c r="F7487" s="442">
        <v>225</v>
      </c>
      <c r="G7487" s="443">
        <v>1965</v>
      </c>
      <c r="H7487" s="489" t="s">
        <v>1149</v>
      </c>
      <c r="I7487" s="409">
        <v>13.6</v>
      </c>
      <c r="J7487" s="495">
        <v>9.1039999999999992</v>
      </c>
      <c r="K7487" s="495">
        <v>8.5180000000000007</v>
      </c>
      <c r="L7487" s="496">
        <f t="shared" si="98"/>
        <v>0.58599999999999852</v>
      </c>
      <c r="M7487" s="337"/>
    </row>
    <row r="7488" spans="1:13" s="71" customFormat="1" ht="26.4" customHeight="1">
      <c r="A7488" s="282">
        <v>849</v>
      </c>
      <c r="B7488" s="537"/>
      <c r="C7488" s="441" t="s">
        <v>9322</v>
      </c>
      <c r="D7488" s="441" t="s">
        <v>9323</v>
      </c>
      <c r="E7488" s="441" t="s">
        <v>9327</v>
      </c>
      <c r="F7488" s="442">
        <v>530</v>
      </c>
      <c r="G7488" s="443">
        <v>1996</v>
      </c>
      <c r="H7488" s="489" t="s">
        <v>1149</v>
      </c>
      <c r="I7488" s="409">
        <v>270.10000000000002</v>
      </c>
      <c r="J7488" s="495">
        <v>4.2</v>
      </c>
      <c r="K7488" s="495">
        <v>1.482</v>
      </c>
      <c r="L7488" s="496">
        <f t="shared" si="98"/>
        <v>2.718</v>
      </c>
      <c r="M7488" s="337"/>
    </row>
    <row r="7489" spans="1:13" s="71" customFormat="1" ht="26.4" customHeight="1">
      <c r="A7489" s="282">
        <v>850</v>
      </c>
      <c r="B7489" s="537"/>
      <c r="C7489" s="441" t="s">
        <v>9322</v>
      </c>
      <c r="D7489" s="441" t="s">
        <v>9323</v>
      </c>
      <c r="E7489" s="441" t="s">
        <v>9328</v>
      </c>
      <c r="F7489" s="442">
        <v>529</v>
      </c>
      <c r="G7489" s="443">
        <v>1999</v>
      </c>
      <c r="H7489" s="489" t="s">
        <v>1149</v>
      </c>
      <c r="I7489" s="409">
        <v>37.299999999999997</v>
      </c>
      <c r="J7489" s="495">
        <v>1.3069999999999999</v>
      </c>
      <c r="K7489" s="495">
        <v>1.224</v>
      </c>
      <c r="L7489" s="496">
        <f t="shared" si="98"/>
        <v>8.2999999999999963E-2</v>
      </c>
      <c r="M7489" s="337"/>
    </row>
    <row r="7490" spans="1:13" s="71" customFormat="1" ht="26.4" customHeight="1">
      <c r="A7490" s="282">
        <v>851</v>
      </c>
      <c r="B7490" s="537"/>
      <c r="C7490" s="441" t="s">
        <v>9322</v>
      </c>
      <c r="D7490" s="441" t="s">
        <v>9323</v>
      </c>
      <c r="E7490" s="441" t="s">
        <v>9329</v>
      </c>
      <c r="F7490" s="442">
        <v>813</v>
      </c>
      <c r="G7490" s="443">
        <v>1979</v>
      </c>
      <c r="H7490" s="489" t="s">
        <v>1149</v>
      </c>
      <c r="I7490" s="490">
        <v>55</v>
      </c>
      <c r="J7490" s="495">
        <v>33.844999999999999</v>
      </c>
      <c r="K7490" s="495">
        <v>31.873000000000001</v>
      </c>
      <c r="L7490" s="496">
        <f t="shared" si="98"/>
        <v>1.9719999999999978</v>
      </c>
      <c r="M7490" s="337"/>
    </row>
    <row r="7491" spans="1:13" s="71" customFormat="1" ht="26.4" customHeight="1">
      <c r="A7491" s="282">
        <v>852</v>
      </c>
      <c r="B7491" s="537"/>
      <c r="C7491" s="441" t="s">
        <v>9322</v>
      </c>
      <c r="D7491" s="441" t="s">
        <v>9323</v>
      </c>
      <c r="E7491" s="441" t="s">
        <v>9330</v>
      </c>
      <c r="F7491" s="442">
        <v>1367</v>
      </c>
      <c r="G7491" s="443">
        <v>1979</v>
      </c>
      <c r="H7491" s="489" t="s">
        <v>1149</v>
      </c>
      <c r="I7491" s="409">
        <v>81.099999999999994</v>
      </c>
      <c r="J7491" s="495">
        <v>29.587</v>
      </c>
      <c r="K7491" s="495">
        <v>27.617000000000001</v>
      </c>
      <c r="L7491" s="496">
        <f t="shared" si="98"/>
        <v>1.9699999999999989</v>
      </c>
      <c r="M7491" s="337"/>
    </row>
    <row r="7492" spans="1:13" s="71" customFormat="1" ht="26.4" customHeight="1">
      <c r="A7492" s="282">
        <v>853</v>
      </c>
      <c r="B7492" s="537"/>
      <c r="C7492" s="441" t="s">
        <v>9322</v>
      </c>
      <c r="D7492" s="441" t="s">
        <v>9323</v>
      </c>
      <c r="E7492" s="441" t="s">
        <v>9331</v>
      </c>
      <c r="F7492" s="442">
        <v>234</v>
      </c>
      <c r="G7492" s="443">
        <v>1965</v>
      </c>
      <c r="H7492" s="489" t="s">
        <v>1149</v>
      </c>
      <c r="I7492" s="409">
        <v>23.7</v>
      </c>
      <c r="J7492" s="495">
        <v>3.8119999999999998</v>
      </c>
      <c r="K7492" s="495">
        <v>3.5670000000000002</v>
      </c>
      <c r="L7492" s="496">
        <f t="shared" si="98"/>
        <v>0.24499999999999966</v>
      </c>
      <c r="M7492" s="337"/>
    </row>
    <row r="7493" spans="1:13" s="71" customFormat="1" ht="26.4" customHeight="1">
      <c r="A7493" s="282">
        <v>854</v>
      </c>
      <c r="B7493" s="537"/>
      <c r="C7493" s="441" t="s">
        <v>9322</v>
      </c>
      <c r="D7493" s="441" t="s">
        <v>9323</v>
      </c>
      <c r="E7493" s="441" t="s">
        <v>9332</v>
      </c>
      <c r="F7493" s="442">
        <v>229</v>
      </c>
      <c r="G7493" s="443">
        <v>1979</v>
      </c>
      <c r="H7493" s="489" t="s">
        <v>1136</v>
      </c>
      <c r="I7493" s="409">
        <v>1.8</v>
      </c>
      <c r="J7493" s="495">
        <v>107.81</v>
      </c>
      <c r="K7493" s="495">
        <v>100.97</v>
      </c>
      <c r="L7493" s="496">
        <f t="shared" si="98"/>
        <v>6.8400000000000034</v>
      </c>
      <c r="M7493" s="337"/>
    </row>
    <row r="7494" spans="1:13" s="71" customFormat="1" ht="26.4" customHeight="1">
      <c r="A7494" s="282">
        <v>855</v>
      </c>
      <c r="B7494" s="537"/>
      <c r="C7494" s="441" t="s">
        <v>9322</v>
      </c>
      <c r="D7494" s="441" t="s">
        <v>9323</v>
      </c>
      <c r="E7494" s="441" t="s">
        <v>9333</v>
      </c>
      <c r="F7494" s="442">
        <v>1333</v>
      </c>
      <c r="G7494" s="443">
        <v>1979</v>
      </c>
      <c r="H7494" s="489" t="s">
        <v>1149</v>
      </c>
      <c r="I7494" s="409">
        <v>953.7</v>
      </c>
      <c r="J7494" s="495">
        <v>119.727</v>
      </c>
      <c r="K7494" s="495">
        <v>111.678</v>
      </c>
      <c r="L7494" s="496">
        <f t="shared" si="98"/>
        <v>8.0490000000000066</v>
      </c>
      <c r="M7494" s="337"/>
    </row>
    <row r="7495" spans="1:13" s="71" customFormat="1" ht="26.4" customHeight="1">
      <c r="A7495" s="282">
        <v>856</v>
      </c>
      <c r="B7495" s="537"/>
      <c r="C7495" s="441" t="s">
        <v>9322</v>
      </c>
      <c r="D7495" s="441" t="s">
        <v>9323</v>
      </c>
      <c r="E7495" s="441" t="s">
        <v>9334</v>
      </c>
      <c r="F7495" s="442">
        <v>1334</v>
      </c>
      <c r="G7495" s="443">
        <v>1979</v>
      </c>
      <c r="H7495" s="489" t="s">
        <v>1136</v>
      </c>
      <c r="I7495" s="409">
        <v>53.7</v>
      </c>
      <c r="J7495" s="495">
        <v>22.352</v>
      </c>
      <c r="K7495" s="495">
        <v>20.225999999999999</v>
      </c>
      <c r="L7495" s="496">
        <f t="shared" si="98"/>
        <v>2.1260000000000012</v>
      </c>
      <c r="M7495" s="337"/>
    </row>
    <row r="7496" spans="1:13" s="71" customFormat="1" ht="26.4" customHeight="1">
      <c r="A7496" s="282">
        <v>857</v>
      </c>
      <c r="B7496" s="537"/>
      <c r="C7496" s="441" t="s">
        <v>9322</v>
      </c>
      <c r="D7496" s="441" t="s">
        <v>9323</v>
      </c>
      <c r="E7496" s="441" t="s">
        <v>9335</v>
      </c>
      <c r="F7496" s="442">
        <v>409</v>
      </c>
      <c r="G7496" s="443">
        <v>1979</v>
      </c>
      <c r="H7496" s="489" t="s">
        <v>1149</v>
      </c>
      <c r="I7496" s="409">
        <v>763.4</v>
      </c>
      <c r="J7496" s="495">
        <v>98.347999999999999</v>
      </c>
      <c r="K7496" s="495">
        <v>85.53</v>
      </c>
      <c r="L7496" s="496">
        <f t="shared" si="98"/>
        <v>12.817999999999998</v>
      </c>
      <c r="M7496" s="337"/>
    </row>
    <row r="7497" spans="1:13" s="71" customFormat="1" ht="26.4" customHeight="1">
      <c r="A7497" s="282">
        <v>858</v>
      </c>
      <c r="B7497" s="537"/>
      <c r="C7497" s="441" t="s">
        <v>9322</v>
      </c>
      <c r="D7497" s="441" t="s">
        <v>9323</v>
      </c>
      <c r="E7497" s="441" t="s">
        <v>9336</v>
      </c>
      <c r="F7497" s="442">
        <v>224</v>
      </c>
      <c r="G7497" s="443">
        <v>1999</v>
      </c>
      <c r="H7497" s="489" t="s">
        <v>1149</v>
      </c>
      <c r="I7497" s="409">
        <v>38.799999999999997</v>
      </c>
      <c r="J7497" s="495">
        <v>13.195</v>
      </c>
      <c r="K7497" s="495">
        <v>12.358000000000001</v>
      </c>
      <c r="L7497" s="496">
        <f t="shared" si="98"/>
        <v>0.83699999999999974</v>
      </c>
      <c r="M7497" s="337"/>
    </row>
    <row r="7498" spans="1:13" s="71" customFormat="1" ht="26.4" customHeight="1">
      <c r="A7498" s="282">
        <v>859</v>
      </c>
      <c r="B7498" s="537"/>
      <c r="C7498" s="441" t="s">
        <v>9322</v>
      </c>
      <c r="D7498" s="441" t="s">
        <v>9323</v>
      </c>
      <c r="E7498" s="441" t="s">
        <v>9337</v>
      </c>
      <c r="F7498" s="442">
        <v>221</v>
      </c>
      <c r="G7498" s="443">
        <v>1979</v>
      </c>
      <c r="H7498" s="489" t="s">
        <v>1149</v>
      </c>
      <c r="I7498" s="409">
        <v>55.47</v>
      </c>
      <c r="J7498" s="495">
        <v>4.0730000000000004</v>
      </c>
      <c r="K7498" s="495">
        <v>3.8109999999999999</v>
      </c>
      <c r="L7498" s="496">
        <f t="shared" si="98"/>
        <v>0.26200000000000045</v>
      </c>
      <c r="M7498" s="337"/>
    </row>
    <row r="7499" spans="1:13" s="71" customFormat="1" ht="26.4" customHeight="1">
      <c r="A7499" s="282">
        <v>860</v>
      </c>
      <c r="B7499" s="537"/>
      <c r="C7499" s="441" t="s">
        <v>9322</v>
      </c>
      <c r="D7499" s="441" t="s">
        <v>9323</v>
      </c>
      <c r="E7499" s="441" t="s">
        <v>9338</v>
      </c>
      <c r="F7499" s="442">
        <v>2211</v>
      </c>
      <c r="G7499" s="443">
        <v>1979</v>
      </c>
      <c r="H7499" s="489" t="s">
        <v>1149</v>
      </c>
      <c r="I7499" s="409">
        <v>56.47</v>
      </c>
      <c r="J7499" s="495">
        <v>4.0730000000000004</v>
      </c>
      <c r="K7499" s="495">
        <v>3.8109999999999999</v>
      </c>
      <c r="L7499" s="496">
        <f t="shared" si="98"/>
        <v>0.26200000000000045</v>
      </c>
      <c r="M7499" s="337"/>
    </row>
    <row r="7500" spans="1:13" s="71" customFormat="1" ht="26.4" customHeight="1">
      <c r="A7500" s="282">
        <v>861</v>
      </c>
      <c r="B7500" s="537"/>
      <c r="C7500" s="441" t="s">
        <v>9322</v>
      </c>
      <c r="D7500" s="441" t="s">
        <v>9323</v>
      </c>
      <c r="E7500" s="441" t="s">
        <v>9339</v>
      </c>
      <c r="F7500" s="442">
        <v>2212</v>
      </c>
      <c r="G7500" s="443">
        <v>1979</v>
      </c>
      <c r="H7500" s="489" t="s">
        <v>1149</v>
      </c>
      <c r="I7500" s="409">
        <v>57.47</v>
      </c>
      <c r="J7500" s="495">
        <v>4.0730000000000004</v>
      </c>
      <c r="K7500" s="495">
        <v>3.8109999999999999</v>
      </c>
      <c r="L7500" s="496">
        <f t="shared" si="98"/>
        <v>0.26200000000000045</v>
      </c>
      <c r="M7500" s="337"/>
    </row>
    <row r="7501" spans="1:13" s="71" customFormat="1" ht="26.4" customHeight="1">
      <c r="A7501" s="282">
        <v>862</v>
      </c>
      <c r="B7501" s="537"/>
      <c r="C7501" s="441" t="s">
        <v>9322</v>
      </c>
      <c r="D7501" s="441" t="s">
        <v>9323</v>
      </c>
      <c r="E7501" s="441" t="s">
        <v>9340</v>
      </c>
      <c r="F7501" s="442">
        <v>2213</v>
      </c>
      <c r="G7501" s="443">
        <v>1979</v>
      </c>
      <c r="H7501" s="489" t="s">
        <v>1149</v>
      </c>
      <c r="I7501" s="409">
        <v>58.47</v>
      </c>
      <c r="J7501" s="495">
        <v>4.0730000000000004</v>
      </c>
      <c r="K7501" s="495">
        <v>3.8149999999999999</v>
      </c>
      <c r="L7501" s="496">
        <f t="shared" si="98"/>
        <v>0.25800000000000045</v>
      </c>
      <c r="M7501" s="337"/>
    </row>
    <row r="7502" spans="1:13" s="71" customFormat="1" ht="26.4" customHeight="1">
      <c r="A7502" s="282">
        <v>863</v>
      </c>
      <c r="B7502" s="537"/>
      <c r="C7502" s="441" t="s">
        <v>9322</v>
      </c>
      <c r="D7502" s="441" t="s">
        <v>9323</v>
      </c>
      <c r="E7502" s="441" t="s">
        <v>9341</v>
      </c>
      <c r="F7502" s="442">
        <v>13511</v>
      </c>
      <c r="G7502" s="443">
        <v>1979</v>
      </c>
      <c r="H7502" s="489" t="s">
        <v>1149</v>
      </c>
      <c r="I7502" s="409">
        <v>33.17</v>
      </c>
      <c r="J7502" s="495">
        <v>6.452</v>
      </c>
      <c r="K7502" s="495">
        <v>6.0430000000000001</v>
      </c>
      <c r="L7502" s="496">
        <f t="shared" si="98"/>
        <v>0.40899999999999981</v>
      </c>
      <c r="M7502" s="337"/>
    </row>
    <row r="7503" spans="1:13" s="71" customFormat="1" ht="26.4" customHeight="1">
      <c r="A7503" s="282">
        <v>864</v>
      </c>
      <c r="B7503" s="537"/>
      <c r="C7503" s="441" t="s">
        <v>9322</v>
      </c>
      <c r="D7503" s="441" t="s">
        <v>9323</v>
      </c>
      <c r="E7503" s="441" t="s">
        <v>9342</v>
      </c>
      <c r="F7503" s="442">
        <v>13512</v>
      </c>
      <c r="G7503" s="443">
        <v>1979</v>
      </c>
      <c r="H7503" s="489" t="s">
        <v>1149</v>
      </c>
      <c r="I7503" s="409">
        <v>34.17</v>
      </c>
      <c r="J7503" s="495">
        <v>6.452</v>
      </c>
      <c r="K7503" s="495">
        <v>6.0430000000000001</v>
      </c>
      <c r="L7503" s="496">
        <f t="shared" si="98"/>
        <v>0.40899999999999981</v>
      </c>
      <c r="M7503" s="337"/>
    </row>
    <row r="7504" spans="1:13" s="71" customFormat="1" ht="26.4" customHeight="1">
      <c r="A7504" s="282">
        <v>865</v>
      </c>
      <c r="B7504" s="537"/>
      <c r="C7504" s="441" t="s">
        <v>9322</v>
      </c>
      <c r="D7504" s="441" t="s">
        <v>9323</v>
      </c>
      <c r="E7504" s="441" t="s">
        <v>9343</v>
      </c>
      <c r="F7504" s="442">
        <v>13513</v>
      </c>
      <c r="G7504" s="443">
        <v>1979</v>
      </c>
      <c r="H7504" s="489" t="s">
        <v>1149</v>
      </c>
      <c r="I7504" s="409">
        <v>35.17</v>
      </c>
      <c r="J7504" s="495">
        <v>6.452</v>
      </c>
      <c r="K7504" s="495">
        <v>6.0430000000000001</v>
      </c>
      <c r="L7504" s="496">
        <f t="shared" si="98"/>
        <v>0.40899999999999981</v>
      </c>
      <c r="M7504" s="337"/>
    </row>
    <row r="7505" spans="1:13" s="332" customFormat="1" ht="26.4" customHeight="1">
      <c r="A7505" s="445">
        <v>866</v>
      </c>
      <c r="B7505" s="537"/>
      <c r="C7505" s="440" t="s">
        <v>9322</v>
      </c>
      <c r="D7505" s="440" t="s">
        <v>9323</v>
      </c>
      <c r="E7505" s="441" t="s">
        <v>9344</v>
      </c>
      <c r="F7505" s="442">
        <v>13514</v>
      </c>
      <c r="G7505" s="443">
        <v>1979</v>
      </c>
      <c r="H7505" s="489" t="s">
        <v>1149</v>
      </c>
      <c r="I7505" s="409">
        <v>36.17</v>
      </c>
      <c r="J7505" s="495">
        <v>6.452</v>
      </c>
      <c r="K7505" s="495">
        <v>6.0430000000000001</v>
      </c>
      <c r="L7505" s="496">
        <f t="shared" si="98"/>
        <v>0.40899999999999981</v>
      </c>
      <c r="M7505" s="331"/>
    </row>
    <row r="7506" spans="1:13" s="71" customFormat="1" ht="26.4" customHeight="1">
      <c r="A7506" s="282">
        <v>867</v>
      </c>
      <c r="B7506" s="537"/>
      <c r="C7506" s="441" t="s">
        <v>19</v>
      </c>
      <c r="D7506" s="441" t="s">
        <v>9281</v>
      </c>
      <c r="E7506" s="441" t="s">
        <v>9345</v>
      </c>
      <c r="F7506" s="442">
        <v>1741</v>
      </c>
      <c r="G7506" s="443">
        <v>1990</v>
      </c>
      <c r="H7506" s="489" t="s">
        <v>1149</v>
      </c>
      <c r="I7506" s="409">
        <v>517.4</v>
      </c>
      <c r="J7506" s="495">
        <v>39.506999999999998</v>
      </c>
      <c r="K7506" s="495">
        <v>32.563000000000002</v>
      </c>
      <c r="L7506" s="496">
        <f t="shared" si="98"/>
        <v>6.9439999999999955</v>
      </c>
      <c r="M7506" s="337"/>
    </row>
    <row r="7507" spans="1:13" s="71" customFormat="1" ht="26.4" customHeight="1">
      <c r="A7507" s="282">
        <v>868</v>
      </c>
      <c r="B7507" s="537"/>
      <c r="C7507" s="441" t="s">
        <v>19</v>
      </c>
      <c r="D7507" s="441" t="s">
        <v>9281</v>
      </c>
      <c r="E7507" s="441" t="s">
        <v>9346</v>
      </c>
      <c r="F7507" s="442">
        <v>544</v>
      </c>
      <c r="G7507" s="443">
        <v>1968</v>
      </c>
      <c r="H7507" s="489" t="s">
        <v>1149</v>
      </c>
      <c r="I7507" s="409">
        <v>420.6</v>
      </c>
      <c r="J7507" s="495">
        <v>283.238</v>
      </c>
      <c r="K7507" s="495">
        <v>281.20999999999998</v>
      </c>
      <c r="L7507" s="496">
        <f t="shared" si="98"/>
        <v>2.02800000000002</v>
      </c>
      <c r="M7507" s="337"/>
    </row>
    <row r="7508" spans="1:13" s="71" customFormat="1" ht="26.4" customHeight="1">
      <c r="A7508" s="282">
        <v>869</v>
      </c>
      <c r="B7508" s="537"/>
      <c r="C7508" s="441" t="s">
        <v>19</v>
      </c>
      <c r="D7508" s="441" t="s">
        <v>9281</v>
      </c>
      <c r="E7508" s="441" t="s">
        <v>9347</v>
      </c>
      <c r="F7508" s="442">
        <v>563</v>
      </c>
      <c r="G7508" s="443">
        <v>1987</v>
      </c>
      <c r="H7508" s="489" t="s">
        <v>1149</v>
      </c>
      <c r="I7508" s="409">
        <v>317.89999999999998</v>
      </c>
      <c r="J7508" s="495">
        <v>51.85</v>
      </c>
      <c r="K7508" s="495">
        <v>48.045999999999999</v>
      </c>
      <c r="L7508" s="496">
        <f t="shared" si="98"/>
        <v>3.804000000000002</v>
      </c>
      <c r="M7508" s="337"/>
    </row>
    <row r="7509" spans="1:13" s="71" customFormat="1" ht="26.4" customHeight="1">
      <c r="A7509" s="282">
        <v>870</v>
      </c>
      <c r="B7509" s="537"/>
      <c r="C7509" s="441" t="s">
        <v>19</v>
      </c>
      <c r="D7509" s="441" t="s">
        <v>9281</v>
      </c>
      <c r="E7509" s="441" t="s">
        <v>9348</v>
      </c>
      <c r="F7509" s="442">
        <v>1665</v>
      </c>
      <c r="G7509" s="443">
        <v>1989</v>
      </c>
      <c r="H7509" s="489" t="s">
        <v>1149</v>
      </c>
      <c r="I7509" s="409">
        <v>51</v>
      </c>
      <c r="J7509" s="495">
        <v>38.500999999999998</v>
      </c>
      <c r="K7509" s="495">
        <v>31.105</v>
      </c>
      <c r="L7509" s="496">
        <v>7.3949999999999996</v>
      </c>
      <c r="M7509" s="337"/>
    </row>
    <row r="7510" spans="1:13" s="71" customFormat="1" ht="26.4" customHeight="1">
      <c r="A7510" s="282">
        <v>871</v>
      </c>
      <c r="B7510" s="537"/>
      <c r="C7510" s="441" t="s">
        <v>19</v>
      </c>
      <c r="D7510" s="441" t="s">
        <v>9281</v>
      </c>
      <c r="E7510" s="441" t="s">
        <v>9349</v>
      </c>
      <c r="F7510" s="442">
        <v>1672</v>
      </c>
      <c r="G7510" s="443">
        <v>1989</v>
      </c>
      <c r="H7510" s="489" t="s">
        <v>1149</v>
      </c>
      <c r="I7510" s="409">
        <v>291</v>
      </c>
      <c r="J7510" s="495">
        <v>245.86500000000001</v>
      </c>
      <c r="K7510" s="495">
        <v>198.726</v>
      </c>
      <c r="L7510" s="496">
        <f t="shared" ref="L7510:L7559" si="99">J7510-K7510</f>
        <v>47.13900000000001</v>
      </c>
      <c r="M7510" s="337"/>
    </row>
    <row r="7511" spans="1:13" s="71" customFormat="1" ht="26.4" customHeight="1">
      <c r="A7511" s="282">
        <v>872</v>
      </c>
      <c r="B7511" s="537"/>
      <c r="C7511" s="441" t="s">
        <v>19</v>
      </c>
      <c r="D7511" s="441" t="s">
        <v>9281</v>
      </c>
      <c r="E7511" s="441" t="s">
        <v>9350</v>
      </c>
      <c r="F7511" s="442">
        <v>564</v>
      </c>
      <c r="G7511" s="443">
        <v>1968</v>
      </c>
      <c r="H7511" s="489" t="s">
        <v>1149</v>
      </c>
      <c r="I7511" s="409">
        <v>103.2</v>
      </c>
      <c r="J7511" s="495">
        <v>22.594000000000001</v>
      </c>
      <c r="K7511" s="495">
        <v>20.934999999999999</v>
      </c>
      <c r="L7511" s="496">
        <f t="shared" si="99"/>
        <v>1.6590000000000025</v>
      </c>
      <c r="M7511" s="337"/>
    </row>
    <row r="7512" spans="1:13" s="71" customFormat="1" ht="26.4" customHeight="1">
      <c r="A7512" s="282">
        <v>873</v>
      </c>
      <c r="B7512" s="537"/>
      <c r="C7512" s="441" t="s">
        <v>19</v>
      </c>
      <c r="D7512" s="441" t="s">
        <v>9281</v>
      </c>
      <c r="E7512" s="441" t="s">
        <v>9351</v>
      </c>
      <c r="F7512" s="442">
        <v>254</v>
      </c>
      <c r="G7512" s="443">
        <v>1989</v>
      </c>
      <c r="H7512" s="489" t="s">
        <v>1149</v>
      </c>
      <c r="I7512" s="409">
        <v>269.10000000000002</v>
      </c>
      <c r="J7512" s="495">
        <v>3.6</v>
      </c>
      <c r="K7512" s="495">
        <v>1.08</v>
      </c>
      <c r="L7512" s="496">
        <f t="shared" si="99"/>
        <v>2.52</v>
      </c>
      <c r="M7512" s="337"/>
    </row>
    <row r="7513" spans="1:13" s="71" customFormat="1" ht="26.4" customHeight="1">
      <c r="A7513" s="282">
        <v>874</v>
      </c>
      <c r="B7513" s="537"/>
      <c r="C7513" s="441" t="s">
        <v>19</v>
      </c>
      <c r="D7513" s="441" t="s">
        <v>9281</v>
      </c>
      <c r="E7513" s="441" t="s">
        <v>9352</v>
      </c>
      <c r="F7513" s="442">
        <v>94</v>
      </c>
      <c r="G7513" s="443">
        <v>1989</v>
      </c>
      <c r="H7513" s="489" t="s">
        <v>1149</v>
      </c>
      <c r="I7513" s="409">
        <v>24.5</v>
      </c>
      <c r="J7513" s="495">
        <v>0.86699999999999999</v>
      </c>
      <c r="K7513" s="495">
        <v>0.39</v>
      </c>
      <c r="L7513" s="496">
        <f t="shared" si="99"/>
        <v>0.47699999999999998</v>
      </c>
      <c r="M7513" s="337"/>
    </row>
    <row r="7514" spans="1:13" s="71" customFormat="1" ht="26.4" customHeight="1">
      <c r="A7514" s="282">
        <v>875</v>
      </c>
      <c r="B7514" s="537"/>
      <c r="C7514" s="441" t="s">
        <v>19</v>
      </c>
      <c r="D7514" s="441" t="s">
        <v>9281</v>
      </c>
      <c r="E7514" s="441" t="s">
        <v>9353</v>
      </c>
      <c r="F7514" s="442">
        <v>16701</v>
      </c>
      <c r="G7514" s="443">
        <v>1968</v>
      </c>
      <c r="H7514" s="489" t="s">
        <v>1149</v>
      </c>
      <c r="I7514" s="409">
        <v>1090.03</v>
      </c>
      <c r="J7514" s="495">
        <v>144.42400000000001</v>
      </c>
      <c r="K7514" s="495">
        <v>108.711</v>
      </c>
      <c r="L7514" s="496">
        <f t="shared" si="99"/>
        <v>35.713000000000008</v>
      </c>
      <c r="M7514" s="337"/>
    </row>
    <row r="7515" spans="1:13" s="71" customFormat="1" ht="26.4" customHeight="1">
      <c r="A7515" s="282">
        <v>876</v>
      </c>
      <c r="B7515" s="537"/>
      <c r="C7515" s="441" t="s">
        <v>19</v>
      </c>
      <c r="D7515" s="441" t="s">
        <v>9281</v>
      </c>
      <c r="E7515" s="441" t="s">
        <v>9354</v>
      </c>
      <c r="F7515" s="442">
        <v>16702</v>
      </c>
      <c r="G7515" s="443">
        <v>1968</v>
      </c>
      <c r="H7515" s="489" t="s">
        <v>1149</v>
      </c>
      <c r="I7515" s="409">
        <v>1090.03</v>
      </c>
      <c r="J7515" s="495">
        <v>144.42400000000001</v>
      </c>
      <c r="K7515" s="495">
        <v>108.711</v>
      </c>
      <c r="L7515" s="496">
        <f t="shared" si="99"/>
        <v>35.713000000000008</v>
      </c>
      <c r="M7515" s="337"/>
    </row>
    <row r="7516" spans="1:13" s="71" customFormat="1" ht="26.4" customHeight="1">
      <c r="A7516" s="282">
        <v>877</v>
      </c>
      <c r="B7516" s="537"/>
      <c r="C7516" s="441" t="s">
        <v>19</v>
      </c>
      <c r="D7516" s="441" t="s">
        <v>9281</v>
      </c>
      <c r="E7516" s="441" t="s">
        <v>9355</v>
      </c>
      <c r="F7516" s="442">
        <v>549</v>
      </c>
      <c r="G7516" s="443">
        <v>1989</v>
      </c>
      <c r="H7516" s="489" t="s">
        <v>1149</v>
      </c>
      <c r="I7516" s="409">
        <v>1090.03</v>
      </c>
      <c r="J7516" s="495">
        <v>345.16</v>
      </c>
      <c r="K7516" s="495">
        <v>287.75</v>
      </c>
      <c r="L7516" s="496">
        <f t="shared" si="99"/>
        <v>57.410000000000025</v>
      </c>
      <c r="M7516" s="337"/>
    </row>
    <row r="7517" spans="1:13" s="71" customFormat="1" ht="26.4" customHeight="1">
      <c r="A7517" s="282">
        <v>878</v>
      </c>
      <c r="B7517" s="537"/>
      <c r="C7517" s="441" t="s">
        <v>19</v>
      </c>
      <c r="D7517" s="441" t="s">
        <v>9281</v>
      </c>
      <c r="E7517" s="441" t="s">
        <v>9356</v>
      </c>
      <c r="F7517" s="442">
        <v>5451</v>
      </c>
      <c r="G7517" s="443">
        <v>1968</v>
      </c>
      <c r="H7517" s="489" t="s">
        <v>1149</v>
      </c>
      <c r="I7517" s="409">
        <v>63.58</v>
      </c>
      <c r="J7517" s="495">
        <v>17.314</v>
      </c>
      <c r="K7517" s="495">
        <v>16.216000000000001</v>
      </c>
      <c r="L7517" s="496">
        <f t="shared" si="99"/>
        <v>1.097999999999999</v>
      </c>
      <c r="M7517" s="337"/>
    </row>
    <row r="7518" spans="1:13" s="71" customFormat="1" ht="26.4" customHeight="1">
      <c r="A7518" s="282">
        <v>879</v>
      </c>
      <c r="B7518" s="537"/>
      <c r="C7518" s="441" t="s">
        <v>19</v>
      </c>
      <c r="D7518" s="441" t="s">
        <v>9281</v>
      </c>
      <c r="E7518" s="441" t="s">
        <v>9357</v>
      </c>
      <c r="F7518" s="442">
        <v>5452</v>
      </c>
      <c r="G7518" s="443">
        <v>1968</v>
      </c>
      <c r="H7518" s="489" t="s">
        <v>1149</v>
      </c>
      <c r="I7518" s="409">
        <v>64.58</v>
      </c>
      <c r="J7518" s="495">
        <v>17.314</v>
      </c>
      <c r="K7518" s="495">
        <v>16.216000000000001</v>
      </c>
      <c r="L7518" s="496">
        <f t="shared" si="99"/>
        <v>1.097999999999999</v>
      </c>
      <c r="M7518" s="337"/>
    </row>
    <row r="7519" spans="1:13" s="71" customFormat="1" ht="26.4" customHeight="1">
      <c r="A7519" s="282">
        <v>880</v>
      </c>
      <c r="B7519" s="537"/>
      <c r="C7519" s="441" t="s">
        <v>19</v>
      </c>
      <c r="D7519" s="441" t="s">
        <v>9281</v>
      </c>
      <c r="E7519" s="441" t="s">
        <v>9358</v>
      </c>
      <c r="F7519" s="442">
        <v>5453</v>
      </c>
      <c r="G7519" s="443">
        <v>1968</v>
      </c>
      <c r="H7519" s="489" t="s">
        <v>1149</v>
      </c>
      <c r="I7519" s="409">
        <v>65.58</v>
      </c>
      <c r="J7519" s="495">
        <v>17.314</v>
      </c>
      <c r="K7519" s="495">
        <v>16.216000000000001</v>
      </c>
      <c r="L7519" s="496">
        <f t="shared" si="99"/>
        <v>1.097999999999999</v>
      </c>
      <c r="M7519" s="337"/>
    </row>
    <row r="7520" spans="1:13" s="71" customFormat="1" ht="26.4" customHeight="1">
      <c r="A7520" s="282">
        <v>881</v>
      </c>
      <c r="B7520" s="537"/>
      <c r="C7520" s="441" t="s">
        <v>19</v>
      </c>
      <c r="D7520" s="441" t="s">
        <v>9281</v>
      </c>
      <c r="E7520" s="441" t="s">
        <v>9359</v>
      </c>
      <c r="F7520" s="442">
        <v>5454</v>
      </c>
      <c r="G7520" s="443">
        <v>1968</v>
      </c>
      <c r="H7520" s="489" t="s">
        <v>1149</v>
      </c>
      <c r="I7520" s="409">
        <v>66.58</v>
      </c>
      <c r="J7520" s="495">
        <v>17.314</v>
      </c>
      <c r="K7520" s="495">
        <v>16.216000000000001</v>
      </c>
      <c r="L7520" s="496">
        <f t="shared" si="99"/>
        <v>1.097999999999999</v>
      </c>
      <c r="M7520" s="337"/>
    </row>
    <row r="7521" spans="1:13" s="71" customFormat="1" ht="26.4" customHeight="1">
      <c r="A7521" s="282">
        <v>882</v>
      </c>
      <c r="B7521" s="537"/>
      <c r="C7521" s="441" t="s">
        <v>19</v>
      </c>
      <c r="D7521" s="441" t="s">
        <v>9281</v>
      </c>
      <c r="E7521" s="441" t="s">
        <v>9360</v>
      </c>
      <c r="F7521" s="442">
        <v>5455</v>
      </c>
      <c r="G7521" s="443">
        <v>1968</v>
      </c>
      <c r="H7521" s="489" t="s">
        <v>1149</v>
      </c>
      <c r="I7521" s="409">
        <v>67.58</v>
      </c>
      <c r="J7521" s="495">
        <v>16.294</v>
      </c>
      <c r="K7521" s="495">
        <v>15.244999999999999</v>
      </c>
      <c r="L7521" s="496">
        <f t="shared" si="99"/>
        <v>1.0490000000000013</v>
      </c>
      <c r="M7521" s="337"/>
    </row>
    <row r="7522" spans="1:13" s="71" customFormat="1" ht="26.4" customHeight="1">
      <c r="A7522" s="282">
        <v>883</v>
      </c>
      <c r="B7522" s="537"/>
      <c r="C7522" s="441" t="s">
        <v>19</v>
      </c>
      <c r="D7522" s="441" t="s">
        <v>9281</v>
      </c>
      <c r="E7522" s="441" t="s">
        <v>9361</v>
      </c>
      <c r="F7522" s="442">
        <v>5456</v>
      </c>
      <c r="G7522" s="443">
        <v>1968</v>
      </c>
      <c r="H7522" s="489" t="s">
        <v>1149</v>
      </c>
      <c r="I7522" s="409">
        <v>68.58</v>
      </c>
      <c r="J7522" s="495">
        <v>16.294</v>
      </c>
      <c r="K7522" s="495">
        <v>15.244999999999999</v>
      </c>
      <c r="L7522" s="496">
        <f t="shared" si="99"/>
        <v>1.0490000000000013</v>
      </c>
      <c r="M7522" s="337"/>
    </row>
    <row r="7523" spans="1:13" s="71" customFormat="1" ht="26.4" customHeight="1">
      <c r="A7523" s="282">
        <v>884</v>
      </c>
      <c r="B7523" s="537"/>
      <c r="C7523" s="441" t="s">
        <v>19</v>
      </c>
      <c r="D7523" s="441" t="s">
        <v>9281</v>
      </c>
      <c r="E7523" s="441" t="s">
        <v>9362</v>
      </c>
      <c r="F7523" s="442">
        <v>5457</v>
      </c>
      <c r="G7523" s="443">
        <v>1968</v>
      </c>
      <c r="H7523" s="489" t="s">
        <v>1149</v>
      </c>
      <c r="I7523" s="409">
        <v>69.58</v>
      </c>
      <c r="J7523" s="495">
        <v>16.294</v>
      </c>
      <c r="K7523" s="495">
        <v>15.244999999999999</v>
      </c>
      <c r="L7523" s="496">
        <f t="shared" si="99"/>
        <v>1.0490000000000013</v>
      </c>
      <c r="M7523" s="337"/>
    </row>
    <row r="7524" spans="1:13" s="71" customFormat="1" ht="26.4" customHeight="1">
      <c r="A7524" s="282">
        <v>885</v>
      </c>
      <c r="B7524" s="537"/>
      <c r="C7524" s="441" t="s">
        <v>19</v>
      </c>
      <c r="D7524" s="441" t="s">
        <v>9281</v>
      </c>
      <c r="E7524" s="441" t="s">
        <v>9363</v>
      </c>
      <c r="F7524" s="442">
        <v>5458</v>
      </c>
      <c r="G7524" s="443">
        <v>1968</v>
      </c>
      <c r="H7524" s="489" t="s">
        <v>1149</v>
      </c>
      <c r="I7524" s="409">
        <v>70.58</v>
      </c>
      <c r="J7524" s="495">
        <v>16.294</v>
      </c>
      <c r="K7524" s="495">
        <v>15.244999999999999</v>
      </c>
      <c r="L7524" s="496">
        <f t="shared" si="99"/>
        <v>1.0490000000000013</v>
      </c>
      <c r="M7524" s="337"/>
    </row>
    <row r="7525" spans="1:13" s="71" customFormat="1" ht="26.4" customHeight="1">
      <c r="A7525" s="282">
        <v>886</v>
      </c>
      <c r="B7525" s="537"/>
      <c r="C7525" s="441" t="s">
        <v>19</v>
      </c>
      <c r="D7525" s="441" t="s">
        <v>9281</v>
      </c>
      <c r="E7525" s="441" t="s">
        <v>9364</v>
      </c>
      <c r="F7525" s="442">
        <v>5459</v>
      </c>
      <c r="G7525" s="443">
        <v>1968</v>
      </c>
      <c r="H7525" s="489" t="s">
        <v>1149</v>
      </c>
      <c r="I7525" s="409">
        <v>71.58</v>
      </c>
      <c r="J7525" s="495">
        <v>21.529</v>
      </c>
      <c r="K7525" s="495">
        <v>20.295000000000002</v>
      </c>
      <c r="L7525" s="496">
        <f t="shared" si="99"/>
        <v>1.2339999999999982</v>
      </c>
      <c r="M7525" s="337"/>
    </row>
    <row r="7526" spans="1:13" s="71" customFormat="1" ht="26.4" customHeight="1">
      <c r="A7526" s="282">
        <v>887</v>
      </c>
      <c r="B7526" s="537"/>
      <c r="C7526" s="441" t="s">
        <v>19</v>
      </c>
      <c r="D7526" s="441" t="s">
        <v>9281</v>
      </c>
      <c r="E7526" s="441" t="s">
        <v>9365</v>
      </c>
      <c r="F7526" s="442">
        <v>545</v>
      </c>
      <c r="G7526" s="443">
        <v>1989</v>
      </c>
      <c r="H7526" s="489" t="s">
        <v>1149</v>
      </c>
      <c r="I7526" s="409">
        <v>63.6</v>
      </c>
      <c r="J7526" s="495">
        <v>31.323</v>
      </c>
      <c r="K7526" s="495">
        <v>29.821000000000002</v>
      </c>
      <c r="L7526" s="496">
        <f t="shared" si="99"/>
        <v>1.5019999999999989</v>
      </c>
      <c r="M7526" s="337"/>
    </row>
    <row r="7527" spans="1:13" s="71" customFormat="1" ht="26.4" customHeight="1">
      <c r="A7527" s="282">
        <v>888</v>
      </c>
      <c r="B7527" s="537"/>
      <c r="C7527" s="441" t="s">
        <v>19</v>
      </c>
      <c r="D7527" s="441" t="s">
        <v>9281</v>
      </c>
      <c r="E7527" s="441" t="s">
        <v>9366</v>
      </c>
      <c r="F7527" s="442">
        <v>546</v>
      </c>
      <c r="G7527" s="443">
        <v>1989</v>
      </c>
      <c r="H7527" s="489" t="s">
        <v>1149</v>
      </c>
      <c r="I7527" s="409">
        <v>63.6</v>
      </c>
      <c r="J7527" s="495">
        <v>31.323</v>
      </c>
      <c r="K7527" s="495">
        <v>29.821000000000002</v>
      </c>
      <c r="L7527" s="496">
        <f t="shared" si="99"/>
        <v>1.5019999999999989</v>
      </c>
      <c r="M7527" s="337"/>
    </row>
    <row r="7528" spans="1:13" s="71" customFormat="1" ht="26.4" customHeight="1">
      <c r="A7528" s="282">
        <v>889</v>
      </c>
      <c r="B7528" s="537"/>
      <c r="C7528" s="441" t="s">
        <v>19</v>
      </c>
      <c r="D7528" s="441" t="s">
        <v>9281</v>
      </c>
      <c r="E7528" s="441" t="s">
        <v>9367</v>
      </c>
      <c r="F7528" s="442">
        <v>16711</v>
      </c>
      <c r="G7528" s="443">
        <v>1968</v>
      </c>
      <c r="H7528" s="489" t="s">
        <v>1149</v>
      </c>
      <c r="I7528" s="409">
        <v>314</v>
      </c>
      <c r="J7528" s="495">
        <v>127.316</v>
      </c>
      <c r="K7528" s="495">
        <v>119.238</v>
      </c>
      <c r="L7528" s="496">
        <f t="shared" si="99"/>
        <v>8.078000000000003</v>
      </c>
      <c r="M7528" s="337"/>
    </row>
    <row r="7529" spans="1:13" s="71" customFormat="1" ht="26.4" customHeight="1">
      <c r="A7529" s="282">
        <v>890</v>
      </c>
      <c r="B7529" s="537"/>
      <c r="C7529" s="441" t="s">
        <v>19</v>
      </c>
      <c r="D7529" s="441" t="s">
        <v>9281</v>
      </c>
      <c r="E7529" s="441" t="s">
        <v>9368</v>
      </c>
      <c r="F7529" s="442">
        <v>16712</v>
      </c>
      <c r="G7529" s="443">
        <v>1968</v>
      </c>
      <c r="H7529" s="489" t="s">
        <v>1149</v>
      </c>
      <c r="I7529" s="409">
        <v>314</v>
      </c>
      <c r="J7529" s="495">
        <v>127.316</v>
      </c>
      <c r="K7529" s="495">
        <v>119.238</v>
      </c>
      <c r="L7529" s="496">
        <f t="shared" si="99"/>
        <v>8.078000000000003</v>
      </c>
      <c r="M7529" s="337"/>
    </row>
    <row r="7530" spans="1:13" s="71" customFormat="1" ht="26.4" customHeight="1">
      <c r="A7530" s="282">
        <v>891</v>
      </c>
      <c r="B7530" s="537"/>
      <c r="C7530" s="441" t="s">
        <v>19</v>
      </c>
      <c r="D7530" s="441" t="s">
        <v>9281</v>
      </c>
      <c r="E7530" s="441" t="s">
        <v>9369</v>
      </c>
      <c r="F7530" s="442">
        <v>16713</v>
      </c>
      <c r="G7530" s="443">
        <v>1989</v>
      </c>
      <c r="H7530" s="489" t="s">
        <v>1149</v>
      </c>
      <c r="I7530" s="409">
        <v>314</v>
      </c>
      <c r="J7530" s="495">
        <v>78.12</v>
      </c>
      <c r="K7530" s="495">
        <v>72.558000000000007</v>
      </c>
      <c r="L7530" s="496">
        <f t="shared" si="99"/>
        <v>5.5619999999999976</v>
      </c>
      <c r="M7530" s="337"/>
    </row>
    <row r="7531" spans="1:13" s="71" customFormat="1" ht="26.4" customHeight="1">
      <c r="A7531" s="282">
        <v>892</v>
      </c>
      <c r="B7531" s="537"/>
      <c r="C7531" s="441" t="s">
        <v>19</v>
      </c>
      <c r="D7531" s="441" t="s">
        <v>9281</v>
      </c>
      <c r="E7531" s="441" t="s">
        <v>9370</v>
      </c>
      <c r="F7531" s="442">
        <v>16714</v>
      </c>
      <c r="G7531" s="443">
        <v>1989</v>
      </c>
      <c r="H7531" s="489" t="s">
        <v>1149</v>
      </c>
      <c r="I7531" s="409">
        <v>314</v>
      </c>
      <c r="J7531" s="495">
        <v>78.12</v>
      </c>
      <c r="K7531" s="495">
        <v>72.558000000000007</v>
      </c>
      <c r="L7531" s="496">
        <f t="shared" si="99"/>
        <v>5.5619999999999976</v>
      </c>
      <c r="M7531" s="337"/>
    </row>
    <row r="7532" spans="1:13" s="71" customFormat="1" ht="26.4" customHeight="1">
      <c r="A7532" s="282">
        <v>893</v>
      </c>
      <c r="B7532" s="537"/>
      <c r="C7532" s="441" t="s">
        <v>19</v>
      </c>
      <c r="D7532" s="441" t="s">
        <v>9281</v>
      </c>
      <c r="E7532" s="441" t="s">
        <v>9371</v>
      </c>
      <c r="F7532" s="442">
        <v>559</v>
      </c>
      <c r="G7532" s="443">
        <v>1989</v>
      </c>
      <c r="H7532" s="489" t="s">
        <v>1149</v>
      </c>
      <c r="I7532" s="409">
        <v>19.62</v>
      </c>
      <c r="J7532" s="495">
        <v>20.391999999999999</v>
      </c>
      <c r="K7532" s="495">
        <v>17</v>
      </c>
      <c r="L7532" s="496">
        <f t="shared" si="99"/>
        <v>3.3919999999999995</v>
      </c>
      <c r="M7532" s="337"/>
    </row>
    <row r="7533" spans="1:13" s="71" customFormat="1" ht="26.4" customHeight="1">
      <c r="A7533" s="282">
        <v>894</v>
      </c>
      <c r="B7533" s="537"/>
      <c r="C7533" s="441" t="s">
        <v>19</v>
      </c>
      <c r="D7533" s="441" t="s">
        <v>9281</v>
      </c>
      <c r="E7533" s="441" t="s">
        <v>9372</v>
      </c>
      <c r="F7533" s="442">
        <v>560</v>
      </c>
      <c r="G7533" s="443">
        <v>1989</v>
      </c>
      <c r="H7533" s="489" t="s">
        <v>1149</v>
      </c>
      <c r="I7533" s="409">
        <v>19.62</v>
      </c>
      <c r="J7533" s="495">
        <v>20.391999999999999</v>
      </c>
      <c r="K7533" s="495">
        <v>17</v>
      </c>
      <c r="L7533" s="496">
        <f t="shared" si="99"/>
        <v>3.3919999999999995</v>
      </c>
      <c r="M7533" s="337"/>
    </row>
    <row r="7534" spans="1:13" s="71" customFormat="1" ht="26.4" customHeight="1">
      <c r="A7534" s="282">
        <v>895</v>
      </c>
      <c r="B7534" s="537"/>
      <c r="C7534" s="441" t="s">
        <v>19</v>
      </c>
      <c r="D7534" s="441" t="s">
        <v>9281</v>
      </c>
      <c r="E7534" s="441" t="s">
        <v>9373</v>
      </c>
      <c r="F7534" s="442">
        <v>16631</v>
      </c>
      <c r="G7534" s="443">
        <v>1989</v>
      </c>
      <c r="H7534" s="489" t="s">
        <v>1149</v>
      </c>
      <c r="I7534" s="409">
        <v>312.62</v>
      </c>
      <c r="J7534" s="495">
        <v>71.326999999999998</v>
      </c>
      <c r="K7534" s="495">
        <v>59.463000000000001</v>
      </c>
      <c r="L7534" s="496">
        <f t="shared" si="99"/>
        <v>11.863999999999997</v>
      </c>
      <c r="M7534" s="337"/>
    </row>
    <row r="7535" spans="1:13" s="71" customFormat="1" ht="26.4" customHeight="1">
      <c r="A7535" s="282">
        <v>896</v>
      </c>
      <c r="B7535" s="537"/>
      <c r="C7535" s="441" t="s">
        <v>19</v>
      </c>
      <c r="D7535" s="441" t="s">
        <v>9281</v>
      </c>
      <c r="E7535" s="441" t="s">
        <v>9374</v>
      </c>
      <c r="F7535" s="442">
        <v>16632</v>
      </c>
      <c r="G7535" s="443">
        <v>1989</v>
      </c>
      <c r="H7535" s="489" t="s">
        <v>1149</v>
      </c>
      <c r="I7535" s="409">
        <v>312.62</v>
      </c>
      <c r="J7535" s="495">
        <v>71.326999999999998</v>
      </c>
      <c r="K7535" s="495">
        <v>59.463000000000001</v>
      </c>
      <c r="L7535" s="496">
        <f t="shared" si="99"/>
        <v>11.863999999999997</v>
      </c>
      <c r="M7535" s="337"/>
    </row>
    <row r="7536" spans="1:13" s="71" customFormat="1" ht="26.4" customHeight="1">
      <c r="A7536" s="282">
        <v>897</v>
      </c>
      <c r="B7536" s="537"/>
      <c r="C7536" s="441" t="s">
        <v>19</v>
      </c>
      <c r="D7536" s="441" t="s">
        <v>9281</v>
      </c>
      <c r="E7536" s="441" t="s">
        <v>9375</v>
      </c>
      <c r="F7536" s="442">
        <v>555</v>
      </c>
      <c r="G7536" s="443">
        <v>1968</v>
      </c>
      <c r="H7536" s="489" t="s">
        <v>1149</v>
      </c>
      <c r="I7536" s="409">
        <v>377.58</v>
      </c>
      <c r="J7536" s="495">
        <v>26.581</v>
      </c>
      <c r="K7536" s="495">
        <v>24.498999999999999</v>
      </c>
      <c r="L7536" s="496">
        <f t="shared" si="99"/>
        <v>2.0820000000000007</v>
      </c>
      <c r="M7536" s="337"/>
    </row>
    <row r="7537" spans="1:13" s="71" customFormat="1" ht="26.4" customHeight="1">
      <c r="A7537" s="282">
        <v>898</v>
      </c>
      <c r="B7537" s="537"/>
      <c r="C7537" s="441" t="s">
        <v>19</v>
      </c>
      <c r="D7537" s="441" t="s">
        <v>9281</v>
      </c>
      <c r="E7537" s="441" t="s">
        <v>9376</v>
      </c>
      <c r="F7537" s="442">
        <v>548</v>
      </c>
      <c r="G7537" s="443">
        <v>1968</v>
      </c>
      <c r="H7537" s="489" t="s">
        <v>3243</v>
      </c>
      <c r="I7537" s="409" t="s">
        <v>3243</v>
      </c>
      <c r="J7537" s="495">
        <v>4.5640000000000001</v>
      </c>
      <c r="K7537" s="495">
        <v>4.2750000000000004</v>
      </c>
      <c r="L7537" s="496">
        <f t="shared" si="99"/>
        <v>0.2889999999999997</v>
      </c>
      <c r="M7537" s="337"/>
    </row>
    <row r="7538" spans="1:13" s="71" customFormat="1" ht="26.4" customHeight="1">
      <c r="A7538" s="282">
        <v>899</v>
      </c>
      <c r="B7538" s="537"/>
      <c r="C7538" s="441" t="s">
        <v>19</v>
      </c>
      <c r="D7538" s="441" t="s">
        <v>9281</v>
      </c>
      <c r="E7538" s="441" t="s">
        <v>9377</v>
      </c>
      <c r="F7538" s="442">
        <v>1676</v>
      </c>
      <c r="G7538" s="443">
        <v>1989</v>
      </c>
      <c r="H7538" s="489" t="s">
        <v>3243</v>
      </c>
      <c r="I7538" s="409" t="s">
        <v>3243</v>
      </c>
      <c r="J7538" s="495">
        <v>38.601999999999997</v>
      </c>
      <c r="K7538" s="495">
        <v>36.911000000000001</v>
      </c>
      <c r="L7538" s="496">
        <f t="shared" si="99"/>
        <v>1.6909999999999954</v>
      </c>
      <c r="M7538" s="337"/>
    </row>
    <row r="7539" spans="1:13" s="71" customFormat="1" ht="26.4" customHeight="1">
      <c r="A7539" s="282">
        <v>900</v>
      </c>
      <c r="B7539" s="537"/>
      <c r="C7539" s="441" t="s">
        <v>19</v>
      </c>
      <c r="D7539" s="441" t="s">
        <v>9281</v>
      </c>
      <c r="E7539" s="441" t="s">
        <v>9378</v>
      </c>
      <c r="F7539" s="442">
        <v>557</v>
      </c>
      <c r="G7539" s="443">
        <v>1968</v>
      </c>
      <c r="H7539" s="489" t="s">
        <v>1149</v>
      </c>
      <c r="I7539" s="409">
        <v>19.62</v>
      </c>
      <c r="J7539" s="495">
        <v>8.9120000000000008</v>
      </c>
      <c r="K7539" s="495">
        <v>8.3469999999999995</v>
      </c>
      <c r="L7539" s="496">
        <f t="shared" si="99"/>
        <v>0.56500000000000128</v>
      </c>
      <c r="M7539" s="337"/>
    </row>
    <row r="7540" spans="1:13" s="71" customFormat="1" ht="26.4" customHeight="1">
      <c r="A7540" s="282">
        <v>901</v>
      </c>
      <c r="B7540" s="537"/>
      <c r="C7540" s="441" t="s">
        <v>19</v>
      </c>
      <c r="D7540" s="441" t="s">
        <v>9281</v>
      </c>
      <c r="E7540" s="441" t="s">
        <v>9379</v>
      </c>
      <c r="F7540" s="442">
        <v>558</v>
      </c>
      <c r="G7540" s="443">
        <v>1968</v>
      </c>
      <c r="H7540" s="489" t="s">
        <v>1149</v>
      </c>
      <c r="I7540" s="409">
        <v>19.62</v>
      </c>
      <c r="J7540" s="495">
        <v>8.9120000000000008</v>
      </c>
      <c r="K7540" s="495">
        <v>8.3469999999999995</v>
      </c>
      <c r="L7540" s="496">
        <f t="shared" si="99"/>
        <v>0.56500000000000128</v>
      </c>
      <c r="M7540" s="337"/>
    </row>
    <row r="7541" spans="1:13" s="71" customFormat="1" ht="26.4" customHeight="1">
      <c r="A7541" s="282">
        <v>902</v>
      </c>
      <c r="B7541" s="537"/>
      <c r="C7541" s="441" t="s">
        <v>19</v>
      </c>
      <c r="D7541" s="441" t="s">
        <v>9281</v>
      </c>
      <c r="E7541" s="441" t="s">
        <v>9380</v>
      </c>
      <c r="F7541" s="442">
        <v>10</v>
      </c>
      <c r="G7541" s="443">
        <v>1968</v>
      </c>
      <c r="H7541" s="489" t="s">
        <v>3243</v>
      </c>
      <c r="I7541" s="409" t="s">
        <v>3243</v>
      </c>
      <c r="J7541" s="495">
        <v>135.006</v>
      </c>
      <c r="K7541" s="495">
        <v>135.006</v>
      </c>
      <c r="L7541" s="496">
        <f t="shared" si="99"/>
        <v>0</v>
      </c>
      <c r="M7541" s="337"/>
    </row>
    <row r="7542" spans="1:13" s="71" customFormat="1" ht="26.4" customHeight="1">
      <c r="A7542" s="282">
        <v>903</v>
      </c>
      <c r="B7542" s="537"/>
      <c r="C7542" s="441" t="s">
        <v>19</v>
      </c>
      <c r="D7542" s="441" t="s">
        <v>9281</v>
      </c>
      <c r="E7542" s="441" t="s">
        <v>9381</v>
      </c>
      <c r="F7542" s="442">
        <v>1669</v>
      </c>
      <c r="G7542" s="443">
        <v>1989</v>
      </c>
      <c r="H7542" s="489" t="s">
        <v>1136</v>
      </c>
      <c r="I7542" s="409">
        <v>3</v>
      </c>
      <c r="J7542" s="495">
        <v>22.844999999999999</v>
      </c>
      <c r="K7542" s="495">
        <v>18.038</v>
      </c>
      <c r="L7542" s="496">
        <f t="shared" si="99"/>
        <v>4.8069999999999986</v>
      </c>
      <c r="M7542" s="337"/>
    </row>
    <row r="7543" spans="1:13" s="71" customFormat="1" ht="26.4" customHeight="1">
      <c r="A7543" s="282">
        <v>904</v>
      </c>
      <c r="B7543" s="537"/>
      <c r="C7543" s="441" t="s">
        <v>19</v>
      </c>
      <c r="D7543" s="441" t="s">
        <v>9281</v>
      </c>
      <c r="E7543" s="441" t="s">
        <v>9382</v>
      </c>
      <c r="F7543" s="442">
        <v>817</v>
      </c>
      <c r="G7543" s="443">
        <v>1989</v>
      </c>
      <c r="H7543" s="489" t="s">
        <v>1149</v>
      </c>
      <c r="I7543" s="409">
        <v>70.5</v>
      </c>
      <c r="J7543" s="495">
        <v>70.099999999999994</v>
      </c>
      <c r="K7543" s="495">
        <v>65.085999999999999</v>
      </c>
      <c r="L7543" s="496">
        <f t="shared" si="99"/>
        <v>5.0139999999999958</v>
      </c>
      <c r="M7543" s="337"/>
    </row>
    <row r="7544" spans="1:13" s="71" customFormat="1" ht="26.4" customHeight="1">
      <c r="A7544" s="282">
        <v>905</v>
      </c>
      <c r="B7544" s="537"/>
      <c r="C7544" s="441" t="s">
        <v>19</v>
      </c>
      <c r="D7544" s="441" t="s">
        <v>9281</v>
      </c>
      <c r="E7544" s="441" t="s">
        <v>9383</v>
      </c>
      <c r="F7544" s="442">
        <v>814</v>
      </c>
      <c r="G7544" s="443">
        <v>1989</v>
      </c>
      <c r="H7544" s="489" t="s">
        <v>1149</v>
      </c>
      <c r="I7544" s="409">
        <v>13500</v>
      </c>
      <c r="J7544" s="495">
        <v>455.27600000000001</v>
      </c>
      <c r="K7544" s="495">
        <v>420.56299999999999</v>
      </c>
      <c r="L7544" s="496">
        <f t="shared" si="99"/>
        <v>34.713000000000022</v>
      </c>
      <c r="M7544" s="337"/>
    </row>
    <row r="7545" spans="1:13" s="71" customFormat="1" ht="26.4" customHeight="1">
      <c r="A7545" s="282">
        <v>906</v>
      </c>
      <c r="B7545" s="537"/>
      <c r="C7545" s="441" t="s">
        <v>8526</v>
      </c>
      <c r="D7545" s="441" t="s">
        <v>9384</v>
      </c>
      <c r="E7545" s="441" t="s">
        <v>9385</v>
      </c>
      <c r="F7545" s="442">
        <v>157</v>
      </c>
      <c r="G7545" s="443">
        <v>1956</v>
      </c>
      <c r="H7545" s="489" t="s">
        <v>1149</v>
      </c>
      <c r="I7545" s="409">
        <v>1316.4</v>
      </c>
      <c r="J7545" s="495">
        <v>1</v>
      </c>
      <c r="K7545" s="495">
        <v>0.44800000000000001</v>
      </c>
      <c r="L7545" s="496">
        <f t="shared" si="99"/>
        <v>0.55200000000000005</v>
      </c>
      <c r="M7545" s="337"/>
    </row>
    <row r="7546" spans="1:13" s="71" customFormat="1" ht="26.4" customHeight="1">
      <c r="A7546" s="282">
        <v>907</v>
      </c>
      <c r="B7546" s="537"/>
      <c r="C7546" s="441" t="s">
        <v>9134</v>
      </c>
      <c r="D7546" s="441" t="s">
        <v>9386</v>
      </c>
      <c r="E7546" s="441" t="s">
        <v>9387</v>
      </c>
      <c r="F7546" s="442">
        <v>507182</v>
      </c>
      <c r="G7546" s="443">
        <v>1950</v>
      </c>
      <c r="H7546" s="489" t="s">
        <v>1149</v>
      </c>
      <c r="I7546" s="409">
        <v>97.1</v>
      </c>
      <c r="J7546" s="495">
        <v>100.101</v>
      </c>
      <c r="K7546" s="495">
        <v>81.274000000000001</v>
      </c>
      <c r="L7546" s="496">
        <f t="shared" si="99"/>
        <v>18.826999999999998</v>
      </c>
      <c r="M7546" s="337"/>
    </row>
    <row r="7547" spans="1:13" s="71" customFormat="1" ht="26.4" customHeight="1">
      <c r="A7547" s="282">
        <v>908</v>
      </c>
      <c r="B7547" s="537"/>
      <c r="C7547" s="441" t="s">
        <v>9134</v>
      </c>
      <c r="D7547" s="441" t="s">
        <v>9386</v>
      </c>
      <c r="E7547" s="441" t="s">
        <v>735</v>
      </c>
      <c r="F7547" s="442">
        <v>507185</v>
      </c>
      <c r="G7547" s="443">
        <v>1968</v>
      </c>
      <c r="H7547" s="489" t="s">
        <v>1149</v>
      </c>
      <c r="I7547" s="490">
        <v>79</v>
      </c>
      <c r="J7547" s="495">
        <v>0.86499999999999999</v>
      </c>
      <c r="K7547" s="495">
        <v>0.65800000000000003</v>
      </c>
      <c r="L7547" s="496">
        <f t="shared" si="99"/>
        <v>0.20699999999999996</v>
      </c>
      <c r="M7547" s="337"/>
    </row>
    <row r="7548" spans="1:13" s="71" customFormat="1" ht="26.4" customHeight="1">
      <c r="A7548" s="282">
        <v>909</v>
      </c>
      <c r="B7548" s="537"/>
      <c r="C7548" s="441" t="s">
        <v>9134</v>
      </c>
      <c r="D7548" s="441" t="s">
        <v>9386</v>
      </c>
      <c r="E7548" s="441" t="s">
        <v>9388</v>
      </c>
      <c r="F7548" s="442">
        <v>507188</v>
      </c>
      <c r="G7548" s="443">
        <v>1950</v>
      </c>
      <c r="H7548" s="489" t="s">
        <v>1136</v>
      </c>
      <c r="I7548" s="409">
        <v>324.8</v>
      </c>
      <c r="J7548" s="495">
        <v>112.282</v>
      </c>
      <c r="K7548" s="495">
        <v>105.249</v>
      </c>
      <c r="L7548" s="496">
        <f t="shared" si="99"/>
        <v>7.0330000000000013</v>
      </c>
      <c r="M7548" s="337"/>
    </row>
    <row r="7549" spans="1:13" s="71" customFormat="1" ht="26.4" customHeight="1">
      <c r="A7549" s="282">
        <v>910</v>
      </c>
      <c r="B7549" s="537"/>
      <c r="C7549" s="441" t="s">
        <v>9389</v>
      </c>
      <c r="D7549" s="441" t="s">
        <v>9390</v>
      </c>
      <c r="E7549" s="441" t="s">
        <v>9391</v>
      </c>
      <c r="F7549" s="442">
        <v>607</v>
      </c>
      <c r="G7549" s="443">
        <v>1968</v>
      </c>
      <c r="H7549" s="489" t="s">
        <v>1149</v>
      </c>
      <c r="I7549" s="409">
        <v>235.4</v>
      </c>
      <c r="J7549" s="495">
        <v>183.85300000000001</v>
      </c>
      <c r="K7549" s="495">
        <v>128.27199999999999</v>
      </c>
      <c r="L7549" s="496">
        <f t="shared" si="99"/>
        <v>55.581000000000017</v>
      </c>
      <c r="M7549" s="337"/>
    </row>
    <row r="7550" spans="1:13" s="71" customFormat="1" ht="26.4" customHeight="1">
      <c r="A7550" s="282">
        <v>911</v>
      </c>
      <c r="B7550" s="537"/>
      <c r="C7550" s="441" t="s">
        <v>9134</v>
      </c>
      <c r="D7550" s="260" t="s">
        <v>9392</v>
      </c>
      <c r="E7550" s="441" t="s">
        <v>9393</v>
      </c>
      <c r="F7550" s="442">
        <v>507035</v>
      </c>
      <c r="G7550" s="443">
        <v>1965</v>
      </c>
      <c r="H7550" s="489" t="s">
        <v>1149</v>
      </c>
      <c r="I7550" s="409">
        <v>614.20000000000005</v>
      </c>
      <c r="J7550" s="495">
        <v>4.4340000000000002</v>
      </c>
      <c r="K7550" s="495">
        <v>2.6779999999999999</v>
      </c>
      <c r="L7550" s="496">
        <f t="shared" si="99"/>
        <v>1.7560000000000002</v>
      </c>
      <c r="M7550" s="337"/>
    </row>
    <row r="7551" spans="1:13" s="71" customFormat="1" ht="26.4" customHeight="1">
      <c r="A7551" s="282">
        <v>912</v>
      </c>
      <c r="B7551" s="537"/>
      <c r="C7551" s="441" t="s">
        <v>9394</v>
      </c>
      <c r="D7551" s="260" t="s">
        <v>9395</v>
      </c>
      <c r="E7551" s="441" t="s">
        <v>9396</v>
      </c>
      <c r="F7551" s="442">
        <v>507080</v>
      </c>
      <c r="G7551" s="443">
        <v>1950</v>
      </c>
      <c r="H7551" s="489" t="s">
        <v>3243</v>
      </c>
      <c r="I7551" s="409" t="s">
        <v>3243</v>
      </c>
      <c r="J7551" s="495">
        <v>42.143000000000001</v>
      </c>
      <c r="K7551" s="495">
        <v>42.143000000000001</v>
      </c>
      <c r="L7551" s="496">
        <f t="shared" si="99"/>
        <v>0</v>
      </c>
      <c r="M7551" s="337"/>
    </row>
    <row r="7552" spans="1:13" s="71" customFormat="1" ht="26.4" customHeight="1">
      <c r="A7552" s="282">
        <v>913</v>
      </c>
      <c r="B7552" s="537"/>
      <c r="C7552" s="441" t="s">
        <v>9394</v>
      </c>
      <c r="D7552" s="260" t="s">
        <v>9397</v>
      </c>
      <c r="E7552" s="441" t="s">
        <v>9398</v>
      </c>
      <c r="F7552" s="442">
        <v>507081</v>
      </c>
      <c r="G7552" s="443">
        <v>1973</v>
      </c>
      <c r="H7552" s="489" t="s">
        <v>3243</v>
      </c>
      <c r="I7552" s="409" t="s">
        <v>3243</v>
      </c>
      <c r="J7552" s="495">
        <v>75.295000000000002</v>
      </c>
      <c r="K7552" s="495">
        <v>75.295000000000002</v>
      </c>
      <c r="L7552" s="496">
        <f t="shared" si="99"/>
        <v>0</v>
      </c>
      <c r="M7552" s="337"/>
    </row>
    <row r="7553" spans="1:13" s="71" customFormat="1" ht="26.4" customHeight="1">
      <c r="A7553" s="282">
        <v>914</v>
      </c>
      <c r="B7553" s="537"/>
      <c r="C7553" s="441" t="s">
        <v>9394</v>
      </c>
      <c r="D7553" s="260" t="s">
        <v>9399</v>
      </c>
      <c r="E7553" s="441" t="s">
        <v>9400</v>
      </c>
      <c r="F7553" s="442">
        <v>507086</v>
      </c>
      <c r="G7553" s="443">
        <v>1973</v>
      </c>
      <c r="H7553" s="489" t="s">
        <v>3243</v>
      </c>
      <c r="I7553" s="409" t="s">
        <v>3243</v>
      </c>
      <c r="J7553" s="495">
        <v>89.028000000000006</v>
      </c>
      <c r="K7553" s="495">
        <v>89.028000000000006</v>
      </c>
      <c r="L7553" s="496">
        <f t="shared" si="99"/>
        <v>0</v>
      </c>
      <c r="M7553" s="337"/>
    </row>
    <row r="7554" spans="1:13" s="71" customFormat="1" ht="26.4" customHeight="1">
      <c r="A7554" s="282">
        <v>915</v>
      </c>
      <c r="B7554" s="537"/>
      <c r="C7554" s="441" t="s">
        <v>9394</v>
      </c>
      <c r="D7554" s="260" t="s">
        <v>9401</v>
      </c>
      <c r="E7554" s="441" t="s">
        <v>9402</v>
      </c>
      <c r="F7554" s="442">
        <v>507091</v>
      </c>
      <c r="G7554" s="443">
        <v>1950</v>
      </c>
      <c r="H7554" s="489" t="s">
        <v>3243</v>
      </c>
      <c r="I7554" s="409" t="s">
        <v>3243</v>
      </c>
      <c r="J7554" s="495">
        <v>29.45</v>
      </c>
      <c r="K7554" s="495">
        <v>29.45</v>
      </c>
      <c r="L7554" s="496">
        <f t="shared" si="99"/>
        <v>0</v>
      </c>
      <c r="M7554" s="337"/>
    </row>
    <row r="7555" spans="1:13" s="71" customFormat="1" ht="26.4" customHeight="1">
      <c r="A7555" s="282">
        <v>916</v>
      </c>
      <c r="B7555" s="537"/>
      <c r="C7555" s="441" t="s">
        <v>19</v>
      </c>
      <c r="D7555" s="441" t="s">
        <v>9295</v>
      </c>
      <c r="E7555" s="441" t="s">
        <v>9403</v>
      </c>
      <c r="F7555" s="442">
        <v>102</v>
      </c>
      <c r="G7555" s="443">
        <v>2008</v>
      </c>
      <c r="H7555" s="489" t="s">
        <v>3243</v>
      </c>
      <c r="I7555" s="409" t="s">
        <v>3243</v>
      </c>
      <c r="J7555" s="495">
        <v>6.6</v>
      </c>
      <c r="K7555" s="495">
        <v>5.5049999999999999</v>
      </c>
      <c r="L7555" s="496">
        <f t="shared" si="99"/>
        <v>1.0949999999999998</v>
      </c>
      <c r="M7555" s="337"/>
    </row>
    <row r="7556" spans="1:13" s="71" customFormat="1" ht="26.4" customHeight="1">
      <c r="A7556" s="282">
        <v>917</v>
      </c>
      <c r="B7556" s="537"/>
      <c r="C7556" s="441" t="s">
        <v>8500</v>
      </c>
      <c r="D7556" s="441" t="s">
        <v>9404</v>
      </c>
      <c r="E7556" s="441" t="s">
        <v>9405</v>
      </c>
      <c r="F7556" s="442">
        <v>72</v>
      </c>
      <c r="G7556" s="443">
        <v>2007</v>
      </c>
      <c r="H7556" s="489" t="s">
        <v>3243</v>
      </c>
      <c r="I7556" s="491" t="s">
        <v>3243</v>
      </c>
      <c r="J7556" s="495">
        <v>16.117000000000001</v>
      </c>
      <c r="K7556" s="495">
        <v>8.6509999999999998</v>
      </c>
      <c r="L7556" s="496">
        <f t="shared" si="99"/>
        <v>7.4660000000000011</v>
      </c>
      <c r="M7556" s="337"/>
    </row>
    <row r="7557" spans="1:13" s="71" customFormat="1" ht="26.4" customHeight="1">
      <c r="A7557" s="282">
        <v>918</v>
      </c>
      <c r="B7557" s="537"/>
      <c r="C7557" s="441" t="s">
        <v>19</v>
      </c>
      <c r="D7557" s="441" t="s">
        <v>9406</v>
      </c>
      <c r="E7557" s="441" t="s">
        <v>9407</v>
      </c>
      <c r="F7557" s="442">
        <v>715</v>
      </c>
      <c r="G7557" s="443">
        <v>2014</v>
      </c>
      <c r="H7557" s="489" t="s">
        <v>5462</v>
      </c>
      <c r="I7557" s="409">
        <v>4400</v>
      </c>
      <c r="J7557" s="495">
        <v>138.87700000000001</v>
      </c>
      <c r="K7557" s="495">
        <v>16.974</v>
      </c>
      <c r="L7557" s="496">
        <f t="shared" si="99"/>
        <v>121.90300000000001</v>
      </c>
      <c r="M7557" s="337"/>
    </row>
    <row r="7558" spans="1:13" s="71" customFormat="1" ht="26.4" customHeight="1">
      <c r="A7558" s="282">
        <v>919</v>
      </c>
      <c r="B7558" s="537"/>
      <c r="C7558" s="441" t="s">
        <v>19</v>
      </c>
      <c r="D7558" s="441" t="s">
        <v>9291</v>
      </c>
      <c r="E7558" s="441" t="s">
        <v>9408</v>
      </c>
      <c r="F7558" s="442">
        <v>1596</v>
      </c>
      <c r="G7558" s="443">
        <v>1973</v>
      </c>
      <c r="H7558" s="489" t="s">
        <v>5462</v>
      </c>
      <c r="I7558" s="409">
        <v>700</v>
      </c>
      <c r="J7558" s="495">
        <v>4.3289999999999997</v>
      </c>
      <c r="K7558" s="495">
        <v>4.0419999999999998</v>
      </c>
      <c r="L7558" s="496">
        <f t="shared" si="99"/>
        <v>0.28699999999999992</v>
      </c>
      <c r="M7558" s="337"/>
    </row>
    <row r="7559" spans="1:13" s="71" customFormat="1" ht="26.4" customHeight="1">
      <c r="A7559" s="282">
        <v>920</v>
      </c>
      <c r="B7559" s="537"/>
      <c r="C7559" s="441" t="s">
        <v>19</v>
      </c>
      <c r="D7559" s="441" t="s">
        <v>9409</v>
      </c>
      <c r="E7559" s="441" t="s">
        <v>9410</v>
      </c>
      <c r="F7559" s="442">
        <v>815</v>
      </c>
      <c r="G7559" s="443">
        <v>1970</v>
      </c>
      <c r="H7559" s="489" t="s">
        <v>5462</v>
      </c>
      <c r="I7559" s="409">
        <v>420</v>
      </c>
      <c r="J7559" s="495">
        <v>2.2970000000000002</v>
      </c>
      <c r="K7559" s="495">
        <v>2.149</v>
      </c>
      <c r="L7559" s="496">
        <f t="shared" si="99"/>
        <v>0.14800000000000013</v>
      </c>
      <c r="M7559" s="337"/>
    </row>
    <row r="7560" spans="1:13" s="71" customFormat="1" ht="26.4" customHeight="1">
      <c r="A7560" s="282">
        <v>921</v>
      </c>
      <c r="B7560" s="537"/>
      <c r="C7560" s="441" t="s">
        <v>19</v>
      </c>
      <c r="D7560" s="441" t="s">
        <v>9406</v>
      </c>
      <c r="E7560" s="441" t="s">
        <v>9411</v>
      </c>
      <c r="F7560" s="442">
        <v>1666</v>
      </c>
      <c r="G7560" s="443">
        <v>1989</v>
      </c>
      <c r="H7560" s="489" t="s">
        <v>5462</v>
      </c>
      <c r="I7560" s="409">
        <v>2410</v>
      </c>
      <c r="J7560" s="495">
        <v>152.01499999999999</v>
      </c>
      <c r="K7560" s="495">
        <v>127.738</v>
      </c>
      <c r="L7560" s="496">
        <v>24.276</v>
      </c>
      <c r="M7560" s="337"/>
    </row>
    <row r="7561" spans="1:13" s="71" customFormat="1" ht="26.4" customHeight="1">
      <c r="A7561" s="282">
        <v>922</v>
      </c>
      <c r="B7561" s="537"/>
      <c r="C7561" s="441" t="s">
        <v>19</v>
      </c>
      <c r="D7561" s="441" t="s">
        <v>9406</v>
      </c>
      <c r="E7561" s="441" t="s">
        <v>9412</v>
      </c>
      <c r="F7561" s="442">
        <v>816</v>
      </c>
      <c r="G7561" s="443">
        <v>1989</v>
      </c>
      <c r="H7561" s="489" t="s">
        <v>5462</v>
      </c>
      <c r="I7561" s="409">
        <v>15</v>
      </c>
      <c r="J7561" s="495">
        <v>15.932</v>
      </c>
      <c r="K7561" s="495">
        <v>14.425000000000001</v>
      </c>
      <c r="L7561" s="496">
        <f t="shared" ref="L7561:L7601" si="100">J7561-K7561</f>
        <v>1.5069999999999997</v>
      </c>
      <c r="M7561" s="337"/>
    </row>
    <row r="7562" spans="1:13" s="71" customFormat="1" ht="26.4" customHeight="1">
      <c r="A7562" s="282">
        <v>923</v>
      </c>
      <c r="B7562" s="537"/>
      <c r="C7562" s="441" t="s">
        <v>9134</v>
      </c>
      <c r="D7562" s="260" t="s">
        <v>9413</v>
      </c>
      <c r="E7562" s="441" t="s">
        <v>9414</v>
      </c>
      <c r="F7562" s="442">
        <v>507053</v>
      </c>
      <c r="G7562" s="443">
        <v>1973</v>
      </c>
      <c r="H7562" s="489" t="s">
        <v>5462</v>
      </c>
      <c r="I7562" s="409">
        <v>920</v>
      </c>
      <c r="J7562" s="495">
        <v>4.2439999999999998</v>
      </c>
      <c r="K7562" s="495">
        <v>4.2290000000000001</v>
      </c>
      <c r="L7562" s="496">
        <f t="shared" si="100"/>
        <v>1.499999999999968E-2</v>
      </c>
      <c r="M7562" s="337"/>
    </row>
    <row r="7563" spans="1:13" s="71" customFormat="1" ht="26.4" customHeight="1">
      <c r="A7563" s="282">
        <v>924</v>
      </c>
      <c r="B7563" s="537"/>
      <c r="C7563" s="441" t="s">
        <v>9389</v>
      </c>
      <c r="D7563" s="441" t="s">
        <v>9295</v>
      </c>
      <c r="E7563" s="441" t="s">
        <v>9415</v>
      </c>
      <c r="F7563" s="442">
        <v>111</v>
      </c>
      <c r="G7563" s="443">
        <v>2008</v>
      </c>
      <c r="H7563" s="489" t="s">
        <v>3243</v>
      </c>
      <c r="I7563" s="409" t="s">
        <v>3243</v>
      </c>
      <c r="J7563" s="495">
        <v>2.7</v>
      </c>
      <c r="K7563" s="495">
        <v>0.97199999999999998</v>
      </c>
      <c r="L7563" s="496">
        <f t="shared" si="100"/>
        <v>1.7280000000000002</v>
      </c>
      <c r="M7563" s="337"/>
    </row>
    <row r="7564" spans="1:13" s="71" customFormat="1" ht="26.4" customHeight="1">
      <c r="A7564" s="282">
        <v>925</v>
      </c>
      <c r="B7564" s="537"/>
      <c r="C7564" s="441" t="s">
        <v>9389</v>
      </c>
      <c r="D7564" s="441" t="s">
        <v>9295</v>
      </c>
      <c r="E7564" s="441" t="s">
        <v>9416</v>
      </c>
      <c r="F7564" s="442">
        <v>251</v>
      </c>
      <c r="G7564" s="443">
        <v>1975</v>
      </c>
      <c r="H7564" s="489" t="s">
        <v>3243</v>
      </c>
      <c r="I7564" s="492" t="s">
        <v>3243</v>
      </c>
      <c r="J7564" s="495">
        <v>2.2000000000000002</v>
      </c>
      <c r="K7564" s="495">
        <v>0.66</v>
      </c>
      <c r="L7564" s="496">
        <f t="shared" si="100"/>
        <v>1.54</v>
      </c>
      <c r="M7564" s="337"/>
    </row>
    <row r="7565" spans="1:13" s="71" customFormat="1" ht="26.4" customHeight="1">
      <c r="A7565" s="282">
        <v>926</v>
      </c>
      <c r="B7565" s="537"/>
      <c r="C7565" s="441" t="s">
        <v>9389</v>
      </c>
      <c r="D7565" s="441" t="s">
        <v>9295</v>
      </c>
      <c r="E7565" s="441" t="s">
        <v>9417</v>
      </c>
      <c r="F7565" s="442">
        <v>252</v>
      </c>
      <c r="G7565" s="443">
        <v>1980</v>
      </c>
      <c r="H7565" s="489" t="s">
        <v>3243</v>
      </c>
      <c r="I7565" s="409" t="s">
        <v>3243</v>
      </c>
      <c r="J7565" s="495">
        <v>1.06</v>
      </c>
      <c r="K7565" s="495">
        <v>0.318</v>
      </c>
      <c r="L7565" s="496">
        <f t="shared" si="100"/>
        <v>0.74199999999999999</v>
      </c>
      <c r="M7565" s="337"/>
    </row>
    <row r="7566" spans="1:13" s="71" customFormat="1" ht="26.4" customHeight="1">
      <c r="A7566" s="282">
        <v>927</v>
      </c>
      <c r="B7566" s="537"/>
      <c r="C7566" s="441" t="s">
        <v>9389</v>
      </c>
      <c r="D7566" s="441" t="s">
        <v>9418</v>
      </c>
      <c r="E7566" s="441" t="s">
        <v>9419</v>
      </c>
      <c r="F7566" s="442">
        <v>1575</v>
      </c>
      <c r="G7566" s="443">
        <v>1989</v>
      </c>
      <c r="H7566" s="489" t="s">
        <v>5462</v>
      </c>
      <c r="I7566" s="409">
        <v>600</v>
      </c>
      <c r="J7566" s="495">
        <v>279.96600000000001</v>
      </c>
      <c r="K7566" s="495">
        <v>241.09</v>
      </c>
      <c r="L7566" s="496">
        <f t="shared" si="100"/>
        <v>38.876000000000005</v>
      </c>
      <c r="M7566" s="337"/>
    </row>
    <row r="7567" spans="1:13" s="71" customFormat="1" ht="26.4" customHeight="1">
      <c r="A7567" s="282">
        <v>928</v>
      </c>
      <c r="B7567" s="537"/>
      <c r="C7567" s="441" t="s">
        <v>9389</v>
      </c>
      <c r="D7567" s="441" t="s">
        <v>9406</v>
      </c>
      <c r="E7567" s="441" t="s">
        <v>9420</v>
      </c>
      <c r="F7567" s="442">
        <v>108</v>
      </c>
      <c r="G7567" s="443">
        <v>2008</v>
      </c>
      <c r="H7567" s="489" t="s">
        <v>3243</v>
      </c>
      <c r="I7567" s="409" t="s">
        <v>3243</v>
      </c>
      <c r="J7567" s="495">
        <v>5.6269999999999998</v>
      </c>
      <c r="K7567" s="495">
        <v>5.27</v>
      </c>
      <c r="L7567" s="496">
        <f t="shared" si="100"/>
        <v>0.35700000000000021</v>
      </c>
      <c r="M7567" s="337"/>
    </row>
    <row r="7568" spans="1:13" s="71" customFormat="1" ht="26.4" customHeight="1">
      <c r="A7568" s="282">
        <v>929</v>
      </c>
      <c r="B7568" s="537"/>
      <c r="C7568" s="441" t="s">
        <v>9389</v>
      </c>
      <c r="D7568" s="441" t="s">
        <v>9406</v>
      </c>
      <c r="E7568" s="441" t="s">
        <v>9421</v>
      </c>
      <c r="F7568" s="442">
        <v>410</v>
      </c>
      <c r="G7568" s="443">
        <v>2010</v>
      </c>
      <c r="H7568" s="489" t="s">
        <v>5462</v>
      </c>
      <c r="I7568" s="409">
        <v>3189.8</v>
      </c>
      <c r="J7568" s="495">
        <v>155.059</v>
      </c>
      <c r="K7568" s="495">
        <v>113.771</v>
      </c>
      <c r="L7568" s="496">
        <f t="shared" si="100"/>
        <v>41.287999999999997</v>
      </c>
      <c r="M7568" s="337"/>
    </row>
    <row r="7569" spans="1:13" s="71" customFormat="1" ht="26.4" customHeight="1">
      <c r="A7569" s="282">
        <v>930</v>
      </c>
      <c r="B7569" s="537"/>
      <c r="C7569" s="441" t="s">
        <v>19</v>
      </c>
      <c r="D7569" s="441" t="s">
        <v>9406</v>
      </c>
      <c r="E7569" s="441" t="s">
        <v>9422</v>
      </c>
      <c r="F7569" s="442">
        <v>547</v>
      </c>
      <c r="G7569" s="443">
        <v>1968</v>
      </c>
      <c r="H7569" s="489" t="s">
        <v>5462</v>
      </c>
      <c r="I7569" s="409">
        <v>1291.2</v>
      </c>
      <c r="J7569" s="495">
        <v>85.447999999999993</v>
      </c>
      <c r="K7569" s="495">
        <v>80.027000000000001</v>
      </c>
      <c r="L7569" s="496">
        <f t="shared" si="100"/>
        <v>5.4209999999999923</v>
      </c>
      <c r="M7569" s="337"/>
    </row>
    <row r="7570" spans="1:13" s="71" customFormat="1" ht="26.4" customHeight="1">
      <c r="A7570" s="282">
        <v>931</v>
      </c>
      <c r="B7570" s="537"/>
      <c r="C7570" s="441" t="s">
        <v>19</v>
      </c>
      <c r="D7570" s="441" t="s">
        <v>9287</v>
      </c>
      <c r="E7570" s="441" t="s">
        <v>9423</v>
      </c>
      <c r="F7570" s="442">
        <v>107</v>
      </c>
      <c r="G7570" s="443">
        <v>2008</v>
      </c>
      <c r="H7570" s="489" t="s">
        <v>3243</v>
      </c>
      <c r="I7570" s="409" t="s">
        <v>3243</v>
      </c>
      <c r="J7570" s="495">
        <v>2.34</v>
      </c>
      <c r="K7570" s="495">
        <v>0.81699999999999995</v>
      </c>
      <c r="L7570" s="496">
        <f t="shared" si="100"/>
        <v>1.5229999999999999</v>
      </c>
      <c r="M7570" s="337"/>
    </row>
    <row r="7571" spans="1:13" s="71" customFormat="1" ht="26.4" customHeight="1">
      <c r="A7571" s="282">
        <v>932</v>
      </c>
      <c r="B7571" s="537"/>
      <c r="C7571" s="441" t="s">
        <v>19</v>
      </c>
      <c r="D7571" s="441" t="s">
        <v>9406</v>
      </c>
      <c r="E7571" s="441" t="s">
        <v>9424</v>
      </c>
      <c r="F7571" s="442">
        <v>1664</v>
      </c>
      <c r="G7571" s="443">
        <v>1989</v>
      </c>
      <c r="H7571" s="489" t="s">
        <v>3243</v>
      </c>
      <c r="I7571" s="409" t="s">
        <v>3243</v>
      </c>
      <c r="J7571" s="495">
        <v>255.52099999999999</v>
      </c>
      <c r="K7571" s="495">
        <v>236.15</v>
      </c>
      <c r="L7571" s="496">
        <f t="shared" si="100"/>
        <v>19.370999999999981</v>
      </c>
      <c r="M7571" s="337"/>
    </row>
    <row r="7572" spans="1:13" s="71" customFormat="1" ht="26.4" customHeight="1">
      <c r="A7572" s="282">
        <v>933</v>
      </c>
      <c r="B7572" s="537"/>
      <c r="C7572" s="441" t="s">
        <v>19</v>
      </c>
      <c r="D7572" s="441" t="s">
        <v>9418</v>
      </c>
      <c r="E7572" s="441" t="s">
        <v>9425</v>
      </c>
      <c r="F7572" s="442">
        <v>1667</v>
      </c>
      <c r="G7572" s="443">
        <v>1989</v>
      </c>
      <c r="H7572" s="489" t="s">
        <v>3243</v>
      </c>
      <c r="I7572" s="409" t="s">
        <v>3243</v>
      </c>
      <c r="J7572" s="495">
        <v>268.11500000000001</v>
      </c>
      <c r="K7572" s="495">
        <v>244.191</v>
      </c>
      <c r="L7572" s="496">
        <f t="shared" si="100"/>
        <v>23.924000000000007</v>
      </c>
      <c r="M7572" s="337"/>
    </row>
    <row r="7573" spans="1:13" s="71" customFormat="1" ht="26.4" customHeight="1">
      <c r="A7573" s="282">
        <v>934</v>
      </c>
      <c r="B7573" s="537"/>
      <c r="C7573" s="441" t="s">
        <v>19</v>
      </c>
      <c r="D7573" s="441" t="s">
        <v>9406</v>
      </c>
      <c r="E7573" s="441" t="s">
        <v>13435</v>
      </c>
      <c r="F7573" s="442">
        <v>255</v>
      </c>
      <c r="G7573" s="443">
        <v>1965</v>
      </c>
      <c r="H7573" s="489" t="s">
        <v>3243</v>
      </c>
      <c r="I7573" s="409" t="s">
        <v>3243</v>
      </c>
      <c r="J7573" s="495">
        <v>1.7</v>
      </c>
      <c r="K7573" s="495">
        <v>0.51</v>
      </c>
      <c r="L7573" s="496">
        <f t="shared" si="100"/>
        <v>1.19</v>
      </c>
      <c r="M7573" s="337"/>
    </row>
    <row r="7574" spans="1:13" s="71" customFormat="1" ht="26.4" customHeight="1">
      <c r="A7574" s="282">
        <v>935</v>
      </c>
      <c r="B7574" s="537"/>
      <c r="C7574" s="441" t="s">
        <v>19</v>
      </c>
      <c r="D7574" s="441" t="s">
        <v>9277</v>
      </c>
      <c r="E7574" s="441" t="s">
        <v>9426</v>
      </c>
      <c r="F7574" s="442">
        <v>247</v>
      </c>
      <c r="G7574" s="443">
        <v>1956</v>
      </c>
      <c r="H7574" s="489" t="s">
        <v>3243</v>
      </c>
      <c r="I7574" s="409" t="s">
        <v>3243</v>
      </c>
      <c r="J7574" s="495">
        <v>1.2</v>
      </c>
      <c r="K7574" s="495">
        <v>0.36</v>
      </c>
      <c r="L7574" s="496">
        <f t="shared" si="100"/>
        <v>0.84</v>
      </c>
      <c r="M7574" s="337"/>
    </row>
    <row r="7575" spans="1:13" s="71" customFormat="1" ht="26.4" customHeight="1">
      <c r="A7575" s="282">
        <v>936</v>
      </c>
      <c r="B7575" s="537"/>
      <c r="C7575" s="441" t="s">
        <v>19</v>
      </c>
      <c r="D7575" s="441" t="s">
        <v>9277</v>
      </c>
      <c r="E7575" s="441" t="s">
        <v>9427</v>
      </c>
      <c r="F7575" s="442">
        <v>248</v>
      </c>
      <c r="G7575" s="443">
        <v>1956</v>
      </c>
      <c r="H7575" s="489" t="s">
        <v>3243</v>
      </c>
      <c r="I7575" s="409" t="s">
        <v>3243</v>
      </c>
      <c r="J7575" s="495">
        <v>1.0900000000000001</v>
      </c>
      <c r="K7575" s="495">
        <v>0.32700000000000001</v>
      </c>
      <c r="L7575" s="496">
        <f t="shared" si="100"/>
        <v>0.76300000000000012</v>
      </c>
      <c r="M7575" s="337"/>
    </row>
    <row r="7576" spans="1:13" s="71" customFormat="1" ht="26.4" customHeight="1">
      <c r="A7576" s="282">
        <v>937</v>
      </c>
      <c r="B7576" s="537"/>
      <c r="C7576" s="441" t="s">
        <v>19</v>
      </c>
      <c r="D7576" s="441" t="s">
        <v>9277</v>
      </c>
      <c r="E7576" s="441" t="s">
        <v>9428</v>
      </c>
      <c r="F7576" s="442">
        <v>353</v>
      </c>
      <c r="G7576" s="443">
        <v>2010</v>
      </c>
      <c r="H7576" s="489" t="s">
        <v>3243</v>
      </c>
      <c r="I7576" s="409" t="s">
        <v>3243</v>
      </c>
      <c r="J7576" s="495">
        <v>4.25</v>
      </c>
      <c r="K7576" s="495">
        <v>1.0860000000000001</v>
      </c>
      <c r="L7576" s="496">
        <f t="shared" si="100"/>
        <v>3.1639999999999997</v>
      </c>
      <c r="M7576" s="337"/>
    </row>
    <row r="7577" spans="1:13" s="71" customFormat="1" ht="26.4" customHeight="1">
      <c r="A7577" s="282">
        <v>938</v>
      </c>
      <c r="B7577" s="537"/>
      <c r="C7577" s="441" t="s">
        <v>8500</v>
      </c>
      <c r="D7577" s="441" t="s">
        <v>9305</v>
      </c>
      <c r="E7577" s="441" t="s">
        <v>9429</v>
      </c>
      <c r="F7577" s="442">
        <v>132</v>
      </c>
      <c r="G7577" s="443">
        <v>2008</v>
      </c>
      <c r="H7577" s="489" t="s">
        <v>3243</v>
      </c>
      <c r="I7577" s="409" t="s">
        <v>3243</v>
      </c>
      <c r="J7577" s="495">
        <v>1.2150000000000001</v>
      </c>
      <c r="K7577" s="495">
        <v>0.43</v>
      </c>
      <c r="L7577" s="496">
        <f t="shared" si="100"/>
        <v>0.78500000000000014</v>
      </c>
      <c r="M7577" s="337"/>
    </row>
    <row r="7578" spans="1:13" s="71" customFormat="1" ht="26.4" customHeight="1">
      <c r="A7578" s="282">
        <v>939</v>
      </c>
      <c r="B7578" s="537"/>
      <c r="C7578" s="441" t="s">
        <v>19</v>
      </c>
      <c r="D7578" s="441" t="s">
        <v>9430</v>
      </c>
      <c r="E7578" s="441" t="s">
        <v>9431</v>
      </c>
      <c r="F7578" s="442">
        <v>188</v>
      </c>
      <c r="G7578" s="443">
        <v>2008</v>
      </c>
      <c r="H7578" s="489" t="s">
        <v>5462</v>
      </c>
      <c r="I7578" s="409">
        <v>200</v>
      </c>
      <c r="J7578" s="495">
        <v>1.05</v>
      </c>
      <c r="K7578" s="495">
        <v>0.372</v>
      </c>
      <c r="L7578" s="496">
        <f t="shared" si="100"/>
        <v>0.67800000000000005</v>
      </c>
      <c r="M7578" s="337"/>
    </row>
    <row r="7579" spans="1:13" s="71" customFormat="1" ht="26.4" customHeight="1">
      <c r="A7579" s="282">
        <v>940</v>
      </c>
      <c r="B7579" s="537"/>
      <c r="C7579" s="441" t="s">
        <v>19</v>
      </c>
      <c r="D7579" s="441" t="s">
        <v>9430</v>
      </c>
      <c r="E7579" s="441" t="s">
        <v>9432</v>
      </c>
      <c r="F7579" s="442">
        <v>365</v>
      </c>
      <c r="G7579" s="443">
        <v>1981</v>
      </c>
      <c r="H7579" s="489" t="s">
        <v>3243</v>
      </c>
      <c r="I7579" s="409" t="s">
        <v>3243</v>
      </c>
      <c r="J7579" s="495">
        <v>1.5</v>
      </c>
      <c r="K7579" s="495">
        <v>0.45</v>
      </c>
      <c r="L7579" s="496">
        <f t="shared" si="100"/>
        <v>1.05</v>
      </c>
      <c r="M7579" s="337"/>
    </row>
    <row r="7580" spans="1:13" s="71" customFormat="1" ht="26.4" customHeight="1">
      <c r="A7580" s="282">
        <v>941</v>
      </c>
      <c r="B7580" s="537"/>
      <c r="C7580" s="441" t="s">
        <v>19</v>
      </c>
      <c r="D7580" s="441" t="s">
        <v>9430</v>
      </c>
      <c r="E7580" s="441" t="s">
        <v>9433</v>
      </c>
      <c r="F7580" s="442">
        <v>430</v>
      </c>
      <c r="G7580" s="443">
        <v>1982</v>
      </c>
      <c r="H7580" s="489" t="s">
        <v>3243</v>
      </c>
      <c r="I7580" s="409" t="s">
        <v>3243</v>
      </c>
      <c r="J7580" s="495">
        <v>5.3979999999999997</v>
      </c>
      <c r="K7580" s="495">
        <v>5.05</v>
      </c>
      <c r="L7580" s="496">
        <f t="shared" si="100"/>
        <v>0.34799999999999986</v>
      </c>
      <c r="M7580" s="337"/>
    </row>
    <row r="7581" spans="1:13" s="71" customFormat="1" ht="26.4" customHeight="1">
      <c r="A7581" s="282">
        <v>942</v>
      </c>
      <c r="B7581" s="537"/>
      <c r="C7581" s="441" t="s">
        <v>19</v>
      </c>
      <c r="D7581" s="441" t="s">
        <v>9430</v>
      </c>
      <c r="E7581" s="441" t="s">
        <v>9434</v>
      </c>
      <c r="F7581" s="442">
        <v>519</v>
      </c>
      <c r="G7581" s="443">
        <v>1981</v>
      </c>
      <c r="H7581" s="489" t="s">
        <v>3243</v>
      </c>
      <c r="I7581" s="409" t="s">
        <v>3243</v>
      </c>
      <c r="J7581" s="495">
        <v>1.2</v>
      </c>
      <c r="K7581" s="495">
        <v>0.36</v>
      </c>
      <c r="L7581" s="496">
        <f t="shared" si="100"/>
        <v>0.84</v>
      </c>
      <c r="M7581" s="337"/>
    </row>
    <row r="7582" spans="1:13" s="71" customFormat="1" ht="26.4" customHeight="1">
      <c r="A7582" s="282">
        <v>943</v>
      </c>
      <c r="B7582" s="537"/>
      <c r="C7582" s="441" t="s">
        <v>8490</v>
      </c>
      <c r="D7582" s="441" t="s">
        <v>9316</v>
      </c>
      <c r="E7582" s="441" t="s">
        <v>9435</v>
      </c>
      <c r="F7582" s="442">
        <v>189</v>
      </c>
      <c r="G7582" s="443">
        <v>2008</v>
      </c>
      <c r="H7582" s="489" t="s">
        <v>3243</v>
      </c>
      <c r="I7582" s="409" t="s">
        <v>3243</v>
      </c>
      <c r="J7582" s="495">
        <v>2.1</v>
      </c>
      <c r="K7582" s="495">
        <v>0.75600000000000001</v>
      </c>
      <c r="L7582" s="496">
        <f t="shared" si="100"/>
        <v>1.3440000000000001</v>
      </c>
      <c r="M7582" s="337"/>
    </row>
    <row r="7583" spans="1:13" s="71" customFormat="1" ht="26.4" customHeight="1">
      <c r="A7583" s="282">
        <v>944</v>
      </c>
      <c r="B7583" s="537"/>
      <c r="C7583" s="441" t="s">
        <v>8490</v>
      </c>
      <c r="D7583" s="441" t="s">
        <v>9436</v>
      </c>
      <c r="E7583" s="441" t="s">
        <v>9437</v>
      </c>
      <c r="F7583" s="442">
        <v>525</v>
      </c>
      <c r="G7583" s="443">
        <v>1997</v>
      </c>
      <c r="H7583" s="489" t="s">
        <v>3243</v>
      </c>
      <c r="I7583" s="409" t="s">
        <v>3243</v>
      </c>
      <c r="J7583" s="495">
        <v>3.5</v>
      </c>
      <c r="K7583" s="495">
        <v>1.05</v>
      </c>
      <c r="L7583" s="496">
        <f t="shared" si="100"/>
        <v>2.4500000000000002</v>
      </c>
      <c r="M7583" s="337"/>
    </row>
    <row r="7584" spans="1:13" s="71" customFormat="1" ht="26.4" customHeight="1">
      <c r="A7584" s="282">
        <v>945</v>
      </c>
      <c r="B7584" s="537"/>
      <c r="C7584" s="441" t="s">
        <v>8490</v>
      </c>
      <c r="D7584" s="441" t="s">
        <v>9436</v>
      </c>
      <c r="E7584" s="441" t="s">
        <v>9438</v>
      </c>
      <c r="F7584" s="442">
        <v>527</v>
      </c>
      <c r="G7584" s="443">
        <v>1959</v>
      </c>
      <c r="H7584" s="489" t="s">
        <v>3243</v>
      </c>
      <c r="I7584" s="409" t="s">
        <v>3243</v>
      </c>
      <c r="J7584" s="495">
        <v>1.4</v>
      </c>
      <c r="K7584" s="495">
        <v>0.42</v>
      </c>
      <c r="L7584" s="496">
        <f t="shared" si="100"/>
        <v>0.98</v>
      </c>
      <c r="M7584" s="337"/>
    </row>
    <row r="7585" spans="1:13" s="71" customFormat="1" ht="26.4" customHeight="1">
      <c r="A7585" s="282">
        <v>946</v>
      </c>
      <c r="B7585" s="537"/>
      <c r="C7585" s="441" t="s">
        <v>8490</v>
      </c>
      <c r="D7585" s="441" t="s">
        <v>9436</v>
      </c>
      <c r="E7585" s="441" t="s">
        <v>9439</v>
      </c>
      <c r="F7585" s="442">
        <v>526</v>
      </c>
      <c r="G7585" s="443">
        <v>1997</v>
      </c>
      <c r="H7585" s="489" t="s">
        <v>3243</v>
      </c>
      <c r="I7585" s="409" t="s">
        <v>3243</v>
      </c>
      <c r="J7585" s="495">
        <v>1.8</v>
      </c>
      <c r="K7585" s="495">
        <v>0.54</v>
      </c>
      <c r="L7585" s="496">
        <f t="shared" si="100"/>
        <v>1.26</v>
      </c>
      <c r="M7585" s="337"/>
    </row>
    <row r="7586" spans="1:13" s="71" customFormat="1" ht="26.4" customHeight="1">
      <c r="A7586" s="282">
        <v>947</v>
      </c>
      <c r="B7586" s="537"/>
      <c r="C7586" s="441" t="s">
        <v>9322</v>
      </c>
      <c r="D7586" s="441" t="s">
        <v>9323</v>
      </c>
      <c r="E7586" s="441" t="s">
        <v>9440</v>
      </c>
      <c r="F7586" s="442">
        <v>13391</v>
      </c>
      <c r="G7586" s="443">
        <v>1979</v>
      </c>
      <c r="H7586" s="489" t="s">
        <v>5462</v>
      </c>
      <c r="I7586" s="409">
        <v>140</v>
      </c>
      <c r="J7586" s="495">
        <v>0.90900000000000003</v>
      </c>
      <c r="K7586" s="495">
        <v>0.85099999999999998</v>
      </c>
      <c r="L7586" s="496">
        <f t="shared" si="100"/>
        <v>5.8000000000000052E-2</v>
      </c>
      <c r="M7586" s="337"/>
    </row>
    <row r="7587" spans="1:13" s="71" customFormat="1" ht="26.4" customHeight="1">
      <c r="A7587" s="282">
        <v>948</v>
      </c>
      <c r="B7587" s="537"/>
      <c r="C7587" s="441" t="s">
        <v>9322</v>
      </c>
      <c r="D7587" s="441" t="s">
        <v>9323</v>
      </c>
      <c r="E7587" s="441" t="s">
        <v>9441</v>
      </c>
      <c r="F7587" s="442">
        <v>1352</v>
      </c>
      <c r="G7587" s="443">
        <v>1979</v>
      </c>
      <c r="H7587" s="489" t="s">
        <v>5462</v>
      </c>
      <c r="I7587" s="409">
        <v>90</v>
      </c>
      <c r="J7587" s="495">
        <v>4.9909999999999997</v>
      </c>
      <c r="K7587" s="495">
        <v>4.6619999999999999</v>
      </c>
      <c r="L7587" s="496">
        <f t="shared" si="100"/>
        <v>0.32899999999999974</v>
      </c>
      <c r="M7587" s="337"/>
    </row>
    <row r="7588" spans="1:13" s="71" customFormat="1" ht="26.4" customHeight="1">
      <c r="A7588" s="282">
        <v>949</v>
      </c>
      <c r="B7588" s="537"/>
      <c r="C7588" s="441" t="s">
        <v>9322</v>
      </c>
      <c r="D7588" s="441" t="s">
        <v>9323</v>
      </c>
      <c r="E7588" s="441" t="s">
        <v>9442</v>
      </c>
      <c r="F7588" s="442">
        <v>4011</v>
      </c>
      <c r="G7588" s="443">
        <v>1979</v>
      </c>
      <c r="H7588" s="489" t="s">
        <v>5462</v>
      </c>
      <c r="I7588" s="409">
        <v>174</v>
      </c>
      <c r="J7588" s="495">
        <v>3.3610000000000002</v>
      </c>
      <c r="K7588" s="495">
        <v>3.2690000000000001</v>
      </c>
      <c r="L7588" s="496">
        <f t="shared" si="100"/>
        <v>9.2000000000000082E-2</v>
      </c>
      <c r="M7588" s="337"/>
    </row>
    <row r="7589" spans="1:13" s="71" customFormat="1" ht="26.4" customHeight="1">
      <c r="A7589" s="282">
        <v>950</v>
      </c>
      <c r="B7589" s="537"/>
      <c r="C7589" s="441" t="s">
        <v>9322</v>
      </c>
      <c r="D7589" s="441" t="s">
        <v>9323</v>
      </c>
      <c r="E7589" s="441" t="s">
        <v>9443</v>
      </c>
      <c r="F7589" s="442">
        <v>1342</v>
      </c>
      <c r="G7589" s="443">
        <v>1983</v>
      </c>
      <c r="H7589" s="489" t="s">
        <v>5462</v>
      </c>
      <c r="I7589" s="409">
        <v>103</v>
      </c>
      <c r="J7589" s="495">
        <v>3.8479999999999999</v>
      </c>
      <c r="K7589" s="495">
        <v>3.5920000000000001</v>
      </c>
      <c r="L7589" s="496">
        <f t="shared" si="100"/>
        <v>0.25599999999999978</v>
      </c>
      <c r="M7589" s="337"/>
    </row>
    <row r="7590" spans="1:13" s="71" customFormat="1" ht="26.4" customHeight="1">
      <c r="A7590" s="282">
        <v>951</v>
      </c>
      <c r="B7590" s="537"/>
      <c r="C7590" s="441" t="s">
        <v>9322</v>
      </c>
      <c r="D7590" s="441" t="s">
        <v>9323</v>
      </c>
      <c r="E7590" s="441" t="s">
        <v>9444</v>
      </c>
      <c r="F7590" s="442">
        <v>1348</v>
      </c>
      <c r="G7590" s="443">
        <v>1979</v>
      </c>
      <c r="H7590" s="489" t="s">
        <v>5462</v>
      </c>
      <c r="I7590" s="409">
        <v>326</v>
      </c>
      <c r="J7590" s="495">
        <v>2.774</v>
      </c>
      <c r="K7590" s="495">
        <v>2.5960000000000001</v>
      </c>
      <c r="L7590" s="496">
        <f t="shared" si="100"/>
        <v>0.17799999999999994</v>
      </c>
      <c r="M7590" s="337"/>
    </row>
    <row r="7591" spans="1:13" s="71" customFormat="1" ht="26.4" customHeight="1">
      <c r="A7591" s="282">
        <v>952</v>
      </c>
      <c r="B7591" s="537"/>
      <c r="C7591" s="441" t="s">
        <v>9322</v>
      </c>
      <c r="D7591" s="441" t="s">
        <v>9323</v>
      </c>
      <c r="E7591" s="441" t="s">
        <v>9445</v>
      </c>
      <c r="F7591" s="442">
        <v>1349</v>
      </c>
      <c r="G7591" s="443">
        <v>1979</v>
      </c>
      <c r="H7591" s="489" t="s">
        <v>5462</v>
      </c>
      <c r="I7591" s="409">
        <v>250</v>
      </c>
      <c r="J7591" s="495">
        <v>6.6440000000000001</v>
      </c>
      <c r="K7591" s="495">
        <v>6.2060000000000004</v>
      </c>
      <c r="L7591" s="496">
        <f t="shared" si="100"/>
        <v>0.43799999999999972</v>
      </c>
      <c r="M7591" s="337"/>
    </row>
    <row r="7592" spans="1:13" s="71" customFormat="1" ht="26.4" customHeight="1">
      <c r="A7592" s="282">
        <v>953</v>
      </c>
      <c r="B7592" s="537"/>
      <c r="C7592" s="441" t="s">
        <v>9322</v>
      </c>
      <c r="D7592" s="441" t="s">
        <v>9323</v>
      </c>
      <c r="E7592" s="441" t="s">
        <v>13196</v>
      </c>
      <c r="F7592" s="442">
        <v>4010</v>
      </c>
      <c r="G7592" s="443">
        <v>1979</v>
      </c>
      <c r="H7592" s="489" t="s">
        <v>5462</v>
      </c>
      <c r="I7592" s="409">
        <v>106</v>
      </c>
      <c r="J7592" s="495">
        <v>5.5839999999999996</v>
      </c>
      <c r="K7592" s="495">
        <v>5.43</v>
      </c>
      <c r="L7592" s="496">
        <f t="shared" si="100"/>
        <v>0.15399999999999991</v>
      </c>
      <c r="M7592" s="337"/>
    </row>
    <row r="7593" spans="1:13" s="71" customFormat="1" ht="26.4" customHeight="1">
      <c r="A7593" s="282">
        <v>954</v>
      </c>
      <c r="B7593" s="537"/>
      <c r="C7593" s="441" t="s">
        <v>9322</v>
      </c>
      <c r="D7593" s="441" t="s">
        <v>9323</v>
      </c>
      <c r="E7593" s="441" t="s">
        <v>9446</v>
      </c>
      <c r="F7593" s="442">
        <v>1379</v>
      </c>
      <c r="G7593" s="443">
        <v>1979</v>
      </c>
      <c r="H7593" s="489" t="s">
        <v>5462</v>
      </c>
      <c r="I7593" s="409">
        <v>20</v>
      </c>
      <c r="J7593" s="495">
        <v>1.5940000000000001</v>
      </c>
      <c r="K7593" s="495">
        <v>1.4930000000000001</v>
      </c>
      <c r="L7593" s="496">
        <f t="shared" si="100"/>
        <v>0.10099999999999998</v>
      </c>
      <c r="M7593" s="337"/>
    </row>
    <row r="7594" spans="1:13" s="71" customFormat="1" ht="26.4" customHeight="1">
      <c r="A7594" s="282">
        <v>955</v>
      </c>
      <c r="B7594" s="537"/>
      <c r="C7594" s="441" t="s">
        <v>9322</v>
      </c>
      <c r="D7594" s="441" t="s">
        <v>9323</v>
      </c>
      <c r="E7594" s="441" t="s">
        <v>9447</v>
      </c>
      <c r="F7594" s="442">
        <v>1346</v>
      </c>
      <c r="G7594" s="443">
        <v>1979</v>
      </c>
      <c r="H7594" s="489" t="s">
        <v>5462</v>
      </c>
      <c r="I7594" s="409">
        <v>200</v>
      </c>
      <c r="J7594" s="495">
        <v>4.734</v>
      </c>
      <c r="K7594" s="495">
        <v>4.2779999999999996</v>
      </c>
      <c r="L7594" s="496">
        <f t="shared" si="100"/>
        <v>0.45600000000000041</v>
      </c>
      <c r="M7594" s="337"/>
    </row>
    <row r="7595" spans="1:13" s="71" customFormat="1" ht="26.4" customHeight="1">
      <c r="A7595" s="282">
        <v>956</v>
      </c>
      <c r="B7595" s="537"/>
      <c r="C7595" s="441" t="s">
        <v>9322</v>
      </c>
      <c r="D7595" s="441" t="s">
        <v>9323</v>
      </c>
      <c r="E7595" s="441" t="s">
        <v>9448</v>
      </c>
      <c r="F7595" s="442">
        <v>1259</v>
      </c>
      <c r="G7595" s="443">
        <v>1978</v>
      </c>
      <c r="H7595" s="489" t="s">
        <v>5462</v>
      </c>
      <c r="I7595" s="409">
        <v>2000</v>
      </c>
      <c r="J7595" s="495">
        <v>178.91300000000001</v>
      </c>
      <c r="K7595" s="495">
        <v>149.155</v>
      </c>
      <c r="L7595" s="496">
        <f t="shared" si="100"/>
        <v>29.75800000000001</v>
      </c>
      <c r="M7595" s="337"/>
    </row>
    <row r="7596" spans="1:13" s="71" customFormat="1" ht="26.4" customHeight="1">
      <c r="A7596" s="282">
        <v>957</v>
      </c>
      <c r="B7596" s="537"/>
      <c r="C7596" s="441" t="s">
        <v>9322</v>
      </c>
      <c r="D7596" s="441" t="s">
        <v>9323</v>
      </c>
      <c r="E7596" s="441" t="s">
        <v>9449</v>
      </c>
      <c r="F7596" s="442">
        <v>411</v>
      </c>
      <c r="G7596" s="443">
        <v>2010</v>
      </c>
      <c r="H7596" s="489" t="s">
        <v>3243</v>
      </c>
      <c r="I7596" s="409" t="s">
        <v>3243</v>
      </c>
      <c r="J7596" s="495">
        <v>36.969000000000001</v>
      </c>
      <c r="K7596" s="495">
        <v>34.723999999999997</v>
      </c>
      <c r="L7596" s="496">
        <f t="shared" si="100"/>
        <v>2.2450000000000045</v>
      </c>
      <c r="M7596" s="337"/>
    </row>
    <row r="7597" spans="1:13" s="71" customFormat="1" ht="26.4" customHeight="1">
      <c r="A7597" s="282">
        <v>958</v>
      </c>
      <c r="B7597" s="537"/>
      <c r="C7597" s="441" t="s">
        <v>9322</v>
      </c>
      <c r="D7597" s="441" t="s">
        <v>9323</v>
      </c>
      <c r="E7597" s="441" t="s">
        <v>13183</v>
      </c>
      <c r="F7597" s="442">
        <v>60935</v>
      </c>
      <c r="G7597" s="443">
        <v>1979</v>
      </c>
      <c r="H7597" s="489" t="s">
        <v>5462</v>
      </c>
      <c r="I7597" s="409">
        <v>1211</v>
      </c>
      <c r="J7597" s="495">
        <v>3.1</v>
      </c>
      <c r="K7597" s="495">
        <v>2.903</v>
      </c>
      <c r="L7597" s="496">
        <f t="shared" si="100"/>
        <v>0.19700000000000006</v>
      </c>
      <c r="M7597" s="337"/>
    </row>
    <row r="7598" spans="1:13" s="71" customFormat="1" ht="26.4" customHeight="1">
      <c r="A7598" s="282">
        <v>959</v>
      </c>
      <c r="B7598" s="537"/>
      <c r="C7598" s="441" t="s">
        <v>8500</v>
      </c>
      <c r="D7598" s="441" t="s">
        <v>9308</v>
      </c>
      <c r="E7598" s="441" t="s">
        <v>9450</v>
      </c>
      <c r="F7598" s="442">
        <v>358</v>
      </c>
      <c r="G7598" s="443">
        <v>1962</v>
      </c>
      <c r="H7598" s="489" t="s">
        <v>3243</v>
      </c>
      <c r="I7598" s="409" t="s">
        <v>3243</v>
      </c>
      <c r="J7598" s="495">
        <v>1.05</v>
      </c>
      <c r="K7598" s="495">
        <v>0.315</v>
      </c>
      <c r="L7598" s="496">
        <f t="shared" si="100"/>
        <v>0.7350000000000001</v>
      </c>
      <c r="M7598" s="337"/>
    </row>
    <row r="7599" spans="1:13" s="71" customFormat="1" ht="26.4" customHeight="1">
      <c r="A7599" s="282">
        <v>960</v>
      </c>
      <c r="B7599" s="537"/>
      <c r="C7599" s="441" t="s">
        <v>19</v>
      </c>
      <c r="D7599" s="441" t="s">
        <v>9291</v>
      </c>
      <c r="E7599" s="441" t="s">
        <v>13436</v>
      </c>
      <c r="F7599" s="442">
        <v>258</v>
      </c>
      <c r="G7599" s="443">
        <v>1981</v>
      </c>
      <c r="H7599" s="489" t="s">
        <v>3243</v>
      </c>
      <c r="I7599" s="409" t="s">
        <v>3243</v>
      </c>
      <c r="J7599" s="495">
        <v>1.56</v>
      </c>
      <c r="K7599" s="495">
        <v>0.46800000000000003</v>
      </c>
      <c r="L7599" s="496">
        <f t="shared" si="100"/>
        <v>1.0920000000000001</v>
      </c>
      <c r="M7599" s="337"/>
    </row>
    <row r="7600" spans="1:13" s="71" customFormat="1" ht="26.4" customHeight="1">
      <c r="A7600" s="282">
        <v>961</v>
      </c>
      <c r="B7600" s="537"/>
      <c r="C7600" s="441" t="s">
        <v>19</v>
      </c>
      <c r="D7600" s="441" t="s">
        <v>9291</v>
      </c>
      <c r="E7600" s="441" t="s">
        <v>9451</v>
      </c>
      <c r="F7600" s="442">
        <v>14040</v>
      </c>
      <c r="G7600" s="443">
        <v>1980</v>
      </c>
      <c r="H7600" s="489" t="s">
        <v>3243</v>
      </c>
      <c r="I7600" s="409" t="s">
        <v>3243</v>
      </c>
      <c r="J7600" s="495">
        <v>2.3410000000000002</v>
      </c>
      <c r="K7600" s="495">
        <v>2.19</v>
      </c>
      <c r="L7600" s="496">
        <f t="shared" si="100"/>
        <v>0.15100000000000025</v>
      </c>
      <c r="M7600" s="337"/>
    </row>
    <row r="7601" spans="1:13" s="71" customFormat="1" ht="26.4" customHeight="1">
      <c r="A7601" s="282">
        <v>962</v>
      </c>
      <c r="B7601" s="538"/>
      <c r="C7601" s="441" t="s">
        <v>8490</v>
      </c>
      <c r="D7601" s="441" t="s">
        <v>9436</v>
      </c>
      <c r="E7601" s="441" t="s">
        <v>9452</v>
      </c>
      <c r="F7601" s="442">
        <v>3087</v>
      </c>
      <c r="G7601" s="443">
        <v>1989</v>
      </c>
      <c r="H7601" s="489" t="s">
        <v>5462</v>
      </c>
      <c r="I7601" s="409">
        <v>800</v>
      </c>
      <c r="J7601" s="495">
        <v>42.017000000000003</v>
      </c>
      <c r="K7601" s="495">
        <v>39.220999999999997</v>
      </c>
      <c r="L7601" s="496">
        <f t="shared" si="100"/>
        <v>2.7960000000000065</v>
      </c>
      <c r="M7601" s="337"/>
    </row>
    <row r="7602" spans="1:13" s="71" customFormat="1" ht="26.4" customHeight="1">
      <c r="A7602" s="324" t="s">
        <v>3</v>
      </c>
      <c r="B7602" s="341" t="s">
        <v>4</v>
      </c>
      <c r="C7602" s="341" t="s">
        <v>3</v>
      </c>
      <c r="D7602" s="341" t="s">
        <v>3</v>
      </c>
      <c r="E7602" s="341" t="s">
        <v>3</v>
      </c>
      <c r="F7602" s="389" t="s">
        <v>3</v>
      </c>
      <c r="G7602" s="341" t="s">
        <v>3</v>
      </c>
      <c r="H7602" s="327" t="s">
        <v>3</v>
      </c>
      <c r="I7602" s="325" t="s">
        <v>3</v>
      </c>
      <c r="J7602" s="390">
        <f>SUM(J6640:J7601)</f>
        <v>22979.70400000002</v>
      </c>
      <c r="K7602" s="390">
        <f>SUM(K6640:K7601)</f>
        <v>20009.017000000011</v>
      </c>
      <c r="L7602" s="390">
        <f>SUM(L6640:L7601)</f>
        <v>2970.6840000000011</v>
      </c>
      <c r="M7602" s="337"/>
    </row>
    <row r="7603" spans="1:13" s="71" customFormat="1" ht="26.4" customHeight="1">
      <c r="A7603" s="282">
        <v>1</v>
      </c>
      <c r="B7603" s="536" t="s">
        <v>12847</v>
      </c>
      <c r="C7603" s="313" t="s">
        <v>9453</v>
      </c>
      <c r="D7603" s="313" t="s">
        <v>3</v>
      </c>
      <c r="E7603" s="353" t="s">
        <v>9454</v>
      </c>
      <c r="F7603" s="310">
        <v>10</v>
      </c>
      <c r="G7603" s="311">
        <v>1973</v>
      </c>
      <c r="H7603" s="329" t="s">
        <v>1149</v>
      </c>
      <c r="I7603" s="313" t="s">
        <v>9455</v>
      </c>
      <c r="J7603" s="350">
        <v>14.881460000000001</v>
      </c>
      <c r="K7603" s="350">
        <v>11.90302</v>
      </c>
      <c r="L7603" s="350">
        <f t="shared" ref="L7603:L7666" si="101">J7603-K7603</f>
        <v>2.9784400000000009</v>
      </c>
      <c r="M7603" s="337"/>
    </row>
    <row r="7604" spans="1:13" s="71" customFormat="1" ht="26.4" customHeight="1">
      <c r="A7604" s="282">
        <v>2</v>
      </c>
      <c r="B7604" s="537"/>
      <c r="C7604" s="307" t="s">
        <v>8294</v>
      </c>
      <c r="D7604" s="313" t="s">
        <v>3</v>
      </c>
      <c r="E7604" s="260" t="s">
        <v>9456</v>
      </c>
      <c r="F7604" s="310">
        <v>13</v>
      </c>
      <c r="G7604" s="311">
        <v>1957</v>
      </c>
      <c r="H7604" s="329" t="s">
        <v>2658</v>
      </c>
      <c r="I7604" s="313">
        <v>251</v>
      </c>
      <c r="J7604" s="350">
        <v>7.0186400000000004</v>
      </c>
      <c r="K7604" s="350">
        <v>6.6617899999999999</v>
      </c>
      <c r="L7604" s="350">
        <f t="shared" si="101"/>
        <v>0.35685000000000056</v>
      </c>
      <c r="M7604" s="337"/>
    </row>
    <row r="7605" spans="1:13" s="71" customFormat="1" ht="26.4" customHeight="1">
      <c r="A7605" s="282">
        <v>3</v>
      </c>
      <c r="B7605" s="537"/>
      <c r="C7605" s="307" t="s">
        <v>7495</v>
      </c>
      <c r="D7605" s="313" t="s">
        <v>3</v>
      </c>
      <c r="E7605" s="353" t="s">
        <v>9457</v>
      </c>
      <c r="F7605" s="310">
        <v>15</v>
      </c>
      <c r="G7605" s="311">
        <v>1954</v>
      </c>
      <c r="H7605" s="329" t="s">
        <v>1149</v>
      </c>
      <c r="I7605" s="313" t="s">
        <v>9458</v>
      </c>
      <c r="J7605" s="350">
        <v>16.240359999999999</v>
      </c>
      <c r="K7605" s="350">
        <v>16.156009999999998</v>
      </c>
      <c r="L7605" s="350">
        <f t="shared" si="101"/>
        <v>8.4350000000000591E-2</v>
      </c>
      <c r="M7605" s="337"/>
    </row>
    <row r="7606" spans="1:13" s="71" customFormat="1" ht="26.4" customHeight="1">
      <c r="A7606" s="282">
        <v>4</v>
      </c>
      <c r="B7606" s="537"/>
      <c r="C7606" s="307" t="s">
        <v>9459</v>
      </c>
      <c r="D7606" s="313" t="s">
        <v>3</v>
      </c>
      <c r="E7606" s="353" t="s">
        <v>9460</v>
      </c>
      <c r="F7606" s="310">
        <v>16</v>
      </c>
      <c r="G7606" s="311">
        <v>1954</v>
      </c>
      <c r="H7606" s="329" t="s">
        <v>1149</v>
      </c>
      <c r="I7606" s="313" t="s">
        <v>9461</v>
      </c>
      <c r="J7606" s="350">
        <v>16.93909</v>
      </c>
      <c r="K7606" s="350">
        <v>16.84459</v>
      </c>
      <c r="L7606" s="350">
        <f t="shared" si="101"/>
        <v>9.4500000000000028E-2</v>
      </c>
      <c r="M7606" s="337"/>
    </row>
    <row r="7607" spans="1:13" s="71" customFormat="1" ht="26.4" customHeight="1">
      <c r="A7607" s="282">
        <v>5</v>
      </c>
      <c r="B7607" s="537"/>
      <c r="C7607" s="307" t="s">
        <v>9459</v>
      </c>
      <c r="D7607" s="313" t="s">
        <v>3</v>
      </c>
      <c r="E7607" s="353" t="s">
        <v>9462</v>
      </c>
      <c r="F7607" s="310">
        <v>17</v>
      </c>
      <c r="G7607" s="311">
        <v>1954</v>
      </c>
      <c r="H7607" s="329" t="s">
        <v>1149</v>
      </c>
      <c r="I7607" s="313" t="s">
        <v>9461</v>
      </c>
      <c r="J7607" s="350">
        <v>16.298580000000001</v>
      </c>
      <c r="K7607" s="350">
        <v>16.21163</v>
      </c>
      <c r="L7607" s="350">
        <f t="shared" si="101"/>
        <v>8.6950000000001637E-2</v>
      </c>
      <c r="M7607" s="337"/>
    </row>
    <row r="7608" spans="1:13" s="71" customFormat="1" ht="26.4" customHeight="1">
      <c r="A7608" s="282">
        <v>6</v>
      </c>
      <c r="B7608" s="537"/>
      <c r="C7608" s="307" t="s">
        <v>9459</v>
      </c>
      <c r="D7608" s="313" t="s">
        <v>3</v>
      </c>
      <c r="E7608" s="353" t="s">
        <v>9463</v>
      </c>
      <c r="F7608" s="310">
        <v>18</v>
      </c>
      <c r="G7608" s="311">
        <v>1954</v>
      </c>
      <c r="H7608" s="329" t="s">
        <v>1149</v>
      </c>
      <c r="I7608" s="313" t="s">
        <v>9461</v>
      </c>
      <c r="J7608" s="350">
        <v>15.42548</v>
      </c>
      <c r="K7608" s="350">
        <v>15.34318</v>
      </c>
      <c r="L7608" s="350">
        <f t="shared" si="101"/>
        <v>8.230000000000004E-2</v>
      </c>
      <c r="M7608" s="337"/>
    </row>
    <row r="7609" spans="1:13" s="71" customFormat="1" ht="26.4" customHeight="1">
      <c r="A7609" s="282">
        <v>7</v>
      </c>
      <c r="B7609" s="537"/>
      <c r="C7609" s="307" t="s">
        <v>9459</v>
      </c>
      <c r="D7609" s="313" t="s">
        <v>3</v>
      </c>
      <c r="E7609" s="353" t="s">
        <v>9464</v>
      </c>
      <c r="F7609" s="310">
        <v>19</v>
      </c>
      <c r="G7609" s="311">
        <v>1954</v>
      </c>
      <c r="H7609" s="329" t="s">
        <v>1149</v>
      </c>
      <c r="I7609" s="313" t="s">
        <v>9461</v>
      </c>
      <c r="J7609" s="350">
        <v>16.642690000000002</v>
      </c>
      <c r="K7609" s="350">
        <v>16.642690000000002</v>
      </c>
      <c r="L7609" s="350">
        <f t="shared" si="101"/>
        <v>0</v>
      </c>
      <c r="M7609" s="337"/>
    </row>
    <row r="7610" spans="1:13" s="71" customFormat="1" ht="26.4" customHeight="1">
      <c r="A7610" s="282">
        <v>8</v>
      </c>
      <c r="B7610" s="537"/>
      <c r="C7610" s="307" t="s">
        <v>9459</v>
      </c>
      <c r="D7610" s="313" t="s">
        <v>3</v>
      </c>
      <c r="E7610" s="353" t="s">
        <v>9465</v>
      </c>
      <c r="F7610" s="310">
        <v>20</v>
      </c>
      <c r="G7610" s="311">
        <v>1954</v>
      </c>
      <c r="H7610" s="329" t="s">
        <v>1149</v>
      </c>
      <c r="I7610" s="313" t="s">
        <v>9461</v>
      </c>
      <c r="J7610" s="350">
        <v>16.85857</v>
      </c>
      <c r="K7610" s="350">
        <v>16.768619999999999</v>
      </c>
      <c r="L7610" s="350">
        <f t="shared" si="101"/>
        <v>8.9950000000001751E-2</v>
      </c>
      <c r="M7610" s="337"/>
    </row>
    <row r="7611" spans="1:13" s="71" customFormat="1" ht="26.4" customHeight="1">
      <c r="A7611" s="282">
        <v>9</v>
      </c>
      <c r="B7611" s="537"/>
      <c r="C7611" s="307" t="s">
        <v>9459</v>
      </c>
      <c r="D7611" s="313" t="s">
        <v>3</v>
      </c>
      <c r="E7611" s="353" t="s">
        <v>9466</v>
      </c>
      <c r="F7611" s="310">
        <v>21</v>
      </c>
      <c r="G7611" s="311">
        <v>1954</v>
      </c>
      <c r="H7611" s="329" t="s">
        <v>1149</v>
      </c>
      <c r="I7611" s="313" t="s">
        <v>9461</v>
      </c>
      <c r="J7611" s="350">
        <v>16.719449999999998</v>
      </c>
      <c r="K7611" s="350">
        <v>16.630299999999998</v>
      </c>
      <c r="L7611" s="350">
        <f t="shared" si="101"/>
        <v>8.9150000000000063E-2</v>
      </c>
      <c r="M7611" s="337"/>
    </row>
    <row r="7612" spans="1:13" s="71" customFormat="1" ht="26.4" customHeight="1">
      <c r="A7612" s="282">
        <v>10</v>
      </c>
      <c r="B7612" s="537"/>
      <c r="C7612" s="307" t="s">
        <v>9459</v>
      </c>
      <c r="D7612" s="313" t="s">
        <v>3</v>
      </c>
      <c r="E7612" s="353" t="s">
        <v>9467</v>
      </c>
      <c r="F7612" s="310">
        <v>22</v>
      </c>
      <c r="G7612" s="311">
        <v>1954</v>
      </c>
      <c r="H7612" s="329" t="s">
        <v>1149</v>
      </c>
      <c r="I7612" s="313" t="s">
        <v>9461</v>
      </c>
      <c r="J7612" s="350">
        <v>16.719449999999998</v>
      </c>
      <c r="K7612" s="350">
        <v>16.630299999999998</v>
      </c>
      <c r="L7612" s="350">
        <f t="shared" si="101"/>
        <v>8.9150000000000063E-2</v>
      </c>
      <c r="M7612" s="337"/>
    </row>
    <row r="7613" spans="1:13" s="71" customFormat="1" ht="26.4" customHeight="1">
      <c r="A7613" s="282">
        <v>11</v>
      </c>
      <c r="B7613" s="537"/>
      <c r="C7613" s="307" t="s">
        <v>9459</v>
      </c>
      <c r="D7613" s="313" t="s">
        <v>3</v>
      </c>
      <c r="E7613" s="353" t="s">
        <v>9468</v>
      </c>
      <c r="F7613" s="310">
        <v>23</v>
      </c>
      <c r="G7613" s="311">
        <v>1954</v>
      </c>
      <c r="H7613" s="329" t="s">
        <v>1149</v>
      </c>
      <c r="I7613" s="313" t="s">
        <v>9461</v>
      </c>
      <c r="J7613" s="350">
        <v>16.573049999999999</v>
      </c>
      <c r="K7613" s="350">
        <v>16.573049999999999</v>
      </c>
      <c r="L7613" s="350">
        <f t="shared" si="101"/>
        <v>0</v>
      </c>
      <c r="M7613" s="337"/>
    </row>
    <row r="7614" spans="1:13" s="71" customFormat="1" ht="26.4" customHeight="1">
      <c r="A7614" s="282">
        <v>12</v>
      </c>
      <c r="B7614" s="537"/>
      <c r="C7614" s="307" t="s">
        <v>9459</v>
      </c>
      <c r="D7614" s="313" t="s">
        <v>3</v>
      </c>
      <c r="E7614" s="353" t="s">
        <v>9469</v>
      </c>
      <c r="F7614" s="310">
        <v>24</v>
      </c>
      <c r="G7614" s="311">
        <v>1954</v>
      </c>
      <c r="H7614" s="329" t="s">
        <v>1149</v>
      </c>
      <c r="I7614" s="313" t="s">
        <v>9461</v>
      </c>
      <c r="J7614" s="350">
        <v>16.573049999999999</v>
      </c>
      <c r="K7614" s="350">
        <v>16.573049999999999</v>
      </c>
      <c r="L7614" s="350">
        <f t="shared" si="101"/>
        <v>0</v>
      </c>
      <c r="M7614" s="337"/>
    </row>
    <row r="7615" spans="1:13" s="71" customFormat="1" ht="26.4" customHeight="1">
      <c r="A7615" s="282">
        <v>13</v>
      </c>
      <c r="B7615" s="537"/>
      <c r="C7615" s="307" t="s">
        <v>9470</v>
      </c>
      <c r="D7615" s="307" t="s">
        <v>9471</v>
      </c>
      <c r="E7615" s="353" t="s">
        <v>9472</v>
      </c>
      <c r="F7615" s="310">
        <v>25</v>
      </c>
      <c r="G7615" s="311">
        <v>1973</v>
      </c>
      <c r="H7615" s="329" t="s">
        <v>1149</v>
      </c>
      <c r="I7615" s="313" t="s">
        <v>9473</v>
      </c>
      <c r="J7615" s="350">
        <v>16.72457</v>
      </c>
      <c r="K7615" s="350">
        <v>16.72457</v>
      </c>
      <c r="L7615" s="350">
        <f t="shared" si="101"/>
        <v>0</v>
      </c>
      <c r="M7615" s="337"/>
    </row>
    <row r="7616" spans="1:13" s="71" customFormat="1" ht="26.4" customHeight="1">
      <c r="A7616" s="282">
        <v>14</v>
      </c>
      <c r="B7616" s="537"/>
      <c r="C7616" s="307" t="s">
        <v>9474</v>
      </c>
      <c r="D7616" s="307" t="s">
        <v>3</v>
      </c>
      <c r="E7616" s="353" t="s">
        <v>9475</v>
      </c>
      <c r="F7616" s="310">
        <v>25</v>
      </c>
      <c r="G7616" s="311">
        <v>1954</v>
      </c>
      <c r="H7616" s="329" t="s">
        <v>1149</v>
      </c>
      <c r="I7616" s="313" t="s">
        <v>9461</v>
      </c>
      <c r="J7616" s="350">
        <v>36.722769999999997</v>
      </c>
      <c r="K7616" s="350">
        <v>33.859430000000003</v>
      </c>
      <c r="L7616" s="350">
        <f t="shared" si="101"/>
        <v>2.8633399999999938</v>
      </c>
      <c r="M7616" s="337"/>
    </row>
    <row r="7617" spans="1:13" s="71" customFormat="1" ht="26.4" customHeight="1">
      <c r="A7617" s="282">
        <v>15</v>
      </c>
      <c r="B7617" s="537"/>
      <c r="C7617" s="307" t="s">
        <v>9474</v>
      </c>
      <c r="D7617" s="307" t="s">
        <v>3</v>
      </c>
      <c r="E7617" s="353" t="s">
        <v>9476</v>
      </c>
      <c r="F7617" s="310">
        <v>26</v>
      </c>
      <c r="G7617" s="311">
        <v>1954</v>
      </c>
      <c r="H7617" s="329" t="s">
        <v>1149</v>
      </c>
      <c r="I7617" s="313" t="s">
        <v>9461</v>
      </c>
      <c r="J7617" s="350">
        <v>16.374770000000002</v>
      </c>
      <c r="K7617" s="350">
        <v>16.287420000000001</v>
      </c>
      <c r="L7617" s="350">
        <f t="shared" si="101"/>
        <v>8.7350000000000705E-2</v>
      </c>
      <c r="M7617" s="337"/>
    </row>
    <row r="7618" spans="1:13" s="71" customFormat="1" ht="26.4" customHeight="1">
      <c r="A7618" s="282">
        <v>16</v>
      </c>
      <c r="B7618" s="537"/>
      <c r="C7618" s="307" t="s">
        <v>9477</v>
      </c>
      <c r="D7618" s="307" t="s">
        <v>3</v>
      </c>
      <c r="E7618" s="353" t="s">
        <v>9478</v>
      </c>
      <c r="F7618" s="310">
        <v>26</v>
      </c>
      <c r="G7618" s="311">
        <v>1973</v>
      </c>
      <c r="H7618" s="329" t="s">
        <v>1149</v>
      </c>
      <c r="I7618" s="313" t="s">
        <v>9479</v>
      </c>
      <c r="J7618" s="350">
        <v>74.157650000000004</v>
      </c>
      <c r="K7618" s="350">
        <v>71.272329999999997</v>
      </c>
      <c r="L7618" s="350">
        <f t="shared" si="101"/>
        <v>2.8853200000000072</v>
      </c>
      <c r="M7618" s="337"/>
    </row>
    <row r="7619" spans="1:13" s="71" customFormat="1" ht="26.4" customHeight="1">
      <c r="A7619" s="282">
        <v>17</v>
      </c>
      <c r="B7619" s="537"/>
      <c r="C7619" s="307" t="s">
        <v>9474</v>
      </c>
      <c r="D7619" s="307" t="s">
        <v>3</v>
      </c>
      <c r="E7619" s="353" t="s">
        <v>9480</v>
      </c>
      <c r="F7619" s="310">
        <v>27</v>
      </c>
      <c r="G7619" s="311">
        <v>1954</v>
      </c>
      <c r="H7619" s="329" t="s">
        <v>1149</v>
      </c>
      <c r="I7619" s="313" t="s">
        <v>9461</v>
      </c>
      <c r="J7619" s="350">
        <v>17.26754</v>
      </c>
      <c r="K7619" s="350">
        <v>17.035219999999999</v>
      </c>
      <c r="L7619" s="350">
        <f t="shared" si="101"/>
        <v>0.23232000000000141</v>
      </c>
      <c r="M7619" s="337"/>
    </row>
    <row r="7620" spans="1:13" s="71" customFormat="1" ht="26.4" customHeight="1">
      <c r="A7620" s="282">
        <v>18</v>
      </c>
      <c r="B7620" s="537"/>
      <c r="C7620" s="307" t="s">
        <v>9477</v>
      </c>
      <c r="D7620" s="307" t="s">
        <v>3</v>
      </c>
      <c r="E7620" s="353" t="s">
        <v>9481</v>
      </c>
      <c r="F7620" s="310">
        <v>27</v>
      </c>
      <c r="G7620" s="311">
        <v>1974</v>
      </c>
      <c r="H7620" s="329" t="s">
        <v>1149</v>
      </c>
      <c r="I7620" s="313" t="s">
        <v>9482</v>
      </c>
      <c r="J7620" s="350">
        <v>28.146560000000001</v>
      </c>
      <c r="K7620" s="350">
        <v>23.874289999999998</v>
      </c>
      <c r="L7620" s="350">
        <f t="shared" si="101"/>
        <v>4.2722700000000025</v>
      </c>
      <c r="M7620" s="337"/>
    </row>
    <row r="7621" spans="1:13" s="71" customFormat="1" ht="26.4" customHeight="1">
      <c r="A7621" s="282">
        <v>19</v>
      </c>
      <c r="B7621" s="537"/>
      <c r="C7621" s="307" t="s">
        <v>9474</v>
      </c>
      <c r="D7621" s="307" t="s">
        <v>3</v>
      </c>
      <c r="E7621" s="353" t="s">
        <v>9483</v>
      </c>
      <c r="F7621" s="310">
        <v>28</v>
      </c>
      <c r="G7621" s="311">
        <v>1954</v>
      </c>
      <c r="H7621" s="329" t="s">
        <v>1149</v>
      </c>
      <c r="I7621" s="313" t="s">
        <v>9461</v>
      </c>
      <c r="J7621" s="350">
        <v>15.021990000000001</v>
      </c>
      <c r="K7621" s="350">
        <v>14.788790000000001</v>
      </c>
      <c r="L7621" s="350">
        <f t="shared" si="101"/>
        <v>0.23320000000000007</v>
      </c>
      <c r="M7621" s="337"/>
    </row>
    <row r="7622" spans="1:13" s="71" customFormat="1" ht="26.4" customHeight="1">
      <c r="A7622" s="282">
        <v>20</v>
      </c>
      <c r="B7622" s="537"/>
      <c r="C7622" s="453" t="s">
        <v>9484</v>
      </c>
      <c r="D7622" s="307" t="s">
        <v>3</v>
      </c>
      <c r="E7622" s="260" t="s">
        <v>9485</v>
      </c>
      <c r="F7622" s="310">
        <v>28</v>
      </c>
      <c r="G7622" s="311">
        <v>1963</v>
      </c>
      <c r="H7622" s="329" t="s">
        <v>3</v>
      </c>
      <c r="I7622" s="313" t="s">
        <v>3</v>
      </c>
      <c r="J7622" s="350">
        <v>16.930610000000001</v>
      </c>
      <c r="K7622" s="350">
        <v>16.444880000000001</v>
      </c>
      <c r="L7622" s="350">
        <f t="shared" si="101"/>
        <v>0.48573000000000022</v>
      </c>
      <c r="M7622" s="337"/>
    </row>
    <row r="7623" spans="1:13" s="71" customFormat="1" ht="26.4" customHeight="1">
      <c r="A7623" s="282">
        <v>21</v>
      </c>
      <c r="B7623" s="537"/>
      <c r="C7623" s="307" t="s">
        <v>9477</v>
      </c>
      <c r="D7623" s="307" t="s">
        <v>3</v>
      </c>
      <c r="E7623" s="353" t="s">
        <v>9486</v>
      </c>
      <c r="F7623" s="310">
        <v>28</v>
      </c>
      <c r="G7623" s="311">
        <v>1974</v>
      </c>
      <c r="H7623" s="329" t="s">
        <v>3</v>
      </c>
      <c r="I7623" s="313" t="s">
        <v>3</v>
      </c>
      <c r="J7623" s="350">
        <v>19.34704</v>
      </c>
      <c r="K7623" s="350">
        <v>16.41046</v>
      </c>
      <c r="L7623" s="350">
        <f t="shared" si="101"/>
        <v>2.9365799999999993</v>
      </c>
      <c r="M7623" s="337"/>
    </row>
    <row r="7624" spans="1:13" s="71" customFormat="1" ht="26.4" customHeight="1">
      <c r="A7624" s="282">
        <v>22</v>
      </c>
      <c r="B7624" s="537"/>
      <c r="C7624" s="307" t="s">
        <v>7495</v>
      </c>
      <c r="D7624" s="307" t="s">
        <v>3</v>
      </c>
      <c r="E7624" s="353" t="s">
        <v>9487</v>
      </c>
      <c r="F7624" s="310">
        <v>29</v>
      </c>
      <c r="G7624" s="311">
        <v>1954</v>
      </c>
      <c r="H7624" s="329" t="s">
        <v>1149</v>
      </c>
      <c r="I7624" s="313" t="s">
        <v>9461</v>
      </c>
      <c r="J7624" s="350">
        <v>16.997520000000002</v>
      </c>
      <c r="K7624" s="350">
        <v>16.90682</v>
      </c>
      <c r="L7624" s="350">
        <f t="shared" si="101"/>
        <v>9.0700000000001779E-2</v>
      </c>
      <c r="M7624" s="337"/>
    </row>
    <row r="7625" spans="1:13" s="71" customFormat="1" ht="26.4" customHeight="1">
      <c r="A7625" s="282">
        <v>23</v>
      </c>
      <c r="B7625" s="537"/>
      <c r="C7625" s="307" t="s">
        <v>9484</v>
      </c>
      <c r="D7625" s="307" t="s">
        <v>3</v>
      </c>
      <c r="E7625" s="260" t="s">
        <v>9488</v>
      </c>
      <c r="F7625" s="310">
        <v>29</v>
      </c>
      <c r="G7625" s="311">
        <v>1956</v>
      </c>
      <c r="H7625" s="329" t="s">
        <v>3</v>
      </c>
      <c r="I7625" s="313" t="s">
        <v>3</v>
      </c>
      <c r="J7625" s="350">
        <v>11.57376</v>
      </c>
      <c r="K7625" s="350">
        <v>11.24175</v>
      </c>
      <c r="L7625" s="350">
        <f t="shared" si="101"/>
        <v>0.33201000000000036</v>
      </c>
      <c r="M7625" s="337"/>
    </row>
    <row r="7626" spans="1:13" s="71" customFormat="1" ht="26.4" customHeight="1">
      <c r="A7626" s="282">
        <v>24</v>
      </c>
      <c r="B7626" s="537"/>
      <c r="C7626" s="307" t="s">
        <v>9477</v>
      </c>
      <c r="D7626" s="307" t="s">
        <v>3</v>
      </c>
      <c r="E7626" s="353" t="s">
        <v>9489</v>
      </c>
      <c r="F7626" s="310">
        <v>29</v>
      </c>
      <c r="G7626" s="311">
        <v>1974</v>
      </c>
      <c r="H7626" s="329" t="s">
        <v>3</v>
      </c>
      <c r="I7626" s="313" t="s">
        <v>3</v>
      </c>
      <c r="J7626" s="350">
        <v>20.88824</v>
      </c>
      <c r="K7626" s="350">
        <v>17.717569999999998</v>
      </c>
      <c r="L7626" s="350">
        <f t="shared" si="101"/>
        <v>3.1706700000000012</v>
      </c>
      <c r="M7626" s="337"/>
    </row>
    <row r="7627" spans="1:13" s="71" customFormat="1" ht="26.4" customHeight="1">
      <c r="A7627" s="282">
        <v>25</v>
      </c>
      <c r="B7627" s="537"/>
      <c r="C7627" s="307" t="s">
        <v>9474</v>
      </c>
      <c r="D7627" s="307" t="s">
        <v>3</v>
      </c>
      <c r="E7627" s="353" t="s">
        <v>9490</v>
      </c>
      <c r="F7627" s="310">
        <v>30</v>
      </c>
      <c r="G7627" s="311">
        <v>1954</v>
      </c>
      <c r="H7627" s="329" t="s">
        <v>1149</v>
      </c>
      <c r="I7627" s="313" t="s">
        <v>9491</v>
      </c>
      <c r="J7627" s="350">
        <v>15.539149999999999</v>
      </c>
      <c r="K7627" s="350">
        <v>15.539149999999999</v>
      </c>
      <c r="L7627" s="350">
        <f t="shared" si="101"/>
        <v>0</v>
      </c>
      <c r="M7627" s="337"/>
    </row>
    <row r="7628" spans="1:13" s="71" customFormat="1" ht="26.4" customHeight="1">
      <c r="A7628" s="282">
        <v>26</v>
      </c>
      <c r="B7628" s="537"/>
      <c r="C7628" s="307" t="s">
        <v>7495</v>
      </c>
      <c r="D7628" s="307" t="s">
        <v>3</v>
      </c>
      <c r="E7628" s="353" t="s">
        <v>9492</v>
      </c>
      <c r="F7628" s="310">
        <v>31</v>
      </c>
      <c r="G7628" s="311">
        <v>1954</v>
      </c>
      <c r="H7628" s="329" t="s">
        <v>1149</v>
      </c>
      <c r="I7628" s="313" t="s">
        <v>9461</v>
      </c>
      <c r="J7628" s="350">
        <v>16.507999999999999</v>
      </c>
      <c r="K7628" s="350">
        <v>16.41995</v>
      </c>
      <c r="L7628" s="350">
        <f t="shared" si="101"/>
        <v>8.8049999999999073E-2</v>
      </c>
      <c r="M7628" s="337"/>
    </row>
    <row r="7629" spans="1:13" s="71" customFormat="1" ht="26.4" customHeight="1">
      <c r="A7629" s="282">
        <v>27</v>
      </c>
      <c r="B7629" s="537"/>
      <c r="C7629" s="307" t="s">
        <v>9474</v>
      </c>
      <c r="D7629" s="307" t="s">
        <v>3</v>
      </c>
      <c r="E7629" s="353" t="s">
        <v>9493</v>
      </c>
      <c r="F7629" s="310">
        <v>32</v>
      </c>
      <c r="G7629" s="311">
        <v>1954</v>
      </c>
      <c r="H7629" s="329" t="s">
        <v>1149</v>
      </c>
      <c r="I7629" s="313" t="s">
        <v>9491</v>
      </c>
      <c r="J7629" s="350">
        <v>16.719449999999998</v>
      </c>
      <c r="K7629" s="350">
        <v>16.630299999999998</v>
      </c>
      <c r="L7629" s="350">
        <f t="shared" si="101"/>
        <v>8.9150000000000063E-2</v>
      </c>
      <c r="M7629" s="337"/>
    </row>
    <row r="7630" spans="1:13" s="71" customFormat="1" ht="26.4" customHeight="1">
      <c r="A7630" s="282">
        <v>28</v>
      </c>
      <c r="B7630" s="537"/>
      <c r="C7630" s="307" t="s">
        <v>7495</v>
      </c>
      <c r="D7630" s="307" t="s">
        <v>3</v>
      </c>
      <c r="E7630" s="353" t="s">
        <v>9494</v>
      </c>
      <c r="F7630" s="310">
        <v>33</v>
      </c>
      <c r="G7630" s="311">
        <v>1954</v>
      </c>
      <c r="H7630" s="329" t="s">
        <v>1149</v>
      </c>
      <c r="I7630" s="313" t="s">
        <v>9491</v>
      </c>
      <c r="J7630" s="350">
        <v>18.052759999999999</v>
      </c>
      <c r="K7630" s="350">
        <v>17.373080000000002</v>
      </c>
      <c r="L7630" s="350">
        <f t="shared" si="101"/>
        <v>0.67967999999999762</v>
      </c>
      <c r="M7630" s="337"/>
    </row>
    <row r="7631" spans="1:13" s="332" customFormat="1" ht="26.4" customHeight="1">
      <c r="A7631" s="445">
        <v>29</v>
      </c>
      <c r="B7631" s="537"/>
      <c r="C7631" s="307" t="s">
        <v>9495</v>
      </c>
      <c r="D7631" s="307" t="s">
        <v>3</v>
      </c>
      <c r="E7631" s="260" t="s">
        <v>9496</v>
      </c>
      <c r="F7631" s="310">
        <v>33</v>
      </c>
      <c r="G7631" s="445">
        <v>1963</v>
      </c>
      <c r="H7631" s="329" t="s">
        <v>631</v>
      </c>
      <c r="I7631" s="313">
        <v>1300</v>
      </c>
      <c r="J7631" s="350">
        <v>1.8970499999999999</v>
      </c>
      <c r="K7631" s="350">
        <v>1.87815</v>
      </c>
      <c r="L7631" s="350">
        <f t="shared" si="101"/>
        <v>1.8899999999999917E-2</v>
      </c>
      <c r="M7631" s="331"/>
    </row>
    <row r="7632" spans="1:13" s="71" customFormat="1" ht="26.4" customHeight="1">
      <c r="A7632" s="282">
        <v>30</v>
      </c>
      <c r="B7632" s="537"/>
      <c r="C7632" s="307" t="s">
        <v>9474</v>
      </c>
      <c r="D7632" s="307" t="s">
        <v>3</v>
      </c>
      <c r="E7632" s="353" t="s">
        <v>9497</v>
      </c>
      <c r="F7632" s="310">
        <v>34</v>
      </c>
      <c r="G7632" s="311">
        <v>1954</v>
      </c>
      <c r="H7632" s="329" t="s">
        <v>1149</v>
      </c>
      <c r="I7632" s="313" t="s">
        <v>9491</v>
      </c>
      <c r="J7632" s="350">
        <v>16.543379999999999</v>
      </c>
      <c r="K7632" s="350">
        <v>16.455079999999999</v>
      </c>
      <c r="L7632" s="350">
        <f t="shared" si="101"/>
        <v>8.8300000000000267E-2</v>
      </c>
      <c r="M7632" s="337"/>
    </row>
    <row r="7633" spans="1:13" s="71" customFormat="1" ht="39.6">
      <c r="A7633" s="282">
        <v>31</v>
      </c>
      <c r="B7633" s="537"/>
      <c r="C7633" s="307" t="s">
        <v>9484</v>
      </c>
      <c r="D7633" s="307" t="s">
        <v>3</v>
      </c>
      <c r="E7633" s="260" t="s">
        <v>9498</v>
      </c>
      <c r="F7633" s="310">
        <v>34</v>
      </c>
      <c r="G7633" s="311">
        <v>1954</v>
      </c>
      <c r="H7633" s="329" t="s">
        <v>631</v>
      </c>
      <c r="I7633" s="313">
        <v>2390</v>
      </c>
      <c r="J7633" s="350">
        <v>13.938510000000001</v>
      </c>
      <c r="K7633" s="350">
        <v>13.24155</v>
      </c>
      <c r="L7633" s="350">
        <f t="shared" si="101"/>
        <v>0.69696000000000069</v>
      </c>
      <c r="M7633" s="337"/>
    </row>
    <row r="7634" spans="1:13" s="71" customFormat="1" ht="26.4" customHeight="1">
      <c r="A7634" s="282">
        <v>32</v>
      </c>
      <c r="B7634" s="537"/>
      <c r="C7634" s="307" t="s">
        <v>9499</v>
      </c>
      <c r="D7634" s="307" t="s">
        <v>3</v>
      </c>
      <c r="E7634" s="353" t="s">
        <v>9500</v>
      </c>
      <c r="F7634" s="310">
        <v>35</v>
      </c>
      <c r="G7634" s="311">
        <v>1954</v>
      </c>
      <c r="H7634" s="329" t="s">
        <v>1149</v>
      </c>
      <c r="I7634" s="313" t="s">
        <v>9501</v>
      </c>
      <c r="J7634" s="350">
        <v>52.983750000000001</v>
      </c>
      <c r="K7634" s="350">
        <v>52.717500000000001</v>
      </c>
      <c r="L7634" s="350">
        <f t="shared" si="101"/>
        <v>0.26624999999999943</v>
      </c>
      <c r="M7634" s="337"/>
    </row>
    <row r="7635" spans="1:13" s="71" customFormat="1" ht="26.4" customHeight="1">
      <c r="A7635" s="282">
        <v>33</v>
      </c>
      <c r="B7635" s="537"/>
      <c r="C7635" s="307" t="s">
        <v>7495</v>
      </c>
      <c r="D7635" s="307" t="s">
        <v>3</v>
      </c>
      <c r="E7635" s="353" t="s">
        <v>9502</v>
      </c>
      <c r="F7635" s="310">
        <v>35</v>
      </c>
      <c r="G7635" s="311">
        <v>1954</v>
      </c>
      <c r="H7635" s="329" t="s">
        <v>3</v>
      </c>
      <c r="I7635" s="313" t="s">
        <v>3</v>
      </c>
      <c r="J7635" s="350">
        <v>9.7027900000000002</v>
      </c>
      <c r="K7635" s="350">
        <v>8.6883099999999995</v>
      </c>
      <c r="L7635" s="350">
        <f t="shared" si="101"/>
        <v>1.0144800000000007</v>
      </c>
      <c r="M7635" s="337"/>
    </row>
    <row r="7636" spans="1:13" s="71" customFormat="1" ht="40.5" customHeight="1">
      <c r="A7636" s="282">
        <v>34</v>
      </c>
      <c r="B7636" s="537"/>
      <c r="C7636" s="307" t="s">
        <v>9484</v>
      </c>
      <c r="D7636" s="313" t="s">
        <v>3</v>
      </c>
      <c r="E7636" s="260" t="s">
        <v>9503</v>
      </c>
      <c r="F7636" s="310">
        <v>35</v>
      </c>
      <c r="G7636" s="311">
        <v>1954</v>
      </c>
      <c r="H7636" s="329" t="s">
        <v>631</v>
      </c>
      <c r="I7636" s="313">
        <v>10854</v>
      </c>
      <c r="J7636" s="350">
        <v>9.7711000000000006</v>
      </c>
      <c r="K7636" s="350">
        <v>9.7025500000000005</v>
      </c>
      <c r="L7636" s="350">
        <f t="shared" si="101"/>
        <v>6.8550000000000111E-2</v>
      </c>
      <c r="M7636" s="337"/>
    </row>
    <row r="7637" spans="1:13" s="71" customFormat="1" ht="26.4" customHeight="1">
      <c r="A7637" s="282">
        <v>35</v>
      </c>
      <c r="B7637" s="537"/>
      <c r="C7637" s="307" t="s">
        <v>9459</v>
      </c>
      <c r="D7637" s="313" t="s">
        <v>3</v>
      </c>
      <c r="E7637" s="353" t="s">
        <v>9504</v>
      </c>
      <c r="F7637" s="310">
        <v>36</v>
      </c>
      <c r="G7637" s="311">
        <v>1954</v>
      </c>
      <c r="H7637" s="329" t="s">
        <v>1149</v>
      </c>
      <c r="I7637" s="313" t="s">
        <v>9491</v>
      </c>
      <c r="J7637" s="350">
        <v>17.738969999999998</v>
      </c>
      <c r="K7637" s="350">
        <v>17.649819999999998</v>
      </c>
      <c r="L7637" s="350">
        <f t="shared" si="101"/>
        <v>8.9150000000000063E-2</v>
      </c>
      <c r="M7637" s="337"/>
    </row>
    <row r="7638" spans="1:13" s="71" customFormat="1" ht="26.4" customHeight="1">
      <c r="A7638" s="282">
        <v>36</v>
      </c>
      <c r="B7638" s="537"/>
      <c r="C7638" s="307" t="s">
        <v>9459</v>
      </c>
      <c r="D7638" s="313" t="s">
        <v>3</v>
      </c>
      <c r="E7638" s="353" t="s">
        <v>9505</v>
      </c>
      <c r="F7638" s="310">
        <v>36</v>
      </c>
      <c r="G7638" s="311">
        <v>1954</v>
      </c>
      <c r="H7638" s="329" t="s">
        <v>3</v>
      </c>
      <c r="I7638" s="313" t="s">
        <v>3</v>
      </c>
      <c r="J7638" s="350">
        <v>9.7027900000000002</v>
      </c>
      <c r="K7638" s="350">
        <v>8.6883099999999995</v>
      </c>
      <c r="L7638" s="350">
        <f t="shared" si="101"/>
        <v>1.0144800000000007</v>
      </c>
      <c r="M7638" s="337"/>
    </row>
    <row r="7639" spans="1:13" s="71" customFormat="1" ht="38.25" customHeight="1">
      <c r="A7639" s="282">
        <v>37</v>
      </c>
      <c r="B7639" s="537"/>
      <c r="C7639" s="307" t="s">
        <v>9484</v>
      </c>
      <c r="D7639" s="313" t="s">
        <v>3</v>
      </c>
      <c r="E7639" s="260" t="s">
        <v>9506</v>
      </c>
      <c r="F7639" s="310">
        <v>36</v>
      </c>
      <c r="G7639" s="311">
        <v>1959</v>
      </c>
      <c r="H7639" s="329" t="s">
        <v>631</v>
      </c>
      <c r="I7639" s="313">
        <v>1337</v>
      </c>
      <c r="J7639" s="350">
        <v>9.6030200000000008</v>
      </c>
      <c r="K7639" s="350">
        <v>9.5147700000000004</v>
      </c>
      <c r="L7639" s="350">
        <f t="shared" si="101"/>
        <v>8.8250000000000384E-2</v>
      </c>
      <c r="M7639" s="337"/>
    </row>
    <row r="7640" spans="1:13" s="71" customFormat="1" ht="26.4" customHeight="1">
      <c r="A7640" s="282">
        <v>38</v>
      </c>
      <c r="B7640" s="537"/>
      <c r="C7640" s="307" t="s">
        <v>9507</v>
      </c>
      <c r="D7640" s="313" t="s">
        <v>3</v>
      </c>
      <c r="E7640" s="353" t="s">
        <v>9508</v>
      </c>
      <c r="F7640" s="310">
        <v>37</v>
      </c>
      <c r="G7640" s="311">
        <v>1954</v>
      </c>
      <c r="H7640" s="329" t="s">
        <v>1149</v>
      </c>
      <c r="I7640" s="313" t="s">
        <v>9501</v>
      </c>
      <c r="J7640" s="350">
        <v>44.211939999999998</v>
      </c>
      <c r="K7640" s="350">
        <v>43.989640000000001</v>
      </c>
      <c r="L7640" s="350">
        <f t="shared" si="101"/>
        <v>0.22229999999999706</v>
      </c>
      <c r="M7640" s="337"/>
    </row>
    <row r="7641" spans="1:13" s="71" customFormat="1" ht="26.4" customHeight="1">
      <c r="A7641" s="282">
        <v>39</v>
      </c>
      <c r="B7641" s="537"/>
      <c r="C7641" s="307" t="s">
        <v>9507</v>
      </c>
      <c r="D7641" s="313" t="s">
        <v>3</v>
      </c>
      <c r="E7641" s="353" t="s">
        <v>9509</v>
      </c>
      <c r="F7641" s="310">
        <v>37</v>
      </c>
      <c r="G7641" s="311">
        <v>1954</v>
      </c>
      <c r="H7641" s="329" t="s">
        <v>3</v>
      </c>
      <c r="I7641" s="313" t="s">
        <v>3</v>
      </c>
      <c r="J7641" s="350">
        <v>9.7027900000000002</v>
      </c>
      <c r="K7641" s="350">
        <v>8.6883099999999995</v>
      </c>
      <c r="L7641" s="350">
        <f t="shared" si="101"/>
        <v>1.0144800000000007</v>
      </c>
      <c r="M7641" s="337"/>
    </row>
    <row r="7642" spans="1:13" s="71" customFormat="1" ht="39.6">
      <c r="A7642" s="282">
        <v>40</v>
      </c>
      <c r="B7642" s="537"/>
      <c r="C7642" s="307" t="s">
        <v>9484</v>
      </c>
      <c r="D7642" s="313" t="s">
        <v>3</v>
      </c>
      <c r="E7642" s="260" t="s">
        <v>9510</v>
      </c>
      <c r="F7642" s="310">
        <v>37</v>
      </c>
      <c r="G7642" s="311">
        <v>1964</v>
      </c>
      <c r="H7642" s="329" t="s">
        <v>631</v>
      </c>
      <c r="I7642" s="313">
        <v>2690</v>
      </c>
      <c r="J7642" s="350">
        <v>24.701599999999999</v>
      </c>
      <c r="K7642" s="350">
        <v>24.486450000000001</v>
      </c>
      <c r="L7642" s="350">
        <f t="shared" si="101"/>
        <v>0.21514999999999773</v>
      </c>
      <c r="M7642" s="337"/>
    </row>
    <row r="7643" spans="1:13" s="332" customFormat="1" ht="26.4" customHeight="1">
      <c r="A7643" s="445">
        <v>41</v>
      </c>
      <c r="B7643" s="537"/>
      <c r="C7643" s="307" t="s">
        <v>9818</v>
      </c>
      <c r="D7643" s="313" t="s">
        <v>9511</v>
      </c>
      <c r="E7643" s="353" t="s">
        <v>9512</v>
      </c>
      <c r="F7643" s="310">
        <v>38</v>
      </c>
      <c r="G7643" s="311">
        <v>1954</v>
      </c>
      <c r="H7643" s="329" t="s">
        <v>1149</v>
      </c>
      <c r="I7643" s="313" t="s">
        <v>9513</v>
      </c>
      <c r="J7643" s="350">
        <v>50.027700000000003</v>
      </c>
      <c r="K7643" s="350">
        <v>50.027700000000003</v>
      </c>
      <c r="L7643" s="350">
        <f t="shared" si="101"/>
        <v>0</v>
      </c>
      <c r="M7643" s="331"/>
    </row>
    <row r="7644" spans="1:13" s="71" customFormat="1" ht="26.4" customHeight="1">
      <c r="A7644" s="282">
        <v>42</v>
      </c>
      <c r="B7644" s="537"/>
      <c r="C7644" s="307" t="s">
        <v>9459</v>
      </c>
      <c r="D7644" s="307" t="s">
        <v>3</v>
      </c>
      <c r="E7644" s="353" t="s">
        <v>9514</v>
      </c>
      <c r="F7644" s="310">
        <v>38</v>
      </c>
      <c r="G7644" s="311">
        <v>1954</v>
      </c>
      <c r="H7644" s="329" t="s">
        <v>1149</v>
      </c>
      <c r="I7644" s="313" t="s">
        <v>9501</v>
      </c>
      <c r="J7644" s="350">
        <v>47.051990000000004</v>
      </c>
      <c r="K7644" s="350">
        <v>46.815539999999999</v>
      </c>
      <c r="L7644" s="350">
        <f t="shared" si="101"/>
        <v>0.23645000000000493</v>
      </c>
      <c r="M7644" s="337"/>
    </row>
    <row r="7645" spans="1:13" s="71" customFormat="1" ht="26.4" customHeight="1">
      <c r="A7645" s="282">
        <v>43</v>
      </c>
      <c r="B7645" s="537"/>
      <c r="C7645" s="307" t="s">
        <v>9499</v>
      </c>
      <c r="D7645" s="307" t="s">
        <v>3</v>
      </c>
      <c r="E7645" s="353" t="s">
        <v>9515</v>
      </c>
      <c r="F7645" s="310">
        <v>38</v>
      </c>
      <c r="G7645" s="311">
        <v>1954</v>
      </c>
      <c r="H7645" s="329" t="s">
        <v>3</v>
      </c>
      <c r="I7645" s="313" t="s">
        <v>3</v>
      </c>
      <c r="J7645" s="350">
        <v>9.7027900000000002</v>
      </c>
      <c r="K7645" s="350">
        <v>8.6883099999999995</v>
      </c>
      <c r="L7645" s="350">
        <f t="shared" si="101"/>
        <v>1.0144800000000007</v>
      </c>
      <c r="M7645" s="337"/>
    </row>
    <row r="7646" spans="1:13" s="71" customFormat="1" ht="39" customHeight="1">
      <c r="A7646" s="282">
        <v>44</v>
      </c>
      <c r="B7646" s="537"/>
      <c r="C7646" s="307" t="s">
        <v>9484</v>
      </c>
      <c r="D7646" s="464" t="s">
        <v>3</v>
      </c>
      <c r="E7646" s="260" t="s">
        <v>9516</v>
      </c>
      <c r="F7646" s="310">
        <v>38</v>
      </c>
      <c r="G7646" s="311">
        <v>1954</v>
      </c>
      <c r="H7646" s="329" t="s">
        <v>631</v>
      </c>
      <c r="I7646" s="313">
        <v>4420</v>
      </c>
      <c r="J7646" s="350">
        <v>46.845269999999999</v>
      </c>
      <c r="K7646" s="350">
        <v>46.033589999999997</v>
      </c>
      <c r="L7646" s="350">
        <f t="shared" si="101"/>
        <v>0.81168000000000262</v>
      </c>
      <c r="M7646" s="337"/>
    </row>
    <row r="7647" spans="1:13" s="71" customFormat="1" ht="26.4" customHeight="1">
      <c r="A7647" s="282">
        <v>45</v>
      </c>
      <c r="B7647" s="537"/>
      <c r="C7647" s="307" t="s">
        <v>9459</v>
      </c>
      <c r="D7647" s="464" t="s">
        <v>3</v>
      </c>
      <c r="E7647" s="353" t="s">
        <v>9517</v>
      </c>
      <c r="F7647" s="310">
        <v>39</v>
      </c>
      <c r="G7647" s="311">
        <v>1954</v>
      </c>
      <c r="H7647" s="329" t="s">
        <v>1149</v>
      </c>
      <c r="I7647" s="313" t="s">
        <v>9501</v>
      </c>
      <c r="J7647" s="350">
        <v>51.852060000000002</v>
      </c>
      <c r="K7647" s="350">
        <v>51.59131</v>
      </c>
      <c r="L7647" s="350">
        <f t="shared" si="101"/>
        <v>0.26075000000000159</v>
      </c>
      <c r="M7647" s="337"/>
    </row>
    <row r="7648" spans="1:13" s="71" customFormat="1" ht="26.4" customHeight="1">
      <c r="A7648" s="282">
        <v>46</v>
      </c>
      <c r="B7648" s="537"/>
      <c r="C7648" s="307" t="s">
        <v>9459</v>
      </c>
      <c r="D7648" s="464" t="s">
        <v>3</v>
      </c>
      <c r="E7648" s="353" t="s">
        <v>9518</v>
      </c>
      <c r="F7648" s="310">
        <v>39</v>
      </c>
      <c r="G7648" s="311">
        <v>1954</v>
      </c>
      <c r="H7648" s="329" t="s">
        <v>3</v>
      </c>
      <c r="I7648" s="313" t="s">
        <v>3</v>
      </c>
      <c r="J7648" s="350">
        <v>9.7027900000000002</v>
      </c>
      <c r="K7648" s="350">
        <v>9.7027900000000002</v>
      </c>
      <c r="L7648" s="350">
        <f t="shared" si="101"/>
        <v>0</v>
      </c>
      <c r="M7648" s="337"/>
    </row>
    <row r="7649" spans="1:13" s="71" customFormat="1" ht="26.4" customHeight="1">
      <c r="A7649" s="282">
        <v>47</v>
      </c>
      <c r="B7649" s="537"/>
      <c r="C7649" s="307" t="s">
        <v>9459</v>
      </c>
      <c r="D7649" s="464" t="s">
        <v>3</v>
      </c>
      <c r="E7649" s="353" t="s">
        <v>9519</v>
      </c>
      <c r="F7649" s="310">
        <v>40</v>
      </c>
      <c r="G7649" s="311">
        <v>1954</v>
      </c>
      <c r="H7649" s="329" t="s">
        <v>1149</v>
      </c>
      <c r="I7649" s="313" t="s">
        <v>9501</v>
      </c>
      <c r="J7649" s="350">
        <v>50.758980000000001</v>
      </c>
      <c r="K7649" s="350">
        <v>50.503880000000002</v>
      </c>
      <c r="L7649" s="350">
        <f t="shared" si="101"/>
        <v>0.25509999999999877</v>
      </c>
      <c r="M7649" s="337"/>
    </row>
    <row r="7650" spans="1:13" s="71" customFormat="1" ht="26.4" customHeight="1">
      <c r="A7650" s="282">
        <v>48</v>
      </c>
      <c r="B7650" s="537"/>
      <c r="C7650" s="307" t="s">
        <v>9459</v>
      </c>
      <c r="D7650" s="464" t="s">
        <v>3</v>
      </c>
      <c r="E7650" s="353" t="s">
        <v>9520</v>
      </c>
      <c r="F7650" s="310">
        <v>40</v>
      </c>
      <c r="G7650" s="311">
        <v>1954</v>
      </c>
      <c r="H7650" s="329" t="s">
        <v>3</v>
      </c>
      <c r="I7650" s="313" t="s">
        <v>3</v>
      </c>
      <c r="J7650" s="350">
        <v>12.13758</v>
      </c>
      <c r="K7650" s="350">
        <v>8.6883099999999995</v>
      </c>
      <c r="L7650" s="350">
        <f t="shared" si="101"/>
        <v>3.4492700000000003</v>
      </c>
      <c r="M7650" s="337"/>
    </row>
    <row r="7651" spans="1:13" s="71" customFormat="1" ht="26.4" customHeight="1">
      <c r="A7651" s="282">
        <v>49</v>
      </c>
      <c r="B7651" s="537"/>
      <c r="C7651" s="307" t="s">
        <v>9459</v>
      </c>
      <c r="D7651" s="464" t="s">
        <v>3</v>
      </c>
      <c r="E7651" s="353" t="s">
        <v>9521</v>
      </c>
      <c r="F7651" s="310">
        <v>41</v>
      </c>
      <c r="G7651" s="311">
        <v>1954</v>
      </c>
      <c r="H7651" s="329" t="s">
        <v>1149</v>
      </c>
      <c r="I7651" s="313" t="s">
        <v>9491</v>
      </c>
      <c r="J7651" s="350">
        <v>17.738969999999998</v>
      </c>
      <c r="K7651" s="350">
        <v>17.649819999999998</v>
      </c>
      <c r="L7651" s="350">
        <f t="shared" si="101"/>
        <v>8.9150000000000063E-2</v>
      </c>
      <c r="M7651" s="337"/>
    </row>
    <row r="7652" spans="1:13" s="71" customFormat="1" ht="26.4" customHeight="1">
      <c r="A7652" s="282">
        <v>50</v>
      </c>
      <c r="B7652" s="537"/>
      <c r="C7652" s="307" t="s">
        <v>9459</v>
      </c>
      <c r="D7652" s="464" t="s">
        <v>3</v>
      </c>
      <c r="E7652" s="353" t="s">
        <v>9522</v>
      </c>
      <c r="F7652" s="310">
        <v>41</v>
      </c>
      <c r="G7652" s="311">
        <v>1954</v>
      </c>
      <c r="H7652" s="329" t="s">
        <v>3</v>
      </c>
      <c r="I7652" s="313" t="s">
        <v>3</v>
      </c>
      <c r="J7652" s="350">
        <v>12.13758</v>
      </c>
      <c r="K7652" s="350">
        <v>11.64963</v>
      </c>
      <c r="L7652" s="350">
        <f t="shared" si="101"/>
        <v>0.48794999999999966</v>
      </c>
      <c r="M7652" s="337"/>
    </row>
    <row r="7653" spans="1:13" s="71" customFormat="1" ht="26.4" customHeight="1">
      <c r="A7653" s="282">
        <v>51</v>
      </c>
      <c r="B7653" s="537"/>
      <c r="C7653" s="307" t="s">
        <v>9459</v>
      </c>
      <c r="D7653" s="464" t="s">
        <v>3</v>
      </c>
      <c r="E7653" s="353" t="s">
        <v>9523</v>
      </c>
      <c r="F7653" s="310">
        <v>42</v>
      </c>
      <c r="G7653" s="311">
        <v>1954</v>
      </c>
      <c r="H7653" s="329" t="s">
        <v>1149</v>
      </c>
      <c r="I7653" s="313" t="s">
        <v>9491</v>
      </c>
      <c r="J7653" s="350">
        <v>15.476749999999999</v>
      </c>
      <c r="K7653" s="350">
        <v>15.398949999999999</v>
      </c>
      <c r="L7653" s="350">
        <f t="shared" si="101"/>
        <v>7.7799999999999869E-2</v>
      </c>
      <c r="M7653" s="337"/>
    </row>
    <row r="7654" spans="1:13" s="71" customFormat="1" ht="26.4" customHeight="1">
      <c r="A7654" s="282">
        <v>52</v>
      </c>
      <c r="B7654" s="537"/>
      <c r="C7654" s="307" t="s">
        <v>9459</v>
      </c>
      <c r="D7654" s="464" t="s">
        <v>3</v>
      </c>
      <c r="E7654" s="353" t="s">
        <v>9524</v>
      </c>
      <c r="F7654" s="310">
        <v>42</v>
      </c>
      <c r="G7654" s="311">
        <v>1954</v>
      </c>
      <c r="H7654" s="329" t="s">
        <v>3</v>
      </c>
      <c r="I7654" s="313" t="s">
        <v>3</v>
      </c>
      <c r="J7654" s="350">
        <v>12.13758</v>
      </c>
      <c r="K7654" s="350">
        <v>11.64963</v>
      </c>
      <c r="L7654" s="350">
        <f t="shared" si="101"/>
        <v>0.48794999999999966</v>
      </c>
      <c r="M7654" s="337"/>
    </row>
    <row r="7655" spans="1:13" s="71" customFormat="1" ht="38.25" customHeight="1">
      <c r="A7655" s="282">
        <v>53</v>
      </c>
      <c r="B7655" s="537"/>
      <c r="C7655" s="307" t="s">
        <v>9484</v>
      </c>
      <c r="D7655" s="464" t="s">
        <v>3</v>
      </c>
      <c r="E7655" s="260" t="s">
        <v>13197</v>
      </c>
      <c r="F7655" s="310">
        <v>42</v>
      </c>
      <c r="G7655" s="311">
        <v>1954</v>
      </c>
      <c r="H7655" s="329" t="s">
        <v>631</v>
      </c>
      <c r="I7655" s="313">
        <v>2200</v>
      </c>
      <c r="J7655" s="350">
        <v>27.960380000000001</v>
      </c>
      <c r="K7655" s="350">
        <v>27.635829999999999</v>
      </c>
      <c r="L7655" s="350">
        <f t="shared" si="101"/>
        <v>0.32455000000000211</v>
      </c>
      <c r="M7655" s="337"/>
    </row>
    <row r="7656" spans="1:13" s="71" customFormat="1" ht="26.4" customHeight="1">
      <c r="A7656" s="282">
        <v>54</v>
      </c>
      <c r="B7656" s="537"/>
      <c r="C7656" s="307" t="s">
        <v>9459</v>
      </c>
      <c r="D7656" s="464" t="s">
        <v>3</v>
      </c>
      <c r="E7656" s="353" t="s">
        <v>9525</v>
      </c>
      <c r="F7656" s="310">
        <v>43</v>
      </c>
      <c r="G7656" s="311">
        <v>1954</v>
      </c>
      <c r="H7656" s="329" t="s">
        <v>1149</v>
      </c>
      <c r="I7656" s="313" t="s">
        <v>9491</v>
      </c>
      <c r="J7656" s="350">
        <v>15.33362</v>
      </c>
      <c r="K7656" s="350">
        <v>15.25657</v>
      </c>
      <c r="L7656" s="350">
        <f t="shared" si="101"/>
        <v>7.7049999999999841E-2</v>
      </c>
      <c r="M7656" s="337"/>
    </row>
    <row r="7657" spans="1:13" s="71" customFormat="1" ht="26.4" customHeight="1">
      <c r="A7657" s="282">
        <v>55</v>
      </c>
      <c r="B7657" s="537"/>
      <c r="C7657" s="307" t="s">
        <v>9526</v>
      </c>
      <c r="D7657" s="464" t="s">
        <v>3</v>
      </c>
      <c r="E7657" s="353" t="s">
        <v>9527</v>
      </c>
      <c r="F7657" s="310">
        <v>43</v>
      </c>
      <c r="G7657" s="311">
        <v>1954</v>
      </c>
      <c r="H7657" s="329" t="s">
        <v>3</v>
      </c>
      <c r="I7657" s="313" t="s">
        <v>3</v>
      </c>
      <c r="J7657" s="350">
        <v>9.7027900000000002</v>
      </c>
      <c r="K7657" s="350">
        <v>9.7027900000000002</v>
      </c>
      <c r="L7657" s="350">
        <f t="shared" si="101"/>
        <v>0</v>
      </c>
      <c r="M7657" s="337"/>
    </row>
    <row r="7658" spans="1:13" s="71" customFormat="1" ht="37.5" customHeight="1">
      <c r="A7658" s="282">
        <v>56</v>
      </c>
      <c r="B7658" s="537"/>
      <c r="C7658" s="307" t="s">
        <v>9484</v>
      </c>
      <c r="D7658" s="464" t="s">
        <v>3</v>
      </c>
      <c r="E7658" s="260" t="s">
        <v>12891</v>
      </c>
      <c r="F7658" s="310">
        <v>43</v>
      </c>
      <c r="G7658" s="311">
        <v>1954</v>
      </c>
      <c r="H7658" s="329" t="s">
        <v>631</v>
      </c>
      <c r="I7658" s="313">
        <v>2000</v>
      </c>
      <c r="J7658" s="350">
        <v>13.716100000000001</v>
      </c>
      <c r="K7658" s="350">
        <v>13.571400000000001</v>
      </c>
      <c r="L7658" s="350">
        <f t="shared" si="101"/>
        <v>0.14470000000000027</v>
      </c>
      <c r="M7658" s="337"/>
    </row>
    <row r="7659" spans="1:13" s="71" customFormat="1" ht="26.4" customHeight="1">
      <c r="A7659" s="282">
        <v>57</v>
      </c>
      <c r="B7659" s="537"/>
      <c r="C7659" s="307" t="s">
        <v>9459</v>
      </c>
      <c r="D7659" s="464" t="s">
        <v>3</v>
      </c>
      <c r="E7659" s="353" t="s">
        <v>9528</v>
      </c>
      <c r="F7659" s="310">
        <v>44</v>
      </c>
      <c r="G7659" s="311">
        <v>1954</v>
      </c>
      <c r="H7659" s="329" t="s">
        <v>1149</v>
      </c>
      <c r="I7659" s="313" t="s">
        <v>9501</v>
      </c>
      <c r="J7659" s="350">
        <v>49.9968</v>
      </c>
      <c r="K7659" s="350">
        <v>49.745399999999997</v>
      </c>
      <c r="L7659" s="350">
        <f t="shared" si="101"/>
        <v>0.25140000000000384</v>
      </c>
      <c r="M7659" s="337"/>
    </row>
    <row r="7660" spans="1:13" s="71" customFormat="1" ht="26.4" customHeight="1">
      <c r="A7660" s="282">
        <v>58</v>
      </c>
      <c r="B7660" s="537"/>
      <c r="C7660" s="307" t="s">
        <v>9459</v>
      </c>
      <c r="D7660" s="464" t="s">
        <v>3</v>
      </c>
      <c r="E7660" s="353" t="s">
        <v>9529</v>
      </c>
      <c r="F7660" s="310">
        <v>44</v>
      </c>
      <c r="G7660" s="311">
        <v>1954</v>
      </c>
      <c r="H7660" s="329" t="s">
        <v>3</v>
      </c>
      <c r="I7660" s="313" t="s">
        <v>3</v>
      </c>
      <c r="J7660" s="350">
        <v>8.34436</v>
      </c>
      <c r="K7660" s="350">
        <v>8.34436</v>
      </c>
      <c r="L7660" s="350">
        <f t="shared" si="101"/>
        <v>0</v>
      </c>
      <c r="M7660" s="337"/>
    </row>
    <row r="7661" spans="1:13" s="71" customFormat="1" ht="26.4" customHeight="1">
      <c r="A7661" s="282">
        <v>59</v>
      </c>
      <c r="B7661" s="537"/>
      <c r="C7661" s="307" t="s">
        <v>9459</v>
      </c>
      <c r="D7661" s="464" t="s">
        <v>3</v>
      </c>
      <c r="E7661" s="353" t="s">
        <v>9530</v>
      </c>
      <c r="F7661" s="310">
        <v>45</v>
      </c>
      <c r="G7661" s="311">
        <v>1954</v>
      </c>
      <c r="H7661" s="329" t="s">
        <v>1149</v>
      </c>
      <c r="I7661" s="313" t="s">
        <v>9491</v>
      </c>
      <c r="J7661" s="350">
        <v>15.855779999999999</v>
      </c>
      <c r="K7661" s="350">
        <v>15.77608</v>
      </c>
      <c r="L7661" s="350">
        <f t="shared" si="101"/>
        <v>7.9699999999998994E-2</v>
      </c>
      <c r="M7661" s="337"/>
    </row>
    <row r="7662" spans="1:13" s="71" customFormat="1" ht="26.4" customHeight="1">
      <c r="A7662" s="282">
        <v>60</v>
      </c>
      <c r="B7662" s="537"/>
      <c r="C7662" s="307" t="s">
        <v>9459</v>
      </c>
      <c r="D7662" s="464" t="s">
        <v>3</v>
      </c>
      <c r="E7662" s="353" t="s">
        <v>9531</v>
      </c>
      <c r="F7662" s="310">
        <v>45</v>
      </c>
      <c r="G7662" s="311">
        <v>1954</v>
      </c>
      <c r="H7662" s="329" t="s">
        <v>3</v>
      </c>
      <c r="I7662" s="313" t="s">
        <v>9532</v>
      </c>
      <c r="J7662" s="350">
        <v>9.7027900000000002</v>
      </c>
      <c r="K7662" s="350">
        <v>9.7027900000000002</v>
      </c>
      <c r="L7662" s="350">
        <f t="shared" si="101"/>
        <v>0</v>
      </c>
      <c r="M7662" s="337"/>
    </row>
    <row r="7663" spans="1:13" s="71" customFormat="1" ht="26.4" customHeight="1">
      <c r="A7663" s="282">
        <v>61</v>
      </c>
      <c r="B7663" s="537"/>
      <c r="C7663" s="307" t="s">
        <v>9459</v>
      </c>
      <c r="D7663" s="464" t="s">
        <v>3</v>
      </c>
      <c r="E7663" s="353" t="s">
        <v>9533</v>
      </c>
      <c r="F7663" s="310">
        <v>46</v>
      </c>
      <c r="G7663" s="311">
        <v>1954</v>
      </c>
      <c r="H7663" s="329" t="s">
        <v>1149</v>
      </c>
      <c r="I7663" s="313" t="s">
        <v>9491</v>
      </c>
      <c r="J7663" s="350">
        <v>17.021190000000001</v>
      </c>
      <c r="K7663" s="350">
        <v>16.941490000000002</v>
      </c>
      <c r="L7663" s="350">
        <f t="shared" si="101"/>
        <v>7.9699999999998994E-2</v>
      </c>
      <c r="M7663" s="337"/>
    </row>
    <row r="7664" spans="1:13" s="71" customFormat="1" ht="26.4" customHeight="1">
      <c r="A7664" s="282">
        <v>62</v>
      </c>
      <c r="B7664" s="537"/>
      <c r="C7664" s="307" t="s">
        <v>9526</v>
      </c>
      <c r="D7664" s="464" t="s">
        <v>3</v>
      </c>
      <c r="E7664" s="353" t="s">
        <v>9534</v>
      </c>
      <c r="F7664" s="310">
        <v>46</v>
      </c>
      <c r="G7664" s="311">
        <v>1954</v>
      </c>
      <c r="H7664" s="329" t="s">
        <v>3</v>
      </c>
      <c r="I7664" s="320" t="s">
        <v>3</v>
      </c>
      <c r="J7664" s="350">
        <v>12.13758</v>
      </c>
      <c r="K7664" s="350">
        <v>8.6883099999999995</v>
      </c>
      <c r="L7664" s="350">
        <f t="shared" si="101"/>
        <v>3.4492700000000003</v>
      </c>
      <c r="M7664" s="337"/>
    </row>
    <row r="7665" spans="1:13" s="71" customFormat="1" ht="26.4" customHeight="1">
      <c r="A7665" s="282">
        <v>63</v>
      </c>
      <c r="B7665" s="537"/>
      <c r="C7665" s="307" t="s">
        <v>9535</v>
      </c>
      <c r="D7665" s="464" t="s">
        <v>3</v>
      </c>
      <c r="E7665" s="353" t="s">
        <v>9536</v>
      </c>
      <c r="F7665" s="310">
        <v>47</v>
      </c>
      <c r="G7665" s="311">
        <v>1954</v>
      </c>
      <c r="H7665" s="329" t="s">
        <v>1149</v>
      </c>
      <c r="I7665" s="313" t="s">
        <v>9491</v>
      </c>
      <c r="J7665" s="350">
        <v>17.048940000000002</v>
      </c>
      <c r="K7665" s="350">
        <v>16.963239999999999</v>
      </c>
      <c r="L7665" s="350">
        <f t="shared" si="101"/>
        <v>8.5700000000002774E-2</v>
      </c>
      <c r="M7665" s="337"/>
    </row>
    <row r="7666" spans="1:13" s="71" customFormat="1" ht="26.4" customHeight="1">
      <c r="A7666" s="282">
        <v>64</v>
      </c>
      <c r="B7666" s="537"/>
      <c r="C7666" s="307" t="s">
        <v>9474</v>
      </c>
      <c r="D7666" s="464" t="s">
        <v>3</v>
      </c>
      <c r="E7666" s="353" t="s">
        <v>9537</v>
      </c>
      <c r="F7666" s="310">
        <v>47</v>
      </c>
      <c r="G7666" s="311">
        <v>1954</v>
      </c>
      <c r="H7666" s="329" t="s">
        <v>3</v>
      </c>
      <c r="I7666" s="320" t="s">
        <v>3</v>
      </c>
      <c r="J7666" s="350">
        <v>9.7027900000000002</v>
      </c>
      <c r="K7666" s="350">
        <v>9.7027900000000002</v>
      </c>
      <c r="L7666" s="350">
        <f t="shared" si="101"/>
        <v>0</v>
      </c>
      <c r="M7666" s="337"/>
    </row>
    <row r="7667" spans="1:13" s="71" customFormat="1" ht="26.4" customHeight="1">
      <c r="A7667" s="282">
        <v>65</v>
      </c>
      <c r="B7667" s="537"/>
      <c r="C7667" s="307" t="s">
        <v>9453</v>
      </c>
      <c r="D7667" s="464" t="s">
        <v>3</v>
      </c>
      <c r="E7667" s="260" t="s">
        <v>9538</v>
      </c>
      <c r="F7667" s="310">
        <v>47</v>
      </c>
      <c r="G7667" s="311">
        <v>1964</v>
      </c>
      <c r="H7667" s="329" t="s">
        <v>3</v>
      </c>
      <c r="I7667" s="320" t="s">
        <v>3</v>
      </c>
      <c r="J7667" s="350">
        <v>21.571359999999999</v>
      </c>
      <c r="K7667" s="350">
        <v>20.243919999999999</v>
      </c>
      <c r="L7667" s="350">
        <f t="shared" ref="L7667:L7730" si="102">J7667-K7667</f>
        <v>1.3274399999999993</v>
      </c>
      <c r="M7667" s="337"/>
    </row>
    <row r="7668" spans="1:13" s="71" customFormat="1" ht="26.4" customHeight="1">
      <c r="A7668" s="282">
        <v>66</v>
      </c>
      <c r="B7668" s="537"/>
      <c r="C7668" s="307" t="s">
        <v>9535</v>
      </c>
      <c r="D7668" s="464" t="s">
        <v>3</v>
      </c>
      <c r="E7668" s="353" t="s">
        <v>9539</v>
      </c>
      <c r="F7668" s="310">
        <v>48</v>
      </c>
      <c r="G7668" s="311">
        <v>1954</v>
      </c>
      <c r="H7668" s="329" t="s">
        <v>1149</v>
      </c>
      <c r="I7668" s="313" t="s">
        <v>9491</v>
      </c>
      <c r="J7668" s="350">
        <v>17.3001</v>
      </c>
      <c r="K7668" s="350">
        <v>17.213149999999999</v>
      </c>
      <c r="L7668" s="350">
        <f t="shared" si="102"/>
        <v>8.6950000000001637E-2</v>
      </c>
      <c r="M7668" s="337"/>
    </row>
    <row r="7669" spans="1:13" s="71" customFormat="1" ht="26.4" customHeight="1">
      <c r="A7669" s="282">
        <v>67</v>
      </c>
      <c r="B7669" s="537"/>
      <c r="C7669" s="307" t="s">
        <v>9474</v>
      </c>
      <c r="D7669" s="464" t="s">
        <v>3</v>
      </c>
      <c r="E7669" s="353" t="s">
        <v>9540</v>
      </c>
      <c r="F7669" s="310">
        <v>48</v>
      </c>
      <c r="G7669" s="311">
        <v>1954</v>
      </c>
      <c r="H7669" s="329" t="s">
        <v>3</v>
      </c>
      <c r="I7669" s="320" t="s">
        <v>3</v>
      </c>
      <c r="J7669" s="350">
        <v>9.7027900000000002</v>
      </c>
      <c r="K7669" s="350">
        <v>9.7027900000000002</v>
      </c>
      <c r="L7669" s="350">
        <f t="shared" si="102"/>
        <v>0</v>
      </c>
      <c r="M7669" s="337"/>
    </row>
    <row r="7670" spans="1:13" s="71" customFormat="1" ht="26.4" customHeight="1">
      <c r="A7670" s="282">
        <v>68</v>
      </c>
      <c r="B7670" s="537"/>
      <c r="C7670" s="307" t="s">
        <v>9535</v>
      </c>
      <c r="D7670" s="464" t="s">
        <v>3</v>
      </c>
      <c r="E7670" s="353" t="s">
        <v>9541</v>
      </c>
      <c r="F7670" s="310">
        <v>49</v>
      </c>
      <c r="G7670" s="311">
        <v>1954</v>
      </c>
      <c r="H7670" s="329" t="s">
        <v>1149</v>
      </c>
      <c r="I7670" s="313" t="s">
        <v>9542</v>
      </c>
      <c r="J7670" s="350">
        <v>53.332250000000002</v>
      </c>
      <c r="K7670" s="350">
        <v>53.064100000000003</v>
      </c>
      <c r="L7670" s="350">
        <f t="shared" si="102"/>
        <v>0.26814999999999856</v>
      </c>
      <c r="M7670" s="337"/>
    </row>
    <row r="7671" spans="1:13" s="71" customFormat="1" ht="26.4" customHeight="1">
      <c r="A7671" s="282">
        <v>69</v>
      </c>
      <c r="B7671" s="537"/>
      <c r="C7671" s="307" t="s">
        <v>7495</v>
      </c>
      <c r="D7671" s="464" t="s">
        <v>3</v>
      </c>
      <c r="E7671" s="353" t="s">
        <v>9543</v>
      </c>
      <c r="F7671" s="310">
        <v>49</v>
      </c>
      <c r="G7671" s="311">
        <v>1954</v>
      </c>
      <c r="H7671" s="329" t="s">
        <v>3</v>
      </c>
      <c r="I7671" s="320" t="s">
        <v>3</v>
      </c>
      <c r="J7671" s="350">
        <v>12.13758</v>
      </c>
      <c r="K7671" s="350">
        <v>11.64963</v>
      </c>
      <c r="L7671" s="350">
        <f t="shared" si="102"/>
        <v>0.48794999999999966</v>
      </c>
      <c r="M7671" s="337"/>
    </row>
    <row r="7672" spans="1:13" s="71" customFormat="1" ht="26.4" customHeight="1">
      <c r="A7672" s="282">
        <v>70</v>
      </c>
      <c r="B7672" s="537"/>
      <c r="C7672" s="307" t="s">
        <v>9484</v>
      </c>
      <c r="D7672" s="464" t="s">
        <v>3</v>
      </c>
      <c r="E7672" s="260" t="s">
        <v>9544</v>
      </c>
      <c r="F7672" s="310">
        <v>49</v>
      </c>
      <c r="G7672" s="311">
        <v>1954</v>
      </c>
      <c r="H7672" s="329" t="s">
        <v>2658</v>
      </c>
      <c r="I7672" s="313">
        <v>21420</v>
      </c>
      <c r="J7672" s="350">
        <v>6619.1700799999999</v>
      </c>
      <c r="K7672" s="350">
        <v>6358.0468700000001</v>
      </c>
      <c r="L7672" s="350">
        <f t="shared" si="102"/>
        <v>261.12320999999974</v>
      </c>
      <c r="M7672" s="337"/>
    </row>
    <row r="7673" spans="1:13" s="71" customFormat="1" ht="26.4" customHeight="1">
      <c r="A7673" s="282">
        <v>71</v>
      </c>
      <c r="B7673" s="537"/>
      <c r="C7673" s="307" t="s">
        <v>9535</v>
      </c>
      <c r="D7673" s="464" t="s">
        <v>3</v>
      </c>
      <c r="E7673" s="353" t="s">
        <v>9545</v>
      </c>
      <c r="F7673" s="310">
        <v>50</v>
      </c>
      <c r="G7673" s="311">
        <v>1954</v>
      </c>
      <c r="H7673" s="329" t="s">
        <v>1149</v>
      </c>
      <c r="I7673" s="313" t="s">
        <v>9501</v>
      </c>
      <c r="J7673" s="350">
        <v>53.310830000000003</v>
      </c>
      <c r="K7673" s="350">
        <v>53.04278</v>
      </c>
      <c r="L7673" s="350">
        <f t="shared" si="102"/>
        <v>0.26805000000000234</v>
      </c>
      <c r="M7673" s="337"/>
    </row>
    <row r="7674" spans="1:13" s="71" customFormat="1" ht="26.4" customHeight="1">
      <c r="A7674" s="282">
        <v>72</v>
      </c>
      <c r="B7674" s="537"/>
      <c r="C7674" s="307" t="s">
        <v>9474</v>
      </c>
      <c r="D7674" s="464" t="s">
        <v>3</v>
      </c>
      <c r="E7674" s="353" t="s">
        <v>9546</v>
      </c>
      <c r="F7674" s="310">
        <v>50</v>
      </c>
      <c r="G7674" s="311">
        <v>1954</v>
      </c>
      <c r="H7674" s="329" t="s">
        <v>3</v>
      </c>
      <c r="I7674" s="320" t="s">
        <v>3</v>
      </c>
      <c r="J7674" s="350">
        <v>32.240279999999998</v>
      </c>
      <c r="K7674" s="350">
        <v>32.240279999999998</v>
      </c>
      <c r="L7674" s="350">
        <f t="shared" si="102"/>
        <v>0</v>
      </c>
      <c r="M7674" s="337"/>
    </row>
    <row r="7675" spans="1:13" s="71" customFormat="1" ht="39.6">
      <c r="A7675" s="282">
        <v>73</v>
      </c>
      <c r="B7675" s="537"/>
      <c r="C7675" s="307" t="s">
        <v>9535</v>
      </c>
      <c r="D7675" s="464" t="s">
        <v>3</v>
      </c>
      <c r="E7675" s="260" t="s">
        <v>9547</v>
      </c>
      <c r="F7675" s="310">
        <v>50</v>
      </c>
      <c r="G7675" s="311">
        <v>1954</v>
      </c>
      <c r="H7675" s="329" t="s">
        <v>2658</v>
      </c>
      <c r="I7675" s="313">
        <v>3870</v>
      </c>
      <c r="J7675" s="350">
        <v>497.80131999999998</v>
      </c>
      <c r="K7675" s="350">
        <v>450.40440000000001</v>
      </c>
      <c r="L7675" s="350">
        <f t="shared" si="102"/>
        <v>47.396919999999966</v>
      </c>
      <c r="M7675" s="337"/>
    </row>
    <row r="7676" spans="1:13" s="71" customFormat="1" ht="26.4" customHeight="1">
      <c r="A7676" s="282">
        <v>74</v>
      </c>
      <c r="B7676" s="537"/>
      <c r="C7676" s="307" t="s">
        <v>9474</v>
      </c>
      <c r="D7676" s="464" t="s">
        <v>3</v>
      </c>
      <c r="E7676" s="353" t="s">
        <v>9548</v>
      </c>
      <c r="F7676" s="310">
        <v>51</v>
      </c>
      <c r="G7676" s="311">
        <v>1954</v>
      </c>
      <c r="H7676" s="329" t="s">
        <v>1149</v>
      </c>
      <c r="I7676" s="313" t="s">
        <v>9491</v>
      </c>
      <c r="J7676" s="350">
        <v>20.0367</v>
      </c>
      <c r="K7676" s="350">
        <v>19.935949999999998</v>
      </c>
      <c r="L7676" s="350">
        <f t="shared" si="102"/>
        <v>0.10075000000000145</v>
      </c>
      <c r="M7676" s="337"/>
    </row>
    <row r="7677" spans="1:13" s="71" customFormat="1" ht="26.4" customHeight="1">
      <c r="A7677" s="282">
        <v>75</v>
      </c>
      <c r="B7677" s="537"/>
      <c r="C7677" s="307" t="s">
        <v>7495</v>
      </c>
      <c r="D7677" s="464" t="s">
        <v>3</v>
      </c>
      <c r="E7677" s="353" t="s">
        <v>9549</v>
      </c>
      <c r="F7677" s="310">
        <v>51</v>
      </c>
      <c r="G7677" s="311">
        <v>1954</v>
      </c>
      <c r="H7677" s="329" t="s">
        <v>3</v>
      </c>
      <c r="I7677" s="320" t="s">
        <v>3</v>
      </c>
      <c r="J7677" s="350">
        <v>12.13758</v>
      </c>
      <c r="K7677" s="350">
        <v>11.64963</v>
      </c>
      <c r="L7677" s="350">
        <f t="shared" si="102"/>
        <v>0.48794999999999966</v>
      </c>
      <c r="M7677" s="337"/>
    </row>
    <row r="7678" spans="1:13" s="71" customFormat="1" ht="39.6">
      <c r="A7678" s="282">
        <v>76</v>
      </c>
      <c r="B7678" s="537"/>
      <c r="C7678" s="307" t="s">
        <v>9535</v>
      </c>
      <c r="D7678" s="464" t="s">
        <v>3</v>
      </c>
      <c r="E7678" s="260" t="s">
        <v>13198</v>
      </c>
      <c r="F7678" s="310">
        <v>51</v>
      </c>
      <c r="G7678" s="311">
        <v>1963</v>
      </c>
      <c r="H7678" s="329" t="s">
        <v>3</v>
      </c>
      <c r="I7678" s="313" t="s">
        <v>3</v>
      </c>
      <c r="J7678" s="350">
        <v>97.62397</v>
      </c>
      <c r="K7678" s="350">
        <v>96.494069999999994</v>
      </c>
      <c r="L7678" s="350">
        <f t="shared" si="102"/>
        <v>1.1299000000000063</v>
      </c>
      <c r="M7678" s="337"/>
    </row>
    <row r="7679" spans="1:13" s="71" customFormat="1" ht="26.4" customHeight="1">
      <c r="A7679" s="282">
        <v>77</v>
      </c>
      <c r="B7679" s="537"/>
      <c r="C7679" s="307" t="s">
        <v>9474</v>
      </c>
      <c r="D7679" s="464" t="s">
        <v>3</v>
      </c>
      <c r="E7679" s="353" t="s">
        <v>9550</v>
      </c>
      <c r="F7679" s="310">
        <v>52</v>
      </c>
      <c r="G7679" s="311">
        <v>1954</v>
      </c>
      <c r="H7679" s="329" t="s">
        <v>1149</v>
      </c>
      <c r="I7679" s="313" t="s">
        <v>9491</v>
      </c>
      <c r="J7679" s="350">
        <v>18.41309</v>
      </c>
      <c r="K7679" s="350">
        <v>18.320589999999999</v>
      </c>
      <c r="L7679" s="350">
        <f t="shared" si="102"/>
        <v>9.2500000000001137E-2</v>
      </c>
      <c r="M7679" s="337"/>
    </row>
    <row r="7680" spans="1:13" s="71" customFormat="1" ht="26.4" customHeight="1">
      <c r="A7680" s="282">
        <v>78</v>
      </c>
      <c r="B7680" s="537"/>
      <c r="C7680" s="307" t="s">
        <v>9474</v>
      </c>
      <c r="D7680" s="464" t="s">
        <v>3</v>
      </c>
      <c r="E7680" s="353" t="s">
        <v>9551</v>
      </c>
      <c r="F7680" s="310">
        <v>52</v>
      </c>
      <c r="G7680" s="311">
        <v>1954</v>
      </c>
      <c r="H7680" s="329" t="s">
        <v>3</v>
      </c>
      <c r="I7680" s="320" t="s">
        <v>3</v>
      </c>
      <c r="J7680" s="350">
        <v>12.13758</v>
      </c>
      <c r="K7680" s="350">
        <v>11.64963</v>
      </c>
      <c r="L7680" s="350">
        <f t="shared" si="102"/>
        <v>0.48794999999999966</v>
      </c>
      <c r="M7680" s="337"/>
    </row>
    <row r="7681" spans="1:13" s="71" customFormat="1" ht="26.4" customHeight="1">
      <c r="A7681" s="282">
        <v>79</v>
      </c>
      <c r="B7681" s="537"/>
      <c r="C7681" s="307" t="s">
        <v>9552</v>
      </c>
      <c r="D7681" s="464" t="s">
        <v>3</v>
      </c>
      <c r="E7681" s="260" t="s">
        <v>9553</v>
      </c>
      <c r="F7681" s="310">
        <v>52</v>
      </c>
      <c r="G7681" s="311">
        <v>1954</v>
      </c>
      <c r="H7681" s="329" t="s">
        <v>2658</v>
      </c>
      <c r="I7681" s="313">
        <v>2291.5</v>
      </c>
      <c r="J7681" s="350">
        <v>466.14075000000003</v>
      </c>
      <c r="K7681" s="350">
        <v>444.09348</v>
      </c>
      <c r="L7681" s="350">
        <f t="shared" si="102"/>
        <v>22.047270000000026</v>
      </c>
      <c r="M7681" s="337"/>
    </row>
    <row r="7682" spans="1:13" s="71" customFormat="1" ht="26.4" customHeight="1">
      <c r="A7682" s="282">
        <v>80</v>
      </c>
      <c r="B7682" s="537"/>
      <c r="C7682" s="307" t="s">
        <v>9474</v>
      </c>
      <c r="D7682" s="464" t="s">
        <v>3</v>
      </c>
      <c r="E7682" s="353" t="s">
        <v>9554</v>
      </c>
      <c r="F7682" s="310">
        <v>53</v>
      </c>
      <c r="G7682" s="311">
        <v>1954</v>
      </c>
      <c r="H7682" s="329" t="s">
        <v>1149</v>
      </c>
      <c r="I7682" s="313" t="s">
        <v>9555</v>
      </c>
      <c r="J7682" s="350">
        <v>16.39669</v>
      </c>
      <c r="K7682" s="350">
        <v>15.85609</v>
      </c>
      <c r="L7682" s="350">
        <f t="shared" si="102"/>
        <v>0.54059999999999953</v>
      </c>
      <c r="M7682" s="337"/>
    </row>
    <row r="7683" spans="1:13" s="71" customFormat="1" ht="26.4" customHeight="1">
      <c r="A7683" s="282">
        <v>81</v>
      </c>
      <c r="B7683" s="537"/>
      <c r="C7683" s="307" t="s">
        <v>7495</v>
      </c>
      <c r="D7683" s="464" t="s">
        <v>3</v>
      </c>
      <c r="E7683" s="353" t="s">
        <v>9556</v>
      </c>
      <c r="F7683" s="310">
        <v>53</v>
      </c>
      <c r="G7683" s="311">
        <v>1954</v>
      </c>
      <c r="H7683" s="329" t="s">
        <v>3</v>
      </c>
      <c r="I7683" s="313" t="s">
        <v>3</v>
      </c>
      <c r="J7683" s="350">
        <v>15.5463</v>
      </c>
      <c r="K7683" s="350">
        <v>14.572380000000001</v>
      </c>
      <c r="L7683" s="350">
        <f t="shared" si="102"/>
        <v>0.97391999999999967</v>
      </c>
      <c r="M7683" s="337"/>
    </row>
    <row r="7684" spans="1:13" s="332" customFormat="1" ht="26.4" customHeight="1">
      <c r="A7684" s="445">
        <v>82</v>
      </c>
      <c r="B7684" s="537"/>
      <c r="C7684" s="307" t="s">
        <v>8304</v>
      </c>
      <c r="D7684" s="313" t="s">
        <v>9557</v>
      </c>
      <c r="E7684" s="260" t="s">
        <v>9558</v>
      </c>
      <c r="F7684" s="310">
        <v>53</v>
      </c>
      <c r="G7684" s="311">
        <v>1963</v>
      </c>
      <c r="H7684" s="329" t="s">
        <v>2658</v>
      </c>
      <c r="I7684" s="313">
        <v>434</v>
      </c>
      <c r="J7684" s="350">
        <v>29.146039999999999</v>
      </c>
      <c r="K7684" s="350">
        <v>28.808689999999999</v>
      </c>
      <c r="L7684" s="350">
        <f t="shared" si="102"/>
        <v>0.3373500000000007</v>
      </c>
      <c r="M7684" s="331"/>
    </row>
    <row r="7685" spans="1:13" s="71" customFormat="1" ht="26.4" customHeight="1">
      <c r="A7685" s="282">
        <v>83</v>
      </c>
      <c r="B7685" s="537"/>
      <c r="C7685" s="307" t="s">
        <v>9474</v>
      </c>
      <c r="D7685" s="307" t="s">
        <v>3</v>
      </c>
      <c r="E7685" s="353" t="s">
        <v>9559</v>
      </c>
      <c r="F7685" s="310">
        <v>54</v>
      </c>
      <c r="G7685" s="311">
        <v>1954</v>
      </c>
      <c r="H7685" s="329" t="s">
        <v>1149</v>
      </c>
      <c r="I7685" s="313" t="s">
        <v>9491</v>
      </c>
      <c r="J7685" s="350">
        <v>17.249140000000001</v>
      </c>
      <c r="K7685" s="350">
        <v>17.16244</v>
      </c>
      <c r="L7685" s="350">
        <f t="shared" si="102"/>
        <v>8.6700000000000443E-2</v>
      </c>
      <c r="M7685" s="337"/>
    </row>
    <row r="7686" spans="1:13" s="71" customFormat="1" ht="26.4" customHeight="1">
      <c r="A7686" s="282">
        <v>84</v>
      </c>
      <c r="B7686" s="537"/>
      <c r="C7686" s="307" t="s">
        <v>9560</v>
      </c>
      <c r="D7686" s="307" t="s">
        <v>3</v>
      </c>
      <c r="E7686" s="353" t="s">
        <v>9561</v>
      </c>
      <c r="F7686" s="310">
        <v>54</v>
      </c>
      <c r="G7686" s="311">
        <v>1954</v>
      </c>
      <c r="H7686" s="329" t="s">
        <v>3</v>
      </c>
      <c r="I7686" s="320" t="s">
        <v>3</v>
      </c>
      <c r="J7686" s="350">
        <v>12.13758</v>
      </c>
      <c r="K7686" s="350">
        <v>11.64963</v>
      </c>
      <c r="L7686" s="350">
        <f t="shared" si="102"/>
        <v>0.48794999999999966</v>
      </c>
      <c r="M7686" s="337"/>
    </row>
    <row r="7687" spans="1:13" s="71" customFormat="1" ht="26.4" customHeight="1">
      <c r="A7687" s="282">
        <v>85</v>
      </c>
      <c r="B7687" s="537"/>
      <c r="C7687" s="307" t="s">
        <v>9535</v>
      </c>
      <c r="D7687" s="307" t="s">
        <v>3</v>
      </c>
      <c r="E7687" s="260" t="s">
        <v>9562</v>
      </c>
      <c r="F7687" s="310">
        <v>54</v>
      </c>
      <c r="G7687" s="311">
        <v>1954</v>
      </c>
      <c r="H7687" s="329" t="s">
        <v>2658</v>
      </c>
      <c r="I7687" s="313">
        <v>14297.8</v>
      </c>
      <c r="J7687" s="350">
        <v>1384.30672</v>
      </c>
      <c r="K7687" s="350">
        <v>1345.1316400000001</v>
      </c>
      <c r="L7687" s="350">
        <f t="shared" si="102"/>
        <v>39.17507999999998</v>
      </c>
      <c r="M7687" s="337"/>
    </row>
    <row r="7688" spans="1:13" s="71" customFormat="1" ht="26.4" customHeight="1">
      <c r="A7688" s="282">
        <v>86</v>
      </c>
      <c r="B7688" s="537"/>
      <c r="C7688" s="307" t="s">
        <v>9535</v>
      </c>
      <c r="D7688" s="307" t="s">
        <v>3</v>
      </c>
      <c r="E7688" s="353" t="s">
        <v>9563</v>
      </c>
      <c r="F7688" s="310">
        <v>55</v>
      </c>
      <c r="G7688" s="311">
        <v>1954</v>
      </c>
      <c r="H7688" s="329" t="s">
        <v>1149</v>
      </c>
      <c r="I7688" s="313" t="s">
        <v>9491</v>
      </c>
      <c r="J7688" s="350">
        <v>16.701229999999999</v>
      </c>
      <c r="K7688" s="350">
        <v>16.583629999999999</v>
      </c>
      <c r="L7688" s="350">
        <f t="shared" si="102"/>
        <v>0.11759999999999948</v>
      </c>
      <c r="M7688" s="337"/>
    </row>
    <row r="7689" spans="1:13" s="71" customFormat="1" ht="26.4" customHeight="1">
      <c r="A7689" s="282">
        <v>87</v>
      </c>
      <c r="B7689" s="537"/>
      <c r="C7689" s="307" t="s">
        <v>9474</v>
      </c>
      <c r="D7689" s="307" t="s">
        <v>3</v>
      </c>
      <c r="E7689" s="353" t="s">
        <v>9564</v>
      </c>
      <c r="F7689" s="310">
        <v>55</v>
      </c>
      <c r="G7689" s="311">
        <v>1954</v>
      </c>
      <c r="H7689" s="329" t="s">
        <v>3</v>
      </c>
      <c r="I7689" s="320" t="s">
        <v>3</v>
      </c>
      <c r="J7689" s="350">
        <v>13.98231</v>
      </c>
      <c r="K7689" s="350">
        <v>13.787509999999999</v>
      </c>
      <c r="L7689" s="350">
        <f t="shared" si="102"/>
        <v>0.19480000000000075</v>
      </c>
      <c r="M7689" s="337"/>
    </row>
    <row r="7690" spans="1:13" s="71" customFormat="1" ht="26.4" customHeight="1">
      <c r="A7690" s="282">
        <v>88</v>
      </c>
      <c r="B7690" s="537"/>
      <c r="C7690" s="307" t="s">
        <v>9535</v>
      </c>
      <c r="D7690" s="307" t="s">
        <v>3</v>
      </c>
      <c r="E7690" s="353" t="s">
        <v>9565</v>
      </c>
      <c r="F7690" s="310">
        <v>56</v>
      </c>
      <c r="G7690" s="311">
        <v>1954</v>
      </c>
      <c r="H7690" s="329" t="s">
        <v>1149</v>
      </c>
      <c r="I7690" s="313" t="s">
        <v>9491</v>
      </c>
      <c r="J7690" s="350">
        <v>15.779859999999999</v>
      </c>
      <c r="K7690" s="350">
        <v>15.563940000000001</v>
      </c>
      <c r="L7690" s="350">
        <f t="shared" si="102"/>
        <v>0.21591999999999878</v>
      </c>
      <c r="M7690" s="337"/>
    </row>
    <row r="7691" spans="1:13" s="71" customFormat="1" ht="26.4" customHeight="1">
      <c r="A7691" s="282">
        <v>89</v>
      </c>
      <c r="B7691" s="537"/>
      <c r="C7691" s="307" t="s">
        <v>9474</v>
      </c>
      <c r="D7691" s="307" t="s">
        <v>3</v>
      </c>
      <c r="E7691" s="353" t="s">
        <v>9566</v>
      </c>
      <c r="F7691" s="310">
        <v>56</v>
      </c>
      <c r="G7691" s="311">
        <v>1954</v>
      </c>
      <c r="H7691" s="329" t="s">
        <v>3</v>
      </c>
      <c r="I7691" s="320" t="s">
        <v>3</v>
      </c>
      <c r="J7691" s="350">
        <v>14.50651</v>
      </c>
      <c r="K7691" s="350">
        <v>14.303610000000001</v>
      </c>
      <c r="L7691" s="350">
        <f t="shared" si="102"/>
        <v>0.20289999999999964</v>
      </c>
      <c r="M7691" s="337"/>
    </row>
    <row r="7692" spans="1:13" s="71" customFormat="1" ht="26.4" customHeight="1">
      <c r="A7692" s="282">
        <v>90</v>
      </c>
      <c r="B7692" s="537"/>
      <c r="C7692" s="307" t="s">
        <v>7495</v>
      </c>
      <c r="D7692" s="307" t="s">
        <v>3</v>
      </c>
      <c r="E7692" s="353" t="s">
        <v>9567</v>
      </c>
      <c r="F7692" s="310">
        <v>57</v>
      </c>
      <c r="G7692" s="311">
        <v>1954</v>
      </c>
      <c r="H7692" s="329" t="s">
        <v>1149</v>
      </c>
      <c r="I7692" s="313" t="s">
        <v>9491</v>
      </c>
      <c r="J7692" s="350">
        <v>15.579219999999999</v>
      </c>
      <c r="K7692" s="350">
        <v>15.420999999999999</v>
      </c>
      <c r="L7692" s="350">
        <f t="shared" si="102"/>
        <v>0.15822000000000003</v>
      </c>
      <c r="M7692" s="337"/>
    </row>
    <row r="7693" spans="1:13" s="71" customFormat="1" ht="26.4" customHeight="1">
      <c r="A7693" s="282">
        <v>91</v>
      </c>
      <c r="B7693" s="537"/>
      <c r="C7693" s="307" t="s">
        <v>9474</v>
      </c>
      <c r="D7693" s="307" t="s">
        <v>3</v>
      </c>
      <c r="E7693" s="353" t="s">
        <v>9568</v>
      </c>
      <c r="F7693" s="310">
        <v>57</v>
      </c>
      <c r="G7693" s="311">
        <v>1954</v>
      </c>
      <c r="H7693" s="329" t="s">
        <v>3</v>
      </c>
      <c r="I7693" s="320" t="s">
        <v>3</v>
      </c>
      <c r="J7693" s="350">
        <v>14.572380000000001</v>
      </c>
      <c r="K7693" s="350">
        <v>14.369479999999999</v>
      </c>
      <c r="L7693" s="350">
        <f t="shared" si="102"/>
        <v>0.20290000000000141</v>
      </c>
      <c r="M7693" s="337"/>
    </row>
    <row r="7694" spans="1:13" s="71" customFormat="1" ht="39.75" customHeight="1">
      <c r="A7694" s="282">
        <v>92</v>
      </c>
      <c r="B7694" s="537"/>
      <c r="C7694" s="307" t="s">
        <v>9535</v>
      </c>
      <c r="D7694" s="307" t="s">
        <v>3</v>
      </c>
      <c r="E7694" s="260" t="s">
        <v>9569</v>
      </c>
      <c r="F7694" s="310">
        <v>57</v>
      </c>
      <c r="G7694" s="311">
        <v>1972</v>
      </c>
      <c r="H7694" s="329" t="s">
        <v>2658</v>
      </c>
      <c r="I7694" s="313">
        <v>356</v>
      </c>
      <c r="J7694" s="350">
        <v>18759.2</v>
      </c>
      <c r="K7694" s="350">
        <v>7696.5</v>
      </c>
      <c r="L7694" s="350">
        <f t="shared" si="102"/>
        <v>11062.7</v>
      </c>
      <c r="M7694" s="337"/>
    </row>
    <row r="7695" spans="1:13" s="71" customFormat="1" ht="26.4" customHeight="1">
      <c r="A7695" s="282">
        <v>93</v>
      </c>
      <c r="B7695" s="537"/>
      <c r="C7695" s="307" t="s">
        <v>7495</v>
      </c>
      <c r="D7695" s="307" t="s">
        <v>3</v>
      </c>
      <c r="E7695" s="353" t="s">
        <v>9570</v>
      </c>
      <c r="F7695" s="310">
        <v>58</v>
      </c>
      <c r="G7695" s="311">
        <v>1954</v>
      </c>
      <c r="H7695" s="329" t="s">
        <v>1149</v>
      </c>
      <c r="I7695" s="313" t="s">
        <v>9491</v>
      </c>
      <c r="J7695" s="350">
        <v>15.92116</v>
      </c>
      <c r="K7695" s="350">
        <v>15.836209999999999</v>
      </c>
      <c r="L7695" s="350">
        <f t="shared" si="102"/>
        <v>8.4950000000000969E-2</v>
      </c>
      <c r="M7695" s="337"/>
    </row>
    <row r="7696" spans="1:13" s="71" customFormat="1" ht="26.4" customHeight="1">
      <c r="A7696" s="282">
        <v>94</v>
      </c>
      <c r="B7696" s="537"/>
      <c r="C7696" s="307" t="s">
        <v>9474</v>
      </c>
      <c r="D7696" s="307" t="s">
        <v>3</v>
      </c>
      <c r="E7696" s="353" t="s">
        <v>9571</v>
      </c>
      <c r="F7696" s="310">
        <v>58</v>
      </c>
      <c r="G7696" s="311">
        <v>1954</v>
      </c>
      <c r="H7696" s="329" t="s">
        <v>3</v>
      </c>
      <c r="I7696" s="313" t="s">
        <v>3</v>
      </c>
      <c r="J7696" s="350">
        <v>14.50651</v>
      </c>
      <c r="K7696" s="350">
        <v>14.303610000000001</v>
      </c>
      <c r="L7696" s="350">
        <f t="shared" si="102"/>
        <v>0.20289999999999964</v>
      </c>
      <c r="M7696" s="337"/>
    </row>
    <row r="7697" spans="1:13" s="71" customFormat="1" ht="26.4">
      <c r="A7697" s="282">
        <v>95</v>
      </c>
      <c r="B7697" s="537"/>
      <c r="C7697" s="307" t="s">
        <v>9552</v>
      </c>
      <c r="D7697" s="307" t="s">
        <v>3</v>
      </c>
      <c r="E7697" s="260" t="s">
        <v>9572</v>
      </c>
      <c r="F7697" s="310">
        <v>58</v>
      </c>
      <c r="G7697" s="311">
        <v>1973</v>
      </c>
      <c r="H7697" s="329" t="s">
        <v>2658</v>
      </c>
      <c r="I7697" s="313">
        <v>10050</v>
      </c>
      <c r="J7697" s="350">
        <v>85.853669999999994</v>
      </c>
      <c r="K7697" s="350">
        <v>81.590119999999999</v>
      </c>
      <c r="L7697" s="350">
        <f t="shared" si="102"/>
        <v>4.2635499999999951</v>
      </c>
      <c r="M7697" s="337"/>
    </row>
    <row r="7698" spans="1:13" s="71" customFormat="1" ht="26.4" customHeight="1">
      <c r="A7698" s="282">
        <v>96</v>
      </c>
      <c r="B7698" s="537"/>
      <c r="C7698" s="307" t="s">
        <v>7495</v>
      </c>
      <c r="D7698" s="307" t="s">
        <v>3</v>
      </c>
      <c r="E7698" s="353" t="s">
        <v>9573</v>
      </c>
      <c r="F7698" s="310">
        <v>59</v>
      </c>
      <c r="G7698" s="311">
        <v>1954</v>
      </c>
      <c r="H7698" s="329" t="s">
        <v>1149</v>
      </c>
      <c r="I7698" s="313" t="s">
        <v>9491</v>
      </c>
      <c r="J7698" s="350">
        <v>16.020620000000001</v>
      </c>
      <c r="K7698" s="350">
        <v>15.935169999999999</v>
      </c>
      <c r="L7698" s="350">
        <f t="shared" si="102"/>
        <v>8.545000000000158E-2</v>
      </c>
      <c r="M7698" s="337"/>
    </row>
    <row r="7699" spans="1:13" s="71" customFormat="1" ht="26.4" customHeight="1">
      <c r="A7699" s="282">
        <v>97</v>
      </c>
      <c r="B7699" s="537"/>
      <c r="C7699" s="307" t="s">
        <v>9474</v>
      </c>
      <c r="D7699" s="307" t="s">
        <v>3</v>
      </c>
      <c r="E7699" s="353" t="s">
        <v>9574</v>
      </c>
      <c r="F7699" s="310">
        <v>59</v>
      </c>
      <c r="G7699" s="311">
        <v>1954</v>
      </c>
      <c r="H7699" s="329" t="s">
        <v>3</v>
      </c>
      <c r="I7699" s="313" t="s">
        <v>3</v>
      </c>
      <c r="J7699" s="350">
        <v>14.50651</v>
      </c>
      <c r="K7699" s="350">
        <v>14.303610000000001</v>
      </c>
      <c r="L7699" s="350">
        <f t="shared" si="102"/>
        <v>0.20289999999999964</v>
      </c>
      <c r="M7699" s="337"/>
    </row>
    <row r="7700" spans="1:13" s="71" customFormat="1" ht="26.4" customHeight="1">
      <c r="A7700" s="282">
        <v>98</v>
      </c>
      <c r="B7700" s="537"/>
      <c r="C7700" s="307" t="s">
        <v>7495</v>
      </c>
      <c r="D7700" s="307" t="s">
        <v>3</v>
      </c>
      <c r="E7700" s="353" t="s">
        <v>9575</v>
      </c>
      <c r="F7700" s="310">
        <v>60</v>
      </c>
      <c r="G7700" s="311">
        <v>1954</v>
      </c>
      <c r="H7700" s="329" t="s">
        <v>1149</v>
      </c>
      <c r="I7700" s="313" t="s">
        <v>9491</v>
      </c>
      <c r="J7700" s="350">
        <v>16.64902</v>
      </c>
      <c r="K7700" s="350">
        <v>16.560220000000001</v>
      </c>
      <c r="L7700" s="350">
        <f t="shared" si="102"/>
        <v>8.8799999999999102E-2</v>
      </c>
      <c r="M7700" s="337"/>
    </row>
    <row r="7701" spans="1:13" s="71" customFormat="1" ht="26.4" customHeight="1">
      <c r="A7701" s="282">
        <v>99</v>
      </c>
      <c r="B7701" s="537"/>
      <c r="C7701" s="307" t="s">
        <v>9474</v>
      </c>
      <c r="D7701" s="307" t="s">
        <v>3</v>
      </c>
      <c r="E7701" s="353" t="s">
        <v>9576</v>
      </c>
      <c r="F7701" s="310">
        <v>60</v>
      </c>
      <c r="G7701" s="311">
        <v>1954</v>
      </c>
      <c r="H7701" s="329" t="s">
        <v>3</v>
      </c>
      <c r="I7701" s="313" t="s">
        <v>3</v>
      </c>
      <c r="J7701" s="350">
        <v>14.50651</v>
      </c>
      <c r="K7701" s="350">
        <v>14.303610000000001</v>
      </c>
      <c r="L7701" s="350">
        <f t="shared" si="102"/>
        <v>0.20289999999999964</v>
      </c>
      <c r="M7701" s="337"/>
    </row>
    <row r="7702" spans="1:13" s="71" customFormat="1" ht="26.4" customHeight="1">
      <c r="A7702" s="282">
        <v>100</v>
      </c>
      <c r="B7702" s="537"/>
      <c r="C7702" s="307" t="s">
        <v>9577</v>
      </c>
      <c r="D7702" s="307" t="s">
        <v>3</v>
      </c>
      <c r="E7702" s="260" t="s">
        <v>9578</v>
      </c>
      <c r="F7702" s="310">
        <v>60</v>
      </c>
      <c r="G7702" s="311">
        <v>1938</v>
      </c>
      <c r="H7702" s="329" t="s">
        <v>2658</v>
      </c>
      <c r="I7702" s="313">
        <v>5500</v>
      </c>
      <c r="J7702" s="350">
        <v>359.95431000000002</v>
      </c>
      <c r="K7702" s="350">
        <v>318.39085</v>
      </c>
      <c r="L7702" s="350">
        <f t="shared" si="102"/>
        <v>41.563460000000021</v>
      </c>
      <c r="M7702" s="337"/>
    </row>
    <row r="7703" spans="1:13" s="71" customFormat="1" ht="26.4" customHeight="1">
      <c r="A7703" s="282">
        <v>101</v>
      </c>
      <c r="B7703" s="537"/>
      <c r="C7703" s="307" t="s">
        <v>7495</v>
      </c>
      <c r="D7703" s="307" t="s">
        <v>3</v>
      </c>
      <c r="E7703" s="353" t="s">
        <v>9579</v>
      </c>
      <c r="F7703" s="310">
        <v>61</v>
      </c>
      <c r="G7703" s="311">
        <v>1954</v>
      </c>
      <c r="H7703" s="329" t="s">
        <v>1149</v>
      </c>
      <c r="I7703" s="313" t="s">
        <v>9580</v>
      </c>
      <c r="J7703" s="350">
        <v>16.578440000000001</v>
      </c>
      <c r="K7703" s="350">
        <v>16.49004</v>
      </c>
      <c r="L7703" s="350">
        <f t="shared" si="102"/>
        <v>8.8400000000000034E-2</v>
      </c>
      <c r="M7703" s="337"/>
    </row>
    <row r="7704" spans="1:13" s="71" customFormat="1" ht="26.4" customHeight="1">
      <c r="A7704" s="282">
        <v>102</v>
      </c>
      <c r="B7704" s="537"/>
      <c r="C7704" s="307" t="s">
        <v>9474</v>
      </c>
      <c r="D7704" s="307" t="s">
        <v>3</v>
      </c>
      <c r="E7704" s="353" t="s">
        <v>9581</v>
      </c>
      <c r="F7704" s="310">
        <v>61</v>
      </c>
      <c r="G7704" s="311">
        <v>1954</v>
      </c>
      <c r="H7704" s="329" t="s">
        <v>3</v>
      </c>
      <c r="I7704" s="313" t="s">
        <v>3</v>
      </c>
      <c r="J7704" s="350">
        <v>14.405989999999999</v>
      </c>
      <c r="K7704" s="350">
        <v>14.20509</v>
      </c>
      <c r="L7704" s="350">
        <f t="shared" si="102"/>
        <v>0.20089999999999897</v>
      </c>
      <c r="M7704" s="337"/>
    </row>
    <row r="7705" spans="1:13" s="71" customFormat="1" ht="26.4" customHeight="1">
      <c r="A7705" s="282">
        <v>103</v>
      </c>
      <c r="B7705" s="537"/>
      <c r="C7705" s="307" t="s">
        <v>9577</v>
      </c>
      <c r="D7705" s="307" t="s">
        <v>3</v>
      </c>
      <c r="E7705" s="260" t="s">
        <v>9582</v>
      </c>
      <c r="F7705" s="310">
        <v>61</v>
      </c>
      <c r="G7705" s="311">
        <v>1938</v>
      </c>
      <c r="H7705" s="329" t="s">
        <v>2658</v>
      </c>
      <c r="I7705" s="313">
        <v>900</v>
      </c>
      <c r="J7705" s="350">
        <v>52.698349999999998</v>
      </c>
      <c r="K7705" s="350">
        <v>47.099060000000001</v>
      </c>
      <c r="L7705" s="350">
        <f t="shared" si="102"/>
        <v>5.5992899999999963</v>
      </c>
      <c r="M7705" s="337"/>
    </row>
    <row r="7706" spans="1:13" s="71" customFormat="1" ht="26.4" customHeight="1">
      <c r="A7706" s="282">
        <v>104</v>
      </c>
      <c r="B7706" s="537"/>
      <c r="C7706" s="307" t="s">
        <v>7495</v>
      </c>
      <c r="D7706" s="307" t="s">
        <v>3</v>
      </c>
      <c r="E7706" s="353" t="s">
        <v>9583</v>
      </c>
      <c r="F7706" s="310">
        <v>62</v>
      </c>
      <c r="G7706" s="311">
        <v>1954</v>
      </c>
      <c r="H7706" s="329" t="s">
        <v>1149</v>
      </c>
      <c r="I7706" s="313" t="s">
        <v>9584</v>
      </c>
      <c r="J7706" s="350">
        <v>16.060009999999998</v>
      </c>
      <c r="K7706" s="350">
        <v>15.974360000000001</v>
      </c>
      <c r="L7706" s="350">
        <f t="shared" si="102"/>
        <v>8.5649999999997561E-2</v>
      </c>
      <c r="M7706" s="337"/>
    </row>
    <row r="7707" spans="1:13" s="71" customFormat="1" ht="26.4" customHeight="1">
      <c r="A7707" s="282">
        <v>105</v>
      </c>
      <c r="B7707" s="537"/>
      <c r="C7707" s="307" t="s">
        <v>9526</v>
      </c>
      <c r="D7707" s="307" t="s">
        <v>3</v>
      </c>
      <c r="E7707" s="353" t="s">
        <v>9585</v>
      </c>
      <c r="F7707" s="310">
        <v>62</v>
      </c>
      <c r="G7707" s="311">
        <v>1954</v>
      </c>
      <c r="H7707" s="329" t="s">
        <v>3</v>
      </c>
      <c r="I7707" s="313" t="s">
        <v>3</v>
      </c>
      <c r="J7707" s="350">
        <v>14.50651</v>
      </c>
      <c r="K7707" s="350">
        <v>14.303610000000001</v>
      </c>
      <c r="L7707" s="350">
        <f t="shared" si="102"/>
        <v>0.20289999999999964</v>
      </c>
      <c r="M7707" s="337"/>
    </row>
    <row r="7708" spans="1:13" s="71" customFormat="1" ht="26.4" customHeight="1">
      <c r="A7708" s="282">
        <v>106</v>
      </c>
      <c r="B7708" s="537"/>
      <c r="C7708" s="307" t="s">
        <v>9577</v>
      </c>
      <c r="D7708" s="307" t="s">
        <v>3</v>
      </c>
      <c r="E7708" s="260" t="s">
        <v>13199</v>
      </c>
      <c r="F7708" s="310">
        <v>62</v>
      </c>
      <c r="G7708" s="311">
        <v>1949</v>
      </c>
      <c r="H7708" s="329" t="s">
        <v>2658</v>
      </c>
      <c r="I7708" s="313">
        <v>320</v>
      </c>
      <c r="J7708" s="350">
        <v>11.33398</v>
      </c>
      <c r="K7708" s="350">
        <v>11.0097</v>
      </c>
      <c r="L7708" s="350">
        <f t="shared" si="102"/>
        <v>0.3242799999999999</v>
      </c>
      <c r="M7708" s="337"/>
    </row>
    <row r="7709" spans="1:13" s="71" customFormat="1" ht="26.4" customHeight="1">
      <c r="A7709" s="282">
        <v>107</v>
      </c>
      <c r="B7709" s="537"/>
      <c r="C7709" s="307" t="s">
        <v>7495</v>
      </c>
      <c r="D7709" s="307" t="s">
        <v>3</v>
      </c>
      <c r="E7709" s="353" t="s">
        <v>9586</v>
      </c>
      <c r="F7709" s="310">
        <v>63</v>
      </c>
      <c r="G7709" s="311">
        <v>1954</v>
      </c>
      <c r="H7709" s="329" t="s">
        <v>1149</v>
      </c>
      <c r="I7709" s="313" t="s">
        <v>9461</v>
      </c>
      <c r="J7709" s="350">
        <v>16.333749999999998</v>
      </c>
      <c r="K7709" s="350">
        <v>16.246649999999999</v>
      </c>
      <c r="L7709" s="350">
        <f t="shared" si="102"/>
        <v>8.7099999999999511E-2</v>
      </c>
      <c r="M7709" s="337"/>
    </row>
    <row r="7710" spans="1:13" s="71" customFormat="1" ht="26.4" customHeight="1">
      <c r="A7710" s="282">
        <v>108</v>
      </c>
      <c r="B7710" s="537"/>
      <c r="C7710" s="307" t="s">
        <v>9474</v>
      </c>
      <c r="D7710" s="307" t="s">
        <v>3</v>
      </c>
      <c r="E7710" s="353" t="s">
        <v>9587</v>
      </c>
      <c r="F7710" s="310">
        <v>63</v>
      </c>
      <c r="G7710" s="311">
        <v>1954</v>
      </c>
      <c r="H7710" s="329" t="s">
        <v>3</v>
      </c>
      <c r="I7710" s="313" t="s">
        <v>3</v>
      </c>
      <c r="J7710" s="350">
        <v>14.572380000000001</v>
      </c>
      <c r="K7710" s="350">
        <v>14.369479999999999</v>
      </c>
      <c r="L7710" s="350">
        <f t="shared" si="102"/>
        <v>0.20290000000000141</v>
      </c>
      <c r="M7710" s="337"/>
    </row>
    <row r="7711" spans="1:13" s="71" customFormat="1" ht="26.4" customHeight="1">
      <c r="A7711" s="282">
        <v>109</v>
      </c>
      <c r="B7711" s="537"/>
      <c r="C7711" s="307" t="s">
        <v>9577</v>
      </c>
      <c r="D7711" s="307" t="s">
        <v>3</v>
      </c>
      <c r="E7711" s="260" t="s">
        <v>13200</v>
      </c>
      <c r="F7711" s="310">
        <v>63</v>
      </c>
      <c r="G7711" s="311">
        <v>1946</v>
      </c>
      <c r="H7711" s="329" t="s">
        <v>2658</v>
      </c>
      <c r="I7711" s="313">
        <v>700</v>
      </c>
      <c r="J7711" s="350">
        <v>15.57128</v>
      </c>
      <c r="K7711" s="350">
        <v>14.731820000000001</v>
      </c>
      <c r="L7711" s="350">
        <f t="shared" si="102"/>
        <v>0.83945999999999898</v>
      </c>
      <c r="M7711" s="337"/>
    </row>
    <row r="7712" spans="1:13" s="71" customFormat="1" ht="26.4" customHeight="1">
      <c r="A7712" s="282">
        <v>110</v>
      </c>
      <c r="B7712" s="537"/>
      <c r="C7712" s="307" t="s">
        <v>9474</v>
      </c>
      <c r="D7712" s="307" t="s">
        <v>3</v>
      </c>
      <c r="E7712" s="353" t="s">
        <v>9588</v>
      </c>
      <c r="F7712" s="310">
        <v>64</v>
      </c>
      <c r="G7712" s="311">
        <v>1954</v>
      </c>
      <c r="H7712" s="329" t="s">
        <v>1149</v>
      </c>
      <c r="I7712" s="313" t="s">
        <v>9555</v>
      </c>
      <c r="J7712" s="350">
        <v>14.76648</v>
      </c>
      <c r="K7712" s="350">
        <v>14.56776</v>
      </c>
      <c r="L7712" s="350">
        <f t="shared" si="102"/>
        <v>0.19871999999999979</v>
      </c>
      <c r="M7712" s="337"/>
    </row>
    <row r="7713" spans="1:13" s="71" customFormat="1" ht="26.4" customHeight="1">
      <c r="A7713" s="282">
        <v>111</v>
      </c>
      <c r="B7713" s="537"/>
      <c r="C7713" s="307" t="s">
        <v>9474</v>
      </c>
      <c r="D7713" s="307" t="s">
        <v>3</v>
      </c>
      <c r="E7713" s="353" t="s">
        <v>9589</v>
      </c>
      <c r="F7713" s="310">
        <v>64</v>
      </c>
      <c r="G7713" s="311">
        <v>1954</v>
      </c>
      <c r="H7713" s="329" t="s">
        <v>3</v>
      </c>
      <c r="I7713" s="313" t="s">
        <v>3</v>
      </c>
      <c r="J7713" s="350">
        <v>14.572380000000001</v>
      </c>
      <c r="K7713" s="350">
        <v>14.369479999999999</v>
      </c>
      <c r="L7713" s="350">
        <f t="shared" si="102"/>
        <v>0.20290000000000141</v>
      </c>
      <c r="M7713" s="337"/>
    </row>
    <row r="7714" spans="1:13" s="71" customFormat="1" ht="26.4" customHeight="1">
      <c r="A7714" s="282">
        <v>112</v>
      </c>
      <c r="B7714" s="537"/>
      <c r="C7714" s="307" t="s">
        <v>9577</v>
      </c>
      <c r="D7714" s="307" t="s">
        <v>3</v>
      </c>
      <c r="E7714" s="260" t="s">
        <v>13201</v>
      </c>
      <c r="F7714" s="310">
        <v>64</v>
      </c>
      <c r="G7714" s="311">
        <v>1951</v>
      </c>
      <c r="H7714" s="329" t="s">
        <v>3</v>
      </c>
      <c r="I7714" s="313" t="s">
        <v>3</v>
      </c>
      <c r="J7714" s="350">
        <v>24.79307</v>
      </c>
      <c r="K7714" s="350">
        <v>23.967960000000001</v>
      </c>
      <c r="L7714" s="350">
        <f t="shared" si="102"/>
        <v>0.82510999999999868</v>
      </c>
      <c r="M7714" s="337"/>
    </row>
    <row r="7715" spans="1:13" s="71" customFormat="1" ht="26.4" customHeight="1">
      <c r="A7715" s="282">
        <v>113</v>
      </c>
      <c r="B7715" s="537"/>
      <c r="C7715" s="307" t="s">
        <v>9474</v>
      </c>
      <c r="D7715" s="307" t="s">
        <v>3</v>
      </c>
      <c r="E7715" s="353" t="s">
        <v>9590</v>
      </c>
      <c r="F7715" s="310">
        <v>65</v>
      </c>
      <c r="G7715" s="311">
        <v>1956</v>
      </c>
      <c r="H7715" s="329" t="s">
        <v>1149</v>
      </c>
      <c r="I7715" s="313" t="s">
        <v>9555</v>
      </c>
      <c r="J7715" s="350">
        <v>11.19575</v>
      </c>
      <c r="K7715" s="350">
        <v>11.19575</v>
      </c>
      <c r="L7715" s="350">
        <f t="shared" si="102"/>
        <v>0</v>
      </c>
      <c r="M7715" s="337"/>
    </row>
    <row r="7716" spans="1:13" s="71" customFormat="1" ht="26.4" customHeight="1">
      <c r="A7716" s="282">
        <v>114</v>
      </c>
      <c r="B7716" s="537"/>
      <c r="C7716" s="307" t="s">
        <v>9474</v>
      </c>
      <c r="D7716" s="307" t="s">
        <v>3</v>
      </c>
      <c r="E7716" s="353" t="s">
        <v>9591</v>
      </c>
      <c r="F7716" s="310">
        <v>65</v>
      </c>
      <c r="G7716" s="311">
        <v>1954</v>
      </c>
      <c r="H7716" s="329" t="s">
        <v>3</v>
      </c>
      <c r="I7716" s="313" t="s">
        <v>3</v>
      </c>
      <c r="J7716" s="350">
        <v>14.50651</v>
      </c>
      <c r="K7716" s="350">
        <v>14.303610000000001</v>
      </c>
      <c r="L7716" s="350">
        <f t="shared" si="102"/>
        <v>0.20289999999999964</v>
      </c>
      <c r="M7716" s="337"/>
    </row>
    <row r="7717" spans="1:13" s="332" customFormat="1" ht="26.4" customHeight="1">
      <c r="A7717" s="445">
        <v>115</v>
      </c>
      <c r="B7717" s="537"/>
      <c r="C7717" s="313" t="s">
        <v>214</v>
      </c>
      <c r="D7717" s="307" t="s">
        <v>3</v>
      </c>
      <c r="E7717" s="260" t="s">
        <v>9592</v>
      </c>
      <c r="F7717" s="310">
        <v>65</v>
      </c>
      <c r="G7717" s="311">
        <v>1954</v>
      </c>
      <c r="H7717" s="329" t="s">
        <v>2658</v>
      </c>
      <c r="I7717" s="313">
        <v>27563</v>
      </c>
      <c r="J7717" s="350">
        <v>10745.21407</v>
      </c>
      <c r="K7717" s="350">
        <v>9907.1245400000007</v>
      </c>
      <c r="L7717" s="350">
        <f t="shared" si="102"/>
        <v>838.08952999999929</v>
      </c>
      <c r="M7717" s="331"/>
    </row>
    <row r="7718" spans="1:13" s="71" customFormat="1" ht="26.4" customHeight="1">
      <c r="A7718" s="282">
        <v>116</v>
      </c>
      <c r="B7718" s="537"/>
      <c r="C7718" s="307" t="s">
        <v>7495</v>
      </c>
      <c r="D7718" s="307" t="s">
        <v>3</v>
      </c>
      <c r="E7718" s="353" t="s">
        <v>9593</v>
      </c>
      <c r="F7718" s="310">
        <v>66</v>
      </c>
      <c r="G7718" s="311">
        <v>1956</v>
      </c>
      <c r="H7718" s="329" t="s">
        <v>1149</v>
      </c>
      <c r="I7718" s="313" t="s">
        <v>9491</v>
      </c>
      <c r="J7718" s="350">
        <v>12.74456</v>
      </c>
      <c r="K7718" s="350">
        <v>12.195320000000001</v>
      </c>
      <c r="L7718" s="350">
        <f t="shared" si="102"/>
        <v>0.54923999999999928</v>
      </c>
      <c r="M7718" s="337"/>
    </row>
    <row r="7719" spans="1:13" s="71" customFormat="1" ht="26.4" customHeight="1">
      <c r="A7719" s="282">
        <v>117</v>
      </c>
      <c r="B7719" s="537"/>
      <c r="C7719" s="307" t="s">
        <v>9474</v>
      </c>
      <c r="D7719" s="307" t="s">
        <v>3</v>
      </c>
      <c r="E7719" s="353" t="s">
        <v>9594</v>
      </c>
      <c r="F7719" s="310">
        <v>66</v>
      </c>
      <c r="G7719" s="311">
        <v>1954</v>
      </c>
      <c r="H7719" s="329" t="s">
        <v>3</v>
      </c>
      <c r="I7719" s="313" t="s">
        <v>3</v>
      </c>
      <c r="J7719" s="350">
        <v>14.50651</v>
      </c>
      <c r="K7719" s="350">
        <v>14.303610000000001</v>
      </c>
      <c r="L7719" s="350">
        <f t="shared" si="102"/>
        <v>0.20289999999999964</v>
      </c>
      <c r="M7719" s="337"/>
    </row>
    <row r="7720" spans="1:13" s="71" customFormat="1" ht="26.4" customHeight="1">
      <c r="A7720" s="282">
        <v>118</v>
      </c>
      <c r="B7720" s="537"/>
      <c r="C7720" s="307" t="s">
        <v>7495</v>
      </c>
      <c r="D7720" s="307" t="s">
        <v>3</v>
      </c>
      <c r="E7720" s="353" t="s">
        <v>9595</v>
      </c>
      <c r="F7720" s="310">
        <v>67</v>
      </c>
      <c r="G7720" s="311">
        <v>1956</v>
      </c>
      <c r="H7720" s="329" t="s">
        <v>1149</v>
      </c>
      <c r="I7720" s="313" t="s">
        <v>9555</v>
      </c>
      <c r="J7720" s="350">
        <v>12.74456</v>
      </c>
      <c r="K7720" s="350">
        <v>12.195320000000001</v>
      </c>
      <c r="L7720" s="350">
        <f t="shared" si="102"/>
        <v>0.54923999999999928</v>
      </c>
      <c r="M7720" s="337"/>
    </row>
    <row r="7721" spans="1:13" s="71" customFormat="1" ht="26.4" customHeight="1">
      <c r="A7721" s="282">
        <v>119</v>
      </c>
      <c r="B7721" s="537"/>
      <c r="C7721" s="307" t="s">
        <v>9535</v>
      </c>
      <c r="D7721" s="307" t="s">
        <v>3</v>
      </c>
      <c r="E7721" s="353" t="s">
        <v>9596</v>
      </c>
      <c r="F7721" s="310">
        <v>67</v>
      </c>
      <c r="G7721" s="311">
        <v>1954</v>
      </c>
      <c r="H7721" s="329" t="s">
        <v>3</v>
      </c>
      <c r="I7721" s="313" t="s">
        <v>3</v>
      </c>
      <c r="J7721" s="350">
        <v>14.50651</v>
      </c>
      <c r="K7721" s="350">
        <v>14.303610000000001</v>
      </c>
      <c r="L7721" s="350">
        <f t="shared" si="102"/>
        <v>0.20289999999999964</v>
      </c>
      <c r="M7721" s="337"/>
    </row>
    <row r="7722" spans="1:13" s="71" customFormat="1" ht="26.4" customHeight="1">
      <c r="A7722" s="282">
        <v>120</v>
      </c>
      <c r="B7722" s="537"/>
      <c r="C7722" s="307" t="s">
        <v>9474</v>
      </c>
      <c r="D7722" s="307" t="s">
        <v>3</v>
      </c>
      <c r="E7722" s="353" t="s">
        <v>9597</v>
      </c>
      <c r="F7722" s="310">
        <v>68</v>
      </c>
      <c r="G7722" s="311">
        <v>1956</v>
      </c>
      <c r="H7722" s="329" t="s">
        <v>1149</v>
      </c>
      <c r="I7722" s="313" t="s">
        <v>9584</v>
      </c>
      <c r="J7722" s="350">
        <v>12.75892</v>
      </c>
      <c r="K7722" s="350">
        <v>12.20947</v>
      </c>
      <c r="L7722" s="350">
        <f t="shared" si="102"/>
        <v>0.54945000000000022</v>
      </c>
      <c r="M7722" s="337"/>
    </row>
    <row r="7723" spans="1:13" s="71" customFormat="1" ht="26.4" customHeight="1">
      <c r="A7723" s="282">
        <v>121</v>
      </c>
      <c r="B7723" s="537"/>
      <c r="C7723" s="307" t="s">
        <v>9535</v>
      </c>
      <c r="D7723" s="307" t="s">
        <v>3</v>
      </c>
      <c r="E7723" s="353" t="s">
        <v>9598</v>
      </c>
      <c r="F7723" s="310">
        <v>68</v>
      </c>
      <c r="G7723" s="311">
        <v>1954</v>
      </c>
      <c r="H7723" s="329" t="s">
        <v>3</v>
      </c>
      <c r="I7723" s="313" t="s">
        <v>3</v>
      </c>
      <c r="J7723" s="350">
        <v>13.532590000000001</v>
      </c>
      <c r="K7723" s="350">
        <v>12.68041</v>
      </c>
      <c r="L7723" s="350">
        <f t="shared" si="102"/>
        <v>0.8521800000000006</v>
      </c>
      <c r="M7723" s="337"/>
    </row>
    <row r="7724" spans="1:13" s="71" customFormat="1" ht="26.4" customHeight="1">
      <c r="A7724" s="282">
        <v>122</v>
      </c>
      <c r="B7724" s="537"/>
      <c r="C7724" s="313" t="s">
        <v>214</v>
      </c>
      <c r="D7724" s="307" t="s">
        <v>3</v>
      </c>
      <c r="E7724" s="353" t="s">
        <v>9599</v>
      </c>
      <c r="F7724" s="310">
        <v>68</v>
      </c>
      <c r="G7724" s="311">
        <v>1978</v>
      </c>
      <c r="H7724" s="329" t="s">
        <v>3</v>
      </c>
      <c r="I7724" s="313" t="s">
        <v>3</v>
      </c>
      <c r="J7724" s="350">
        <v>418.67694</v>
      </c>
      <c r="K7724" s="350">
        <v>274.60743000000002</v>
      </c>
      <c r="L7724" s="350">
        <f t="shared" si="102"/>
        <v>144.06950999999998</v>
      </c>
      <c r="M7724" s="337"/>
    </row>
    <row r="7725" spans="1:13" s="71" customFormat="1" ht="26.4" customHeight="1">
      <c r="A7725" s="282">
        <v>123</v>
      </c>
      <c r="B7725" s="537"/>
      <c r="C7725" s="313" t="s">
        <v>214</v>
      </c>
      <c r="D7725" s="307" t="s">
        <v>3</v>
      </c>
      <c r="E7725" s="260" t="s">
        <v>9600</v>
      </c>
      <c r="F7725" s="310">
        <v>68</v>
      </c>
      <c r="G7725" s="311">
        <v>1956</v>
      </c>
      <c r="H7725" s="329" t="s">
        <v>2658</v>
      </c>
      <c r="I7725" s="313">
        <v>7969</v>
      </c>
      <c r="J7725" s="350">
        <v>937.1771</v>
      </c>
      <c r="K7725" s="350">
        <v>895.02291000000002</v>
      </c>
      <c r="L7725" s="350">
        <f t="shared" si="102"/>
        <v>42.154189999999971</v>
      </c>
      <c r="M7725" s="337"/>
    </row>
    <row r="7726" spans="1:13" s="71" customFormat="1" ht="26.4" customHeight="1">
      <c r="A7726" s="282">
        <v>124</v>
      </c>
      <c r="B7726" s="537"/>
      <c r="C7726" s="307" t="s">
        <v>9474</v>
      </c>
      <c r="D7726" s="307" t="s">
        <v>3</v>
      </c>
      <c r="E7726" s="353" t="s">
        <v>9601</v>
      </c>
      <c r="F7726" s="310">
        <v>69</v>
      </c>
      <c r="G7726" s="311">
        <v>1956</v>
      </c>
      <c r="H7726" s="329" t="s">
        <v>1149</v>
      </c>
      <c r="I7726" s="313" t="s">
        <v>9584</v>
      </c>
      <c r="J7726" s="350">
        <v>13.655609999999999</v>
      </c>
      <c r="K7726" s="350">
        <v>13.08501</v>
      </c>
      <c r="L7726" s="350">
        <f t="shared" si="102"/>
        <v>0.57059999999999889</v>
      </c>
      <c r="M7726" s="337"/>
    </row>
    <row r="7727" spans="1:13" s="71" customFormat="1" ht="26.4" customHeight="1">
      <c r="A7727" s="282">
        <v>125</v>
      </c>
      <c r="B7727" s="537"/>
      <c r="C7727" s="307" t="s">
        <v>9602</v>
      </c>
      <c r="D7727" s="307" t="s">
        <v>3</v>
      </c>
      <c r="E7727" s="353" t="s">
        <v>9603</v>
      </c>
      <c r="F7727" s="310">
        <v>69</v>
      </c>
      <c r="G7727" s="311">
        <v>1954</v>
      </c>
      <c r="H7727" s="329" t="s">
        <v>3</v>
      </c>
      <c r="I7727" s="313" t="s">
        <v>3</v>
      </c>
      <c r="J7727" s="350">
        <v>14.50651</v>
      </c>
      <c r="K7727" s="350">
        <v>14.303610000000001</v>
      </c>
      <c r="L7727" s="350">
        <f t="shared" si="102"/>
        <v>0.20289999999999964</v>
      </c>
      <c r="M7727" s="337"/>
    </row>
    <row r="7728" spans="1:13" s="71" customFormat="1" ht="26.4" customHeight="1">
      <c r="A7728" s="282">
        <v>126</v>
      </c>
      <c r="B7728" s="537"/>
      <c r="C7728" s="307" t="s">
        <v>9577</v>
      </c>
      <c r="D7728" s="307" t="s">
        <v>3</v>
      </c>
      <c r="E7728" s="260" t="s">
        <v>13202</v>
      </c>
      <c r="F7728" s="310">
        <v>69</v>
      </c>
      <c r="G7728" s="311">
        <v>1954</v>
      </c>
      <c r="H7728" s="329" t="s">
        <v>2658</v>
      </c>
      <c r="I7728" s="313">
        <v>810</v>
      </c>
      <c r="J7728" s="350">
        <v>26.08287</v>
      </c>
      <c r="K7728" s="350">
        <v>25.006789999999999</v>
      </c>
      <c r="L7728" s="350">
        <f t="shared" si="102"/>
        <v>1.076080000000001</v>
      </c>
      <c r="M7728" s="337"/>
    </row>
    <row r="7729" spans="1:13" s="71" customFormat="1" ht="26.4" customHeight="1">
      <c r="A7729" s="282">
        <v>127</v>
      </c>
      <c r="B7729" s="537"/>
      <c r="C7729" s="307" t="s">
        <v>9474</v>
      </c>
      <c r="D7729" s="307" t="s">
        <v>3</v>
      </c>
      <c r="E7729" s="353" t="s">
        <v>9604</v>
      </c>
      <c r="F7729" s="310">
        <v>70</v>
      </c>
      <c r="G7729" s="311">
        <v>1956</v>
      </c>
      <c r="H7729" s="329" t="s">
        <v>1149</v>
      </c>
      <c r="I7729" s="313" t="s">
        <v>9555</v>
      </c>
      <c r="J7729" s="350">
        <v>15.551460000000001</v>
      </c>
      <c r="K7729" s="350">
        <v>14.901630000000001</v>
      </c>
      <c r="L7729" s="350">
        <f t="shared" si="102"/>
        <v>0.64982999999999969</v>
      </c>
      <c r="M7729" s="337"/>
    </row>
    <row r="7730" spans="1:13" s="71" customFormat="1" ht="26.4" customHeight="1">
      <c r="A7730" s="282">
        <v>128</v>
      </c>
      <c r="B7730" s="537"/>
      <c r="C7730" s="307" t="s">
        <v>9535</v>
      </c>
      <c r="D7730" s="307" t="s">
        <v>3</v>
      </c>
      <c r="E7730" s="353" t="s">
        <v>9605</v>
      </c>
      <c r="F7730" s="310">
        <v>70</v>
      </c>
      <c r="G7730" s="311">
        <v>1954</v>
      </c>
      <c r="H7730" s="329" t="s">
        <v>3</v>
      </c>
      <c r="I7730" s="313" t="s">
        <v>3</v>
      </c>
      <c r="J7730" s="350">
        <v>14.5122</v>
      </c>
      <c r="K7730" s="350">
        <v>14.309200000000001</v>
      </c>
      <c r="L7730" s="350">
        <f t="shared" si="102"/>
        <v>0.2029999999999994</v>
      </c>
      <c r="M7730" s="337"/>
    </row>
    <row r="7731" spans="1:13" s="71" customFormat="1" ht="26.4" customHeight="1">
      <c r="A7731" s="282">
        <v>129</v>
      </c>
      <c r="B7731" s="537"/>
      <c r="C7731" s="307" t="s">
        <v>7495</v>
      </c>
      <c r="D7731" s="307" t="s">
        <v>3</v>
      </c>
      <c r="E7731" s="353" t="s">
        <v>9606</v>
      </c>
      <c r="F7731" s="310">
        <v>71</v>
      </c>
      <c r="G7731" s="311">
        <v>1956</v>
      </c>
      <c r="H7731" s="329" t="s">
        <v>1149</v>
      </c>
      <c r="I7731" s="313" t="s">
        <v>9584</v>
      </c>
      <c r="J7731" s="350">
        <v>14.621969999999999</v>
      </c>
      <c r="K7731" s="350">
        <v>13.991300000000001</v>
      </c>
      <c r="L7731" s="350">
        <f t="shared" ref="L7731:L7794" si="103">J7731-K7731</f>
        <v>0.63066999999999851</v>
      </c>
      <c r="M7731" s="337"/>
    </row>
    <row r="7732" spans="1:13" s="71" customFormat="1" ht="26.4" customHeight="1">
      <c r="A7732" s="282">
        <v>130</v>
      </c>
      <c r="B7732" s="537"/>
      <c r="C7732" s="307" t="s">
        <v>9474</v>
      </c>
      <c r="D7732" s="307" t="s">
        <v>3</v>
      </c>
      <c r="E7732" s="353" t="s">
        <v>9607</v>
      </c>
      <c r="F7732" s="310">
        <v>71</v>
      </c>
      <c r="G7732" s="311">
        <v>1954</v>
      </c>
      <c r="H7732" s="329" t="s">
        <v>3</v>
      </c>
      <c r="I7732" s="313" t="s">
        <v>3</v>
      </c>
      <c r="J7732" s="350">
        <v>14.50651</v>
      </c>
      <c r="K7732" s="350">
        <v>14.303610000000001</v>
      </c>
      <c r="L7732" s="350">
        <f t="shared" si="103"/>
        <v>0.20289999999999964</v>
      </c>
      <c r="M7732" s="337"/>
    </row>
    <row r="7733" spans="1:13" s="71" customFormat="1" ht="26.4" customHeight="1">
      <c r="A7733" s="282">
        <v>131</v>
      </c>
      <c r="B7733" s="537"/>
      <c r="C7733" s="307" t="s">
        <v>9474</v>
      </c>
      <c r="D7733" s="307" t="s">
        <v>3</v>
      </c>
      <c r="E7733" s="353" t="s">
        <v>9608</v>
      </c>
      <c r="F7733" s="310">
        <v>72</v>
      </c>
      <c r="G7733" s="311">
        <v>1956</v>
      </c>
      <c r="H7733" s="329" t="s">
        <v>1149</v>
      </c>
      <c r="I7733" s="313" t="s">
        <v>9555</v>
      </c>
      <c r="J7733" s="350">
        <v>13.682259999999999</v>
      </c>
      <c r="K7733" s="350">
        <v>13.10975</v>
      </c>
      <c r="L7733" s="350">
        <f t="shared" si="103"/>
        <v>0.57250999999999941</v>
      </c>
      <c r="M7733" s="337"/>
    </row>
    <row r="7734" spans="1:13" s="71" customFormat="1" ht="26.4" customHeight="1">
      <c r="A7734" s="282">
        <v>132</v>
      </c>
      <c r="B7734" s="537"/>
      <c r="C7734" s="307" t="s">
        <v>9474</v>
      </c>
      <c r="D7734" s="307" t="s">
        <v>3</v>
      </c>
      <c r="E7734" s="353" t="s">
        <v>9609</v>
      </c>
      <c r="F7734" s="310">
        <v>72</v>
      </c>
      <c r="G7734" s="311">
        <v>1954</v>
      </c>
      <c r="H7734" s="329" t="s">
        <v>3</v>
      </c>
      <c r="I7734" s="313" t="s">
        <v>3</v>
      </c>
      <c r="J7734" s="350">
        <v>14.50651</v>
      </c>
      <c r="K7734" s="350">
        <v>14.303610000000001</v>
      </c>
      <c r="L7734" s="350">
        <f t="shared" si="103"/>
        <v>0.20289999999999964</v>
      </c>
      <c r="M7734" s="337"/>
    </row>
    <row r="7735" spans="1:13" s="71" customFormat="1" ht="26.4" customHeight="1">
      <c r="A7735" s="282">
        <v>133</v>
      </c>
      <c r="B7735" s="537"/>
      <c r="C7735" s="307" t="s">
        <v>9453</v>
      </c>
      <c r="D7735" s="307" t="s">
        <v>3</v>
      </c>
      <c r="E7735" s="353" t="s">
        <v>9610</v>
      </c>
      <c r="F7735" s="310">
        <v>73</v>
      </c>
      <c r="G7735" s="311">
        <v>1956</v>
      </c>
      <c r="H7735" s="329" t="s">
        <v>1149</v>
      </c>
      <c r="I7735" s="313" t="s">
        <v>9584</v>
      </c>
      <c r="J7735" s="350">
        <v>10.089169999999999</v>
      </c>
      <c r="K7735" s="350">
        <v>10.089169999999999</v>
      </c>
      <c r="L7735" s="350">
        <f t="shared" si="103"/>
        <v>0</v>
      </c>
      <c r="M7735" s="337"/>
    </row>
    <row r="7736" spans="1:13" s="71" customFormat="1" ht="26.4" customHeight="1">
      <c r="A7736" s="282">
        <v>134</v>
      </c>
      <c r="B7736" s="537"/>
      <c r="C7736" s="307" t="s">
        <v>9474</v>
      </c>
      <c r="D7736" s="307" t="s">
        <v>3</v>
      </c>
      <c r="E7736" s="353" t="s">
        <v>9611</v>
      </c>
      <c r="F7736" s="310">
        <v>73</v>
      </c>
      <c r="G7736" s="311">
        <v>1954</v>
      </c>
      <c r="H7736" s="329" t="s">
        <v>3</v>
      </c>
      <c r="I7736" s="313" t="s">
        <v>3</v>
      </c>
      <c r="J7736" s="350">
        <v>14.50651</v>
      </c>
      <c r="K7736" s="350">
        <v>14.22245</v>
      </c>
      <c r="L7736" s="350">
        <f t="shared" si="103"/>
        <v>0.2840600000000002</v>
      </c>
      <c r="M7736" s="337"/>
    </row>
    <row r="7737" spans="1:13" s="71" customFormat="1" ht="26.4" customHeight="1">
      <c r="A7737" s="282">
        <v>135</v>
      </c>
      <c r="B7737" s="537"/>
      <c r="C7737" s="307" t="s">
        <v>9453</v>
      </c>
      <c r="D7737" s="307" t="s">
        <v>3</v>
      </c>
      <c r="E7737" s="353" t="s">
        <v>9612</v>
      </c>
      <c r="F7737" s="310">
        <v>74</v>
      </c>
      <c r="G7737" s="311">
        <v>1956</v>
      </c>
      <c r="H7737" s="329" t="s">
        <v>1149</v>
      </c>
      <c r="I7737" s="313" t="s">
        <v>9455</v>
      </c>
      <c r="J7737" s="350">
        <v>15.93022</v>
      </c>
      <c r="K7737" s="350">
        <v>15.2646</v>
      </c>
      <c r="L7737" s="350">
        <f t="shared" si="103"/>
        <v>0.66562000000000054</v>
      </c>
      <c r="M7737" s="337"/>
    </row>
    <row r="7738" spans="1:13" s="71" customFormat="1" ht="26.4" customHeight="1">
      <c r="A7738" s="282">
        <v>136</v>
      </c>
      <c r="B7738" s="537"/>
      <c r="C7738" s="307" t="s">
        <v>9474</v>
      </c>
      <c r="D7738" s="307" t="s">
        <v>3</v>
      </c>
      <c r="E7738" s="353" t="s">
        <v>9613</v>
      </c>
      <c r="F7738" s="310">
        <v>74</v>
      </c>
      <c r="G7738" s="311">
        <v>1954</v>
      </c>
      <c r="H7738" s="329" t="s">
        <v>3</v>
      </c>
      <c r="I7738" s="313" t="s">
        <v>3</v>
      </c>
      <c r="J7738" s="350">
        <v>13.392910000000001</v>
      </c>
      <c r="K7738" s="350">
        <v>13.190009999999999</v>
      </c>
      <c r="L7738" s="350">
        <f t="shared" si="103"/>
        <v>0.20290000000000141</v>
      </c>
      <c r="M7738" s="337"/>
    </row>
    <row r="7739" spans="1:13" s="71" customFormat="1" ht="26.4" customHeight="1">
      <c r="A7739" s="282">
        <v>137</v>
      </c>
      <c r="B7739" s="537"/>
      <c r="C7739" s="307" t="s">
        <v>9474</v>
      </c>
      <c r="D7739" s="307" t="s">
        <v>3</v>
      </c>
      <c r="E7739" s="353" t="s">
        <v>9614</v>
      </c>
      <c r="F7739" s="310">
        <v>75</v>
      </c>
      <c r="G7739" s="311">
        <v>1958</v>
      </c>
      <c r="H7739" s="329" t="s">
        <v>1149</v>
      </c>
      <c r="I7739" s="313" t="s">
        <v>9615</v>
      </c>
      <c r="J7739" s="350">
        <v>27.407489999999999</v>
      </c>
      <c r="K7739" s="350">
        <v>27.366489999999999</v>
      </c>
      <c r="L7739" s="350">
        <f t="shared" si="103"/>
        <v>4.1000000000000369E-2</v>
      </c>
      <c r="M7739" s="337"/>
    </row>
    <row r="7740" spans="1:13" s="71" customFormat="1" ht="26.4" customHeight="1">
      <c r="A7740" s="282">
        <v>138</v>
      </c>
      <c r="B7740" s="537"/>
      <c r="C7740" s="307" t="s">
        <v>9535</v>
      </c>
      <c r="D7740" s="307" t="s">
        <v>3</v>
      </c>
      <c r="E7740" s="353" t="s">
        <v>9616</v>
      </c>
      <c r="F7740" s="310">
        <v>75</v>
      </c>
      <c r="G7740" s="311">
        <v>1954</v>
      </c>
      <c r="H7740" s="329" t="s">
        <v>3</v>
      </c>
      <c r="I7740" s="313" t="s">
        <v>3</v>
      </c>
      <c r="J7740" s="350">
        <v>14.25994</v>
      </c>
      <c r="K7740" s="350">
        <v>13.95313</v>
      </c>
      <c r="L7740" s="350">
        <f t="shared" si="103"/>
        <v>0.30681000000000047</v>
      </c>
      <c r="M7740" s="337"/>
    </row>
    <row r="7741" spans="1:13" s="71" customFormat="1" ht="26.4" customHeight="1">
      <c r="A7741" s="282">
        <v>139</v>
      </c>
      <c r="B7741" s="537"/>
      <c r="C7741" s="307" t="s">
        <v>9577</v>
      </c>
      <c r="D7741" s="307" t="s">
        <v>3</v>
      </c>
      <c r="E7741" s="260" t="s">
        <v>9617</v>
      </c>
      <c r="F7741" s="310">
        <v>75</v>
      </c>
      <c r="G7741" s="311">
        <v>1955</v>
      </c>
      <c r="H7741" s="329" t="s">
        <v>631</v>
      </c>
      <c r="I7741" s="313">
        <v>1210</v>
      </c>
      <c r="J7741" s="350">
        <v>17.9039</v>
      </c>
      <c r="K7741" s="350">
        <v>14.82884</v>
      </c>
      <c r="L7741" s="350">
        <f t="shared" si="103"/>
        <v>3.0750600000000006</v>
      </c>
      <c r="M7741" s="337"/>
    </row>
    <row r="7742" spans="1:13" s="71" customFormat="1" ht="26.4" customHeight="1">
      <c r="A7742" s="282">
        <v>140</v>
      </c>
      <c r="B7742" s="537"/>
      <c r="C7742" s="307" t="s">
        <v>9552</v>
      </c>
      <c r="D7742" s="307" t="s">
        <v>9618</v>
      </c>
      <c r="E7742" s="353" t="s">
        <v>9619</v>
      </c>
      <c r="F7742" s="310">
        <v>76</v>
      </c>
      <c r="G7742" s="311">
        <v>1952</v>
      </c>
      <c r="H7742" s="329" t="s">
        <v>3</v>
      </c>
      <c r="I7742" s="313" t="s">
        <v>3</v>
      </c>
      <c r="J7742" s="350">
        <v>515.88296000000003</v>
      </c>
      <c r="K7742" s="350">
        <v>444.72230999999999</v>
      </c>
      <c r="L7742" s="350">
        <f t="shared" si="103"/>
        <v>71.160650000000032</v>
      </c>
      <c r="M7742" s="337"/>
    </row>
    <row r="7743" spans="1:13" s="71" customFormat="1" ht="26.4" customHeight="1">
      <c r="A7743" s="282">
        <v>141</v>
      </c>
      <c r="B7743" s="537"/>
      <c r="C7743" s="307" t="s">
        <v>9453</v>
      </c>
      <c r="D7743" s="307" t="s">
        <v>3</v>
      </c>
      <c r="E7743" s="353" t="s">
        <v>9620</v>
      </c>
      <c r="F7743" s="310">
        <v>76</v>
      </c>
      <c r="G7743" s="311">
        <v>1954</v>
      </c>
      <c r="H7743" s="329" t="s">
        <v>1149</v>
      </c>
      <c r="I7743" s="313" t="s">
        <v>9621</v>
      </c>
      <c r="J7743" s="350">
        <v>612.77927999999997</v>
      </c>
      <c r="K7743" s="350">
        <v>464.15604000000002</v>
      </c>
      <c r="L7743" s="350">
        <f t="shared" si="103"/>
        <v>148.62323999999995</v>
      </c>
      <c r="M7743" s="337"/>
    </row>
    <row r="7744" spans="1:13" s="71" customFormat="1" ht="26.4" customHeight="1">
      <c r="A7744" s="282">
        <v>142</v>
      </c>
      <c r="B7744" s="537"/>
      <c r="C7744" s="307" t="s">
        <v>9535</v>
      </c>
      <c r="D7744" s="307" t="s">
        <v>3</v>
      </c>
      <c r="E7744" s="353" t="s">
        <v>9622</v>
      </c>
      <c r="F7744" s="310">
        <v>76</v>
      </c>
      <c r="G7744" s="311">
        <v>1954</v>
      </c>
      <c r="H7744" s="329" t="s">
        <v>3</v>
      </c>
      <c r="I7744" s="313" t="s">
        <v>3</v>
      </c>
      <c r="J7744" s="350">
        <v>14.07741</v>
      </c>
      <c r="K7744" s="350">
        <v>14.07741</v>
      </c>
      <c r="L7744" s="350">
        <f t="shared" si="103"/>
        <v>0</v>
      </c>
      <c r="M7744" s="337"/>
    </row>
    <row r="7745" spans="1:13" s="71" customFormat="1" ht="26.4" customHeight="1">
      <c r="A7745" s="282">
        <v>143</v>
      </c>
      <c r="B7745" s="537"/>
      <c r="C7745" s="307" t="s">
        <v>9453</v>
      </c>
      <c r="D7745" s="307" t="s">
        <v>3</v>
      </c>
      <c r="E7745" s="353" t="s">
        <v>9623</v>
      </c>
      <c r="F7745" s="310">
        <v>77</v>
      </c>
      <c r="G7745" s="311">
        <v>1957</v>
      </c>
      <c r="H7745" s="329" t="s">
        <v>1149</v>
      </c>
      <c r="I7745" s="313" t="s">
        <v>9624</v>
      </c>
      <c r="J7745" s="350">
        <v>17.23433</v>
      </c>
      <c r="K7745" s="350">
        <v>14.947430000000001</v>
      </c>
      <c r="L7745" s="350">
        <f t="shared" si="103"/>
        <v>2.2868999999999993</v>
      </c>
      <c r="M7745" s="337"/>
    </row>
    <row r="7746" spans="1:13" s="71" customFormat="1" ht="26.4" customHeight="1">
      <c r="A7746" s="282">
        <v>144</v>
      </c>
      <c r="B7746" s="537"/>
      <c r="C7746" s="307" t="s">
        <v>7495</v>
      </c>
      <c r="D7746" s="307" t="s">
        <v>3</v>
      </c>
      <c r="E7746" s="353" t="s">
        <v>9625</v>
      </c>
      <c r="F7746" s="416">
        <v>77</v>
      </c>
      <c r="G7746" s="282">
        <v>1954</v>
      </c>
      <c r="H7746" s="417" t="s">
        <v>3</v>
      </c>
      <c r="I7746" s="307" t="s">
        <v>3</v>
      </c>
      <c r="J7746" s="418">
        <v>12.13758</v>
      </c>
      <c r="K7746" s="418">
        <v>8.6883099999999995</v>
      </c>
      <c r="L7746" s="418">
        <f t="shared" si="103"/>
        <v>3.4492700000000003</v>
      </c>
      <c r="M7746" s="337"/>
    </row>
    <row r="7747" spans="1:13" s="71" customFormat="1" ht="26.4" customHeight="1">
      <c r="A7747" s="282">
        <v>145</v>
      </c>
      <c r="B7747" s="537"/>
      <c r="C7747" s="307" t="s">
        <v>9577</v>
      </c>
      <c r="D7747" s="307" t="s">
        <v>3</v>
      </c>
      <c r="E7747" s="260" t="s">
        <v>9626</v>
      </c>
      <c r="F7747" s="310">
        <v>77</v>
      </c>
      <c r="G7747" s="311">
        <v>1964</v>
      </c>
      <c r="H7747" s="329" t="s">
        <v>631</v>
      </c>
      <c r="I7747" s="313">
        <v>2845</v>
      </c>
      <c r="J7747" s="350">
        <v>37.885649999999998</v>
      </c>
      <c r="K7747" s="350">
        <v>35.52816</v>
      </c>
      <c r="L7747" s="350">
        <f t="shared" si="103"/>
        <v>2.3574899999999985</v>
      </c>
      <c r="M7747" s="337"/>
    </row>
    <row r="7748" spans="1:13" s="71" customFormat="1" ht="26.4" customHeight="1">
      <c r="A7748" s="282">
        <v>146</v>
      </c>
      <c r="B7748" s="537"/>
      <c r="C7748" s="307" t="s">
        <v>9453</v>
      </c>
      <c r="D7748" s="307" t="s">
        <v>3</v>
      </c>
      <c r="E7748" s="353" t="s">
        <v>9627</v>
      </c>
      <c r="F7748" s="310">
        <v>78</v>
      </c>
      <c r="G7748" s="311">
        <v>1957</v>
      </c>
      <c r="H7748" s="329" t="s">
        <v>1149</v>
      </c>
      <c r="I7748" s="313" t="s">
        <v>9628</v>
      </c>
      <c r="J7748" s="350">
        <v>19.981839999999998</v>
      </c>
      <c r="K7748" s="350">
        <v>19.057359999999999</v>
      </c>
      <c r="L7748" s="350">
        <f t="shared" si="103"/>
        <v>0.92447999999999908</v>
      </c>
      <c r="M7748" s="337"/>
    </row>
    <row r="7749" spans="1:13" s="71" customFormat="1" ht="26.4" customHeight="1">
      <c r="A7749" s="282">
        <v>147</v>
      </c>
      <c r="B7749" s="537"/>
      <c r="C7749" s="307" t="s">
        <v>7495</v>
      </c>
      <c r="D7749" s="307" t="s">
        <v>3</v>
      </c>
      <c r="E7749" s="353" t="s">
        <v>9629</v>
      </c>
      <c r="F7749" s="310">
        <v>78</v>
      </c>
      <c r="G7749" s="311">
        <v>1954</v>
      </c>
      <c r="H7749" s="329" t="s">
        <v>3</v>
      </c>
      <c r="I7749" s="313" t="s">
        <v>3</v>
      </c>
      <c r="J7749" s="350">
        <v>9.7027900000000002</v>
      </c>
      <c r="K7749" s="350">
        <v>8.6883099999999995</v>
      </c>
      <c r="L7749" s="350">
        <f t="shared" si="103"/>
        <v>1.0144800000000007</v>
      </c>
      <c r="M7749" s="337"/>
    </row>
    <row r="7750" spans="1:13" s="71" customFormat="1" ht="26.4" customHeight="1">
      <c r="A7750" s="282">
        <v>148</v>
      </c>
      <c r="B7750" s="537"/>
      <c r="C7750" s="313" t="s">
        <v>214</v>
      </c>
      <c r="D7750" s="307" t="s">
        <v>3</v>
      </c>
      <c r="E7750" s="260" t="s">
        <v>9630</v>
      </c>
      <c r="F7750" s="310">
        <v>78</v>
      </c>
      <c r="G7750" s="311">
        <v>1991</v>
      </c>
      <c r="H7750" s="329" t="s">
        <v>631</v>
      </c>
      <c r="I7750" s="313">
        <v>4400</v>
      </c>
      <c r="J7750" s="350">
        <v>159.21397999999999</v>
      </c>
      <c r="K7750" s="350">
        <v>155.68852999999999</v>
      </c>
      <c r="L7750" s="350">
        <f t="shared" si="103"/>
        <v>3.5254500000000064</v>
      </c>
      <c r="M7750" s="337"/>
    </row>
    <row r="7751" spans="1:13" s="71" customFormat="1" ht="26.4" customHeight="1">
      <c r="A7751" s="282">
        <v>149</v>
      </c>
      <c r="B7751" s="537"/>
      <c r="C7751" s="307" t="s">
        <v>9453</v>
      </c>
      <c r="D7751" s="307" t="s">
        <v>3</v>
      </c>
      <c r="E7751" s="353" t="s">
        <v>9631</v>
      </c>
      <c r="F7751" s="310">
        <v>79</v>
      </c>
      <c r="G7751" s="311">
        <v>1954</v>
      </c>
      <c r="H7751" s="329" t="s">
        <v>1149</v>
      </c>
      <c r="I7751" s="313" t="s">
        <v>9632</v>
      </c>
      <c r="J7751" s="350">
        <v>9.0594099999999997</v>
      </c>
      <c r="K7751" s="350">
        <v>8.7146000000000008</v>
      </c>
      <c r="L7751" s="350">
        <f t="shared" si="103"/>
        <v>0.34480999999999895</v>
      </c>
      <c r="M7751" s="337"/>
    </row>
    <row r="7752" spans="1:13" s="71" customFormat="1" ht="26.4" customHeight="1">
      <c r="A7752" s="282">
        <v>150</v>
      </c>
      <c r="B7752" s="537"/>
      <c r="C7752" s="307" t="s">
        <v>7495</v>
      </c>
      <c r="D7752" s="307" t="s">
        <v>3</v>
      </c>
      <c r="E7752" s="353" t="s">
        <v>9633</v>
      </c>
      <c r="F7752" s="310">
        <v>79</v>
      </c>
      <c r="G7752" s="311">
        <v>1954</v>
      </c>
      <c r="H7752" s="329" t="s">
        <v>3</v>
      </c>
      <c r="I7752" s="313" t="s">
        <v>3</v>
      </c>
      <c r="J7752" s="350">
        <v>9.7027900000000002</v>
      </c>
      <c r="K7752" s="350">
        <v>8.6883099999999995</v>
      </c>
      <c r="L7752" s="350">
        <f t="shared" si="103"/>
        <v>1.0144800000000007</v>
      </c>
      <c r="M7752" s="337"/>
    </row>
    <row r="7753" spans="1:13" s="71" customFormat="1" ht="26.4" customHeight="1">
      <c r="A7753" s="282">
        <v>151</v>
      </c>
      <c r="B7753" s="537"/>
      <c r="C7753" s="307" t="s">
        <v>9453</v>
      </c>
      <c r="D7753" s="307" t="s">
        <v>3</v>
      </c>
      <c r="E7753" s="353" t="s">
        <v>13203</v>
      </c>
      <c r="F7753" s="310">
        <v>80</v>
      </c>
      <c r="G7753" s="311">
        <v>1957</v>
      </c>
      <c r="H7753" s="329" t="s">
        <v>1149</v>
      </c>
      <c r="I7753" s="313" t="s">
        <v>9634</v>
      </c>
      <c r="J7753" s="350">
        <v>1494.92389</v>
      </c>
      <c r="K7753" s="350">
        <v>1227.97315</v>
      </c>
      <c r="L7753" s="350">
        <f t="shared" si="103"/>
        <v>266.95074</v>
      </c>
      <c r="M7753" s="337"/>
    </row>
    <row r="7754" spans="1:13" s="71" customFormat="1" ht="26.4" customHeight="1">
      <c r="A7754" s="282">
        <v>152</v>
      </c>
      <c r="B7754" s="537"/>
      <c r="C7754" s="307" t="s">
        <v>7495</v>
      </c>
      <c r="D7754" s="307" t="s">
        <v>3</v>
      </c>
      <c r="E7754" s="353" t="s">
        <v>9635</v>
      </c>
      <c r="F7754" s="310">
        <v>80</v>
      </c>
      <c r="G7754" s="311">
        <v>1954</v>
      </c>
      <c r="H7754" s="329" t="s">
        <v>3</v>
      </c>
      <c r="I7754" s="313" t="s">
        <v>3</v>
      </c>
      <c r="J7754" s="350">
        <v>9.7027900000000002</v>
      </c>
      <c r="K7754" s="350">
        <v>8.6883099999999995</v>
      </c>
      <c r="L7754" s="350">
        <f t="shared" si="103"/>
        <v>1.0144800000000007</v>
      </c>
      <c r="M7754" s="337"/>
    </row>
    <row r="7755" spans="1:13" s="71" customFormat="1" ht="26.4" customHeight="1">
      <c r="A7755" s="282">
        <v>153</v>
      </c>
      <c r="B7755" s="537"/>
      <c r="C7755" s="307" t="s">
        <v>9453</v>
      </c>
      <c r="D7755" s="307" t="s">
        <v>3</v>
      </c>
      <c r="E7755" s="353" t="s">
        <v>13204</v>
      </c>
      <c r="F7755" s="310">
        <v>81</v>
      </c>
      <c r="G7755" s="311">
        <v>1957</v>
      </c>
      <c r="H7755" s="329" t="s">
        <v>1149</v>
      </c>
      <c r="I7755" s="313" t="s">
        <v>9636</v>
      </c>
      <c r="J7755" s="350">
        <v>11.51824</v>
      </c>
      <c r="K7755" s="350">
        <v>10.985060000000001</v>
      </c>
      <c r="L7755" s="350">
        <f t="shared" si="103"/>
        <v>0.53317999999999977</v>
      </c>
      <c r="M7755" s="337"/>
    </row>
    <row r="7756" spans="1:13" s="71" customFormat="1" ht="26.4" customHeight="1">
      <c r="A7756" s="282">
        <v>154</v>
      </c>
      <c r="B7756" s="537"/>
      <c r="C7756" s="307" t="s">
        <v>7495</v>
      </c>
      <c r="D7756" s="307" t="s">
        <v>3</v>
      </c>
      <c r="E7756" s="353" t="s">
        <v>9637</v>
      </c>
      <c r="F7756" s="310">
        <v>81</v>
      </c>
      <c r="G7756" s="311">
        <v>1954</v>
      </c>
      <c r="H7756" s="329" t="s">
        <v>3</v>
      </c>
      <c r="I7756" s="313" t="s">
        <v>3</v>
      </c>
      <c r="J7756" s="350">
        <v>12.13758</v>
      </c>
      <c r="K7756" s="350">
        <v>8.6883099999999995</v>
      </c>
      <c r="L7756" s="350">
        <f t="shared" si="103"/>
        <v>3.4492700000000003</v>
      </c>
      <c r="M7756" s="337"/>
    </row>
    <row r="7757" spans="1:13" s="71" customFormat="1" ht="26.4" customHeight="1">
      <c r="A7757" s="282">
        <v>155</v>
      </c>
      <c r="B7757" s="537"/>
      <c r="C7757" s="307" t="s">
        <v>9453</v>
      </c>
      <c r="D7757" s="307" t="s">
        <v>3</v>
      </c>
      <c r="E7757" s="353" t="s">
        <v>9638</v>
      </c>
      <c r="F7757" s="310">
        <v>82</v>
      </c>
      <c r="G7757" s="311">
        <v>1954</v>
      </c>
      <c r="H7757" s="329" t="s">
        <v>1149</v>
      </c>
      <c r="I7757" s="313" t="s">
        <v>9639</v>
      </c>
      <c r="J7757" s="350">
        <v>8.0758100000000006</v>
      </c>
      <c r="K7757" s="350">
        <v>7.8569300000000002</v>
      </c>
      <c r="L7757" s="350">
        <f t="shared" si="103"/>
        <v>0.21888000000000041</v>
      </c>
      <c r="M7757" s="337"/>
    </row>
    <row r="7758" spans="1:13" s="71" customFormat="1" ht="26.4" customHeight="1">
      <c r="A7758" s="282">
        <v>156</v>
      </c>
      <c r="B7758" s="537"/>
      <c r="C7758" s="307" t="s">
        <v>7495</v>
      </c>
      <c r="D7758" s="307" t="s">
        <v>3</v>
      </c>
      <c r="E7758" s="353" t="s">
        <v>9640</v>
      </c>
      <c r="F7758" s="310">
        <v>82</v>
      </c>
      <c r="G7758" s="311">
        <v>1954</v>
      </c>
      <c r="H7758" s="329" t="s">
        <v>3</v>
      </c>
      <c r="I7758" s="313" t="s">
        <v>3</v>
      </c>
      <c r="J7758" s="350">
        <v>9.7027900000000002</v>
      </c>
      <c r="K7758" s="350">
        <v>8.6883099999999995</v>
      </c>
      <c r="L7758" s="350">
        <f t="shared" si="103"/>
        <v>1.0144800000000007</v>
      </c>
      <c r="M7758" s="337"/>
    </row>
    <row r="7759" spans="1:13" s="71" customFormat="1" ht="26.4" customHeight="1">
      <c r="A7759" s="282">
        <v>157</v>
      </c>
      <c r="B7759" s="537"/>
      <c r="C7759" s="307" t="s">
        <v>9453</v>
      </c>
      <c r="D7759" s="307" t="s">
        <v>3</v>
      </c>
      <c r="E7759" s="353" t="s">
        <v>9641</v>
      </c>
      <c r="F7759" s="310">
        <v>83</v>
      </c>
      <c r="G7759" s="311">
        <v>1954</v>
      </c>
      <c r="H7759" s="329" t="s">
        <v>1149</v>
      </c>
      <c r="I7759" s="313" t="s">
        <v>9639</v>
      </c>
      <c r="J7759" s="350">
        <v>8.48203</v>
      </c>
      <c r="K7759" s="350">
        <v>8.1591100000000001</v>
      </c>
      <c r="L7759" s="350">
        <f t="shared" si="103"/>
        <v>0.32291999999999987</v>
      </c>
      <c r="M7759" s="337"/>
    </row>
    <row r="7760" spans="1:13" s="71" customFormat="1" ht="26.4" customHeight="1">
      <c r="A7760" s="282">
        <v>158</v>
      </c>
      <c r="B7760" s="537"/>
      <c r="C7760" s="307" t="s">
        <v>7495</v>
      </c>
      <c r="D7760" s="307" t="s">
        <v>3</v>
      </c>
      <c r="E7760" s="353" t="s">
        <v>9642</v>
      </c>
      <c r="F7760" s="310">
        <v>83</v>
      </c>
      <c r="G7760" s="311">
        <v>1954</v>
      </c>
      <c r="H7760" s="329" t="s">
        <v>3</v>
      </c>
      <c r="I7760" s="313" t="s">
        <v>3</v>
      </c>
      <c r="J7760" s="350">
        <v>9.7027900000000002</v>
      </c>
      <c r="K7760" s="350">
        <v>8.6883099999999995</v>
      </c>
      <c r="L7760" s="350">
        <f t="shared" si="103"/>
        <v>1.0144800000000007</v>
      </c>
      <c r="M7760" s="337"/>
    </row>
    <row r="7761" spans="1:13" s="71" customFormat="1" ht="26.4" customHeight="1">
      <c r="A7761" s="282">
        <v>159</v>
      </c>
      <c r="B7761" s="537"/>
      <c r="C7761" s="313" t="s">
        <v>214</v>
      </c>
      <c r="D7761" s="307" t="s">
        <v>3</v>
      </c>
      <c r="E7761" s="260" t="s">
        <v>9643</v>
      </c>
      <c r="F7761" s="310">
        <v>83</v>
      </c>
      <c r="G7761" s="311">
        <v>1984</v>
      </c>
      <c r="H7761" s="329" t="s">
        <v>2658</v>
      </c>
      <c r="I7761" s="313">
        <v>2000</v>
      </c>
      <c r="J7761" s="350">
        <v>9.63002</v>
      </c>
      <c r="K7761" s="350">
        <v>9.1296999999999997</v>
      </c>
      <c r="L7761" s="350">
        <f t="shared" si="103"/>
        <v>0.50032000000000032</v>
      </c>
      <c r="M7761" s="337"/>
    </row>
    <row r="7762" spans="1:13" s="71" customFormat="1" ht="26.4" customHeight="1">
      <c r="A7762" s="282">
        <v>160</v>
      </c>
      <c r="B7762" s="537"/>
      <c r="C7762" s="307" t="s">
        <v>9453</v>
      </c>
      <c r="D7762" s="307" t="s">
        <v>3</v>
      </c>
      <c r="E7762" s="353" t="s">
        <v>9644</v>
      </c>
      <c r="F7762" s="310">
        <v>84</v>
      </c>
      <c r="G7762" s="311">
        <v>1954</v>
      </c>
      <c r="H7762" s="329" t="s">
        <v>1149</v>
      </c>
      <c r="I7762" s="313" t="s">
        <v>9639</v>
      </c>
      <c r="J7762" s="350">
        <v>8.0758100000000006</v>
      </c>
      <c r="K7762" s="350">
        <v>7.8569300000000002</v>
      </c>
      <c r="L7762" s="350">
        <f t="shared" si="103"/>
        <v>0.21888000000000041</v>
      </c>
      <c r="M7762" s="337"/>
    </row>
    <row r="7763" spans="1:13" s="71" customFormat="1" ht="26.4" customHeight="1">
      <c r="A7763" s="282">
        <v>161</v>
      </c>
      <c r="B7763" s="537"/>
      <c r="C7763" s="307" t="s">
        <v>9474</v>
      </c>
      <c r="D7763" s="307" t="s">
        <v>3</v>
      </c>
      <c r="E7763" s="353" t="s">
        <v>9645</v>
      </c>
      <c r="F7763" s="310">
        <v>84</v>
      </c>
      <c r="G7763" s="311">
        <v>1954</v>
      </c>
      <c r="H7763" s="329" t="s">
        <v>3</v>
      </c>
      <c r="I7763" s="313" t="s">
        <v>3</v>
      </c>
      <c r="J7763" s="350">
        <v>14.572380000000001</v>
      </c>
      <c r="K7763" s="350">
        <v>14.369479999999999</v>
      </c>
      <c r="L7763" s="350">
        <f t="shared" si="103"/>
        <v>0.20290000000000141</v>
      </c>
      <c r="M7763" s="337"/>
    </row>
    <row r="7764" spans="1:13" s="71" customFormat="1" ht="26.4" customHeight="1">
      <c r="A7764" s="282">
        <v>162</v>
      </c>
      <c r="B7764" s="537"/>
      <c r="C7764" s="307" t="s">
        <v>7495</v>
      </c>
      <c r="D7764" s="307" t="s">
        <v>3</v>
      </c>
      <c r="E7764" s="353" t="s">
        <v>9646</v>
      </c>
      <c r="F7764" s="310">
        <v>85</v>
      </c>
      <c r="G7764" s="311">
        <v>1954</v>
      </c>
      <c r="H7764" s="329" t="s">
        <v>1149</v>
      </c>
      <c r="I7764" s="313" t="s">
        <v>9639</v>
      </c>
      <c r="J7764" s="350">
        <v>7.6380499999999998</v>
      </c>
      <c r="K7764" s="350">
        <v>7.6380499999999998</v>
      </c>
      <c r="L7764" s="350">
        <f t="shared" si="103"/>
        <v>0</v>
      </c>
      <c r="M7764" s="337"/>
    </row>
    <row r="7765" spans="1:13" s="71" customFormat="1" ht="26.4" customHeight="1">
      <c r="A7765" s="282">
        <v>163</v>
      </c>
      <c r="B7765" s="537"/>
      <c r="C7765" s="307" t="s">
        <v>9474</v>
      </c>
      <c r="D7765" s="307" t="s">
        <v>3</v>
      </c>
      <c r="E7765" s="353" t="s">
        <v>9647</v>
      </c>
      <c r="F7765" s="310">
        <v>85</v>
      </c>
      <c r="G7765" s="311">
        <v>1954</v>
      </c>
      <c r="H7765" s="329" t="s">
        <v>3</v>
      </c>
      <c r="I7765" s="313" t="s">
        <v>3</v>
      </c>
      <c r="J7765" s="350">
        <v>14.019550000000001</v>
      </c>
      <c r="K7765" s="350">
        <v>14.019550000000001</v>
      </c>
      <c r="L7765" s="350">
        <f t="shared" si="103"/>
        <v>0</v>
      </c>
      <c r="M7765" s="337"/>
    </row>
    <row r="7766" spans="1:13" s="71" customFormat="1" ht="26.4" customHeight="1">
      <c r="A7766" s="282">
        <v>164</v>
      </c>
      <c r="B7766" s="537"/>
      <c r="C7766" s="307" t="s">
        <v>9648</v>
      </c>
      <c r="D7766" s="307" t="s">
        <v>9649</v>
      </c>
      <c r="E7766" s="353" t="s">
        <v>9650</v>
      </c>
      <c r="F7766" s="310">
        <v>86</v>
      </c>
      <c r="G7766" s="311">
        <v>1954</v>
      </c>
      <c r="H7766" s="329" t="s">
        <v>1149</v>
      </c>
      <c r="I7766" s="313" t="s">
        <v>9651</v>
      </c>
      <c r="J7766" s="350">
        <v>5.1566200000000002</v>
      </c>
      <c r="K7766" s="350">
        <v>5.0300799999999999</v>
      </c>
      <c r="L7766" s="350">
        <f t="shared" si="103"/>
        <v>0.12654000000000032</v>
      </c>
      <c r="M7766" s="337"/>
    </row>
    <row r="7767" spans="1:13" s="71" customFormat="1" ht="26.4" customHeight="1">
      <c r="A7767" s="282">
        <v>165</v>
      </c>
      <c r="B7767" s="537"/>
      <c r="C7767" s="307" t="s">
        <v>7495</v>
      </c>
      <c r="D7767" s="307" t="s">
        <v>3</v>
      </c>
      <c r="E7767" s="353" t="s">
        <v>9652</v>
      </c>
      <c r="F7767" s="310">
        <v>86</v>
      </c>
      <c r="G7767" s="311">
        <v>1954</v>
      </c>
      <c r="H7767" s="329" t="s">
        <v>3</v>
      </c>
      <c r="I7767" s="313" t="s">
        <v>3</v>
      </c>
      <c r="J7767" s="350">
        <v>12.13758</v>
      </c>
      <c r="K7767" s="350">
        <v>8.6883099999999995</v>
      </c>
      <c r="L7767" s="350">
        <f t="shared" si="103"/>
        <v>3.4492700000000003</v>
      </c>
      <c r="M7767" s="337"/>
    </row>
    <row r="7768" spans="1:13" s="71" customFormat="1" ht="26.4" customHeight="1">
      <c r="A7768" s="282">
        <v>166</v>
      </c>
      <c r="B7768" s="537"/>
      <c r="C7768" s="313" t="s">
        <v>214</v>
      </c>
      <c r="D7768" s="313" t="s">
        <v>9653</v>
      </c>
      <c r="E7768" s="444" t="s">
        <v>9654</v>
      </c>
      <c r="F7768" s="310">
        <v>86</v>
      </c>
      <c r="G7768" s="311">
        <v>1954</v>
      </c>
      <c r="H7768" s="329" t="s">
        <v>2658</v>
      </c>
      <c r="I7768" s="313">
        <v>422</v>
      </c>
      <c r="J7768" s="350">
        <v>44.398650000000004</v>
      </c>
      <c r="K7768" s="350">
        <v>39.681150000000002</v>
      </c>
      <c r="L7768" s="350">
        <f t="shared" si="103"/>
        <v>4.7175000000000011</v>
      </c>
      <c r="M7768" s="337"/>
    </row>
    <row r="7769" spans="1:13" s="71" customFormat="1" ht="26.4" customHeight="1">
      <c r="A7769" s="282">
        <v>167</v>
      </c>
      <c r="B7769" s="537"/>
      <c r="C7769" s="307" t="s">
        <v>21</v>
      </c>
      <c r="D7769" s="313" t="s">
        <v>9655</v>
      </c>
      <c r="E7769" s="353" t="s">
        <v>9656</v>
      </c>
      <c r="F7769" s="310">
        <v>87</v>
      </c>
      <c r="G7769" s="311">
        <v>1963</v>
      </c>
      <c r="H7769" s="329" t="s">
        <v>1149</v>
      </c>
      <c r="I7769" s="313" t="s">
        <v>9657</v>
      </c>
      <c r="J7769" s="350">
        <v>5.2645</v>
      </c>
      <c r="K7769" s="350">
        <v>5.1219400000000004</v>
      </c>
      <c r="L7769" s="350">
        <f t="shared" si="103"/>
        <v>0.14255999999999958</v>
      </c>
      <c r="M7769" s="337"/>
    </row>
    <row r="7770" spans="1:13" s="71" customFormat="1" ht="26.4" customHeight="1">
      <c r="A7770" s="282">
        <v>168</v>
      </c>
      <c r="B7770" s="537"/>
      <c r="C7770" s="307" t="s">
        <v>7495</v>
      </c>
      <c r="D7770" s="307" t="s">
        <v>3</v>
      </c>
      <c r="E7770" s="353" t="s">
        <v>9658</v>
      </c>
      <c r="F7770" s="310">
        <v>87</v>
      </c>
      <c r="G7770" s="311">
        <v>1954</v>
      </c>
      <c r="H7770" s="329" t="s">
        <v>3</v>
      </c>
      <c r="I7770" s="313" t="s">
        <v>3</v>
      </c>
      <c r="J7770" s="350">
        <v>9.7027900000000002</v>
      </c>
      <c r="K7770" s="350">
        <v>8.6883099999999995</v>
      </c>
      <c r="L7770" s="350">
        <f t="shared" si="103"/>
        <v>1.0144800000000007</v>
      </c>
      <c r="M7770" s="337"/>
    </row>
    <row r="7771" spans="1:13" s="71" customFormat="1" ht="26.4" customHeight="1">
      <c r="A7771" s="282">
        <v>169</v>
      </c>
      <c r="B7771" s="537"/>
      <c r="C7771" s="313" t="s">
        <v>214</v>
      </c>
      <c r="D7771" s="313" t="s">
        <v>9653</v>
      </c>
      <c r="E7771" s="444" t="s">
        <v>9659</v>
      </c>
      <c r="F7771" s="310">
        <v>87</v>
      </c>
      <c r="G7771" s="311">
        <v>1954</v>
      </c>
      <c r="H7771" s="329" t="s">
        <v>2658</v>
      </c>
      <c r="I7771" s="313">
        <v>208</v>
      </c>
      <c r="J7771" s="350">
        <v>34.66536</v>
      </c>
      <c r="K7771" s="350">
        <v>30.982140000000001</v>
      </c>
      <c r="L7771" s="350">
        <f t="shared" si="103"/>
        <v>3.6832199999999986</v>
      </c>
      <c r="M7771" s="337"/>
    </row>
    <row r="7772" spans="1:13" s="71" customFormat="1" ht="26.4" customHeight="1">
      <c r="A7772" s="282">
        <v>170</v>
      </c>
      <c r="B7772" s="537"/>
      <c r="C7772" s="313" t="s">
        <v>9660</v>
      </c>
      <c r="D7772" s="356" t="s">
        <v>12639</v>
      </c>
      <c r="E7772" s="353" t="s">
        <v>9661</v>
      </c>
      <c r="F7772" s="310">
        <v>88</v>
      </c>
      <c r="G7772" s="311">
        <v>1963</v>
      </c>
      <c r="H7772" s="329" t="s">
        <v>1149</v>
      </c>
      <c r="I7772" s="313" t="s">
        <v>9662</v>
      </c>
      <c r="J7772" s="350">
        <v>78.722809999999996</v>
      </c>
      <c r="K7772" s="350">
        <v>19.332100000000001</v>
      </c>
      <c r="L7772" s="350">
        <f t="shared" si="103"/>
        <v>59.390709999999999</v>
      </c>
      <c r="M7772" s="337"/>
    </row>
    <row r="7773" spans="1:13" s="71" customFormat="1" ht="26.4" customHeight="1">
      <c r="A7773" s="282">
        <v>171</v>
      </c>
      <c r="B7773" s="537"/>
      <c r="C7773" s="307" t="s">
        <v>9474</v>
      </c>
      <c r="D7773" s="356" t="s">
        <v>3</v>
      </c>
      <c r="E7773" s="353" t="s">
        <v>9663</v>
      </c>
      <c r="F7773" s="310">
        <v>88</v>
      </c>
      <c r="G7773" s="311">
        <v>1954</v>
      </c>
      <c r="H7773" s="329" t="s">
        <v>3</v>
      </c>
      <c r="I7773" s="313" t="s">
        <v>3</v>
      </c>
      <c r="J7773" s="350">
        <v>9.7027900000000002</v>
      </c>
      <c r="K7773" s="350">
        <v>8.7288899999999998</v>
      </c>
      <c r="L7773" s="350">
        <f t="shared" si="103"/>
        <v>0.97390000000000043</v>
      </c>
      <c r="M7773" s="337"/>
    </row>
    <row r="7774" spans="1:13" s="71" customFormat="1" ht="26.4" customHeight="1">
      <c r="A7774" s="282">
        <v>172</v>
      </c>
      <c r="B7774" s="537"/>
      <c r="C7774" s="307" t="s">
        <v>214</v>
      </c>
      <c r="D7774" s="313" t="s">
        <v>9653</v>
      </c>
      <c r="E7774" s="260" t="s">
        <v>9664</v>
      </c>
      <c r="F7774" s="310">
        <v>88</v>
      </c>
      <c r="G7774" s="311">
        <v>1971</v>
      </c>
      <c r="H7774" s="329" t="s">
        <v>2658</v>
      </c>
      <c r="I7774" s="313">
        <v>3260</v>
      </c>
      <c r="J7774" s="350">
        <v>547.04327000000001</v>
      </c>
      <c r="K7774" s="350">
        <v>459.80281000000002</v>
      </c>
      <c r="L7774" s="350">
        <f t="shared" si="103"/>
        <v>87.240459999999985</v>
      </c>
      <c r="M7774" s="337"/>
    </row>
    <row r="7775" spans="1:13" s="71" customFormat="1" ht="26.4" customHeight="1">
      <c r="A7775" s="282">
        <v>173</v>
      </c>
      <c r="B7775" s="537"/>
      <c r="C7775" s="307" t="s">
        <v>21</v>
      </c>
      <c r="D7775" s="313" t="s">
        <v>9557</v>
      </c>
      <c r="E7775" s="353" t="s">
        <v>9665</v>
      </c>
      <c r="F7775" s="310">
        <v>89</v>
      </c>
      <c r="G7775" s="311">
        <v>1963</v>
      </c>
      <c r="H7775" s="329" t="s">
        <v>1149</v>
      </c>
      <c r="I7775" s="313" t="s">
        <v>20</v>
      </c>
      <c r="J7775" s="350">
        <v>8.2650299999999994</v>
      </c>
      <c r="K7775" s="350">
        <v>8.2650299999999994</v>
      </c>
      <c r="L7775" s="350">
        <f t="shared" si="103"/>
        <v>0</v>
      </c>
      <c r="M7775" s="337"/>
    </row>
    <row r="7776" spans="1:13" s="71" customFormat="1" ht="26.4" customHeight="1">
      <c r="A7776" s="282">
        <v>174</v>
      </c>
      <c r="B7776" s="537"/>
      <c r="C7776" s="307" t="s">
        <v>9474</v>
      </c>
      <c r="D7776" s="307" t="s">
        <v>3</v>
      </c>
      <c r="E7776" s="353" t="s">
        <v>9666</v>
      </c>
      <c r="F7776" s="310">
        <v>89</v>
      </c>
      <c r="G7776" s="311">
        <v>1954</v>
      </c>
      <c r="H7776" s="329" t="s">
        <v>3</v>
      </c>
      <c r="I7776" s="313" t="s">
        <v>3</v>
      </c>
      <c r="J7776" s="350">
        <v>9.7027900000000002</v>
      </c>
      <c r="K7776" s="350">
        <v>8.7288899999999998</v>
      </c>
      <c r="L7776" s="350">
        <f t="shared" si="103"/>
        <v>0.97390000000000043</v>
      </c>
      <c r="M7776" s="337"/>
    </row>
    <row r="7777" spans="1:13" s="71" customFormat="1" ht="26.4" customHeight="1">
      <c r="A7777" s="282">
        <v>175</v>
      </c>
      <c r="B7777" s="537"/>
      <c r="C7777" s="307" t="s">
        <v>9477</v>
      </c>
      <c r="D7777" s="307" t="s">
        <v>3</v>
      </c>
      <c r="E7777" s="260" t="s">
        <v>9667</v>
      </c>
      <c r="F7777" s="310">
        <v>89</v>
      </c>
      <c r="G7777" s="311">
        <v>1974</v>
      </c>
      <c r="H7777" s="329" t="s">
        <v>3</v>
      </c>
      <c r="I7777" s="313" t="s">
        <v>3</v>
      </c>
      <c r="J7777" s="350">
        <v>57.889159999999997</v>
      </c>
      <c r="K7777" s="350">
        <v>45.989960000000004</v>
      </c>
      <c r="L7777" s="350">
        <f t="shared" si="103"/>
        <v>11.899199999999993</v>
      </c>
      <c r="M7777" s="337"/>
    </row>
    <row r="7778" spans="1:13" s="71" customFormat="1" ht="26.4" customHeight="1">
      <c r="A7778" s="282">
        <v>176</v>
      </c>
      <c r="B7778" s="537"/>
      <c r="C7778" s="307" t="s">
        <v>21</v>
      </c>
      <c r="D7778" s="313" t="s">
        <v>9557</v>
      </c>
      <c r="E7778" s="353" t="s">
        <v>9668</v>
      </c>
      <c r="F7778" s="310">
        <v>90</v>
      </c>
      <c r="G7778" s="311">
        <v>1963</v>
      </c>
      <c r="H7778" s="329" t="s">
        <v>1149</v>
      </c>
      <c r="I7778" s="313" t="s">
        <v>9669</v>
      </c>
      <c r="J7778" s="350">
        <v>1.7593700000000001</v>
      </c>
      <c r="K7778" s="350">
        <v>1.69265</v>
      </c>
      <c r="L7778" s="350">
        <f t="shared" si="103"/>
        <v>6.6720000000000113E-2</v>
      </c>
      <c r="M7778" s="337"/>
    </row>
    <row r="7779" spans="1:13" s="71" customFormat="1" ht="26.4" customHeight="1">
      <c r="A7779" s="282">
        <v>177</v>
      </c>
      <c r="B7779" s="537"/>
      <c r="C7779" s="307" t="s">
        <v>9560</v>
      </c>
      <c r="D7779" s="307" t="s">
        <v>3</v>
      </c>
      <c r="E7779" s="353" t="s">
        <v>9670</v>
      </c>
      <c r="F7779" s="310">
        <v>90</v>
      </c>
      <c r="G7779" s="311">
        <v>1954</v>
      </c>
      <c r="H7779" s="329" t="s">
        <v>3</v>
      </c>
      <c r="I7779" s="313" t="s">
        <v>3</v>
      </c>
      <c r="J7779" s="350">
        <v>9.7027900000000002</v>
      </c>
      <c r="K7779" s="350">
        <v>9.7027900000000002</v>
      </c>
      <c r="L7779" s="350">
        <f t="shared" si="103"/>
        <v>0</v>
      </c>
      <c r="M7779" s="337"/>
    </row>
    <row r="7780" spans="1:13" s="71" customFormat="1" ht="26.4" customHeight="1">
      <c r="A7780" s="282">
        <v>178</v>
      </c>
      <c r="B7780" s="537"/>
      <c r="C7780" s="307" t="s">
        <v>9477</v>
      </c>
      <c r="D7780" s="307" t="s">
        <v>3</v>
      </c>
      <c r="E7780" s="260" t="s">
        <v>9671</v>
      </c>
      <c r="F7780" s="310">
        <v>90</v>
      </c>
      <c r="G7780" s="311">
        <v>1974</v>
      </c>
      <c r="H7780" s="329" t="s">
        <v>2658</v>
      </c>
      <c r="I7780" s="313">
        <v>325</v>
      </c>
      <c r="J7780" s="350">
        <v>59.768549999999998</v>
      </c>
      <c r="K7780" s="350">
        <v>47.483069999999998</v>
      </c>
      <c r="L7780" s="350">
        <f t="shared" si="103"/>
        <v>12.28548</v>
      </c>
      <c r="M7780" s="337"/>
    </row>
    <row r="7781" spans="1:13" s="71" customFormat="1" ht="26.4" customHeight="1">
      <c r="A7781" s="282">
        <v>179</v>
      </c>
      <c r="B7781" s="537"/>
      <c r="C7781" s="307" t="s">
        <v>7495</v>
      </c>
      <c r="D7781" s="307" t="s">
        <v>3</v>
      </c>
      <c r="E7781" s="353" t="s">
        <v>9672</v>
      </c>
      <c r="F7781" s="310">
        <v>91</v>
      </c>
      <c r="G7781" s="311">
        <v>1954</v>
      </c>
      <c r="H7781" s="329" t="s">
        <v>3</v>
      </c>
      <c r="I7781" s="313" t="s">
        <v>3</v>
      </c>
      <c r="J7781" s="350">
        <v>9.7027900000000002</v>
      </c>
      <c r="K7781" s="350">
        <v>9.7027900000000002</v>
      </c>
      <c r="L7781" s="350">
        <f t="shared" si="103"/>
        <v>0</v>
      </c>
      <c r="M7781" s="337"/>
    </row>
    <row r="7782" spans="1:13" s="71" customFormat="1" ht="26.4" customHeight="1">
      <c r="A7782" s="282">
        <v>180</v>
      </c>
      <c r="B7782" s="537"/>
      <c r="C7782" s="307" t="s">
        <v>9474</v>
      </c>
      <c r="D7782" s="307" t="s">
        <v>3</v>
      </c>
      <c r="E7782" s="260" t="s">
        <v>9673</v>
      </c>
      <c r="F7782" s="310">
        <v>91</v>
      </c>
      <c r="G7782" s="311">
        <v>1974</v>
      </c>
      <c r="H7782" s="329" t="s">
        <v>2658</v>
      </c>
      <c r="I7782" s="313">
        <v>134</v>
      </c>
      <c r="J7782" s="350">
        <v>14.592739999999999</v>
      </c>
      <c r="K7782" s="350">
        <v>11.59352</v>
      </c>
      <c r="L7782" s="350">
        <f t="shared" si="103"/>
        <v>2.9992199999999993</v>
      </c>
      <c r="M7782" s="337"/>
    </row>
    <row r="7783" spans="1:13" s="71" customFormat="1" ht="26.4" customHeight="1">
      <c r="A7783" s="282">
        <v>181</v>
      </c>
      <c r="B7783" s="537"/>
      <c r="C7783" s="307" t="s">
        <v>9474</v>
      </c>
      <c r="D7783" s="307" t="s">
        <v>3</v>
      </c>
      <c r="E7783" s="353" t="s">
        <v>9674</v>
      </c>
      <c r="F7783" s="310">
        <v>92</v>
      </c>
      <c r="G7783" s="311">
        <v>1954</v>
      </c>
      <c r="H7783" s="329" t="s">
        <v>3</v>
      </c>
      <c r="I7783" s="313" t="s">
        <v>3</v>
      </c>
      <c r="J7783" s="350">
        <v>12.13758</v>
      </c>
      <c r="K7783" s="350">
        <v>8.6883099999999995</v>
      </c>
      <c r="L7783" s="350">
        <f t="shared" si="103"/>
        <v>3.4492700000000003</v>
      </c>
      <c r="M7783" s="337"/>
    </row>
    <row r="7784" spans="1:13" s="71" customFormat="1" ht="26.4" customHeight="1">
      <c r="A7784" s="282">
        <v>182</v>
      </c>
      <c r="B7784" s="537"/>
      <c r="C7784" s="307" t="s">
        <v>9477</v>
      </c>
      <c r="D7784" s="307" t="s">
        <v>3</v>
      </c>
      <c r="E7784" s="260" t="s">
        <v>9675</v>
      </c>
      <c r="F7784" s="310">
        <v>92</v>
      </c>
      <c r="G7784" s="311">
        <v>1974</v>
      </c>
      <c r="H7784" s="329" t="s">
        <v>2658</v>
      </c>
      <c r="I7784" s="313">
        <v>265</v>
      </c>
      <c r="J7784" s="350">
        <v>28.758700000000001</v>
      </c>
      <c r="K7784" s="350">
        <v>22.84684</v>
      </c>
      <c r="L7784" s="350">
        <f t="shared" si="103"/>
        <v>5.9118600000000008</v>
      </c>
      <c r="M7784" s="337"/>
    </row>
    <row r="7785" spans="1:13" s="71" customFormat="1" ht="26.4" customHeight="1">
      <c r="A7785" s="282">
        <v>183</v>
      </c>
      <c r="B7785" s="537"/>
      <c r="C7785" s="307" t="s">
        <v>9474</v>
      </c>
      <c r="D7785" s="307" t="s">
        <v>3</v>
      </c>
      <c r="E7785" s="353" t="s">
        <v>9676</v>
      </c>
      <c r="F7785" s="310">
        <v>93</v>
      </c>
      <c r="G7785" s="311">
        <v>1954</v>
      </c>
      <c r="H7785" s="329" t="s">
        <v>3</v>
      </c>
      <c r="I7785" s="313" t="s">
        <v>3</v>
      </c>
      <c r="J7785" s="350">
        <v>14.50651</v>
      </c>
      <c r="K7785" s="350">
        <v>14.22245</v>
      </c>
      <c r="L7785" s="350">
        <f t="shared" si="103"/>
        <v>0.2840600000000002</v>
      </c>
      <c r="M7785" s="337"/>
    </row>
    <row r="7786" spans="1:13" s="71" customFormat="1" ht="26.4" customHeight="1">
      <c r="A7786" s="282">
        <v>184</v>
      </c>
      <c r="B7786" s="537"/>
      <c r="C7786" s="307" t="s">
        <v>9677</v>
      </c>
      <c r="D7786" s="307" t="s">
        <v>3</v>
      </c>
      <c r="E7786" s="260" t="s">
        <v>9678</v>
      </c>
      <c r="F7786" s="310">
        <v>93</v>
      </c>
      <c r="G7786" s="311">
        <v>1974</v>
      </c>
      <c r="H7786" s="329" t="s">
        <v>2658</v>
      </c>
      <c r="I7786" s="313">
        <v>114</v>
      </c>
      <c r="J7786" s="350">
        <v>3.5328400000000002</v>
      </c>
      <c r="K7786" s="350">
        <v>2.8069000000000002</v>
      </c>
      <c r="L7786" s="350">
        <f t="shared" si="103"/>
        <v>0.72594000000000003</v>
      </c>
      <c r="M7786" s="337"/>
    </row>
    <row r="7787" spans="1:13" s="71" customFormat="1" ht="26.4" customHeight="1">
      <c r="A7787" s="282">
        <v>185</v>
      </c>
      <c r="B7787" s="537"/>
      <c r="C7787" s="307" t="s">
        <v>9453</v>
      </c>
      <c r="D7787" s="307" t="s">
        <v>3</v>
      </c>
      <c r="E7787" s="353" t="s">
        <v>9679</v>
      </c>
      <c r="F7787" s="310">
        <v>94</v>
      </c>
      <c r="G7787" s="311">
        <v>1958</v>
      </c>
      <c r="H7787" s="329" t="s">
        <v>1149</v>
      </c>
      <c r="I7787" s="313" t="s">
        <v>5298</v>
      </c>
      <c r="J7787" s="350">
        <v>316.10620999999998</v>
      </c>
      <c r="K7787" s="350">
        <v>316.10620999999998</v>
      </c>
      <c r="L7787" s="350">
        <f t="shared" si="103"/>
        <v>0</v>
      </c>
      <c r="M7787" s="337"/>
    </row>
    <row r="7788" spans="1:13" s="71" customFormat="1" ht="26.4" customHeight="1">
      <c r="A7788" s="282">
        <v>186</v>
      </c>
      <c r="B7788" s="537"/>
      <c r="C7788" s="307" t="s">
        <v>9477</v>
      </c>
      <c r="D7788" s="307" t="s">
        <v>3</v>
      </c>
      <c r="E7788" s="260" t="s">
        <v>9680</v>
      </c>
      <c r="F7788" s="310">
        <v>94</v>
      </c>
      <c r="G7788" s="311">
        <v>1974</v>
      </c>
      <c r="H7788" s="329" t="s">
        <v>2658</v>
      </c>
      <c r="I7788" s="313">
        <v>18</v>
      </c>
      <c r="J7788" s="350">
        <v>0.98607</v>
      </c>
      <c r="K7788" s="350">
        <v>0.87729000000000001</v>
      </c>
      <c r="L7788" s="350">
        <f t="shared" si="103"/>
        <v>0.10877999999999999</v>
      </c>
      <c r="M7788" s="337"/>
    </row>
    <row r="7789" spans="1:13" s="71" customFormat="1" ht="26.4" customHeight="1">
      <c r="A7789" s="282">
        <v>187</v>
      </c>
      <c r="B7789" s="537"/>
      <c r="C7789" s="307" t="s">
        <v>9453</v>
      </c>
      <c r="D7789" s="307" t="s">
        <v>3</v>
      </c>
      <c r="E7789" s="353" t="s">
        <v>9681</v>
      </c>
      <c r="F7789" s="310">
        <v>95</v>
      </c>
      <c r="G7789" s="311">
        <v>1958</v>
      </c>
      <c r="H7789" s="329" t="s">
        <v>1149</v>
      </c>
      <c r="I7789" s="313" t="s">
        <v>9682</v>
      </c>
      <c r="J7789" s="350">
        <v>102.36599</v>
      </c>
      <c r="K7789" s="350">
        <v>102.36599</v>
      </c>
      <c r="L7789" s="350">
        <f t="shared" si="103"/>
        <v>0</v>
      </c>
      <c r="M7789" s="337"/>
    </row>
    <row r="7790" spans="1:13" s="71" customFormat="1" ht="26.4" customHeight="1">
      <c r="A7790" s="282">
        <v>188</v>
      </c>
      <c r="B7790" s="537"/>
      <c r="C7790" s="307" t="s">
        <v>9477</v>
      </c>
      <c r="D7790" s="307" t="s">
        <v>3</v>
      </c>
      <c r="E7790" s="260" t="s">
        <v>9683</v>
      </c>
      <c r="F7790" s="310">
        <v>95</v>
      </c>
      <c r="G7790" s="311">
        <v>1974</v>
      </c>
      <c r="H7790" s="329" t="s">
        <v>2658</v>
      </c>
      <c r="I7790" s="313">
        <v>4868</v>
      </c>
      <c r="J7790" s="350">
        <v>18.446349999999999</v>
      </c>
      <c r="K7790" s="350">
        <v>16.83914</v>
      </c>
      <c r="L7790" s="350">
        <f t="shared" si="103"/>
        <v>1.6072099999999985</v>
      </c>
      <c r="M7790" s="337"/>
    </row>
    <row r="7791" spans="1:13" s="71" customFormat="1" ht="26.4" customHeight="1">
      <c r="A7791" s="282">
        <v>189</v>
      </c>
      <c r="B7791" s="537"/>
      <c r="C7791" s="307" t="s">
        <v>9453</v>
      </c>
      <c r="D7791" s="307" t="s">
        <v>3</v>
      </c>
      <c r="E7791" s="353" t="s">
        <v>9684</v>
      </c>
      <c r="F7791" s="310">
        <v>96</v>
      </c>
      <c r="G7791" s="311">
        <v>1955</v>
      </c>
      <c r="H7791" s="329" t="s">
        <v>1149</v>
      </c>
      <c r="I7791" s="313" t="s">
        <v>9685</v>
      </c>
      <c r="J7791" s="350">
        <v>46.648209999999999</v>
      </c>
      <c r="K7791" s="350">
        <v>37.317430000000002</v>
      </c>
      <c r="L7791" s="350">
        <f t="shared" si="103"/>
        <v>9.3307799999999972</v>
      </c>
      <c r="M7791" s="337"/>
    </row>
    <row r="7792" spans="1:13" s="71" customFormat="1" ht="26.4" customHeight="1">
      <c r="A7792" s="282">
        <v>190</v>
      </c>
      <c r="B7792" s="537"/>
      <c r="C7792" s="307" t="s">
        <v>9477</v>
      </c>
      <c r="D7792" s="307" t="s">
        <v>3</v>
      </c>
      <c r="E7792" s="260" t="s">
        <v>9686</v>
      </c>
      <c r="F7792" s="310">
        <v>96</v>
      </c>
      <c r="G7792" s="311">
        <v>1974</v>
      </c>
      <c r="H7792" s="329" t="s">
        <v>2658</v>
      </c>
      <c r="I7792" s="313">
        <v>397</v>
      </c>
      <c r="J7792" s="350">
        <v>15.07441</v>
      </c>
      <c r="K7792" s="350">
        <v>13.731</v>
      </c>
      <c r="L7792" s="350">
        <f t="shared" si="103"/>
        <v>1.3434100000000004</v>
      </c>
      <c r="M7792" s="337"/>
    </row>
    <row r="7793" spans="1:13" s="71" customFormat="1" ht="26.4" customHeight="1">
      <c r="A7793" s="282">
        <v>191</v>
      </c>
      <c r="B7793" s="537"/>
      <c r="C7793" s="307" t="s">
        <v>9453</v>
      </c>
      <c r="D7793" s="307" t="s">
        <v>3</v>
      </c>
      <c r="E7793" s="353" t="s">
        <v>9687</v>
      </c>
      <c r="F7793" s="310">
        <v>97</v>
      </c>
      <c r="G7793" s="311">
        <v>1954</v>
      </c>
      <c r="H7793" s="329" t="s">
        <v>1149</v>
      </c>
      <c r="I7793" s="313" t="s">
        <v>9688</v>
      </c>
      <c r="J7793" s="350">
        <v>432.08686999999998</v>
      </c>
      <c r="K7793" s="350">
        <v>345.66537</v>
      </c>
      <c r="L7793" s="350">
        <f t="shared" si="103"/>
        <v>86.42149999999998</v>
      </c>
      <c r="M7793" s="337"/>
    </row>
    <row r="7794" spans="1:13" s="71" customFormat="1" ht="26.4" customHeight="1">
      <c r="A7794" s="282">
        <v>192</v>
      </c>
      <c r="B7794" s="537"/>
      <c r="C7794" s="307" t="s">
        <v>9477</v>
      </c>
      <c r="D7794" s="307" t="s">
        <v>3</v>
      </c>
      <c r="E7794" s="260" t="s">
        <v>9689</v>
      </c>
      <c r="F7794" s="310">
        <v>97</v>
      </c>
      <c r="G7794" s="311">
        <v>1974</v>
      </c>
      <c r="H7794" s="329" t="s">
        <v>2658</v>
      </c>
      <c r="I7794" s="313">
        <v>250</v>
      </c>
      <c r="J7794" s="350">
        <v>3.96902</v>
      </c>
      <c r="K7794" s="350">
        <v>3.8349000000000002</v>
      </c>
      <c r="L7794" s="350">
        <f t="shared" si="103"/>
        <v>0.13411999999999979</v>
      </c>
      <c r="M7794" s="337"/>
    </row>
    <row r="7795" spans="1:13" s="71" customFormat="1" ht="26.4" customHeight="1">
      <c r="A7795" s="282">
        <v>193</v>
      </c>
      <c r="B7795" s="537"/>
      <c r="C7795" s="313" t="s">
        <v>21</v>
      </c>
      <c r="D7795" s="307" t="s">
        <v>9690</v>
      </c>
      <c r="E7795" s="353" t="s">
        <v>9691</v>
      </c>
      <c r="F7795" s="310">
        <v>98</v>
      </c>
      <c r="G7795" s="311">
        <v>1955</v>
      </c>
      <c r="H7795" s="329" t="s">
        <v>1149</v>
      </c>
      <c r="I7795" s="313">
        <v>1980</v>
      </c>
      <c r="J7795" s="350">
        <v>576.11589000000004</v>
      </c>
      <c r="K7795" s="350">
        <v>460.88657999999998</v>
      </c>
      <c r="L7795" s="350">
        <f t="shared" ref="L7795:L7858" si="104">J7795-K7795</f>
        <v>115.22931000000005</v>
      </c>
      <c r="M7795" s="337"/>
    </row>
    <row r="7796" spans="1:13" s="71" customFormat="1" ht="26.4" customHeight="1">
      <c r="A7796" s="282">
        <v>194</v>
      </c>
      <c r="B7796" s="537"/>
      <c r="C7796" s="313" t="s">
        <v>9477</v>
      </c>
      <c r="D7796" s="307" t="s">
        <v>3</v>
      </c>
      <c r="E7796" s="260" t="s">
        <v>9692</v>
      </c>
      <c r="F7796" s="310">
        <v>98</v>
      </c>
      <c r="G7796" s="311">
        <v>1974</v>
      </c>
      <c r="H7796" s="329" t="s">
        <v>2658</v>
      </c>
      <c r="I7796" s="313">
        <v>386</v>
      </c>
      <c r="J7796" s="350">
        <v>7.5410399999999997</v>
      </c>
      <c r="K7796" s="350">
        <v>7.32796</v>
      </c>
      <c r="L7796" s="350">
        <f t="shared" si="104"/>
        <v>0.21307999999999971</v>
      </c>
      <c r="M7796" s="337"/>
    </row>
    <row r="7797" spans="1:13" s="71" customFormat="1" ht="26.4" customHeight="1">
      <c r="A7797" s="282">
        <v>195</v>
      </c>
      <c r="B7797" s="537"/>
      <c r="C7797" s="313" t="s">
        <v>21</v>
      </c>
      <c r="D7797" s="307" t="s">
        <v>9557</v>
      </c>
      <c r="E7797" s="353" t="s">
        <v>9693</v>
      </c>
      <c r="F7797" s="310">
        <v>99</v>
      </c>
      <c r="G7797" s="311">
        <v>1963</v>
      </c>
      <c r="H7797" s="329" t="s">
        <v>1149</v>
      </c>
      <c r="I7797" s="313">
        <v>1980</v>
      </c>
      <c r="J7797" s="350">
        <v>249.04230000000001</v>
      </c>
      <c r="K7797" s="350">
        <v>248.1525</v>
      </c>
      <c r="L7797" s="350">
        <f t="shared" si="104"/>
        <v>0.88980000000000814</v>
      </c>
      <c r="M7797" s="337"/>
    </row>
    <row r="7798" spans="1:13" s="71" customFormat="1" ht="26.4" customHeight="1">
      <c r="A7798" s="282">
        <v>196</v>
      </c>
      <c r="B7798" s="537"/>
      <c r="C7798" s="313" t="s">
        <v>9477</v>
      </c>
      <c r="D7798" s="313" t="s">
        <v>3</v>
      </c>
      <c r="E7798" s="260" t="s">
        <v>9694</v>
      </c>
      <c r="F7798" s="310">
        <v>99</v>
      </c>
      <c r="G7798" s="311">
        <v>1974</v>
      </c>
      <c r="H7798" s="329" t="s">
        <v>2658</v>
      </c>
      <c r="I7798" s="313">
        <v>55</v>
      </c>
      <c r="J7798" s="350">
        <v>0.64449999999999996</v>
      </c>
      <c r="K7798" s="350">
        <v>0.61978</v>
      </c>
      <c r="L7798" s="350">
        <f t="shared" si="104"/>
        <v>2.4719999999999964E-2</v>
      </c>
      <c r="M7798" s="337"/>
    </row>
    <row r="7799" spans="1:13" s="71" customFormat="1" ht="26.4" customHeight="1">
      <c r="A7799" s="282">
        <v>197</v>
      </c>
      <c r="B7799" s="537"/>
      <c r="C7799" s="307" t="s">
        <v>9477</v>
      </c>
      <c r="D7799" s="313" t="s">
        <v>3</v>
      </c>
      <c r="E7799" s="353" t="s">
        <v>9695</v>
      </c>
      <c r="F7799" s="310">
        <v>100</v>
      </c>
      <c r="G7799" s="311">
        <v>1938</v>
      </c>
      <c r="H7799" s="329" t="s">
        <v>1149</v>
      </c>
      <c r="I7799" s="313" t="s">
        <v>9696</v>
      </c>
      <c r="J7799" s="350">
        <v>176.54480000000001</v>
      </c>
      <c r="K7799" s="350">
        <v>112.38218000000001</v>
      </c>
      <c r="L7799" s="350">
        <f t="shared" si="104"/>
        <v>64.162620000000004</v>
      </c>
      <c r="M7799" s="337"/>
    </row>
    <row r="7800" spans="1:13" s="71" customFormat="1" ht="26.4" customHeight="1">
      <c r="A7800" s="282">
        <v>198</v>
      </c>
      <c r="B7800" s="537"/>
      <c r="C7800" s="307" t="s">
        <v>214</v>
      </c>
      <c r="D7800" s="307" t="s">
        <v>9697</v>
      </c>
      <c r="E7800" s="353" t="s">
        <v>9698</v>
      </c>
      <c r="F7800" s="310">
        <v>101</v>
      </c>
      <c r="G7800" s="311">
        <v>1954</v>
      </c>
      <c r="H7800" s="329" t="s">
        <v>1149</v>
      </c>
      <c r="I7800" s="313" t="s">
        <v>9699</v>
      </c>
      <c r="J7800" s="350">
        <v>1176.6512</v>
      </c>
      <c r="K7800" s="350">
        <v>1024.03586</v>
      </c>
      <c r="L7800" s="350">
        <f t="shared" si="104"/>
        <v>152.61534000000006</v>
      </c>
      <c r="M7800" s="337"/>
    </row>
    <row r="7801" spans="1:13" s="71" customFormat="1" ht="38.25" customHeight="1">
      <c r="A7801" s="282">
        <v>199</v>
      </c>
      <c r="B7801" s="537"/>
      <c r="C7801" s="307" t="s">
        <v>12820</v>
      </c>
      <c r="D7801" s="307" t="s">
        <v>3</v>
      </c>
      <c r="E7801" s="260" t="s">
        <v>13313</v>
      </c>
      <c r="F7801" s="310">
        <v>101</v>
      </c>
      <c r="G7801" s="311">
        <v>1965</v>
      </c>
      <c r="H7801" s="329" t="s">
        <v>1149</v>
      </c>
      <c r="I7801" s="313" t="s">
        <v>3</v>
      </c>
      <c r="J7801" s="350">
        <v>1.1588700000000001</v>
      </c>
      <c r="K7801" s="350">
        <v>1.1446700000000001</v>
      </c>
      <c r="L7801" s="350">
        <f t="shared" si="104"/>
        <v>1.419999999999999E-2</v>
      </c>
      <c r="M7801" s="337"/>
    </row>
    <row r="7802" spans="1:13" s="71" customFormat="1" ht="26.4">
      <c r="A7802" s="282">
        <v>200</v>
      </c>
      <c r="B7802" s="537"/>
      <c r="C7802" s="307" t="s">
        <v>12820</v>
      </c>
      <c r="D7802" s="307" t="s">
        <v>3</v>
      </c>
      <c r="E7802" s="260" t="s">
        <v>9700</v>
      </c>
      <c r="F7802" s="310">
        <v>102</v>
      </c>
      <c r="G7802" s="311">
        <v>1965</v>
      </c>
      <c r="H7802" s="329" t="s">
        <v>1149</v>
      </c>
      <c r="I7802" s="313" t="s">
        <v>3</v>
      </c>
      <c r="J7802" s="350">
        <v>15.513540000000001</v>
      </c>
      <c r="K7802" s="350">
        <v>15.24644</v>
      </c>
      <c r="L7802" s="350">
        <f t="shared" si="104"/>
        <v>0.267100000000001</v>
      </c>
      <c r="M7802" s="337"/>
    </row>
    <row r="7803" spans="1:13" s="71" customFormat="1" ht="26.4" customHeight="1">
      <c r="A7803" s="282">
        <v>201</v>
      </c>
      <c r="B7803" s="537"/>
      <c r="C7803" s="307" t="s">
        <v>9477</v>
      </c>
      <c r="D7803" s="307" t="s">
        <v>3</v>
      </c>
      <c r="E7803" s="353" t="s">
        <v>9701</v>
      </c>
      <c r="F7803" s="310">
        <v>102</v>
      </c>
      <c r="G7803" s="311">
        <v>1974</v>
      </c>
      <c r="H7803" s="329" t="s">
        <v>1149</v>
      </c>
      <c r="I7803" s="313" t="s">
        <v>23</v>
      </c>
      <c r="J7803" s="350">
        <v>9.8133199999999992</v>
      </c>
      <c r="K7803" s="350">
        <v>7.8501700000000003</v>
      </c>
      <c r="L7803" s="350">
        <f t="shared" si="104"/>
        <v>1.9631499999999988</v>
      </c>
      <c r="M7803" s="337"/>
    </row>
    <row r="7804" spans="1:13" s="71" customFormat="1" ht="26.4" customHeight="1">
      <c r="A7804" s="282">
        <v>202</v>
      </c>
      <c r="B7804" s="537"/>
      <c r="C7804" s="307" t="s">
        <v>9477</v>
      </c>
      <c r="D7804" s="307" t="s">
        <v>3</v>
      </c>
      <c r="E7804" s="353" t="s">
        <v>9702</v>
      </c>
      <c r="F7804" s="310">
        <v>103</v>
      </c>
      <c r="G7804" s="311">
        <v>1974</v>
      </c>
      <c r="H7804" s="329" t="s">
        <v>1149</v>
      </c>
      <c r="I7804" s="313" t="s">
        <v>23</v>
      </c>
      <c r="J7804" s="350">
        <v>20.738050000000001</v>
      </c>
      <c r="K7804" s="350">
        <v>20.20917</v>
      </c>
      <c r="L7804" s="350">
        <f t="shared" si="104"/>
        <v>0.5288800000000009</v>
      </c>
      <c r="M7804" s="337"/>
    </row>
    <row r="7805" spans="1:13" s="71" customFormat="1" ht="26.4" customHeight="1">
      <c r="A7805" s="282">
        <v>203</v>
      </c>
      <c r="B7805" s="537"/>
      <c r="C7805" s="307" t="s">
        <v>9477</v>
      </c>
      <c r="D7805" s="307" t="s">
        <v>3</v>
      </c>
      <c r="E7805" s="353" t="s">
        <v>9703</v>
      </c>
      <c r="F7805" s="310">
        <v>104</v>
      </c>
      <c r="G7805" s="311">
        <v>1938</v>
      </c>
      <c r="H7805" s="329" t="s">
        <v>1149</v>
      </c>
      <c r="I7805" s="313" t="s">
        <v>9704</v>
      </c>
      <c r="J7805" s="350">
        <v>13.36745</v>
      </c>
      <c r="K7805" s="350">
        <v>10.69326</v>
      </c>
      <c r="L7805" s="350">
        <f t="shared" si="104"/>
        <v>2.6741899999999994</v>
      </c>
      <c r="M7805" s="337"/>
    </row>
    <row r="7806" spans="1:13" s="71" customFormat="1" ht="26.4" customHeight="1">
      <c r="A7806" s="282">
        <v>204</v>
      </c>
      <c r="B7806" s="537"/>
      <c r="C7806" s="307" t="s">
        <v>9477</v>
      </c>
      <c r="D7806" s="307" t="s">
        <v>3</v>
      </c>
      <c r="E7806" s="353" t="s">
        <v>9705</v>
      </c>
      <c r="F7806" s="310">
        <v>105</v>
      </c>
      <c r="G7806" s="311">
        <v>1946</v>
      </c>
      <c r="H7806" s="329" t="s">
        <v>1149</v>
      </c>
      <c r="I7806" s="313" t="s">
        <v>9706</v>
      </c>
      <c r="J7806" s="350">
        <v>13.905419999999999</v>
      </c>
      <c r="K7806" s="350">
        <v>12.9778</v>
      </c>
      <c r="L7806" s="350">
        <f t="shared" si="104"/>
        <v>0.92761999999999922</v>
      </c>
      <c r="M7806" s="337"/>
    </row>
    <row r="7807" spans="1:13" s="71" customFormat="1" ht="26.4" customHeight="1">
      <c r="A7807" s="282">
        <v>205</v>
      </c>
      <c r="B7807" s="537"/>
      <c r="C7807" s="307" t="s">
        <v>9477</v>
      </c>
      <c r="D7807" s="307" t="s">
        <v>3</v>
      </c>
      <c r="E7807" s="353" t="s">
        <v>9707</v>
      </c>
      <c r="F7807" s="310">
        <v>106</v>
      </c>
      <c r="G7807" s="311">
        <v>1949</v>
      </c>
      <c r="H7807" s="329" t="s">
        <v>1149</v>
      </c>
      <c r="I7807" s="313" t="s">
        <v>9706</v>
      </c>
      <c r="J7807" s="350">
        <v>32.071289999999998</v>
      </c>
      <c r="K7807" s="350">
        <v>31.213730000000002</v>
      </c>
      <c r="L7807" s="350">
        <f t="shared" si="104"/>
        <v>0.85755999999999588</v>
      </c>
      <c r="M7807" s="337"/>
    </row>
    <row r="7808" spans="1:13" s="71" customFormat="1" ht="26.4" customHeight="1">
      <c r="A7808" s="282">
        <v>206</v>
      </c>
      <c r="B7808" s="537"/>
      <c r="C7808" s="307" t="s">
        <v>9477</v>
      </c>
      <c r="D7808" s="307" t="s">
        <v>3</v>
      </c>
      <c r="E7808" s="260" t="s">
        <v>9708</v>
      </c>
      <c r="F7808" s="310">
        <v>106</v>
      </c>
      <c r="G7808" s="311">
        <v>1974</v>
      </c>
      <c r="H7808" s="329" t="s">
        <v>2658</v>
      </c>
      <c r="I7808" s="313">
        <v>440</v>
      </c>
      <c r="J7808" s="350">
        <v>5.8441799999999997</v>
      </c>
      <c r="K7808" s="350">
        <v>5.6116400000000004</v>
      </c>
      <c r="L7808" s="350">
        <f t="shared" si="104"/>
        <v>0.2325399999999993</v>
      </c>
      <c r="M7808" s="337"/>
    </row>
    <row r="7809" spans="1:13" s="71" customFormat="1" ht="26.4" customHeight="1">
      <c r="A7809" s="282">
        <v>207</v>
      </c>
      <c r="B7809" s="537"/>
      <c r="C7809" s="307" t="s">
        <v>9453</v>
      </c>
      <c r="D7809" s="307" t="s">
        <v>3</v>
      </c>
      <c r="E7809" s="353" t="s">
        <v>9709</v>
      </c>
      <c r="F7809" s="310">
        <v>107</v>
      </c>
      <c r="G7809" s="311">
        <v>1958</v>
      </c>
      <c r="H7809" s="329" t="s">
        <v>3</v>
      </c>
      <c r="I7809" s="313" t="s">
        <v>3</v>
      </c>
      <c r="J7809" s="350">
        <v>42.673969999999997</v>
      </c>
      <c r="K7809" s="350">
        <v>23.409510000000001</v>
      </c>
      <c r="L7809" s="350">
        <f t="shared" si="104"/>
        <v>19.264459999999996</v>
      </c>
      <c r="M7809" s="337"/>
    </row>
    <row r="7810" spans="1:13" s="71" customFormat="1" ht="26.4" customHeight="1">
      <c r="A7810" s="282">
        <v>208</v>
      </c>
      <c r="B7810" s="537"/>
      <c r="C7810" s="307" t="s">
        <v>9477</v>
      </c>
      <c r="D7810" s="307" t="s">
        <v>3</v>
      </c>
      <c r="E7810" s="353" t="s">
        <v>9710</v>
      </c>
      <c r="F7810" s="310">
        <v>107</v>
      </c>
      <c r="G7810" s="311">
        <v>1951</v>
      </c>
      <c r="H7810" s="329" t="s">
        <v>1149</v>
      </c>
      <c r="I7810" s="313" t="s">
        <v>9711</v>
      </c>
      <c r="J7810" s="350">
        <v>9.2160499999999992</v>
      </c>
      <c r="K7810" s="350">
        <v>8.6016300000000001</v>
      </c>
      <c r="L7810" s="350">
        <f t="shared" si="104"/>
        <v>0.61441999999999908</v>
      </c>
      <c r="M7810" s="337"/>
    </row>
    <row r="7811" spans="1:13" s="71" customFormat="1" ht="26.4" customHeight="1">
      <c r="A7811" s="282">
        <v>209</v>
      </c>
      <c r="B7811" s="537"/>
      <c r="C7811" s="307" t="s">
        <v>9477</v>
      </c>
      <c r="D7811" s="307" t="s">
        <v>3</v>
      </c>
      <c r="E7811" s="260" t="s">
        <v>9712</v>
      </c>
      <c r="F7811" s="310">
        <v>107</v>
      </c>
      <c r="G7811" s="311">
        <v>1974</v>
      </c>
      <c r="H7811" s="329" t="s">
        <v>2658</v>
      </c>
      <c r="I7811" s="313">
        <v>370</v>
      </c>
      <c r="J7811" s="350">
        <v>7.3002799999999999</v>
      </c>
      <c r="K7811" s="350">
        <v>5.6175300000000004</v>
      </c>
      <c r="L7811" s="350">
        <f t="shared" si="104"/>
        <v>1.6827499999999995</v>
      </c>
      <c r="M7811" s="337"/>
    </row>
    <row r="7812" spans="1:13" s="71" customFormat="1" ht="26.4" customHeight="1">
      <c r="A7812" s="282">
        <v>210</v>
      </c>
      <c r="B7812" s="537"/>
      <c r="C7812" s="307" t="s">
        <v>9453</v>
      </c>
      <c r="D7812" s="307" t="s">
        <v>3</v>
      </c>
      <c r="E7812" s="353" t="s">
        <v>9713</v>
      </c>
      <c r="F7812" s="310">
        <v>108</v>
      </c>
      <c r="G7812" s="311">
        <v>1958</v>
      </c>
      <c r="H7812" s="329" t="s">
        <v>3</v>
      </c>
      <c r="I7812" s="313" t="s">
        <v>3</v>
      </c>
      <c r="J7812" s="350">
        <v>28.23244</v>
      </c>
      <c r="K7812" s="350">
        <v>25.12312</v>
      </c>
      <c r="L7812" s="350">
        <f t="shared" si="104"/>
        <v>3.1093200000000003</v>
      </c>
      <c r="M7812" s="337"/>
    </row>
    <row r="7813" spans="1:13" s="71" customFormat="1" ht="26.4" customHeight="1">
      <c r="A7813" s="282">
        <v>211</v>
      </c>
      <c r="B7813" s="537"/>
      <c r="C7813" s="307" t="s">
        <v>9477</v>
      </c>
      <c r="D7813" s="307" t="s">
        <v>3</v>
      </c>
      <c r="E7813" s="260" t="s">
        <v>9714</v>
      </c>
      <c r="F7813" s="310">
        <v>108</v>
      </c>
      <c r="G7813" s="311">
        <v>1974</v>
      </c>
      <c r="H7813" s="329" t="s">
        <v>2658</v>
      </c>
      <c r="I7813" s="313">
        <v>124</v>
      </c>
      <c r="J7813" s="350">
        <v>8.9261300000000006</v>
      </c>
      <c r="K7813" s="350">
        <v>7.4331800000000001</v>
      </c>
      <c r="L7813" s="350">
        <f t="shared" si="104"/>
        <v>1.4929500000000004</v>
      </c>
      <c r="M7813" s="337"/>
    </row>
    <row r="7814" spans="1:13" s="71" customFormat="1" ht="26.4" customHeight="1">
      <c r="A7814" s="282">
        <v>212</v>
      </c>
      <c r="B7814" s="537"/>
      <c r="C7814" s="307" t="s">
        <v>214</v>
      </c>
      <c r="D7814" s="307" t="s">
        <v>9697</v>
      </c>
      <c r="E7814" s="353" t="s">
        <v>9715</v>
      </c>
      <c r="F7814" s="310">
        <v>109</v>
      </c>
      <c r="G7814" s="311">
        <v>1954</v>
      </c>
      <c r="H7814" s="329" t="s">
        <v>1149</v>
      </c>
      <c r="I7814" s="313" t="s">
        <v>9716</v>
      </c>
      <c r="J7814" s="350">
        <v>30.601880000000001</v>
      </c>
      <c r="K7814" s="350">
        <v>30.578060000000001</v>
      </c>
      <c r="L7814" s="350">
        <f t="shared" si="104"/>
        <v>2.3820000000000618E-2</v>
      </c>
      <c r="M7814" s="337"/>
    </row>
    <row r="7815" spans="1:13" s="71" customFormat="1" ht="26.4" customHeight="1">
      <c r="A7815" s="282">
        <v>213</v>
      </c>
      <c r="B7815" s="537"/>
      <c r="C7815" s="307" t="s">
        <v>9453</v>
      </c>
      <c r="D7815" s="446" t="s">
        <v>3</v>
      </c>
      <c r="E7815" s="353" t="s">
        <v>9717</v>
      </c>
      <c r="F7815" s="310">
        <v>109</v>
      </c>
      <c r="G7815" s="311">
        <v>1957</v>
      </c>
      <c r="H7815" s="329" t="s">
        <v>3</v>
      </c>
      <c r="I7815" s="313" t="s">
        <v>3</v>
      </c>
      <c r="J7815" s="350">
        <v>10.68488</v>
      </c>
      <c r="K7815" s="350">
        <v>10.58174</v>
      </c>
      <c r="L7815" s="350">
        <f t="shared" si="104"/>
        <v>0.10313999999999979</v>
      </c>
      <c r="M7815" s="337"/>
    </row>
    <row r="7816" spans="1:13" s="71" customFormat="1" ht="26.4" customHeight="1">
      <c r="A7816" s="282">
        <v>214</v>
      </c>
      <c r="B7816" s="537"/>
      <c r="C7816" s="307" t="s">
        <v>9477</v>
      </c>
      <c r="D7816" s="446" t="s">
        <v>3</v>
      </c>
      <c r="E7816" s="260" t="s">
        <v>9718</v>
      </c>
      <c r="F7816" s="310">
        <v>109</v>
      </c>
      <c r="G7816" s="311">
        <v>1974</v>
      </c>
      <c r="H7816" s="329" t="s">
        <v>9719</v>
      </c>
      <c r="I7816" s="313">
        <v>33.200000000000003</v>
      </c>
      <c r="J7816" s="350">
        <v>1.8953500000000001</v>
      </c>
      <c r="K7816" s="350">
        <v>1.6611400000000001</v>
      </c>
      <c r="L7816" s="350">
        <f t="shared" si="104"/>
        <v>0.23421000000000003</v>
      </c>
      <c r="M7816" s="337"/>
    </row>
    <row r="7817" spans="1:13" s="71" customFormat="1" ht="26.4" customHeight="1">
      <c r="A7817" s="282">
        <v>215</v>
      </c>
      <c r="B7817" s="537"/>
      <c r="C7817" s="313" t="s">
        <v>21</v>
      </c>
      <c r="D7817" s="464" t="s">
        <v>9557</v>
      </c>
      <c r="E7817" s="353" t="s">
        <v>9720</v>
      </c>
      <c r="F7817" s="310">
        <v>110</v>
      </c>
      <c r="G7817" s="311">
        <v>1963</v>
      </c>
      <c r="H7817" s="329" t="s">
        <v>3</v>
      </c>
      <c r="I7817" s="313" t="s">
        <v>3</v>
      </c>
      <c r="J7817" s="350">
        <v>22.044540000000001</v>
      </c>
      <c r="K7817" s="350">
        <v>18.45711</v>
      </c>
      <c r="L7817" s="350">
        <f t="shared" si="104"/>
        <v>3.5874300000000012</v>
      </c>
      <c r="M7817" s="337"/>
    </row>
    <row r="7818" spans="1:13" s="71" customFormat="1" ht="26.4" customHeight="1">
      <c r="A7818" s="282">
        <v>216</v>
      </c>
      <c r="B7818" s="537"/>
      <c r="C7818" s="307" t="s">
        <v>9721</v>
      </c>
      <c r="D7818" s="446" t="s">
        <v>3</v>
      </c>
      <c r="E7818" s="260" t="s">
        <v>9722</v>
      </c>
      <c r="F7818" s="310">
        <v>110</v>
      </c>
      <c r="G7818" s="311">
        <v>1974</v>
      </c>
      <c r="H7818" s="329" t="s">
        <v>2658</v>
      </c>
      <c r="I7818" s="313">
        <v>75.8</v>
      </c>
      <c r="J7818" s="350">
        <v>12.151439999999999</v>
      </c>
      <c r="K7818" s="350">
        <v>9.6539400000000004</v>
      </c>
      <c r="L7818" s="350">
        <f t="shared" si="104"/>
        <v>2.4974999999999987</v>
      </c>
      <c r="M7818" s="337"/>
    </row>
    <row r="7819" spans="1:13" s="71" customFormat="1" ht="26.4" customHeight="1">
      <c r="A7819" s="282">
        <v>217</v>
      </c>
      <c r="B7819" s="537"/>
      <c r="C7819" s="313" t="s">
        <v>21</v>
      </c>
      <c r="D7819" s="464" t="s">
        <v>3</v>
      </c>
      <c r="E7819" s="353" t="s">
        <v>9723</v>
      </c>
      <c r="F7819" s="310">
        <v>111</v>
      </c>
      <c r="G7819" s="311">
        <v>1955</v>
      </c>
      <c r="H7819" s="329" t="s">
        <v>3</v>
      </c>
      <c r="I7819" s="313" t="s">
        <v>3</v>
      </c>
      <c r="J7819" s="350">
        <v>68.876670000000004</v>
      </c>
      <c r="K7819" s="350">
        <v>45.362589999999997</v>
      </c>
      <c r="L7819" s="350">
        <f t="shared" si="104"/>
        <v>23.514080000000007</v>
      </c>
      <c r="M7819" s="337"/>
    </row>
    <row r="7820" spans="1:13" s="71" customFormat="1" ht="26.4" customHeight="1">
      <c r="A7820" s="282">
        <v>218</v>
      </c>
      <c r="B7820" s="537"/>
      <c r="C7820" s="307" t="s">
        <v>9721</v>
      </c>
      <c r="D7820" s="307" t="s">
        <v>3</v>
      </c>
      <c r="E7820" s="260" t="s">
        <v>9724</v>
      </c>
      <c r="F7820" s="310">
        <v>111</v>
      </c>
      <c r="G7820" s="311">
        <v>1974</v>
      </c>
      <c r="H7820" s="329" t="s">
        <v>2658</v>
      </c>
      <c r="I7820" s="313">
        <v>63</v>
      </c>
      <c r="J7820" s="350">
        <v>11.986459999999999</v>
      </c>
      <c r="K7820" s="350">
        <v>9.5222599999999993</v>
      </c>
      <c r="L7820" s="350">
        <f t="shared" si="104"/>
        <v>2.4641999999999999</v>
      </c>
      <c r="M7820" s="337"/>
    </row>
    <row r="7821" spans="1:13" s="71" customFormat="1" ht="26.4" customHeight="1">
      <c r="A7821" s="282">
        <v>219</v>
      </c>
      <c r="B7821" s="537"/>
      <c r="C7821" s="307" t="s">
        <v>214</v>
      </c>
      <c r="D7821" s="307" t="s">
        <v>9697</v>
      </c>
      <c r="E7821" s="353" t="s">
        <v>9725</v>
      </c>
      <c r="F7821" s="310">
        <v>112</v>
      </c>
      <c r="G7821" s="311">
        <v>1959</v>
      </c>
      <c r="H7821" s="329" t="s">
        <v>1149</v>
      </c>
      <c r="I7821" s="313" t="s">
        <v>9726</v>
      </c>
      <c r="J7821" s="350">
        <v>23.462299999999999</v>
      </c>
      <c r="K7821" s="350">
        <v>23.189129999999999</v>
      </c>
      <c r="L7821" s="350">
        <f t="shared" si="104"/>
        <v>0.27317000000000036</v>
      </c>
      <c r="M7821" s="337"/>
    </row>
    <row r="7822" spans="1:13" s="71" customFormat="1" ht="26.4" customHeight="1">
      <c r="A7822" s="282">
        <v>220</v>
      </c>
      <c r="B7822" s="537"/>
      <c r="C7822" s="307" t="s">
        <v>9453</v>
      </c>
      <c r="D7822" s="419" t="s">
        <v>3</v>
      </c>
      <c r="E7822" s="353" t="s">
        <v>9727</v>
      </c>
      <c r="F7822" s="310">
        <v>112</v>
      </c>
      <c r="G7822" s="311">
        <v>1955</v>
      </c>
      <c r="H7822" s="329" t="s">
        <v>3</v>
      </c>
      <c r="I7822" s="313" t="s">
        <v>3</v>
      </c>
      <c r="J7822" s="350">
        <v>65.106120000000004</v>
      </c>
      <c r="K7822" s="350">
        <v>61.074829999999999</v>
      </c>
      <c r="L7822" s="350">
        <f t="shared" si="104"/>
        <v>4.0312900000000056</v>
      </c>
      <c r="M7822" s="337"/>
    </row>
    <row r="7823" spans="1:13" s="71" customFormat="1" ht="26.4" customHeight="1">
      <c r="A7823" s="282">
        <v>221</v>
      </c>
      <c r="B7823" s="537"/>
      <c r="C7823" s="446" t="s">
        <v>9721</v>
      </c>
      <c r="D7823" s="446" t="s">
        <v>3</v>
      </c>
      <c r="E7823" s="260" t="s">
        <v>9728</v>
      </c>
      <c r="F7823" s="310">
        <v>112</v>
      </c>
      <c r="G7823" s="311">
        <v>1974</v>
      </c>
      <c r="H7823" s="329" t="s">
        <v>2658</v>
      </c>
      <c r="I7823" s="313">
        <v>144</v>
      </c>
      <c r="J7823" s="350">
        <v>5.2811199999999996</v>
      </c>
      <c r="K7823" s="350">
        <v>4.68222</v>
      </c>
      <c r="L7823" s="350">
        <f t="shared" si="104"/>
        <v>0.59889999999999954</v>
      </c>
      <c r="M7823" s="337"/>
    </row>
    <row r="7824" spans="1:13" s="71" customFormat="1" ht="26.4" customHeight="1">
      <c r="A7824" s="282">
        <v>222</v>
      </c>
      <c r="B7824" s="537"/>
      <c r="C7824" s="464" t="s">
        <v>21</v>
      </c>
      <c r="D7824" s="464" t="s">
        <v>21</v>
      </c>
      <c r="E7824" s="353" t="s">
        <v>9729</v>
      </c>
      <c r="F7824" s="310">
        <v>114</v>
      </c>
      <c r="G7824" s="311">
        <v>1972</v>
      </c>
      <c r="H7824" s="329" t="s">
        <v>3</v>
      </c>
      <c r="I7824" s="313" t="s">
        <v>3</v>
      </c>
      <c r="J7824" s="350">
        <v>244.09321</v>
      </c>
      <c r="K7824" s="350">
        <v>241.75110000000001</v>
      </c>
      <c r="L7824" s="350">
        <f t="shared" si="104"/>
        <v>2.342109999999991</v>
      </c>
      <c r="M7824" s="337"/>
    </row>
    <row r="7825" spans="1:13" s="71" customFormat="1" ht="26.4" customHeight="1">
      <c r="A7825" s="282">
        <v>223</v>
      </c>
      <c r="B7825" s="537"/>
      <c r="C7825" s="307" t="s">
        <v>9535</v>
      </c>
      <c r="D7825" s="307" t="s">
        <v>3</v>
      </c>
      <c r="E7825" s="353" t="s">
        <v>9730</v>
      </c>
      <c r="F7825" s="310">
        <v>115</v>
      </c>
      <c r="G7825" s="311">
        <v>1972</v>
      </c>
      <c r="H7825" s="329" t="s">
        <v>3</v>
      </c>
      <c r="I7825" s="313" t="s">
        <v>3</v>
      </c>
      <c r="J7825" s="350">
        <v>12.676439999999999</v>
      </c>
      <c r="K7825" s="350">
        <v>11.35116</v>
      </c>
      <c r="L7825" s="350">
        <f t="shared" si="104"/>
        <v>1.3252799999999993</v>
      </c>
      <c r="M7825" s="337"/>
    </row>
    <row r="7826" spans="1:13" s="71" customFormat="1" ht="26.4" customHeight="1">
      <c r="A7826" s="282">
        <v>224</v>
      </c>
      <c r="B7826" s="537"/>
      <c r="C7826" s="307" t="s">
        <v>9477</v>
      </c>
      <c r="D7826" s="307" t="s">
        <v>3</v>
      </c>
      <c r="E7826" s="353" t="s">
        <v>9731</v>
      </c>
      <c r="F7826" s="310">
        <v>115</v>
      </c>
      <c r="G7826" s="311">
        <v>1974</v>
      </c>
      <c r="H7826" s="329" t="s">
        <v>1149</v>
      </c>
      <c r="I7826" s="313" t="s">
        <v>9704</v>
      </c>
      <c r="J7826" s="350">
        <v>18.172029999999999</v>
      </c>
      <c r="K7826" s="350">
        <v>16.994679999999999</v>
      </c>
      <c r="L7826" s="350">
        <f t="shared" si="104"/>
        <v>1.1773500000000006</v>
      </c>
      <c r="M7826" s="337"/>
    </row>
    <row r="7827" spans="1:13" s="71" customFormat="1" ht="26.4" customHeight="1">
      <c r="A7827" s="282">
        <v>225</v>
      </c>
      <c r="B7827" s="537"/>
      <c r="C7827" s="307" t="s">
        <v>9453</v>
      </c>
      <c r="D7827" s="307" t="s">
        <v>3</v>
      </c>
      <c r="E7827" s="260" t="s">
        <v>9732</v>
      </c>
      <c r="F7827" s="310">
        <v>115</v>
      </c>
      <c r="G7827" s="311">
        <v>1953</v>
      </c>
      <c r="H7827" s="329" t="s">
        <v>2658</v>
      </c>
      <c r="I7827" s="313">
        <v>9026</v>
      </c>
      <c r="J7827" s="350">
        <v>336.26092</v>
      </c>
      <c r="K7827" s="350">
        <v>324.55329</v>
      </c>
      <c r="L7827" s="350">
        <f t="shared" si="104"/>
        <v>11.707629999999995</v>
      </c>
      <c r="M7827" s="337"/>
    </row>
    <row r="7828" spans="1:13" s="71" customFormat="1" ht="26.4" customHeight="1">
      <c r="A7828" s="282">
        <v>226</v>
      </c>
      <c r="B7828" s="537"/>
      <c r="C7828" s="307" t="s">
        <v>9602</v>
      </c>
      <c r="D7828" s="307" t="s">
        <v>3</v>
      </c>
      <c r="E7828" s="353" t="s">
        <v>9733</v>
      </c>
      <c r="F7828" s="310">
        <v>116</v>
      </c>
      <c r="G7828" s="311">
        <v>1972</v>
      </c>
      <c r="H7828" s="329" t="s">
        <v>3</v>
      </c>
      <c r="I7828" s="313" t="s">
        <v>3</v>
      </c>
      <c r="J7828" s="350">
        <v>15.857419999999999</v>
      </c>
      <c r="K7828" s="350">
        <v>11.35116</v>
      </c>
      <c r="L7828" s="350">
        <f t="shared" si="104"/>
        <v>4.5062599999999993</v>
      </c>
      <c r="M7828" s="337"/>
    </row>
    <row r="7829" spans="1:13" s="71" customFormat="1" ht="26.4" customHeight="1">
      <c r="A7829" s="282">
        <v>227</v>
      </c>
      <c r="B7829" s="537"/>
      <c r="C7829" s="307" t="s">
        <v>9477</v>
      </c>
      <c r="D7829" s="307" t="s">
        <v>3</v>
      </c>
      <c r="E7829" s="353" t="s">
        <v>9734</v>
      </c>
      <c r="F7829" s="310">
        <v>116</v>
      </c>
      <c r="G7829" s="311">
        <v>1974</v>
      </c>
      <c r="H7829" s="329" t="s">
        <v>1149</v>
      </c>
      <c r="I7829" s="313" t="s">
        <v>9704</v>
      </c>
      <c r="J7829" s="350">
        <v>33.346589999999999</v>
      </c>
      <c r="K7829" s="350">
        <v>28.541039999999999</v>
      </c>
      <c r="L7829" s="350">
        <f t="shared" si="104"/>
        <v>4.8055500000000002</v>
      </c>
      <c r="M7829" s="337"/>
    </row>
    <row r="7830" spans="1:13" s="71" customFormat="1" ht="26.4" customHeight="1">
      <c r="A7830" s="282">
        <v>228</v>
      </c>
      <c r="B7830" s="537"/>
      <c r="C7830" s="307" t="s">
        <v>9535</v>
      </c>
      <c r="D7830" s="307" t="s">
        <v>3</v>
      </c>
      <c r="E7830" s="353" t="s">
        <v>9735</v>
      </c>
      <c r="F7830" s="310">
        <v>117</v>
      </c>
      <c r="G7830" s="311">
        <v>1972</v>
      </c>
      <c r="H7830" s="329" t="s">
        <v>3</v>
      </c>
      <c r="I7830" s="313" t="s">
        <v>3</v>
      </c>
      <c r="J7830" s="350">
        <v>15.857419999999999</v>
      </c>
      <c r="K7830" s="350">
        <v>15.220269999999999</v>
      </c>
      <c r="L7830" s="350">
        <f t="shared" si="104"/>
        <v>0.63715000000000011</v>
      </c>
      <c r="M7830" s="337"/>
    </row>
    <row r="7831" spans="1:13" s="71" customFormat="1" ht="26.4" customHeight="1">
      <c r="A7831" s="282">
        <v>229</v>
      </c>
      <c r="B7831" s="537"/>
      <c r="C7831" s="307" t="s">
        <v>9477</v>
      </c>
      <c r="D7831" s="307" t="s">
        <v>3</v>
      </c>
      <c r="E7831" s="353" t="s">
        <v>9736</v>
      </c>
      <c r="F7831" s="310">
        <v>117</v>
      </c>
      <c r="G7831" s="311">
        <v>1974</v>
      </c>
      <c r="H7831" s="329" t="s">
        <v>1149</v>
      </c>
      <c r="I7831" s="313" t="s">
        <v>9704</v>
      </c>
      <c r="J7831" s="350">
        <v>30.527570000000001</v>
      </c>
      <c r="K7831" s="350">
        <v>26.42418</v>
      </c>
      <c r="L7831" s="350">
        <f t="shared" si="104"/>
        <v>4.103390000000001</v>
      </c>
      <c r="M7831" s="337"/>
    </row>
    <row r="7832" spans="1:13" s="71" customFormat="1" ht="26.4" customHeight="1">
      <c r="A7832" s="282">
        <v>230</v>
      </c>
      <c r="B7832" s="537"/>
      <c r="C7832" s="307" t="s">
        <v>9453</v>
      </c>
      <c r="D7832" s="307" t="s">
        <v>3</v>
      </c>
      <c r="E7832" s="260" t="s">
        <v>9737</v>
      </c>
      <c r="F7832" s="310">
        <v>117</v>
      </c>
      <c r="G7832" s="311">
        <v>1953</v>
      </c>
      <c r="H7832" s="329" t="s">
        <v>2658</v>
      </c>
      <c r="I7832" s="313">
        <v>10540</v>
      </c>
      <c r="J7832" s="350">
        <v>41.37321</v>
      </c>
      <c r="K7832" s="350">
        <v>38.642339999999997</v>
      </c>
      <c r="L7832" s="350">
        <f t="shared" si="104"/>
        <v>2.730870000000003</v>
      </c>
      <c r="M7832" s="337"/>
    </row>
    <row r="7833" spans="1:13" s="71" customFormat="1" ht="26.4" customHeight="1">
      <c r="A7833" s="282">
        <v>231</v>
      </c>
      <c r="B7833" s="537"/>
      <c r="C7833" s="307" t="s">
        <v>9535</v>
      </c>
      <c r="D7833" s="307" t="s">
        <v>3</v>
      </c>
      <c r="E7833" s="353" t="s">
        <v>9738</v>
      </c>
      <c r="F7833" s="310">
        <v>118</v>
      </c>
      <c r="G7833" s="311">
        <v>1972</v>
      </c>
      <c r="H7833" s="329" t="s">
        <v>3</v>
      </c>
      <c r="I7833" s="313" t="s">
        <v>3</v>
      </c>
      <c r="J7833" s="350">
        <v>15.857419999999999</v>
      </c>
      <c r="K7833" s="350">
        <v>15.220269999999999</v>
      </c>
      <c r="L7833" s="350">
        <f t="shared" si="104"/>
        <v>0.63715000000000011</v>
      </c>
      <c r="M7833" s="337"/>
    </row>
    <row r="7834" spans="1:13" s="71" customFormat="1" ht="26.4" customHeight="1">
      <c r="A7834" s="282">
        <v>232</v>
      </c>
      <c r="B7834" s="537"/>
      <c r="C7834" s="307" t="s">
        <v>9477</v>
      </c>
      <c r="D7834" s="307" t="s">
        <v>3</v>
      </c>
      <c r="E7834" s="353" t="s">
        <v>9739</v>
      </c>
      <c r="F7834" s="310">
        <v>118</v>
      </c>
      <c r="G7834" s="311">
        <v>1974</v>
      </c>
      <c r="H7834" s="329" t="s">
        <v>1149</v>
      </c>
      <c r="I7834" s="313" t="s">
        <v>9740</v>
      </c>
      <c r="J7834" s="350">
        <v>40.416130000000003</v>
      </c>
      <c r="K7834" s="350">
        <v>21.974350000000001</v>
      </c>
      <c r="L7834" s="350">
        <f t="shared" si="104"/>
        <v>18.441780000000001</v>
      </c>
      <c r="M7834" s="337"/>
    </row>
    <row r="7835" spans="1:13" s="71" customFormat="1" ht="26.4" customHeight="1">
      <c r="A7835" s="282">
        <v>233</v>
      </c>
      <c r="B7835" s="537"/>
      <c r="C7835" s="464" t="s">
        <v>21</v>
      </c>
      <c r="D7835" s="464" t="s">
        <v>9690</v>
      </c>
      <c r="E7835" s="353" t="s">
        <v>9741</v>
      </c>
      <c r="F7835" s="310">
        <v>119</v>
      </c>
      <c r="G7835" s="311">
        <v>1963</v>
      </c>
      <c r="H7835" s="329" t="s">
        <v>1149</v>
      </c>
      <c r="I7835" s="313" t="s">
        <v>5273</v>
      </c>
      <c r="J7835" s="350">
        <v>20.508019999999998</v>
      </c>
      <c r="K7835" s="350">
        <v>18.721060000000001</v>
      </c>
      <c r="L7835" s="350">
        <f t="shared" si="104"/>
        <v>1.786959999999997</v>
      </c>
      <c r="M7835" s="337"/>
    </row>
    <row r="7836" spans="1:13" s="71" customFormat="1" ht="26.4" customHeight="1">
      <c r="A7836" s="282">
        <v>234</v>
      </c>
      <c r="B7836" s="537"/>
      <c r="C7836" s="307" t="s">
        <v>9535</v>
      </c>
      <c r="D7836" s="307" t="s">
        <v>3</v>
      </c>
      <c r="E7836" s="353" t="s">
        <v>9742</v>
      </c>
      <c r="F7836" s="310">
        <v>119</v>
      </c>
      <c r="G7836" s="311">
        <v>1972</v>
      </c>
      <c r="H7836" s="329" t="s">
        <v>3</v>
      </c>
      <c r="I7836" s="313" t="s">
        <v>3</v>
      </c>
      <c r="J7836" s="350">
        <v>15.857419999999999</v>
      </c>
      <c r="K7836" s="350">
        <v>15.220269999999999</v>
      </c>
      <c r="L7836" s="350">
        <f t="shared" si="104"/>
        <v>0.63715000000000011</v>
      </c>
      <c r="M7836" s="337"/>
    </row>
    <row r="7837" spans="1:13" s="71" customFormat="1" ht="26.4" customHeight="1">
      <c r="A7837" s="282">
        <v>235</v>
      </c>
      <c r="B7837" s="537"/>
      <c r="C7837" s="307" t="s">
        <v>9743</v>
      </c>
      <c r="D7837" s="307" t="s">
        <v>3</v>
      </c>
      <c r="E7837" s="260" t="s">
        <v>9744</v>
      </c>
      <c r="F7837" s="310">
        <v>119</v>
      </c>
      <c r="G7837" s="311">
        <v>1972</v>
      </c>
      <c r="H7837" s="329" t="s">
        <v>3</v>
      </c>
      <c r="I7837" s="313" t="s">
        <v>3</v>
      </c>
      <c r="J7837" s="350">
        <v>8.8035999999999994</v>
      </c>
      <c r="K7837" s="350">
        <v>8.4481000000000002</v>
      </c>
      <c r="L7837" s="350">
        <f t="shared" si="104"/>
        <v>0.35549999999999926</v>
      </c>
      <c r="M7837" s="337"/>
    </row>
    <row r="7838" spans="1:13" s="71" customFormat="1" ht="26.4" customHeight="1">
      <c r="A7838" s="282">
        <v>236</v>
      </c>
      <c r="B7838" s="537"/>
      <c r="C7838" s="307" t="s">
        <v>9453</v>
      </c>
      <c r="D7838" s="307" t="s">
        <v>3</v>
      </c>
      <c r="E7838" s="353" t="s">
        <v>9745</v>
      </c>
      <c r="F7838" s="310">
        <v>120</v>
      </c>
      <c r="G7838" s="311">
        <v>1974</v>
      </c>
      <c r="H7838" s="329" t="s">
        <v>1149</v>
      </c>
      <c r="I7838" s="313" t="s">
        <v>9746</v>
      </c>
      <c r="J7838" s="350">
        <v>7.9599700000000002</v>
      </c>
      <c r="K7838" s="350">
        <v>7.2655500000000002</v>
      </c>
      <c r="L7838" s="350">
        <f t="shared" si="104"/>
        <v>0.69442000000000004</v>
      </c>
      <c r="M7838" s="337"/>
    </row>
    <row r="7839" spans="1:13" s="71" customFormat="1" ht="26.4" customHeight="1">
      <c r="A7839" s="282">
        <v>237</v>
      </c>
      <c r="B7839" s="537"/>
      <c r="C7839" s="307" t="s">
        <v>9535</v>
      </c>
      <c r="D7839" s="307" t="s">
        <v>3</v>
      </c>
      <c r="E7839" s="353" t="s">
        <v>9747</v>
      </c>
      <c r="F7839" s="310">
        <v>120</v>
      </c>
      <c r="G7839" s="311">
        <v>1972</v>
      </c>
      <c r="H7839" s="329" t="s">
        <v>3</v>
      </c>
      <c r="I7839" s="313" t="s">
        <v>3</v>
      </c>
      <c r="J7839" s="350">
        <v>15.857419999999999</v>
      </c>
      <c r="K7839" s="350">
        <v>15.220269999999999</v>
      </c>
      <c r="L7839" s="350">
        <f t="shared" si="104"/>
        <v>0.63715000000000011</v>
      </c>
      <c r="M7839" s="337"/>
    </row>
    <row r="7840" spans="1:13" s="71" customFormat="1" ht="26.4" customHeight="1">
      <c r="A7840" s="282">
        <v>238</v>
      </c>
      <c r="B7840" s="537"/>
      <c r="C7840" s="307" t="s">
        <v>9535</v>
      </c>
      <c r="D7840" s="307" t="s">
        <v>3</v>
      </c>
      <c r="E7840" s="353" t="s">
        <v>9748</v>
      </c>
      <c r="F7840" s="310">
        <v>121</v>
      </c>
      <c r="G7840" s="311">
        <v>1972</v>
      </c>
      <c r="H7840" s="329" t="s">
        <v>3</v>
      </c>
      <c r="I7840" s="313" t="s">
        <v>3</v>
      </c>
      <c r="J7840" s="350">
        <v>15.857419999999999</v>
      </c>
      <c r="K7840" s="350">
        <v>15.220269999999999</v>
      </c>
      <c r="L7840" s="350">
        <f t="shared" si="104"/>
        <v>0.63715000000000011</v>
      </c>
      <c r="M7840" s="337"/>
    </row>
    <row r="7841" spans="1:13" s="71" customFormat="1" ht="26.4" customHeight="1">
      <c r="A7841" s="282">
        <v>239</v>
      </c>
      <c r="B7841" s="537"/>
      <c r="C7841" s="307" t="s">
        <v>9721</v>
      </c>
      <c r="D7841" s="307" t="s">
        <v>3</v>
      </c>
      <c r="E7841" s="353" t="s">
        <v>9749</v>
      </c>
      <c r="F7841" s="310">
        <v>121</v>
      </c>
      <c r="G7841" s="311">
        <v>1974</v>
      </c>
      <c r="H7841" s="329" t="s">
        <v>1149</v>
      </c>
      <c r="I7841" s="313" t="s">
        <v>9750</v>
      </c>
      <c r="J7841" s="350">
        <v>17.28229</v>
      </c>
      <c r="K7841" s="350">
        <v>16.187670000000001</v>
      </c>
      <c r="L7841" s="350">
        <f t="shared" si="104"/>
        <v>1.094619999999999</v>
      </c>
      <c r="M7841" s="337"/>
    </row>
    <row r="7842" spans="1:13" s="71" customFormat="1" ht="26.4" customHeight="1">
      <c r="A7842" s="282">
        <v>240</v>
      </c>
      <c r="B7842" s="537"/>
      <c r="C7842" s="307" t="s">
        <v>9535</v>
      </c>
      <c r="D7842" s="307" t="s">
        <v>3</v>
      </c>
      <c r="E7842" s="353" t="s">
        <v>9751</v>
      </c>
      <c r="F7842" s="310">
        <v>122</v>
      </c>
      <c r="G7842" s="311">
        <v>1972</v>
      </c>
      <c r="H7842" s="329" t="s">
        <v>3</v>
      </c>
      <c r="I7842" s="320" t="s">
        <v>3</v>
      </c>
      <c r="J7842" s="350">
        <v>15.857419999999999</v>
      </c>
      <c r="K7842" s="350">
        <v>15.220269999999999</v>
      </c>
      <c r="L7842" s="350">
        <f t="shared" si="104"/>
        <v>0.63715000000000011</v>
      </c>
      <c r="M7842" s="337"/>
    </row>
    <row r="7843" spans="1:13" s="71" customFormat="1" ht="26.4" customHeight="1">
      <c r="A7843" s="282">
        <v>241</v>
      </c>
      <c r="B7843" s="537"/>
      <c r="C7843" s="307" t="s">
        <v>9721</v>
      </c>
      <c r="D7843" s="307" t="s">
        <v>3</v>
      </c>
      <c r="E7843" s="353" t="s">
        <v>9752</v>
      </c>
      <c r="F7843" s="310">
        <v>122</v>
      </c>
      <c r="G7843" s="311">
        <v>1974</v>
      </c>
      <c r="H7843" s="329" t="s">
        <v>1149</v>
      </c>
      <c r="I7843" s="313" t="s">
        <v>9662</v>
      </c>
      <c r="J7843" s="350">
        <v>28.860019999999999</v>
      </c>
      <c r="K7843" s="350">
        <v>21.250419999999998</v>
      </c>
      <c r="L7843" s="350">
        <f t="shared" si="104"/>
        <v>7.6096000000000004</v>
      </c>
      <c r="M7843" s="337"/>
    </row>
    <row r="7844" spans="1:13" s="71" customFormat="1" ht="26.4" customHeight="1">
      <c r="A7844" s="282">
        <v>242</v>
      </c>
      <c r="B7844" s="537"/>
      <c r="C7844" s="307" t="s">
        <v>9535</v>
      </c>
      <c r="D7844" s="307" t="s">
        <v>3</v>
      </c>
      <c r="E7844" s="353" t="s">
        <v>9753</v>
      </c>
      <c r="F7844" s="310">
        <v>123</v>
      </c>
      <c r="G7844" s="311">
        <v>1972</v>
      </c>
      <c r="H7844" s="329" t="s">
        <v>3</v>
      </c>
      <c r="I7844" s="320" t="s">
        <v>3</v>
      </c>
      <c r="J7844" s="350">
        <v>15.857419999999999</v>
      </c>
      <c r="K7844" s="350">
        <v>15.220269999999999</v>
      </c>
      <c r="L7844" s="350">
        <f t="shared" si="104"/>
        <v>0.63715000000000011</v>
      </c>
      <c r="M7844" s="337"/>
    </row>
    <row r="7845" spans="1:13" s="71" customFormat="1" ht="26.4" customHeight="1">
      <c r="A7845" s="282">
        <v>243</v>
      </c>
      <c r="B7845" s="537"/>
      <c r="C7845" s="307" t="s">
        <v>9535</v>
      </c>
      <c r="D7845" s="307" t="s">
        <v>3</v>
      </c>
      <c r="E7845" s="260" t="s">
        <v>9754</v>
      </c>
      <c r="F7845" s="310">
        <v>123</v>
      </c>
      <c r="G7845" s="311">
        <v>1975</v>
      </c>
      <c r="H7845" s="329" t="s">
        <v>2658</v>
      </c>
      <c r="I7845" s="313">
        <v>10</v>
      </c>
      <c r="J7845" s="350">
        <v>3071.4759600000002</v>
      </c>
      <c r="K7845" s="350">
        <v>2507.2688800000001</v>
      </c>
      <c r="L7845" s="350">
        <f t="shared" si="104"/>
        <v>564.20708000000013</v>
      </c>
      <c r="M7845" s="337"/>
    </row>
    <row r="7846" spans="1:13" s="71" customFormat="1" ht="26.4" customHeight="1">
      <c r="A7846" s="282">
        <v>244</v>
      </c>
      <c r="B7846" s="537"/>
      <c r="C7846" s="307" t="s">
        <v>9535</v>
      </c>
      <c r="D7846" s="307" t="s">
        <v>3</v>
      </c>
      <c r="E7846" s="353" t="s">
        <v>9755</v>
      </c>
      <c r="F7846" s="310">
        <v>124</v>
      </c>
      <c r="G7846" s="311">
        <v>1972</v>
      </c>
      <c r="H7846" s="329" t="s">
        <v>3</v>
      </c>
      <c r="I7846" s="320" t="s">
        <v>3</v>
      </c>
      <c r="J7846" s="350">
        <v>15.857419999999999</v>
      </c>
      <c r="K7846" s="350">
        <v>15.220269999999999</v>
      </c>
      <c r="L7846" s="350">
        <f t="shared" si="104"/>
        <v>0.63715000000000011</v>
      </c>
      <c r="M7846" s="337"/>
    </row>
    <row r="7847" spans="1:13" s="71" customFormat="1" ht="26.4" customHeight="1">
      <c r="A7847" s="282">
        <v>245</v>
      </c>
      <c r="B7847" s="537"/>
      <c r="C7847" s="307" t="s">
        <v>9535</v>
      </c>
      <c r="D7847" s="307" t="s">
        <v>3</v>
      </c>
      <c r="E7847" s="353" t="s">
        <v>9756</v>
      </c>
      <c r="F7847" s="310">
        <v>125</v>
      </c>
      <c r="G7847" s="311">
        <v>1972</v>
      </c>
      <c r="H7847" s="329" t="s">
        <v>3</v>
      </c>
      <c r="I7847" s="320" t="s">
        <v>3</v>
      </c>
      <c r="J7847" s="350">
        <v>15.857419999999999</v>
      </c>
      <c r="K7847" s="350">
        <v>15.220269999999999</v>
      </c>
      <c r="L7847" s="350">
        <f t="shared" si="104"/>
        <v>0.63715000000000011</v>
      </c>
      <c r="M7847" s="337"/>
    </row>
    <row r="7848" spans="1:13" s="71" customFormat="1" ht="26.4" customHeight="1">
      <c r="A7848" s="282">
        <v>246</v>
      </c>
      <c r="B7848" s="537"/>
      <c r="C7848" s="307" t="s">
        <v>9535</v>
      </c>
      <c r="D7848" s="307" t="s">
        <v>3</v>
      </c>
      <c r="E7848" s="353" t="s">
        <v>9757</v>
      </c>
      <c r="F7848" s="310">
        <v>126</v>
      </c>
      <c r="G7848" s="311">
        <v>1972</v>
      </c>
      <c r="H7848" s="329" t="s">
        <v>3</v>
      </c>
      <c r="I7848" s="320" t="s">
        <v>3</v>
      </c>
      <c r="J7848" s="350">
        <v>15.86088</v>
      </c>
      <c r="K7848" s="350">
        <v>15.22345</v>
      </c>
      <c r="L7848" s="350">
        <f t="shared" si="104"/>
        <v>0.63743000000000016</v>
      </c>
      <c r="M7848" s="337"/>
    </row>
    <row r="7849" spans="1:13" s="71" customFormat="1" ht="26.4" customHeight="1">
      <c r="A7849" s="282">
        <v>247</v>
      </c>
      <c r="B7849" s="537"/>
      <c r="C7849" s="307" t="s">
        <v>9535</v>
      </c>
      <c r="D7849" s="307" t="s">
        <v>3</v>
      </c>
      <c r="E7849" s="260" t="s">
        <v>9758</v>
      </c>
      <c r="F7849" s="310">
        <v>129</v>
      </c>
      <c r="G7849" s="311">
        <v>1975</v>
      </c>
      <c r="H7849" s="329" t="s">
        <v>2658</v>
      </c>
      <c r="I7849" s="313">
        <v>4500</v>
      </c>
      <c r="J7849" s="350">
        <v>324.08188999999999</v>
      </c>
      <c r="K7849" s="350">
        <v>281.94797</v>
      </c>
      <c r="L7849" s="350">
        <f t="shared" si="104"/>
        <v>42.133919999999989</v>
      </c>
      <c r="M7849" s="337"/>
    </row>
    <row r="7850" spans="1:13" s="71" customFormat="1" ht="26.4" customHeight="1">
      <c r="A7850" s="282">
        <v>248</v>
      </c>
      <c r="B7850" s="537"/>
      <c r="C7850" s="453" t="s">
        <v>9743</v>
      </c>
      <c r="D7850" s="446" t="s">
        <v>3</v>
      </c>
      <c r="E7850" s="260" t="s">
        <v>9759</v>
      </c>
      <c r="F7850" s="310">
        <v>130</v>
      </c>
      <c r="G7850" s="311">
        <v>1975</v>
      </c>
      <c r="H7850" s="329" t="s">
        <v>2658</v>
      </c>
      <c r="I7850" s="313">
        <v>8000</v>
      </c>
      <c r="J7850" s="350">
        <v>69.8108</v>
      </c>
      <c r="K7850" s="350">
        <v>65.043909999999997</v>
      </c>
      <c r="L7850" s="350">
        <f t="shared" si="104"/>
        <v>4.7668900000000036</v>
      </c>
      <c r="M7850" s="337"/>
    </row>
    <row r="7851" spans="1:13" s="71" customFormat="1" ht="26.4" customHeight="1">
      <c r="A7851" s="282">
        <v>249</v>
      </c>
      <c r="B7851" s="537"/>
      <c r="C7851" s="307" t="s">
        <v>214</v>
      </c>
      <c r="D7851" s="307" t="s">
        <v>9653</v>
      </c>
      <c r="E7851" s="353" t="s">
        <v>9760</v>
      </c>
      <c r="F7851" s="310">
        <v>131</v>
      </c>
      <c r="G7851" s="311">
        <v>1954</v>
      </c>
      <c r="H7851" s="329" t="s">
        <v>1149</v>
      </c>
      <c r="I7851" s="313" t="s">
        <v>9761</v>
      </c>
      <c r="J7851" s="350">
        <v>428.58229999999998</v>
      </c>
      <c r="K7851" s="350">
        <v>341.33467999999999</v>
      </c>
      <c r="L7851" s="350">
        <f t="shared" si="104"/>
        <v>87.247619999999984</v>
      </c>
      <c r="M7851" s="337"/>
    </row>
    <row r="7852" spans="1:13" s="71" customFormat="1" ht="26.4">
      <c r="A7852" s="282">
        <v>250</v>
      </c>
      <c r="B7852" s="537"/>
      <c r="C7852" s="307" t="s">
        <v>12820</v>
      </c>
      <c r="D7852" s="307" t="s">
        <v>3</v>
      </c>
      <c r="E7852" s="353" t="s">
        <v>9762</v>
      </c>
      <c r="F7852" s="310">
        <v>132</v>
      </c>
      <c r="G7852" s="311">
        <v>1956</v>
      </c>
      <c r="H7852" s="329" t="s">
        <v>1149</v>
      </c>
      <c r="I7852" s="313" t="s">
        <v>22</v>
      </c>
      <c r="J7852" s="350">
        <v>8.1256299999999992</v>
      </c>
      <c r="K7852" s="350">
        <v>8.0800300000000007</v>
      </c>
      <c r="L7852" s="350">
        <f t="shared" si="104"/>
        <v>4.5599999999998531E-2</v>
      </c>
      <c r="M7852" s="337"/>
    </row>
    <row r="7853" spans="1:13" s="71" customFormat="1" ht="26.4" customHeight="1">
      <c r="A7853" s="282">
        <v>251</v>
      </c>
      <c r="B7853" s="537"/>
      <c r="C7853" s="307" t="s">
        <v>9721</v>
      </c>
      <c r="D7853" s="307" t="s">
        <v>3</v>
      </c>
      <c r="E7853" s="353" t="s">
        <v>9763</v>
      </c>
      <c r="F7853" s="310">
        <v>132</v>
      </c>
      <c r="G7853" s="311">
        <v>1956</v>
      </c>
      <c r="H7853" s="329" t="s">
        <v>1149</v>
      </c>
      <c r="I7853" s="313" t="s">
        <v>9764</v>
      </c>
      <c r="J7853" s="350">
        <v>453.70895000000002</v>
      </c>
      <c r="K7853" s="350">
        <v>452.31479000000002</v>
      </c>
      <c r="L7853" s="350">
        <f t="shared" si="104"/>
        <v>1.3941599999999994</v>
      </c>
      <c r="M7853" s="337"/>
    </row>
    <row r="7854" spans="1:13" s="71" customFormat="1" ht="26.4" customHeight="1">
      <c r="A7854" s="282">
        <v>252</v>
      </c>
      <c r="B7854" s="537"/>
      <c r="C7854" s="307" t="s">
        <v>9721</v>
      </c>
      <c r="D7854" s="307" t="s">
        <v>3</v>
      </c>
      <c r="E7854" s="353" t="s">
        <v>9765</v>
      </c>
      <c r="F7854" s="310">
        <v>135</v>
      </c>
      <c r="G7854" s="311">
        <v>1931</v>
      </c>
      <c r="H7854" s="329" t="s">
        <v>1149</v>
      </c>
      <c r="I7854" s="313" t="s">
        <v>1139</v>
      </c>
      <c r="J7854" s="350">
        <v>1716.9567</v>
      </c>
      <c r="K7854" s="350">
        <v>843.50963000000002</v>
      </c>
      <c r="L7854" s="350">
        <f t="shared" si="104"/>
        <v>873.44706999999994</v>
      </c>
      <c r="M7854" s="337"/>
    </row>
    <row r="7855" spans="1:13" s="71" customFormat="1" ht="26.4" customHeight="1">
      <c r="A7855" s="282">
        <v>253</v>
      </c>
      <c r="B7855" s="537"/>
      <c r="C7855" s="307" t="s">
        <v>9477</v>
      </c>
      <c r="D7855" s="307" t="s">
        <v>3</v>
      </c>
      <c r="E7855" s="353" t="s">
        <v>9766</v>
      </c>
      <c r="F7855" s="310">
        <v>137</v>
      </c>
      <c r="G7855" s="311">
        <v>1938</v>
      </c>
      <c r="H7855" s="329" t="s">
        <v>1149</v>
      </c>
      <c r="I7855" s="313" t="s">
        <v>9767</v>
      </c>
      <c r="J7855" s="350">
        <v>20.024989999999999</v>
      </c>
      <c r="K7855" s="350">
        <v>20.024989999999999</v>
      </c>
      <c r="L7855" s="350">
        <f t="shared" si="104"/>
        <v>0</v>
      </c>
      <c r="M7855" s="337"/>
    </row>
    <row r="7856" spans="1:13" s="71" customFormat="1" ht="26.4" customHeight="1">
      <c r="A7856" s="282">
        <v>254</v>
      </c>
      <c r="B7856" s="537"/>
      <c r="C7856" s="307" t="s">
        <v>9477</v>
      </c>
      <c r="D7856" s="307" t="s">
        <v>3</v>
      </c>
      <c r="E7856" s="260" t="s">
        <v>9768</v>
      </c>
      <c r="F7856" s="310">
        <v>137</v>
      </c>
      <c r="G7856" s="311">
        <v>1959</v>
      </c>
      <c r="H7856" s="329" t="s">
        <v>2658</v>
      </c>
      <c r="I7856" s="313">
        <v>4500</v>
      </c>
      <c r="J7856" s="350">
        <v>75.316810000000004</v>
      </c>
      <c r="K7856" s="350">
        <v>72.728809999999996</v>
      </c>
      <c r="L7856" s="350">
        <f t="shared" si="104"/>
        <v>2.5880000000000081</v>
      </c>
      <c r="M7856" s="337"/>
    </row>
    <row r="7857" spans="1:13" s="71" customFormat="1" ht="26.4" customHeight="1">
      <c r="A7857" s="282">
        <v>255</v>
      </c>
      <c r="B7857" s="537"/>
      <c r="C7857" s="307" t="s">
        <v>9477</v>
      </c>
      <c r="D7857" s="307" t="s">
        <v>3</v>
      </c>
      <c r="E7857" s="353" t="s">
        <v>9769</v>
      </c>
      <c r="F7857" s="310">
        <v>138</v>
      </c>
      <c r="G7857" s="311">
        <v>1938</v>
      </c>
      <c r="H7857" s="329" t="s">
        <v>3</v>
      </c>
      <c r="I7857" s="313" t="s">
        <v>3</v>
      </c>
      <c r="J7857" s="350">
        <v>11.64359</v>
      </c>
      <c r="K7857" s="350">
        <v>11.25409</v>
      </c>
      <c r="L7857" s="350">
        <f t="shared" si="104"/>
        <v>0.38949999999999996</v>
      </c>
      <c r="M7857" s="337"/>
    </row>
    <row r="7858" spans="1:13" s="71" customFormat="1" ht="26.4" customHeight="1">
      <c r="A7858" s="282">
        <v>256</v>
      </c>
      <c r="B7858" s="537"/>
      <c r="C7858" s="307" t="s">
        <v>9477</v>
      </c>
      <c r="D7858" s="307" t="s">
        <v>3</v>
      </c>
      <c r="E7858" s="353" t="s">
        <v>9770</v>
      </c>
      <c r="F7858" s="310">
        <v>139</v>
      </c>
      <c r="G7858" s="311">
        <v>1938</v>
      </c>
      <c r="H7858" s="329" t="s">
        <v>3</v>
      </c>
      <c r="I7858" s="313" t="s">
        <v>3</v>
      </c>
      <c r="J7858" s="350">
        <v>18.717030000000001</v>
      </c>
      <c r="K7858" s="350">
        <v>18.717030000000001</v>
      </c>
      <c r="L7858" s="350">
        <f t="shared" si="104"/>
        <v>0</v>
      </c>
      <c r="M7858" s="337"/>
    </row>
    <row r="7859" spans="1:13" s="71" customFormat="1" ht="26.4" customHeight="1">
      <c r="A7859" s="282">
        <v>257</v>
      </c>
      <c r="B7859" s="537"/>
      <c r="C7859" s="307" t="s">
        <v>9477</v>
      </c>
      <c r="D7859" s="307" t="s">
        <v>3</v>
      </c>
      <c r="E7859" s="353" t="s">
        <v>9771</v>
      </c>
      <c r="F7859" s="310">
        <v>140</v>
      </c>
      <c r="G7859" s="311">
        <v>1949</v>
      </c>
      <c r="H7859" s="329" t="s">
        <v>3</v>
      </c>
      <c r="I7859" s="313" t="s">
        <v>3</v>
      </c>
      <c r="J7859" s="350">
        <v>9.14513</v>
      </c>
      <c r="K7859" s="350">
        <v>8.75563</v>
      </c>
      <c r="L7859" s="350">
        <f t="shared" ref="L7859:L7922" si="105">J7859-K7859</f>
        <v>0.38949999999999996</v>
      </c>
      <c r="M7859" s="337"/>
    </row>
    <row r="7860" spans="1:13" s="71" customFormat="1" ht="26.4" customHeight="1">
      <c r="A7860" s="282">
        <v>258</v>
      </c>
      <c r="B7860" s="537"/>
      <c r="C7860" s="307" t="s">
        <v>9453</v>
      </c>
      <c r="D7860" s="307" t="s">
        <v>3</v>
      </c>
      <c r="E7860" s="260" t="s">
        <v>9772</v>
      </c>
      <c r="F7860" s="310">
        <v>140</v>
      </c>
      <c r="G7860" s="311">
        <v>1971</v>
      </c>
      <c r="H7860" s="329" t="s">
        <v>9719</v>
      </c>
      <c r="I7860" s="313">
        <v>14459</v>
      </c>
      <c r="J7860" s="350">
        <v>136.91247999999999</v>
      </c>
      <c r="K7860" s="350">
        <v>129.93387999999999</v>
      </c>
      <c r="L7860" s="350">
        <f t="shared" si="105"/>
        <v>6.9786000000000001</v>
      </c>
      <c r="M7860" s="337"/>
    </row>
    <row r="7861" spans="1:13" s="71" customFormat="1" ht="26.4" customHeight="1">
      <c r="A7861" s="282">
        <v>259</v>
      </c>
      <c r="B7861" s="537"/>
      <c r="C7861" s="307" t="s">
        <v>9477</v>
      </c>
      <c r="D7861" s="307" t="s">
        <v>3</v>
      </c>
      <c r="E7861" s="353" t="s">
        <v>9773</v>
      </c>
      <c r="F7861" s="310">
        <v>141</v>
      </c>
      <c r="G7861" s="311">
        <v>1946</v>
      </c>
      <c r="H7861" s="329" t="s">
        <v>3</v>
      </c>
      <c r="I7861" s="313" t="s">
        <v>3</v>
      </c>
      <c r="J7861" s="350">
        <v>12.166359999999999</v>
      </c>
      <c r="K7861" s="350">
        <v>11.28476</v>
      </c>
      <c r="L7861" s="350">
        <f t="shared" si="105"/>
        <v>0.88159999999999883</v>
      </c>
      <c r="M7861" s="337"/>
    </row>
    <row r="7862" spans="1:13" s="71" customFormat="1" ht="26.4" customHeight="1">
      <c r="A7862" s="282">
        <v>260</v>
      </c>
      <c r="B7862" s="537"/>
      <c r="C7862" s="307" t="s">
        <v>9477</v>
      </c>
      <c r="D7862" s="307" t="s">
        <v>3</v>
      </c>
      <c r="E7862" s="353" t="s">
        <v>9774</v>
      </c>
      <c r="F7862" s="310">
        <v>142</v>
      </c>
      <c r="G7862" s="311">
        <v>1951</v>
      </c>
      <c r="H7862" s="329" t="s">
        <v>3</v>
      </c>
      <c r="I7862" s="313" t="s">
        <v>3</v>
      </c>
      <c r="J7862" s="350">
        <v>34.491500000000002</v>
      </c>
      <c r="K7862" s="350">
        <v>34.491500000000002</v>
      </c>
      <c r="L7862" s="350">
        <f t="shared" si="105"/>
        <v>0</v>
      </c>
      <c r="M7862" s="337"/>
    </row>
    <row r="7863" spans="1:13" s="71" customFormat="1" ht="26.4" customHeight="1">
      <c r="A7863" s="282">
        <v>261</v>
      </c>
      <c r="B7863" s="537"/>
      <c r="C7863" s="307" t="s">
        <v>9477</v>
      </c>
      <c r="D7863" s="307" t="s">
        <v>3</v>
      </c>
      <c r="E7863" s="353" t="s">
        <v>9775</v>
      </c>
      <c r="F7863" s="310">
        <v>143</v>
      </c>
      <c r="G7863" s="311">
        <v>1968</v>
      </c>
      <c r="H7863" s="329" t="s">
        <v>3</v>
      </c>
      <c r="I7863" s="313" t="s">
        <v>3</v>
      </c>
      <c r="J7863" s="350">
        <v>17.647320000000001</v>
      </c>
      <c r="K7863" s="350">
        <v>16.692799999999998</v>
      </c>
      <c r="L7863" s="350">
        <f t="shared" si="105"/>
        <v>0.95452000000000226</v>
      </c>
      <c r="M7863" s="337"/>
    </row>
    <row r="7864" spans="1:13" s="71" customFormat="1" ht="26.4" customHeight="1">
      <c r="A7864" s="282">
        <v>262</v>
      </c>
      <c r="B7864" s="537"/>
      <c r="C7864" s="307" t="s">
        <v>9453</v>
      </c>
      <c r="D7864" s="307" t="s">
        <v>3</v>
      </c>
      <c r="E7864" s="260" t="s">
        <v>9776</v>
      </c>
      <c r="F7864" s="310">
        <v>143</v>
      </c>
      <c r="G7864" s="311">
        <v>1972</v>
      </c>
      <c r="H7864" s="329" t="s">
        <v>9719</v>
      </c>
      <c r="I7864" s="313">
        <v>800</v>
      </c>
      <c r="J7864" s="350">
        <v>25.755700000000001</v>
      </c>
      <c r="K7864" s="350">
        <v>22.86974</v>
      </c>
      <c r="L7864" s="350">
        <f t="shared" si="105"/>
        <v>2.8859600000000007</v>
      </c>
      <c r="M7864" s="337"/>
    </row>
    <row r="7865" spans="1:13" s="71" customFormat="1" ht="26.4" customHeight="1">
      <c r="A7865" s="282">
        <v>263</v>
      </c>
      <c r="B7865" s="537"/>
      <c r="C7865" s="307" t="s">
        <v>9477</v>
      </c>
      <c r="D7865" s="307" t="s">
        <v>3</v>
      </c>
      <c r="E7865" s="353" t="s">
        <v>9777</v>
      </c>
      <c r="F7865" s="310">
        <v>144</v>
      </c>
      <c r="G7865" s="311">
        <v>1954</v>
      </c>
      <c r="H7865" s="329" t="s">
        <v>1149</v>
      </c>
      <c r="I7865" s="313" t="s">
        <v>9778</v>
      </c>
      <c r="J7865" s="350">
        <v>50.478990000000003</v>
      </c>
      <c r="K7865" s="350">
        <v>42.17841</v>
      </c>
      <c r="L7865" s="350">
        <f t="shared" si="105"/>
        <v>8.3005800000000036</v>
      </c>
      <c r="M7865" s="337"/>
    </row>
    <row r="7866" spans="1:13" s="71" customFormat="1" ht="26.4" customHeight="1">
      <c r="A7866" s="282">
        <v>264</v>
      </c>
      <c r="B7866" s="537"/>
      <c r="C7866" s="307" t="s">
        <v>9453</v>
      </c>
      <c r="D7866" s="307" t="s">
        <v>9779</v>
      </c>
      <c r="E7866" s="260" t="s">
        <v>9780</v>
      </c>
      <c r="F7866" s="310">
        <v>144</v>
      </c>
      <c r="G7866" s="311">
        <v>1972</v>
      </c>
      <c r="H7866" s="329" t="s">
        <v>2658</v>
      </c>
      <c r="I7866" s="313">
        <v>1870</v>
      </c>
      <c r="J7866" s="350">
        <v>10.99004</v>
      </c>
      <c r="K7866" s="350">
        <v>10.390359999999999</v>
      </c>
      <c r="L7866" s="350">
        <f t="shared" si="105"/>
        <v>0.5996800000000011</v>
      </c>
      <c r="M7866" s="337"/>
    </row>
    <row r="7867" spans="1:13" s="71" customFormat="1" ht="26.4" customHeight="1">
      <c r="A7867" s="282">
        <v>265</v>
      </c>
      <c r="B7867" s="537"/>
      <c r="C7867" s="307" t="s">
        <v>9781</v>
      </c>
      <c r="D7867" s="307" t="s">
        <v>3</v>
      </c>
      <c r="E7867" s="353" t="s">
        <v>9782</v>
      </c>
      <c r="F7867" s="310">
        <v>145</v>
      </c>
      <c r="G7867" s="311">
        <v>1956</v>
      </c>
      <c r="H7867" s="329" t="s">
        <v>3</v>
      </c>
      <c r="I7867" s="313" t="s">
        <v>3</v>
      </c>
      <c r="J7867" s="350">
        <v>40.224679999999999</v>
      </c>
      <c r="K7867" s="350">
        <v>36.888770000000001</v>
      </c>
      <c r="L7867" s="350">
        <f t="shared" si="105"/>
        <v>3.3359099999999984</v>
      </c>
      <c r="M7867" s="337"/>
    </row>
    <row r="7868" spans="1:13" s="71" customFormat="1" ht="26.4" customHeight="1">
      <c r="A7868" s="282">
        <v>266</v>
      </c>
      <c r="B7868" s="537"/>
      <c r="C7868" s="307" t="s">
        <v>9453</v>
      </c>
      <c r="D7868" s="307" t="s">
        <v>3</v>
      </c>
      <c r="E7868" s="260" t="s">
        <v>9783</v>
      </c>
      <c r="F7868" s="310">
        <v>145</v>
      </c>
      <c r="G7868" s="311">
        <v>1972</v>
      </c>
      <c r="H7868" s="329" t="s">
        <v>3</v>
      </c>
      <c r="I7868" s="313" t="s">
        <v>3</v>
      </c>
      <c r="J7868" s="350">
        <v>4.8002700000000003</v>
      </c>
      <c r="K7868" s="350">
        <v>4.6511100000000001</v>
      </c>
      <c r="L7868" s="350">
        <f t="shared" si="105"/>
        <v>0.14916000000000018</v>
      </c>
      <c r="M7868" s="337"/>
    </row>
    <row r="7869" spans="1:13" s="71" customFormat="1" ht="26.4" customHeight="1">
      <c r="A7869" s="282">
        <v>267</v>
      </c>
      <c r="B7869" s="537"/>
      <c r="C7869" s="307" t="s">
        <v>21</v>
      </c>
      <c r="D7869" s="307" t="s">
        <v>3</v>
      </c>
      <c r="E7869" s="260" t="s">
        <v>12821</v>
      </c>
      <c r="F7869" s="310">
        <v>149</v>
      </c>
      <c r="G7869" s="311">
        <v>1972</v>
      </c>
      <c r="H7869" s="329" t="s">
        <v>2658</v>
      </c>
      <c r="I7869" s="313">
        <v>5000</v>
      </c>
      <c r="J7869" s="350">
        <v>67.070139999999995</v>
      </c>
      <c r="K7869" s="350">
        <v>66.401359999999997</v>
      </c>
      <c r="L7869" s="350">
        <f t="shared" si="105"/>
        <v>0.66877999999999815</v>
      </c>
      <c r="M7869" s="337"/>
    </row>
    <row r="7870" spans="1:13" s="71" customFormat="1" ht="26.4" customHeight="1">
      <c r="A7870" s="282">
        <v>268</v>
      </c>
      <c r="B7870" s="537"/>
      <c r="C7870" s="307" t="s">
        <v>9784</v>
      </c>
      <c r="D7870" s="307" t="s">
        <v>3</v>
      </c>
      <c r="E7870" s="260" t="s">
        <v>9785</v>
      </c>
      <c r="F7870" s="310">
        <v>153</v>
      </c>
      <c r="G7870" s="311">
        <v>1976</v>
      </c>
      <c r="H7870" s="329" t="s">
        <v>2658</v>
      </c>
      <c r="I7870" s="313">
        <v>4243</v>
      </c>
      <c r="J7870" s="350">
        <v>4615.4424799999997</v>
      </c>
      <c r="K7870" s="350">
        <v>4614.4111400000002</v>
      </c>
      <c r="L7870" s="350">
        <f t="shared" si="105"/>
        <v>1.0313399999995454</v>
      </c>
      <c r="M7870" s="337"/>
    </row>
    <row r="7871" spans="1:13" s="71" customFormat="1" ht="26.4" customHeight="1">
      <c r="A7871" s="282">
        <v>269</v>
      </c>
      <c r="B7871" s="537"/>
      <c r="C7871" s="307" t="s">
        <v>9484</v>
      </c>
      <c r="D7871" s="307" t="s">
        <v>3</v>
      </c>
      <c r="E7871" s="260" t="s">
        <v>9786</v>
      </c>
      <c r="F7871" s="310">
        <v>154</v>
      </c>
      <c r="G7871" s="311">
        <v>1976</v>
      </c>
      <c r="H7871" s="329" t="s">
        <v>2658</v>
      </c>
      <c r="I7871" s="313">
        <v>50</v>
      </c>
      <c r="J7871" s="350">
        <v>719.42822000000001</v>
      </c>
      <c r="K7871" s="350">
        <v>646.44593999999995</v>
      </c>
      <c r="L7871" s="350">
        <f t="shared" si="105"/>
        <v>72.98228000000006</v>
      </c>
      <c r="M7871" s="337"/>
    </row>
    <row r="7872" spans="1:13" s="71" customFormat="1" ht="26.4" customHeight="1">
      <c r="A7872" s="282">
        <v>270</v>
      </c>
      <c r="B7872" s="537"/>
      <c r="C7872" s="307" t="s">
        <v>9477</v>
      </c>
      <c r="D7872" s="307" t="s">
        <v>3</v>
      </c>
      <c r="E7872" s="260" t="s">
        <v>9787</v>
      </c>
      <c r="F7872" s="310">
        <v>156</v>
      </c>
      <c r="G7872" s="311">
        <v>1976</v>
      </c>
      <c r="H7872" s="329" t="s">
        <v>2658</v>
      </c>
      <c r="I7872" s="313">
        <v>1200</v>
      </c>
      <c r="J7872" s="350">
        <v>68.76679</v>
      </c>
      <c r="K7872" s="350">
        <v>63.644129999999997</v>
      </c>
      <c r="L7872" s="350">
        <f t="shared" si="105"/>
        <v>5.1226600000000033</v>
      </c>
      <c r="M7872" s="337"/>
    </row>
    <row r="7873" spans="1:13" s="71" customFormat="1" ht="26.4" customHeight="1">
      <c r="A7873" s="282">
        <v>271</v>
      </c>
      <c r="B7873" s="537"/>
      <c r="C7873" s="307" t="s">
        <v>9477</v>
      </c>
      <c r="D7873" s="307" t="s">
        <v>3</v>
      </c>
      <c r="E7873" s="260" t="s">
        <v>9788</v>
      </c>
      <c r="F7873" s="310">
        <v>157</v>
      </c>
      <c r="G7873" s="311">
        <v>1976</v>
      </c>
      <c r="H7873" s="329" t="s">
        <v>2658</v>
      </c>
      <c r="I7873" s="313">
        <v>2960</v>
      </c>
      <c r="J7873" s="350">
        <v>16.065110000000001</v>
      </c>
      <c r="K7873" s="350">
        <v>15.790430000000001</v>
      </c>
      <c r="L7873" s="350">
        <f t="shared" si="105"/>
        <v>0.27468000000000004</v>
      </c>
      <c r="M7873" s="337"/>
    </row>
    <row r="7874" spans="1:13" s="71" customFormat="1" ht="26.4" customHeight="1">
      <c r="A7874" s="282">
        <v>272</v>
      </c>
      <c r="B7874" s="537"/>
      <c r="C7874" s="464" t="s">
        <v>214</v>
      </c>
      <c r="D7874" s="307" t="s">
        <v>3</v>
      </c>
      <c r="E7874" s="260" t="s">
        <v>12822</v>
      </c>
      <c r="F7874" s="310">
        <v>158</v>
      </c>
      <c r="G7874" s="311">
        <v>1977</v>
      </c>
      <c r="H7874" s="329" t="s">
        <v>2658</v>
      </c>
      <c r="I7874" s="313">
        <v>2200</v>
      </c>
      <c r="J7874" s="350">
        <v>419.32560000000001</v>
      </c>
      <c r="K7874" s="350">
        <v>413.72985999999997</v>
      </c>
      <c r="L7874" s="350">
        <f t="shared" si="105"/>
        <v>5.5957400000000348</v>
      </c>
      <c r="M7874" s="337"/>
    </row>
    <row r="7875" spans="1:13" s="71" customFormat="1" ht="26.4" customHeight="1">
      <c r="A7875" s="282">
        <v>273</v>
      </c>
      <c r="B7875" s="537"/>
      <c r="C7875" s="446" t="s">
        <v>9477</v>
      </c>
      <c r="D7875" s="307" t="s">
        <v>3</v>
      </c>
      <c r="E7875" s="260" t="s">
        <v>9789</v>
      </c>
      <c r="F7875" s="310">
        <v>159</v>
      </c>
      <c r="G7875" s="311">
        <v>1977</v>
      </c>
      <c r="H7875" s="329" t="s">
        <v>2658</v>
      </c>
      <c r="I7875" s="313">
        <v>3123</v>
      </c>
      <c r="J7875" s="350">
        <v>4.8096699999999997</v>
      </c>
      <c r="K7875" s="350">
        <v>3.8206600000000002</v>
      </c>
      <c r="L7875" s="350">
        <f t="shared" si="105"/>
        <v>0.9890099999999995</v>
      </c>
      <c r="M7875" s="337"/>
    </row>
    <row r="7876" spans="1:13" s="71" customFormat="1" ht="26.4" customHeight="1">
      <c r="A7876" s="282">
        <v>274</v>
      </c>
      <c r="B7876" s="537"/>
      <c r="C7876" s="446" t="s">
        <v>9453</v>
      </c>
      <c r="D7876" s="307" t="s">
        <v>3</v>
      </c>
      <c r="E7876" s="260" t="s">
        <v>9790</v>
      </c>
      <c r="F7876" s="310">
        <v>159</v>
      </c>
      <c r="G7876" s="311">
        <v>1978</v>
      </c>
      <c r="H7876" s="329" t="s">
        <v>2658</v>
      </c>
      <c r="I7876" s="313">
        <v>998</v>
      </c>
      <c r="J7876" s="350">
        <v>77.339619999999996</v>
      </c>
      <c r="K7876" s="350">
        <v>75.621340000000004</v>
      </c>
      <c r="L7876" s="350">
        <f t="shared" si="105"/>
        <v>1.7182799999999929</v>
      </c>
      <c r="M7876" s="337"/>
    </row>
    <row r="7877" spans="1:13" s="71" customFormat="1" ht="26.4" customHeight="1">
      <c r="A7877" s="282">
        <v>275</v>
      </c>
      <c r="B7877" s="537"/>
      <c r="C7877" s="446" t="s">
        <v>9453</v>
      </c>
      <c r="D7877" s="307" t="s">
        <v>3</v>
      </c>
      <c r="E7877" s="260" t="s">
        <v>9791</v>
      </c>
      <c r="F7877" s="310">
        <v>160</v>
      </c>
      <c r="G7877" s="311">
        <v>1978</v>
      </c>
      <c r="H7877" s="329" t="s">
        <v>2658</v>
      </c>
      <c r="I7877" s="313">
        <v>1198</v>
      </c>
      <c r="J7877" s="350">
        <v>42.364649999999997</v>
      </c>
      <c r="K7877" s="350">
        <v>28.32085</v>
      </c>
      <c r="L7877" s="350">
        <f t="shared" si="105"/>
        <v>14.043799999999997</v>
      </c>
      <c r="M7877" s="337"/>
    </row>
    <row r="7878" spans="1:13" s="71" customFormat="1" ht="26.4" customHeight="1">
      <c r="A7878" s="282">
        <v>276</v>
      </c>
      <c r="B7878" s="537"/>
      <c r="C7878" s="464" t="s">
        <v>12827</v>
      </c>
      <c r="D7878" s="307" t="s">
        <v>3</v>
      </c>
      <c r="E7878" s="260" t="s">
        <v>9792</v>
      </c>
      <c r="F7878" s="310">
        <v>162</v>
      </c>
      <c r="G7878" s="311">
        <v>1978</v>
      </c>
      <c r="H7878" s="329" t="s">
        <v>2658</v>
      </c>
      <c r="I7878" s="313">
        <v>3835</v>
      </c>
      <c r="J7878" s="350">
        <v>4591.2542199999998</v>
      </c>
      <c r="K7878" s="350">
        <v>230.40568999999999</v>
      </c>
      <c r="L7878" s="350">
        <f t="shared" si="105"/>
        <v>4360.8485300000002</v>
      </c>
      <c r="M7878" s="337"/>
    </row>
    <row r="7879" spans="1:13" s="71" customFormat="1" ht="26.4" customHeight="1">
      <c r="A7879" s="282">
        <v>277</v>
      </c>
      <c r="B7879" s="537"/>
      <c r="C7879" s="313" t="s">
        <v>214</v>
      </c>
      <c r="D7879" s="313" t="s">
        <v>3</v>
      </c>
      <c r="E7879" s="260" t="s">
        <v>9793</v>
      </c>
      <c r="F7879" s="310">
        <v>164</v>
      </c>
      <c r="G7879" s="311">
        <v>1978</v>
      </c>
      <c r="H7879" s="329" t="s">
        <v>2658</v>
      </c>
      <c r="I7879" s="313">
        <v>216</v>
      </c>
      <c r="J7879" s="350">
        <v>20.53256</v>
      </c>
      <c r="K7879" s="350">
        <v>20.185739999999999</v>
      </c>
      <c r="L7879" s="350">
        <f t="shared" si="105"/>
        <v>0.34682000000000102</v>
      </c>
      <c r="M7879" s="337"/>
    </row>
    <row r="7880" spans="1:13" s="71" customFormat="1" ht="26.4" customHeight="1">
      <c r="A7880" s="282">
        <v>278</v>
      </c>
      <c r="B7880" s="537"/>
      <c r="C7880" s="307" t="s">
        <v>9552</v>
      </c>
      <c r="D7880" s="307" t="s">
        <v>9794</v>
      </c>
      <c r="E7880" s="353" t="s">
        <v>9795</v>
      </c>
      <c r="F7880" s="310">
        <v>165</v>
      </c>
      <c r="G7880" s="311">
        <v>1955</v>
      </c>
      <c r="H7880" s="329" t="s">
        <v>1149</v>
      </c>
      <c r="I7880" s="313" t="s">
        <v>9796</v>
      </c>
      <c r="J7880" s="350">
        <v>645.60059999999999</v>
      </c>
      <c r="K7880" s="350">
        <v>486.41399999999999</v>
      </c>
      <c r="L7880" s="350">
        <f t="shared" si="105"/>
        <v>159.1866</v>
      </c>
      <c r="M7880" s="337"/>
    </row>
    <row r="7881" spans="1:13" s="71" customFormat="1" ht="35.25" customHeight="1">
      <c r="A7881" s="282">
        <v>279</v>
      </c>
      <c r="B7881" s="537"/>
      <c r="C7881" s="464" t="s">
        <v>214</v>
      </c>
      <c r="D7881" s="464" t="s">
        <v>3</v>
      </c>
      <c r="E7881" s="260" t="s">
        <v>9797</v>
      </c>
      <c r="F7881" s="310">
        <v>165</v>
      </c>
      <c r="G7881" s="311">
        <v>1978</v>
      </c>
      <c r="H7881" s="329" t="s">
        <v>2658</v>
      </c>
      <c r="I7881" s="313">
        <v>2784</v>
      </c>
      <c r="J7881" s="350">
        <v>280.11066</v>
      </c>
      <c r="K7881" s="350">
        <v>142.19137000000001</v>
      </c>
      <c r="L7881" s="350">
        <f t="shared" si="105"/>
        <v>137.91928999999999</v>
      </c>
      <c r="M7881" s="337"/>
    </row>
    <row r="7882" spans="1:13" s="71" customFormat="1" ht="26.4" customHeight="1">
      <c r="A7882" s="282">
        <v>280</v>
      </c>
      <c r="B7882" s="537"/>
      <c r="C7882" s="335" t="s">
        <v>9602</v>
      </c>
      <c r="D7882" s="313" t="s">
        <v>3</v>
      </c>
      <c r="E7882" s="444" t="s">
        <v>9798</v>
      </c>
      <c r="F7882" s="310">
        <v>166</v>
      </c>
      <c r="G7882" s="311">
        <v>1978</v>
      </c>
      <c r="H7882" s="329" t="s">
        <v>2658</v>
      </c>
      <c r="I7882" s="313">
        <v>1700</v>
      </c>
      <c r="J7882" s="350">
        <v>274.63371999999998</v>
      </c>
      <c r="K7882" s="350">
        <v>230.77166</v>
      </c>
      <c r="L7882" s="350">
        <f t="shared" si="105"/>
        <v>43.862059999999985</v>
      </c>
      <c r="M7882" s="337"/>
    </row>
    <row r="7883" spans="1:13" s="71" customFormat="1" ht="26.4" customHeight="1">
      <c r="A7883" s="282">
        <v>281</v>
      </c>
      <c r="B7883" s="537"/>
      <c r="C7883" s="307" t="s">
        <v>9799</v>
      </c>
      <c r="D7883" s="307" t="s">
        <v>3</v>
      </c>
      <c r="E7883" s="353" t="s">
        <v>9800</v>
      </c>
      <c r="F7883" s="310">
        <v>166</v>
      </c>
      <c r="G7883" s="311">
        <v>1954</v>
      </c>
      <c r="H7883" s="329" t="s">
        <v>1149</v>
      </c>
      <c r="I7883" s="313" t="s">
        <v>9801</v>
      </c>
      <c r="J7883" s="350">
        <v>217.77342999999999</v>
      </c>
      <c r="K7883" s="350">
        <v>187.12967</v>
      </c>
      <c r="L7883" s="350">
        <f t="shared" si="105"/>
        <v>30.643759999999986</v>
      </c>
      <c r="M7883" s="337"/>
    </row>
    <row r="7884" spans="1:13" s="71" customFormat="1" ht="26.4" customHeight="1">
      <c r="A7884" s="282">
        <v>282</v>
      </c>
      <c r="B7884" s="537"/>
      <c r="C7884" s="307" t="s">
        <v>9799</v>
      </c>
      <c r="D7884" s="307" t="s">
        <v>9794</v>
      </c>
      <c r="E7884" s="353" t="s">
        <v>9802</v>
      </c>
      <c r="F7884" s="310">
        <v>167</v>
      </c>
      <c r="G7884" s="311">
        <v>1954</v>
      </c>
      <c r="H7884" s="329" t="s">
        <v>3</v>
      </c>
      <c r="I7884" s="313" t="s">
        <v>3</v>
      </c>
      <c r="J7884" s="350">
        <v>24.915880000000001</v>
      </c>
      <c r="K7884" s="350">
        <v>24.840910000000001</v>
      </c>
      <c r="L7884" s="350">
        <f t="shared" si="105"/>
        <v>7.4970000000000425E-2</v>
      </c>
      <c r="M7884" s="337"/>
    </row>
    <row r="7885" spans="1:13" s="71" customFormat="1" ht="26.4" customHeight="1">
      <c r="A7885" s="282">
        <v>283</v>
      </c>
      <c r="B7885" s="537"/>
      <c r="C7885" s="307" t="s">
        <v>9799</v>
      </c>
      <c r="D7885" s="307" t="s">
        <v>9803</v>
      </c>
      <c r="E7885" s="260" t="s">
        <v>9804</v>
      </c>
      <c r="F7885" s="310">
        <v>167</v>
      </c>
      <c r="G7885" s="311">
        <v>1978</v>
      </c>
      <c r="H7885" s="329" t="s">
        <v>2658</v>
      </c>
      <c r="I7885" s="313">
        <v>2300</v>
      </c>
      <c r="J7885" s="350">
        <v>193.60787999999999</v>
      </c>
      <c r="K7885" s="350">
        <v>188.52566999999999</v>
      </c>
      <c r="L7885" s="350">
        <f t="shared" si="105"/>
        <v>5.0822100000000034</v>
      </c>
      <c r="M7885" s="337"/>
    </row>
    <row r="7886" spans="1:13" s="71" customFormat="1" ht="26.4" customHeight="1">
      <c r="A7886" s="282">
        <v>284</v>
      </c>
      <c r="B7886" s="537"/>
      <c r="C7886" s="307" t="s">
        <v>9799</v>
      </c>
      <c r="D7886" s="307" t="s">
        <v>9805</v>
      </c>
      <c r="E7886" s="353" t="s">
        <v>9806</v>
      </c>
      <c r="F7886" s="310">
        <v>168</v>
      </c>
      <c r="G7886" s="311">
        <v>1956</v>
      </c>
      <c r="H7886" s="329" t="s">
        <v>3</v>
      </c>
      <c r="I7886" s="313" t="s">
        <v>3</v>
      </c>
      <c r="J7886" s="350">
        <v>38.762340000000002</v>
      </c>
      <c r="K7886" s="350">
        <v>38.34798</v>
      </c>
      <c r="L7886" s="350">
        <f t="shared" si="105"/>
        <v>0.41436000000000206</v>
      </c>
      <c r="M7886" s="337"/>
    </row>
    <row r="7887" spans="1:13" s="71" customFormat="1" ht="26.4" customHeight="1">
      <c r="A7887" s="282">
        <v>285</v>
      </c>
      <c r="B7887" s="537"/>
      <c r="C7887" s="307" t="s">
        <v>21</v>
      </c>
      <c r="D7887" s="307" t="s">
        <v>9807</v>
      </c>
      <c r="E7887" s="353" t="s">
        <v>9808</v>
      </c>
      <c r="F7887" s="310">
        <v>169</v>
      </c>
      <c r="G7887" s="311">
        <v>1954</v>
      </c>
      <c r="H7887" s="329" t="s">
        <v>1149</v>
      </c>
      <c r="I7887" s="313" t="s">
        <v>9809</v>
      </c>
      <c r="J7887" s="350">
        <v>42.790579999999999</v>
      </c>
      <c r="K7887" s="350">
        <v>42.384979999999999</v>
      </c>
      <c r="L7887" s="350">
        <f t="shared" si="105"/>
        <v>0.40559999999999974</v>
      </c>
      <c r="M7887" s="337"/>
    </row>
    <row r="7888" spans="1:13" s="71" customFormat="1" ht="26.4" customHeight="1">
      <c r="A7888" s="282">
        <v>286</v>
      </c>
      <c r="B7888" s="537"/>
      <c r="C7888" s="307" t="s">
        <v>9799</v>
      </c>
      <c r="D7888" s="307" t="s">
        <v>3</v>
      </c>
      <c r="E7888" s="353" t="s">
        <v>9810</v>
      </c>
      <c r="F7888" s="310">
        <v>170</v>
      </c>
      <c r="G7888" s="311">
        <v>1954</v>
      </c>
      <c r="H7888" s="329" t="s">
        <v>1149</v>
      </c>
      <c r="I7888" s="313" t="s">
        <v>9811</v>
      </c>
      <c r="J7888" s="350">
        <v>756.72920999999997</v>
      </c>
      <c r="K7888" s="350">
        <v>750.05610999999999</v>
      </c>
      <c r="L7888" s="350">
        <f t="shared" si="105"/>
        <v>6.6730999999999767</v>
      </c>
      <c r="M7888" s="337"/>
    </row>
    <row r="7889" spans="1:13" s="71" customFormat="1" ht="26.4" customHeight="1">
      <c r="A7889" s="282">
        <v>287</v>
      </c>
      <c r="B7889" s="537"/>
      <c r="C7889" s="307" t="s">
        <v>9484</v>
      </c>
      <c r="D7889" s="307" t="s">
        <v>3</v>
      </c>
      <c r="E7889" s="260" t="s">
        <v>9812</v>
      </c>
      <c r="F7889" s="310">
        <v>170</v>
      </c>
      <c r="G7889" s="311">
        <v>1981</v>
      </c>
      <c r="H7889" s="329" t="s">
        <v>631</v>
      </c>
      <c r="I7889" s="313">
        <v>1930</v>
      </c>
      <c r="J7889" s="350">
        <v>98.241720000000001</v>
      </c>
      <c r="K7889" s="350">
        <v>96.204279999999997</v>
      </c>
      <c r="L7889" s="350">
        <f t="shared" si="105"/>
        <v>2.0374400000000037</v>
      </c>
      <c r="M7889" s="337"/>
    </row>
    <row r="7890" spans="1:13" s="71" customFormat="1" ht="26.4" customHeight="1">
      <c r="A7890" s="282">
        <v>288</v>
      </c>
      <c r="B7890" s="537"/>
      <c r="C7890" s="307" t="s">
        <v>9799</v>
      </c>
      <c r="D7890" s="307" t="s">
        <v>9794</v>
      </c>
      <c r="E7890" s="353" t="s">
        <v>9813</v>
      </c>
      <c r="F7890" s="310">
        <v>171</v>
      </c>
      <c r="G7890" s="311">
        <v>1954</v>
      </c>
      <c r="H7890" s="329" t="s">
        <v>1149</v>
      </c>
      <c r="I7890" s="313" t="s">
        <v>9814</v>
      </c>
      <c r="J7890" s="350">
        <v>64.444770000000005</v>
      </c>
      <c r="K7890" s="350">
        <v>63.650869999999998</v>
      </c>
      <c r="L7890" s="350">
        <f t="shared" si="105"/>
        <v>0.79390000000000782</v>
      </c>
      <c r="M7890" s="337"/>
    </row>
    <row r="7891" spans="1:13" s="71" customFormat="1" ht="26.4" customHeight="1">
      <c r="A7891" s="282">
        <v>289</v>
      </c>
      <c r="B7891" s="537"/>
      <c r="C7891" s="307" t="s">
        <v>9799</v>
      </c>
      <c r="D7891" s="307" t="s">
        <v>3</v>
      </c>
      <c r="E7891" s="353" t="s">
        <v>9815</v>
      </c>
      <c r="F7891" s="310">
        <v>172</v>
      </c>
      <c r="G7891" s="311">
        <v>1954</v>
      </c>
      <c r="H7891" s="329" t="s">
        <v>1149</v>
      </c>
      <c r="I7891" s="313" t="s">
        <v>9816</v>
      </c>
      <c r="J7891" s="350">
        <v>201.28793999999999</v>
      </c>
      <c r="K7891" s="350">
        <v>198.29774</v>
      </c>
      <c r="L7891" s="350">
        <f t="shared" si="105"/>
        <v>2.9901999999999873</v>
      </c>
      <c r="M7891" s="337"/>
    </row>
    <row r="7892" spans="1:13" s="71" customFormat="1" ht="26.4" customHeight="1">
      <c r="A7892" s="282">
        <v>290</v>
      </c>
      <c r="B7892" s="537"/>
      <c r="C7892" s="307" t="s">
        <v>9484</v>
      </c>
      <c r="D7892" s="307" t="s">
        <v>3</v>
      </c>
      <c r="E7892" s="260" t="s">
        <v>9817</v>
      </c>
      <c r="F7892" s="310">
        <v>173</v>
      </c>
      <c r="G7892" s="311">
        <v>1981</v>
      </c>
      <c r="H7892" s="329" t="s">
        <v>3</v>
      </c>
      <c r="I7892" s="320" t="s">
        <v>3</v>
      </c>
      <c r="J7892" s="350">
        <v>26.220600000000001</v>
      </c>
      <c r="K7892" s="350">
        <v>26.095749999999999</v>
      </c>
      <c r="L7892" s="350">
        <f t="shared" si="105"/>
        <v>0.12485000000000213</v>
      </c>
      <c r="M7892" s="337"/>
    </row>
    <row r="7893" spans="1:13" s="71" customFormat="1" ht="26.4" customHeight="1">
      <c r="A7893" s="282">
        <v>291</v>
      </c>
      <c r="B7893" s="537"/>
      <c r="C7893" s="307" t="s">
        <v>9818</v>
      </c>
      <c r="D7893" s="307" t="s">
        <v>3</v>
      </c>
      <c r="E7893" s="353" t="s">
        <v>13314</v>
      </c>
      <c r="F7893" s="310">
        <v>173</v>
      </c>
      <c r="G7893" s="311">
        <v>1972</v>
      </c>
      <c r="H7893" s="329" t="s">
        <v>1149</v>
      </c>
      <c r="I7893" s="313" t="s">
        <v>9819</v>
      </c>
      <c r="J7893" s="350">
        <v>24.662780000000001</v>
      </c>
      <c r="K7893" s="350">
        <v>23.813759999999998</v>
      </c>
      <c r="L7893" s="350">
        <f t="shared" si="105"/>
        <v>0.84902000000000299</v>
      </c>
      <c r="M7893" s="337"/>
    </row>
    <row r="7894" spans="1:13" s="71" customFormat="1" ht="26.4" customHeight="1">
      <c r="A7894" s="282">
        <v>292</v>
      </c>
      <c r="B7894" s="537"/>
      <c r="C7894" s="307" t="s">
        <v>9484</v>
      </c>
      <c r="D7894" s="307" t="s">
        <v>3</v>
      </c>
      <c r="E7894" s="260" t="s">
        <v>9820</v>
      </c>
      <c r="F7894" s="310">
        <v>174</v>
      </c>
      <c r="G7894" s="311">
        <v>1981</v>
      </c>
      <c r="H7894" s="329" t="s">
        <v>3</v>
      </c>
      <c r="I7894" s="320" t="s">
        <v>3</v>
      </c>
      <c r="J7894" s="350">
        <v>28.85772</v>
      </c>
      <c r="K7894" s="350">
        <v>26.366399999999999</v>
      </c>
      <c r="L7894" s="350">
        <f t="shared" si="105"/>
        <v>2.4913200000000018</v>
      </c>
      <c r="M7894" s="337"/>
    </row>
    <row r="7895" spans="1:13" s="71" customFormat="1" ht="26.4" customHeight="1">
      <c r="A7895" s="282">
        <v>293</v>
      </c>
      <c r="B7895" s="537"/>
      <c r="C7895" s="307" t="s">
        <v>9818</v>
      </c>
      <c r="D7895" s="307" t="s">
        <v>3</v>
      </c>
      <c r="E7895" s="353" t="s">
        <v>9821</v>
      </c>
      <c r="F7895" s="310">
        <v>174</v>
      </c>
      <c r="G7895" s="311">
        <v>1972</v>
      </c>
      <c r="H7895" s="329" t="s">
        <v>3</v>
      </c>
      <c r="I7895" s="320" t="s">
        <v>3</v>
      </c>
      <c r="J7895" s="350">
        <v>16.069610000000001</v>
      </c>
      <c r="K7895" s="350">
        <v>15.52891</v>
      </c>
      <c r="L7895" s="350">
        <f t="shared" si="105"/>
        <v>0.54070000000000107</v>
      </c>
      <c r="M7895" s="337"/>
    </row>
    <row r="7896" spans="1:13" s="71" customFormat="1" ht="26.4" customHeight="1">
      <c r="A7896" s="282">
        <v>294</v>
      </c>
      <c r="B7896" s="537"/>
      <c r="C7896" s="307" t="s">
        <v>9552</v>
      </c>
      <c r="D7896" s="307" t="s">
        <v>9794</v>
      </c>
      <c r="E7896" s="353" t="s">
        <v>9822</v>
      </c>
      <c r="F7896" s="310">
        <v>175</v>
      </c>
      <c r="G7896" s="311">
        <v>1972</v>
      </c>
      <c r="H7896" s="329" t="s">
        <v>1149</v>
      </c>
      <c r="I7896" s="313" t="s">
        <v>9823</v>
      </c>
      <c r="J7896" s="350">
        <v>58.7622</v>
      </c>
      <c r="K7896" s="350">
        <v>55.37068</v>
      </c>
      <c r="L7896" s="350">
        <f t="shared" si="105"/>
        <v>3.3915199999999999</v>
      </c>
      <c r="M7896" s="337"/>
    </row>
    <row r="7897" spans="1:13" s="71" customFormat="1" ht="26.4" customHeight="1">
      <c r="A7897" s="282">
        <v>295</v>
      </c>
      <c r="B7897" s="537"/>
      <c r="C7897" s="307" t="s">
        <v>9484</v>
      </c>
      <c r="D7897" s="307" t="s">
        <v>3</v>
      </c>
      <c r="E7897" s="260" t="s">
        <v>9820</v>
      </c>
      <c r="F7897" s="310">
        <v>175</v>
      </c>
      <c r="G7897" s="311">
        <v>1981</v>
      </c>
      <c r="H7897" s="329" t="s">
        <v>3</v>
      </c>
      <c r="I7897" s="320" t="s">
        <v>3</v>
      </c>
      <c r="J7897" s="350">
        <v>109.53162</v>
      </c>
      <c r="K7897" s="350">
        <v>103.11848999999999</v>
      </c>
      <c r="L7897" s="350">
        <f t="shared" si="105"/>
        <v>6.4131300000000095</v>
      </c>
      <c r="M7897" s="337"/>
    </row>
    <row r="7898" spans="1:13" s="71" customFormat="1" ht="26.4" customHeight="1">
      <c r="A7898" s="282">
        <v>296</v>
      </c>
      <c r="B7898" s="537"/>
      <c r="C7898" s="307" t="s">
        <v>9484</v>
      </c>
      <c r="D7898" s="307" t="s">
        <v>3</v>
      </c>
      <c r="E7898" s="260" t="s">
        <v>9820</v>
      </c>
      <c r="F7898" s="310">
        <v>176</v>
      </c>
      <c r="G7898" s="311">
        <v>1981</v>
      </c>
      <c r="H7898" s="329" t="s">
        <v>3</v>
      </c>
      <c r="I7898" s="320" t="s">
        <v>3</v>
      </c>
      <c r="J7898" s="350">
        <v>59.814</v>
      </c>
      <c r="K7898" s="350">
        <v>58.375500000000002</v>
      </c>
      <c r="L7898" s="350">
        <f t="shared" si="105"/>
        <v>1.4384999999999977</v>
      </c>
      <c r="M7898" s="337"/>
    </row>
    <row r="7899" spans="1:13" s="71" customFormat="1" ht="26.4" customHeight="1">
      <c r="A7899" s="282">
        <v>297</v>
      </c>
      <c r="B7899" s="537"/>
      <c r="C7899" s="307" t="s">
        <v>9552</v>
      </c>
      <c r="D7899" s="307" t="s">
        <v>3</v>
      </c>
      <c r="E7899" s="260" t="s">
        <v>9824</v>
      </c>
      <c r="F7899" s="310">
        <v>177</v>
      </c>
      <c r="G7899" s="311">
        <v>1981</v>
      </c>
      <c r="H7899" s="329" t="s">
        <v>2658</v>
      </c>
      <c r="I7899" s="313">
        <v>2000</v>
      </c>
      <c r="J7899" s="350">
        <v>20.473199999999999</v>
      </c>
      <c r="K7899" s="350">
        <v>18.64217</v>
      </c>
      <c r="L7899" s="350">
        <f t="shared" si="105"/>
        <v>1.8310299999999984</v>
      </c>
      <c r="M7899" s="337"/>
    </row>
    <row r="7900" spans="1:13" s="71" customFormat="1" ht="26.4" customHeight="1">
      <c r="A7900" s="282">
        <v>298</v>
      </c>
      <c r="B7900" s="537"/>
      <c r="C7900" s="307" t="s">
        <v>9552</v>
      </c>
      <c r="D7900" s="307" t="s">
        <v>3</v>
      </c>
      <c r="E7900" s="260" t="s">
        <v>9825</v>
      </c>
      <c r="F7900" s="310">
        <v>178</v>
      </c>
      <c r="G7900" s="311">
        <v>1981</v>
      </c>
      <c r="H7900" s="329" t="s">
        <v>2658</v>
      </c>
      <c r="I7900" s="313">
        <v>86.5</v>
      </c>
      <c r="J7900" s="350">
        <v>29.686150000000001</v>
      </c>
      <c r="K7900" s="350">
        <v>28.583469999999998</v>
      </c>
      <c r="L7900" s="350">
        <f t="shared" si="105"/>
        <v>1.102680000000003</v>
      </c>
      <c r="M7900" s="337"/>
    </row>
    <row r="7901" spans="1:13" s="71" customFormat="1" ht="26.4" customHeight="1">
      <c r="A7901" s="282">
        <v>299</v>
      </c>
      <c r="B7901" s="537"/>
      <c r="C7901" s="307" t="s">
        <v>9552</v>
      </c>
      <c r="D7901" s="307" t="s">
        <v>3</v>
      </c>
      <c r="E7901" s="260" t="s">
        <v>9825</v>
      </c>
      <c r="F7901" s="310">
        <v>179</v>
      </c>
      <c r="G7901" s="311">
        <v>1981</v>
      </c>
      <c r="H7901" s="329" t="s">
        <v>2658</v>
      </c>
      <c r="I7901" s="313">
        <v>160</v>
      </c>
      <c r="J7901" s="350">
        <v>14.331239999999999</v>
      </c>
      <c r="K7901" s="350">
        <v>12.93469</v>
      </c>
      <c r="L7901" s="350">
        <f t="shared" si="105"/>
        <v>1.3965499999999995</v>
      </c>
      <c r="M7901" s="337"/>
    </row>
    <row r="7902" spans="1:13" s="71" customFormat="1" ht="26.4" customHeight="1">
      <c r="A7902" s="282">
        <v>300</v>
      </c>
      <c r="B7902" s="537"/>
      <c r="C7902" s="307" t="s">
        <v>9552</v>
      </c>
      <c r="D7902" s="307" t="s">
        <v>9794</v>
      </c>
      <c r="E7902" s="353" t="s">
        <v>9826</v>
      </c>
      <c r="F7902" s="310">
        <v>180</v>
      </c>
      <c r="G7902" s="311">
        <v>1956</v>
      </c>
      <c r="H7902" s="329" t="s">
        <v>1149</v>
      </c>
      <c r="I7902" s="313" t="s">
        <v>9827</v>
      </c>
      <c r="J7902" s="350">
        <v>4.5040899999999997</v>
      </c>
      <c r="K7902" s="350">
        <v>4.0376399999999997</v>
      </c>
      <c r="L7902" s="350">
        <f t="shared" si="105"/>
        <v>0.46645000000000003</v>
      </c>
      <c r="M7902" s="337"/>
    </row>
    <row r="7903" spans="1:13" s="71" customFormat="1" ht="26.4" customHeight="1">
      <c r="A7903" s="282">
        <v>301</v>
      </c>
      <c r="B7903" s="537"/>
      <c r="C7903" s="307" t="s">
        <v>9552</v>
      </c>
      <c r="D7903" s="307" t="s">
        <v>3</v>
      </c>
      <c r="E7903" s="260" t="s">
        <v>9828</v>
      </c>
      <c r="F7903" s="310">
        <v>180</v>
      </c>
      <c r="G7903" s="311">
        <v>1981</v>
      </c>
      <c r="H7903" s="329" t="s">
        <v>2658</v>
      </c>
      <c r="I7903" s="313">
        <v>68</v>
      </c>
      <c r="J7903" s="350">
        <v>196.39783</v>
      </c>
      <c r="K7903" s="350">
        <v>186.84493000000001</v>
      </c>
      <c r="L7903" s="350">
        <f t="shared" si="105"/>
        <v>9.552899999999994</v>
      </c>
      <c r="M7903" s="337"/>
    </row>
    <row r="7904" spans="1:13" s="71" customFormat="1" ht="26.4" customHeight="1">
      <c r="A7904" s="282">
        <v>302</v>
      </c>
      <c r="B7904" s="537"/>
      <c r="C7904" s="307" t="s">
        <v>7495</v>
      </c>
      <c r="D7904" s="307" t="s">
        <v>3</v>
      </c>
      <c r="E7904" s="353" t="s">
        <v>9829</v>
      </c>
      <c r="F7904" s="310">
        <v>181</v>
      </c>
      <c r="G7904" s="311">
        <v>1975</v>
      </c>
      <c r="H7904" s="329" t="s">
        <v>3</v>
      </c>
      <c r="I7904" s="320" t="s">
        <v>3</v>
      </c>
      <c r="J7904" s="350">
        <v>19.064489999999999</v>
      </c>
      <c r="K7904" s="350">
        <v>13.64676</v>
      </c>
      <c r="L7904" s="350">
        <f t="shared" si="105"/>
        <v>5.4177299999999988</v>
      </c>
      <c r="M7904" s="337"/>
    </row>
    <row r="7905" spans="1:13" s="71" customFormat="1" ht="26.4" customHeight="1">
      <c r="A7905" s="282">
        <v>303</v>
      </c>
      <c r="B7905" s="537"/>
      <c r="C7905" s="307" t="s">
        <v>9552</v>
      </c>
      <c r="D7905" s="307" t="s">
        <v>3</v>
      </c>
      <c r="E7905" s="260" t="s">
        <v>9830</v>
      </c>
      <c r="F7905" s="310">
        <v>181</v>
      </c>
      <c r="G7905" s="311">
        <v>1981</v>
      </c>
      <c r="H7905" s="329" t="s">
        <v>631</v>
      </c>
      <c r="I7905" s="313">
        <v>51</v>
      </c>
      <c r="J7905" s="350">
        <v>5.8658599999999996</v>
      </c>
      <c r="K7905" s="350">
        <v>5.8658599999999996</v>
      </c>
      <c r="L7905" s="350">
        <f t="shared" si="105"/>
        <v>0</v>
      </c>
      <c r="M7905" s="337"/>
    </row>
    <row r="7906" spans="1:13" s="71" customFormat="1" ht="26.4" customHeight="1">
      <c r="A7906" s="282">
        <v>304</v>
      </c>
      <c r="B7906" s="537"/>
      <c r="C7906" s="307" t="s">
        <v>7495</v>
      </c>
      <c r="D7906" s="307" t="s">
        <v>3</v>
      </c>
      <c r="E7906" s="353" t="s">
        <v>9831</v>
      </c>
      <c r="F7906" s="310">
        <v>182</v>
      </c>
      <c r="G7906" s="311">
        <v>1975</v>
      </c>
      <c r="H7906" s="329" t="s">
        <v>3</v>
      </c>
      <c r="I7906" s="320" t="s">
        <v>3</v>
      </c>
      <c r="J7906" s="350">
        <v>19.03032</v>
      </c>
      <c r="K7906" s="350">
        <v>13.6221</v>
      </c>
      <c r="L7906" s="350">
        <f t="shared" si="105"/>
        <v>5.40822</v>
      </c>
      <c r="M7906" s="337"/>
    </row>
    <row r="7907" spans="1:13" s="71" customFormat="1" ht="26.4" customHeight="1">
      <c r="A7907" s="282">
        <v>305</v>
      </c>
      <c r="B7907" s="537"/>
      <c r="C7907" s="307" t="s">
        <v>9453</v>
      </c>
      <c r="D7907" s="307" t="s">
        <v>3</v>
      </c>
      <c r="E7907" s="260" t="s">
        <v>9832</v>
      </c>
      <c r="F7907" s="310">
        <v>182</v>
      </c>
      <c r="G7907" s="311">
        <v>1981</v>
      </c>
      <c r="H7907" s="329" t="s">
        <v>631</v>
      </c>
      <c r="I7907" s="313">
        <v>926</v>
      </c>
      <c r="J7907" s="350">
        <v>29.263819999999999</v>
      </c>
      <c r="K7907" s="350">
        <v>29.079260000000001</v>
      </c>
      <c r="L7907" s="350">
        <f t="shared" si="105"/>
        <v>0.18455999999999761</v>
      </c>
      <c r="M7907" s="337"/>
    </row>
    <row r="7908" spans="1:13" s="71" customFormat="1" ht="26.4" customHeight="1">
      <c r="A7908" s="282">
        <v>306</v>
      </c>
      <c r="B7908" s="537"/>
      <c r="C7908" s="307" t="s">
        <v>7495</v>
      </c>
      <c r="D7908" s="307" t="s">
        <v>3</v>
      </c>
      <c r="E7908" s="353" t="s">
        <v>9833</v>
      </c>
      <c r="F7908" s="310">
        <v>183</v>
      </c>
      <c r="G7908" s="311">
        <v>1975</v>
      </c>
      <c r="H7908" s="329" t="s">
        <v>3</v>
      </c>
      <c r="I7908" s="313" t="s">
        <v>3</v>
      </c>
      <c r="J7908" s="350">
        <v>19.03032</v>
      </c>
      <c r="K7908" s="350">
        <v>13.6221</v>
      </c>
      <c r="L7908" s="350">
        <f t="shared" si="105"/>
        <v>5.40822</v>
      </c>
      <c r="M7908" s="337"/>
    </row>
    <row r="7909" spans="1:13" s="71" customFormat="1" ht="26.4" customHeight="1">
      <c r="A7909" s="282">
        <v>307</v>
      </c>
      <c r="B7909" s="537"/>
      <c r="C7909" s="307" t="s">
        <v>9477</v>
      </c>
      <c r="D7909" s="307" t="s">
        <v>3</v>
      </c>
      <c r="E7909" s="260" t="s">
        <v>9834</v>
      </c>
      <c r="F7909" s="310">
        <v>183</v>
      </c>
      <c r="G7909" s="311">
        <v>1981</v>
      </c>
      <c r="H7909" s="329" t="s">
        <v>631</v>
      </c>
      <c r="I7909" s="313">
        <v>90</v>
      </c>
      <c r="J7909" s="350">
        <v>0.81081000000000003</v>
      </c>
      <c r="K7909" s="350">
        <v>0.64810000000000001</v>
      </c>
      <c r="L7909" s="350">
        <f t="shared" si="105"/>
        <v>0.16271000000000002</v>
      </c>
      <c r="M7909" s="337"/>
    </row>
    <row r="7910" spans="1:13" s="71" customFormat="1" ht="26.4" customHeight="1">
      <c r="A7910" s="282">
        <v>308</v>
      </c>
      <c r="B7910" s="537"/>
      <c r="C7910" s="307" t="s">
        <v>7495</v>
      </c>
      <c r="D7910" s="307" t="s">
        <v>3</v>
      </c>
      <c r="E7910" s="353" t="s">
        <v>9835</v>
      </c>
      <c r="F7910" s="310">
        <v>184</v>
      </c>
      <c r="G7910" s="311">
        <v>1975</v>
      </c>
      <c r="H7910" s="329" t="s">
        <v>3</v>
      </c>
      <c r="I7910" s="313" t="s">
        <v>3</v>
      </c>
      <c r="J7910" s="350">
        <v>19.03032</v>
      </c>
      <c r="K7910" s="350">
        <v>13.6221</v>
      </c>
      <c r="L7910" s="350">
        <f t="shared" si="105"/>
        <v>5.40822</v>
      </c>
      <c r="M7910" s="337"/>
    </row>
    <row r="7911" spans="1:13" s="71" customFormat="1" ht="26.4" customHeight="1">
      <c r="A7911" s="282">
        <v>309</v>
      </c>
      <c r="B7911" s="537"/>
      <c r="C7911" s="307" t="s">
        <v>9477</v>
      </c>
      <c r="D7911" s="307" t="s">
        <v>3</v>
      </c>
      <c r="E7911" s="260" t="s">
        <v>9836</v>
      </c>
      <c r="F7911" s="310">
        <v>184</v>
      </c>
      <c r="G7911" s="311">
        <v>1981</v>
      </c>
      <c r="H7911" s="329" t="s">
        <v>631</v>
      </c>
      <c r="I7911" s="313">
        <v>306.8</v>
      </c>
      <c r="J7911" s="350">
        <v>6.5903099999999997</v>
      </c>
      <c r="K7911" s="350">
        <v>5.94841</v>
      </c>
      <c r="L7911" s="350">
        <f t="shared" si="105"/>
        <v>0.64189999999999969</v>
      </c>
      <c r="M7911" s="337"/>
    </row>
    <row r="7912" spans="1:13" s="71" customFormat="1" ht="51.75" customHeight="1">
      <c r="A7912" s="282">
        <v>310</v>
      </c>
      <c r="B7912" s="537"/>
      <c r="C7912" s="464" t="s">
        <v>12983</v>
      </c>
      <c r="D7912" s="307" t="s">
        <v>3</v>
      </c>
      <c r="E7912" s="260" t="s">
        <v>9837</v>
      </c>
      <c r="F7912" s="310">
        <v>185</v>
      </c>
      <c r="G7912" s="311">
        <v>1981</v>
      </c>
      <c r="H7912" s="329" t="s">
        <v>631</v>
      </c>
      <c r="I7912" s="313">
        <v>569</v>
      </c>
      <c r="J7912" s="350">
        <v>422.67228</v>
      </c>
      <c r="K7912" s="350">
        <v>407.38337000000001</v>
      </c>
      <c r="L7912" s="350">
        <f t="shared" si="105"/>
        <v>15.288909999999987</v>
      </c>
      <c r="M7912" s="337"/>
    </row>
    <row r="7913" spans="1:13" s="71" customFormat="1" ht="26.4" customHeight="1">
      <c r="A7913" s="282">
        <v>311</v>
      </c>
      <c r="B7913" s="537"/>
      <c r="C7913" s="446" t="s">
        <v>7495</v>
      </c>
      <c r="D7913" s="307" t="s">
        <v>3</v>
      </c>
      <c r="E7913" s="353" t="s">
        <v>9838</v>
      </c>
      <c r="F7913" s="310">
        <v>186</v>
      </c>
      <c r="G7913" s="311">
        <v>1975</v>
      </c>
      <c r="H7913" s="329" t="s">
        <v>3</v>
      </c>
      <c r="I7913" s="313" t="s">
        <v>3</v>
      </c>
      <c r="J7913" s="350">
        <v>19.03032</v>
      </c>
      <c r="K7913" s="350">
        <v>13.6221</v>
      </c>
      <c r="L7913" s="350">
        <f t="shared" si="105"/>
        <v>5.40822</v>
      </c>
      <c r="M7913" s="337"/>
    </row>
    <row r="7914" spans="1:13" s="71" customFormat="1" ht="26.4" customHeight="1">
      <c r="A7914" s="282">
        <v>312</v>
      </c>
      <c r="B7914" s="537"/>
      <c r="C7914" s="446" t="s">
        <v>9477</v>
      </c>
      <c r="D7914" s="307" t="s">
        <v>3</v>
      </c>
      <c r="E7914" s="260" t="s">
        <v>9839</v>
      </c>
      <c r="F7914" s="310">
        <v>186</v>
      </c>
      <c r="G7914" s="311">
        <v>1981</v>
      </c>
      <c r="H7914" s="329" t="s">
        <v>631</v>
      </c>
      <c r="I7914" s="313">
        <v>56</v>
      </c>
      <c r="J7914" s="350">
        <v>1.23743</v>
      </c>
      <c r="K7914" s="350">
        <v>1.2116800000000001</v>
      </c>
      <c r="L7914" s="350">
        <f t="shared" si="105"/>
        <v>2.574999999999994E-2</v>
      </c>
      <c r="M7914" s="337"/>
    </row>
    <row r="7915" spans="1:13" s="71" customFormat="1" ht="26.4" customHeight="1">
      <c r="A7915" s="282">
        <v>313</v>
      </c>
      <c r="B7915" s="537"/>
      <c r="C7915" s="446" t="s">
        <v>7495</v>
      </c>
      <c r="D7915" s="307" t="s">
        <v>3</v>
      </c>
      <c r="E7915" s="353" t="s">
        <v>9840</v>
      </c>
      <c r="F7915" s="310">
        <v>187</v>
      </c>
      <c r="G7915" s="311">
        <v>1975</v>
      </c>
      <c r="H7915" s="329" t="s">
        <v>3</v>
      </c>
      <c r="I7915" s="313" t="s">
        <v>3</v>
      </c>
      <c r="J7915" s="350">
        <v>19.03032</v>
      </c>
      <c r="K7915" s="350">
        <v>13.6221</v>
      </c>
      <c r="L7915" s="350">
        <f t="shared" si="105"/>
        <v>5.40822</v>
      </c>
      <c r="M7915" s="337"/>
    </row>
    <row r="7916" spans="1:13" s="71" customFormat="1" ht="52.8">
      <c r="A7916" s="282">
        <v>314</v>
      </c>
      <c r="B7916" s="537"/>
      <c r="C7916" s="464" t="s">
        <v>12982</v>
      </c>
      <c r="D7916" s="307" t="s">
        <v>3</v>
      </c>
      <c r="E7916" s="260" t="s">
        <v>9841</v>
      </c>
      <c r="F7916" s="310">
        <v>187</v>
      </c>
      <c r="G7916" s="311">
        <v>1981</v>
      </c>
      <c r="H7916" s="329" t="s">
        <v>631</v>
      </c>
      <c r="I7916" s="313">
        <v>8761</v>
      </c>
      <c r="J7916" s="350">
        <v>2033.85051</v>
      </c>
      <c r="K7916" s="350">
        <v>1906.67777</v>
      </c>
      <c r="L7916" s="350">
        <f t="shared" si="105"/>
        <v>127.17273999999998</v>
      </c>
      <c r="M7916" s="337"/>
    </row>
    <row r="7917" spans="1:13" s="71" customFormat="1" ht="26.4" customHeight="1">
      <c r="A7917" s="282">
        <v>315</v>
      </c>
      <c r="B7917" s="537"/>
      <c r="C7917" s="307" t="s">
        <v>7495</v>
      </c>
      <c r="D7917" s="307" t="s">
        <v>3</v>
      </c>
      <c r="E7917" s="353" t="s">
        <v>9842</v>
      </c>
      <c r="F7917" s="310">
        <v>188</v>
      </c>
      <c r="G7917" s="311">
        <v>1975</v>
      </c>
      <c r="H7917" s="329" t="s">
        <v>3</v>
      </c>
      <c r="I7917" s="313" t="s">
        <v>3</v>
      </c>
      <c r="J7917" s="350">
        <v>19.03032</v>
      </c>
      <c r="K7917" s="350">
        <v>13.6221</v>
      </c>
      <c r="L7917" s="350">
        <f t="shared" si="105"/>
        <v>5.40822</v>
      </c>
      <c r="M7917" s="337"/>
    </row>
    <row r="7918" spans="1:13" s="71" customFormat="1" ht="26.4" customHeight="1">
      <c r="A7918" s="282">
        <v>316</v>
      </c>
      <c r="B7918" s="537"/>
      <c r="C7918" s="307" t="s">
        <v>7495</v>
      </c>
      <c r="D7918" s="307" t="s">
        <v>3</v>
      </c>
      <c r="E7918" s="353" t="s">
        <v>9843</v>
      </c>
      <c r="F7918" s="310">
        <v>189</v>
      </c>
      <c r="G7918" s="311">
        <v>1975</v>
      </c>
      <c r="H7918" s="329" t="s">
        <v>3</v>
      </c>
      <c r="I7918" s="313" t="s">
        <v>3</v>
      </c>
      <c r="J7918" s="350">
        <v>19.03032</v>
      </c>
      <c r="K7918" s="350">
        <v>13.6221</v>
      </c>
      <c r="L7918" s="350">
        <f t="shared" si="105"/>
        <v>5.40822</v>
      </c>
      <c r="M7918" s="337"/>
    </row>
    <row r="7919" spans="1:13" s="71" customFormat="1" ht="26.4" customHeight="1">
      <c r="A7919" s="282">
        <v>317</v>
      </c>
      <c r="B7919" s="537"/>
      <c r="C7919" s="307" t="s">
        <v>7495</v>
      </c>
      <c r="D7919" s="307" t="s">
        <v>3</v>
      </c>
      <c r="E7919" s="260" t="s">
        <v>9844</v>
      </c>
      <c r="F7919" s="310">
        <v>189</v>
      </c>
      <c r="G7919" s="311">
        <v>1984</v>
      </c>
      <c r="H7919" s="329" t="s">
        <v>3</v>
      </c>
      <c r="I7919" s="313" t="s">
        <v>3</v>
      </c>
      <c r="J7919" s="350">
        <v>7.0714499999999996</v>
      </c>
      <c r="K7919" s="350">
        <v>6.4218799999999998</v>
      </c>
      <c r="L7919" s="350">
        <f t="shared" si="105"/>
        <v>0.64956999999999976</v>
      </c>
      <c r="M7919" s="337"/>
    </row>
    <row r="7920" spans="1:13" s="71" customFormat="1" ht="26.4" customHeight="1">
      <c r="A7920" s="282">
        <v>318</v>
      </c>
      <c r="B7920" s="537"/>
      <c r="C7920" s="307" t="s">
        <v>7495</v>
      </c>
      <c r="D7920" s="307" t="s">
        <v>3</v>
      </c>
      <c r="E7920" s="353" t="s">
        <v>9845</v>
      </c>
      <c r="F7920" s="310">
        <v>190</v>
      </c>
      <c r="G7920" s="311">
        <v>1975</v>
      </c>
      <c r="H7920" s="329" t="s">
        <v>3</v>
      </c>
      <c r="I7920" s="313" t="s">
        <v>3</v>
      </c>
      <c r="J7920" s="350">
        <v>19.03032</v>
      </c>
      <c r="K7920" s="350">
        <v>13.6221</v>
      </c>
      <c r="L7920" s="350">
        <f t="shared" si="105"/>
        <v>5.40822</v>
      </c>
      <c r="M7920" s="337"/>
    </row>
    <row r="7921" spans="1:13" s="71" customFormat="1" ht="26.4" customHeight="1">
      <c r="A7921" s="282">
        <v>319</v>
      </c>
      <c r="B7921" s="537"/>
      <c r="C7921" s="307" t="s">
        <v>7495</v>
      </c>
      <c r="D7921" s="307" t="s">
        <v>3</v>
      </c>
      <c r="E7921" s="260" t="s">
        <v>9846</v>
      </c>
      <c r="F7921" s="310">
        <v>190</v>
      </c>
      <c r="G7921" s="311">
        <v>1984</v>
      </c>
      <c r="H7921" s="329" t="s">
        <v>2658</v>
      </c>
      <c r="I7921" s="313">
        <v>1680</v>
      </c>
      <c r="J7921" s="350">
        <v>158.94365999999999</v>
      </c>
      <c r="K7921" s="350">
        <v>153.40396000000001</v>
      </c>
      <c r="L7921" s="350">
        <f t="shared" si="105"/>
        <v>5.5396999999999821</v>
      </c>
      <c r="M7921" s="337"/>
    </row>
    <row r="7922" spans="1:13" s="71" customFormat="1" ht="26.4" customHeight="1">
      <c r="A7922" s="282">
        <v>320</v>
      </c>
      <c r="B7922" s="537"/>
      <c r="C7922" s="307" t="s">
        <v>7495</v>
      </c>
      <c r="D7922" s="307" t="s">
        <v>3</v>
      </c>
      <c r="E7922" s="353" t="s">
        <v>9847</v>
      </c>
      <c r="F7922" s="310">
        <v>191</v>
      </c>
      <c r="G7922" s="311">
        <v>1975</v>
      </c>
      <c r="H7922" s="329" t="s">
        <v>3</v>
      </c>
      <c r="I7922" s="313" t="s">
        <v>3</v>
      </c>
      <c r="J7922" s="350">
        <v>19.03032</v>
      </c>
      <c r="K7922" s="350">
        <v>13.6221</v>
      </c>
      <c r="L7922" s="350">
        <f t="shared" si="105"/>
        <v>5.40822</v>
      </c>
      <c r="M7922" s="337"/>
    </row>
    <row r="7923" spans="1:13" s="71" customFormat="1" ht="26.4" customHeight="1">
      <c r="A7923" s="282">
        <v>321</v>
      </c>
      <c r="B7923" s="537"/>
      <c r="C7923" s="307" t="s">
        <v>7495</v>
      </c>
      <c r="D7923" s="307" t="s">
        <v>3</v>
      </c>
      <c r="E7923" s="353" t="s">
        <v>9848</v>
      </c>
      <c r="F7923" s="310">
        <v>192</v>
      </c>
      <c r="G7923" s="311">
        <v>1975</v>
      </c>
      <c r="H7923" s="329" t="s">
        <v>3</v>
      </c>
      <c r="I7923" s="313" t="s">
        <v>3</v>
      </c>
      <c r="J7923" s="350">
        <v>19.03032</v>
      </c>
      <c r="K7923" s="350">
        <v>13.6221</v>
      </c>
      <c r="L7923" s="350">
        <f t="shared" ref="L7923:L7986" si="106">J7923-K7923</f>
        <v>5.40822</v>
      </c>
      <c r="M7923" s="337"/>
    </row>
    <row r="7924" spans="1:13" s="71" customFormat="1" ht="39.6">
      <c r="A7924" s="282">
        <v>322</v>
      </c>
      <c r="B7924" s="537"/>
      <c r="C7924" s="307" t="s">
        <v>7495</v>
      </c>
      <c r="D7924" s="307" t="s">
        <v>3</v>
      </c>
      <c r="E7924" s="260" t="s">
        <v>9849</v>
      </c>
      <c r="F7924" s="310">
        <v>192</v>
      </c>
      <c r="G7924" s="311">
        <v>1983</v>
      </c>
      <c r="H7924" s="329" t="s">
        <v>2658</v>
      </c>
      <c r="I7924" s="313">
        <v>9609</v>
      </c>
      <c r="J7924" s="350">
        <v>2329.9117200000001</v>
      </c>
      <c r="K7924" s="350">
        <v>2307.17472</v>
      </c>
      <c r="L7924" s="350">
        <f t="shared" si="106"/>
        <v>22.73700000000008</v>
      </c>
      <c r="M7924" s="337"/>
    </row>
    <row r="7925" spans="1:13" s="71" customFormat="1" ht="26.4" customHeight="1">
      <c r="A7925" s="282">
        <v>323</v>
      </c>
      <c r="B7925" s="537"/>
      <c r="C7925" s="307" t="s">
        <v>7495</v>
      </c>
      <c r="D7925" s="307" t="s">
        <v>3</v>
      </c>
      <c r="E7925" s="353" t="s">
        <v>9850</v>
      </c>
      <c r="F7925" s="310">
        <v>193</v>
      </c>
      <c r="G7925" s="311">
        <v>1975</v>
      </c>
      <c r="H7925" s="329" t="s">
        <v>3</v>
      </c>
      <c r="I7925" s="313" t="s">
        <v>3</v>
      </c>
      <c r="J7925" s="350">
        <v>19.03032</v>
      </c>
      <c r="K7925" s="350">
        <v>13.6221</v>
      </c>
      <c r="L7925" s="350">
        <f t="shared" si="106"/>
        <v>5.40822</v>
      </c>
      <c r="M7925" s="337"/>
    </row>
    <row r="7926" spans="1:13" s="71" customFormat="1" ht="26.4" customHeight="1">
      <c r="A7926" s="282">
        <v>324</v>
      </c>
      <c r="B7926" s="537"/>
      <c r="C7926" s="307" t="s">
        <v>7495</v>
      </c>
      <c r="D7926" s="307" t="s">
        <v>3</v>
      </c>
      <c r="E7926" s="353" t="s">
        <v>9851</v>
      </c>
      <c r="F7926" s="310">
        <v>194</v>
      </c>
      <c r="G7926" s="311">
        <v>1975</v>
      </c>
      <c r="H7926" s="329" t="s">
        <v>3</v>
      </c>
      <c r="I7926" s="313" t="s">
        <v>3</v>
      </c>
      <c r="J7926" s="350">
        <v>19.03032</v>
      </c>
      <c r="K7926" s="350">
        <v>13.6221</v>
      </c>
      <c r="L7926" s="350">
        <f t="shared" si="106"/>
        <v>5.40822</v>
      </c>
      <c r="M7926" s="337"/>
    </row>
    <row r="7927" spans="1:13" s="71" customFormat="1" ht="26.4" customHeight="1">
      <c r="A7927" s="282">
        <v>325</v>
      </c>
      <c r="B7927" s="537"/>
      <c r="C7927" s="307" t="s">
        <v>9648</v>
      </c>
      <c r="D7927" s="307" t="s">
        <v>3</v>
      </c>
      <c r="E7927" s="260" t="s">
        <v>9852</v>
      </c>
      <c r="F7927" s="310">
        <v>194</v>
      </c>
      <c r="G7927" s="311">
        <v>1981</v>
      </c>
      <c r="H7927" s="329" t="s">
        <v>3</v>
      </c>
      <c r="I7927" s="313" t="s">
        <v>3</v>
      </c>
      <c r="J7927" s="350">
        <v>34.925109999999997</v>
      </c>
      <c r="K7927" s="350">
        <v>34.76041</v>
      </c>
      <c r="L7927" s="350">
        <f t="shared" si="106"/>
        <v>0.16469999999999629</v>
      </c>
      <c r="M7927" s="337"/>
    </row>
    <row r="7928" spans="1:13" s="71" customFormat="1" ht="26.4" customHeight="1">
      <c r="A7928" s="282">
        <v>326</v>
      </c>
      <c r="B7928" s="537"/>
      <c r="C7928" s="307" t="s">
        <v>7495</v>
      </c>
      <c r="D7928" s="307" t="s">
        <v>3</v>
      </c>
      <c r="E7928" s="353" t="s">
        <v>9853</v>
      </c>
      <c r="F7928" s="310">
        <v>195</v>
      </c>
      <c r="G7928" s="311">
        <v>1975</v>
      </c>
      <c r="H7928" s="329" t="s">
        <v>3</v>
      </c>
      <c r="I7928" s="313" t="s">
        <v>3</v>
      </c>
      <c r="J7928" s="350">
        <v>19.03032</v>
      </c>
      <c r="K7928" s="350">
        <v>13.6221</v>
      </c>
      <c r="L7928" s="350">
        <f t="shared" si="106"/>
        <v>5.40822</v>
      </c>
      <c r="M7928" s="337"/>
    </row>
    <row r="7929" spans="1:13" s="71" customFormat="1" ht="26.4" customHeight="1">
      <c r="A7929" s="282">
        <v>327</v>
      </c>
      <c r="B7929" s="537"/>
      <c r="C7929" s="307" t="s">
        <v>7495</v>
      </c>
      <c r="D7929" s="307" t="s">
        <v>3</v>
      </c>
      <c r="E7929" s="353" t="s">
        <v>9854</v>
      </c>
      <c r="F7929" s="310">
        <v>196</v>
      </c>
      <c r="G7929" s="311">
        <v>1975</v>
      </c>
      <c r="H7929" s="329" t="s">
        <v>3</v>
      </c>
      <c r="I7929" s="313" t="s">
        <v>3</v>
      </c>
      <c r="J7929" s="350">
        <v>19.03032</v>
      </c>
      <c r="K7929" s="350">
        <v>13.6221</v>
      </c>
      <c r="L7929" s="350">
        <f t="shared" si="106"/>
        <v>5.40822</v>
      </c>
      <c r="M7929" s="337"/>
    </row>
    <row r="7930" spans="1:13" s="71" customFormat="1" ht="26.4" customHeight="1">
      <c r="A7930" s="282">
        <v>328</v>
      </c>
      <c r="B7930" s="537"/>
      <c r="C7930" s="307" t="s">
        <v>9552</v>
      </c>
      <c r="D7930" s="307" t="s">
        <v>3</v>
      </c>
      <c r="E7930" s="260" t="s">
        <v>9855</v>
      </c>
      <c r="F7930" s="310">
        <v>196</v>
      </c>
      <c r="G7930" s="311">
        <v>1988</v>
      </c>
      <c r="H7930" s="329" t="s">
        <v>2658</v>
      </c>
      <c r="I7930" s="313">
        <v>712</v>
      </c>
      <c r="J7930" s="350">
        <v>26.677250000000001</v>
      </c>
      <c r="K7930" s="350">
        <v>18.190829999999998</v>
      </c>
      <c r="L7930" s="350">
        <f t="shared" si="106"/>
        <v>8.4864200000000025</v>
      </c>
      <c r="M7930" s="337"/>
    </row>
    <row r="7931" spans="1:13" s="71" customFormat="1" ht="26.4" customHeight="1">
      <c r="A7931" s="282">
        <v>329</v>
      </c>
      <c r="B7931" s="537"/>
      <c r="C7931" s="307" t="s">
        <v>9552</v>
      </c>
      <c r="D7931" s="307" t="s">
        <v>3</v>
      </c>
      <c r="E7931" s="260" t="s">
        <v>9856</v>
      </c>
      <c r="F7931" s="310">
        <v>196</v>
      </c>
      <c r="G7931" s="311">
        <v>1991</v>
      </c>
      <c r="H7931" s="329" t="s">
        <v>2658</v>
      </c>
      <c r="I7931" s="313">
        <v>1066</v>
      </c>
      <c r="J7931" s="350">
        <v>40.015799999999999</v>
      </c>
      <c r="K7931" s="350">
        <v>25.164950000000001</v>
      </c>
      <c r="L7931" s="350">
        <f t="shared" si="106"/>
        <v>14.850849999999998</v>
      </c>
      <c r="M7931" s="337"/>
    </row>
    <row r="7932" spans="1:13" s="71" customFormat="1" ht="26.4" customHeight="1">
      <c r="A7932" s="282">
        <v>330</v>
      </c>
      <c r="B7932" s="537"/>
      <c r="C7932" s="307" t="s">
        <v>9552</v>
      </c>
      <c r="D7932" s="307" t="s">
        <v>3</v>
      </c>
      <c r="E7932" s="260" t="s">
        <v>9857</v>
      </c>
      <c r="F7932" s="310">
        <v>197</v>
      </c>
      <c r="G7932" s="311">
        <v>1988</v>
      </c>
      <c r="H7932" s="329" t="s">
        <v>2658</v>
      </c>
      <c r="I7932" s="313">
        <v>4531</v>
      </c>
      <c r="J7932" s="350">
        <v>113.18375</v>
      </c>
      <c r="K7932" s="350">
        <v>109.96463</v>
      </c>
      <c r="L7932" s="350">
        <f t="shared" si="106"/>
        <v>3.2191200000000038</v>
      </c>
      <c r="M7932" s="337"/>
    </row>
    <row r="7933" spans="1:13" s="71" customFormat="1" ht="26.4" customHeight="1">
      <c r="A7933" s="282">
        <v>331</v>
      </c>
      <c r="B7933" s="537"/>
      <c r="C7933" s="307" t="s">
        <v>9552</v>
      </c>
      <c r="D7933" s="307" t="s">
        <v>3</v>
      </c>
      <c r="E7933" s="260" t="s">
        <v>9857</v>
      </c>
      <c r="F7933" s="310">
        <v>197</v>
      </c>
      <c r="G7933" s="311">
        <v>1991</v>
      </c>
      <c r="H7933" s="329" t="s">
        <v>2658</v>
      </c>
      <c r="I7933" s="313">
        <v>2825</v>
      </c>
      <c r="J7933" s="350">
        <v>250.25434999999999</v>
      </c>
      <c r="K7933" s="350">
        <v>242.04742999999999</v>
      </c>
      <c r="L7933" s="350">
        <f t="shared" si="106"/>
        <v>8.2069199999999967</v>
      </c>
      <c r="M7933" s="337"/>
    </row>
    <row r="7934" spans="1:13" s="71" customFormat="1" ht="26.4" customHeight="1">
      <c r="A7934" s="282">
        <v>332</v>
      </c>
      <c r="B7934" s="537"/>
      <c r="C7934" s="307" t="s">
        <v>9858</v>
      </c>
      <c r="D7934" s="307" t="s">
        <v>9859</v>
      </c>
      <c r="E7934" s="353" t="s">
        <v>9860</v>
      </c>
      <c r="F7934" s="310">
        <v>198</v>
      </c>
      <c r="G7934" s="311">
        <v>1955</v>
      </c>
      <c r="H7934" s="329" t="s">
        <v>1149</v>
      </c>
      <c r="I7934" s="313" t="s">
        <v>9861</v>
      </c>
      <c r="J7934" s="350">
        <v>82.067139999999995</v>
      </c>
      <c r="K7934" s="350">
        <v>50.60615</v>
      </c>
      <c r="L7934" s="350">
        <f t="shared" si="106"/>
        <v>31.460989999999995</v>
      </c>
      <c r="M7934" s="337"/>
    </row>
    <row r="7935" spans="1:13" s="71" customFormat="1" ht="39.6">
      <c r="A7935" s="282">
        <v>333</v>
      </c>
      <c r="B7935" s="537"/>
      <c r="C7935" s="307" t="s">
        <v>9862</v>
      </c>
      <c r="D7935" s="307" t="s">
        <v>12823</v>
      </c>
      <c r="E7935" s="260" t="s">
        <v>9863</v>
      </c>
      <c r="F7935" s="310">
        <v>199</v>
      </c>
      <c r="G7935" s="311">
        <v>1989</v>
      </c>
      <c r="H7935" s="329" t="s">
        <v>2658</v>
      </c>
      <c r="I7935" s="313">
        <v>43940</v>
      </c>
      <c r="J7935" s="350">
        <v>44.669649999999997</v>
      </c>
      <c r="K7935" s="350">
        <v>34.053620000000002</v>
      </c>
      <c r="L7935" s="350">
        <f t="shared" si="106"/>
        <v>10.616029999999995</v>
      </c>
      <c r="M7935" s="337"/>
    </row>
    <row r="7936" spans="1:13" s="71" customFormat="1" ht="26.4" customHeight="1">
      <c r="A7936" s="282">
        <v>334</v>
      </c>
      <c r="B7936" s="537"/>
      <c r="C7936" s="307" t="s">
        <v>9648</v>
      </c>
      <c r="D7936" s="307" t="s">
        <v>9864</v>
      </c>
      <c r="E7936" s="353" t="s">
        <v>9865</v>
      </c>
      <c r="F7936" s="310">
        <v>200</v>
      </c>
      <c r="G7936" s="311">
        <v>1954</v>
      </c>
      <c r="H7936" s="329" t="s">
        <v>2658</v>
      </c>
      <c r="I7936" s="313" t="s">
        <v>9866</v>
      </c>
      <c r="J7936" s="350">
        <v>199.36581000000001</v>
      </c>
      <c r="K7936" s="350">
        <v>124.66557</v>
      </c>
      <c r="L7936" s="350">
        <f t="shared" si="106"/>
        <v>74.700240000000008</v>
      </c>
      <c r="M7936" s="337"/>
    </row>
    <row r="7937" spans="1:13" s="71" customFormat="1" ht="26.4" customHeight="1">
      <c r="A7937" s="282">
        <v>335</v>
      </c>
      <c r="B7937" s="537"/>
      <c r="C7937" s="307" t="s">
        <v>9648</v>
      </c>
      <c r="D7937" s="307" t="s">
        <v>9864</v>
      </c>
      <c r="E7937" s="260" t="s">
        <v>9867</v>
      </c>
      <c r="F7937" s="310">
        <v>200</v>
      </c>
      <c r="G7937" s="311">
        <v>1989</v>
      </c>
      <c r="H7937" s="329" t="s">
        <v>3</v>
      </c>
      <c r="I7937" s="313" t="s">
        <v>3</v>
      </c>
      <c r="J7937" s="350">
        <v>9.7800499999999992</v>
      </c>
      <c r="K7937" s="350">
        <v>8.7658100000000001</v>
      </c>
      <c r="L7937" s="350">
        <f t="shared" si="106"/>
        <v>1.0142399999999991</v>
      </c>
      <c r="M7937" s="337"/>
    </row>
    <row r="7938" spans="1:13" s="71" customFormat="1" ht="26.4" customHeight="1">
      <c r="A7938" s="282">
        <v>336</v>
      </c>
      <c r="B7938" s="537"/>
      <c r="C7938" s="307" t="s">
        <v>9648</v>
      </c>
      <c r="D7938" s="307" t="s">
        <v>9868</v>
      </c>
      <c r="E7938" s="353" t="s">
        <v>9869</v>
      </c>
      <c r="F7938" s="310">
        <v>201</v>
      </c>
      <c r="G7938" s="311">
        <v>1955</v>
      </c>
      <c r="H7938" s="329" t="s">
        <v>2658</v>
      </c>
      <c r="I7938" s="313" t="s">
        <v>9870</v>
      </c>
      <c r="J7938" s="350">
        <v>100.29984</v>
      </c>
      <c r="K7938" s="350">
        <v>62.148969999999998</v>
      </c>
      <c r="L7938" s="350">
        <f t="shared" si="106"/>
        <v>38.150870000000005</v>
      </c>
      <c r="M7938" s="337"/>
    </row>
    <row r="7939" spans="1:13" s="71" customFormat="1" ht="26.4" customHeight="1">
      <c r="A7939" s="282">
        <v>337</v>
      </c>
      <c r="B7939" s="537"/>
      <c r="C7939" s="313" t="s">
        <v>9484</v>
      </c>
      <c r="D7939" s="313" t="s">
        <v>9871</v>
      </c>
      <c r="E7939" s="260" t="s">
        <v>9872</v>
      </c>
      <c r="F7939" s="310">
        <v>201</v>
      </c>
      <c r="G7939" s="311">
        <v>1989</v>
      </c>
      <c r="H7939" s="329" t="s">
        <v>3</v>
      </c>
      <c r="I7939" s="313" t="s">
        <v>3</v>
      </c>
      <c r="J7939" s="350">
        <v>130.30559</v>
      </c>
      <c r="K7939" s="350">
        <v>125.28389</v>
      </c>
      <c r="L7939" s="350">
        <f t="shared" si="106"/>
        <v>5.0216999999999956</v>
      </c>
      <c r="M7939" s="337"/>
    </row>
    <row r="7940" spans="1:13" s="71" customFormat="1" ht="26.4" customHeight="1">
      <c r="A7940" s="282">
        <v>338</v>
      </c>
      <c r="B7940" s="537"/>
      <c r="C7940" s="307" t="s">
        <v>9648</v>
      </c>
      <c r="D7940" s="307" t="s">
        <v>9868</v>
      </c>
      <c r="E7940" s="353" t="s">
        <v>9873</v>
      </c>
      <c r="F7940" s="310">
        <v>202</v>
      </c>
      <c r="G7940" s="311">
        <v>1954</v>
      </c>
      <c r="H7940" s="329" t="s">
        <v>2658</v>
      </c>
      <c r="I7940" s="313" t="s">
        <v>9866</v>
      </c>
      <c r="J7940" s="350">
        <v>108.14511</v>
      </c>
      <c r="K7940" s="350">
        <v>67.635819999999995</v>
      </c>
      <c r="L7940" s="350">
        <f t="shared" si="106"/>
        <v>40.509290000000007</v>
      </c>
      <c r="M7940" s="337"/>
    </row>
    <row r="7941" spans="1:13" s="71" customFormat="1" ht="26.4" customHeight="1">
      <c r="A7941" s="282">
        <v>339</v>
      </c>
      <c r="B7941" s="537"/>
      <c r="C7941" s="313" t="s">
        <v>9648</v>
      </c>
      <c r="D7941" s="313" t="s">
        <v>9871</v>
      </c>
      <c r="E7941" s="444" t="s">
        <v>9874</v>
      </c>
      <c r="F7941" s="310">
        <v>202</v>
      </c>
      <c r="G7941" s="311">
        <v>1989</v>
      </c>
      <c r="H7941" s="329" t="s">
        <v>2658</v>
      </c>
      <c r="I7941" s="313">
        <v>165</v>
      </c>
      <c r="J7941" s="350">
        <v>16.468440000000001</v>
      </c>
      <c r="K7941" s="350">
        <v>16.371839999999999</v>
      </c>
      <c r="L7941" s="350">
        <f t="shared" si="106"/>
        <v>9.660000000000224E-2</v>
      </c>
      <c r="M7941" s="337"/>
    </row>
    <row r="7942" spans="1:13" s="71" customFormat="1" ht="26.4" customHeight="1">
      <c r="A7942" s="282">
        <v>340</v>
      </c>
      <c r="B7942" s="537"/>
      <c r="C7942" s="307" t="s">
        <v>214</v>
      </c>
      <c r="D7942" s="307" t="s">
        <v>9875</v>
      </c>
      <c r="E7942" s="260" t="s">
        <v>9876</v>
      </c>
      <c r="F7942" s="310">
        <v>203</v>
      </c>
      <c r="G7942" s="311">
        <v>1989</v>
      </c>
      <c r="H7942" s="329" t="s">
        <v>2658</v>
      </c>
      <c r="I7942" s="313">
        <v>1152</v>
      </c>
      <c r="J7942" s="350">
        <v>13.83372</v>
      </c>
      <c r="K7942" s="350">
        <v>12.95373</v>
      </c>
      <c r="L7942" s="350">
        <f t="shared" si="106"/>
        <v>0.87998999999999938</v>
      </c>
      <c r="M7942" s="337"/>
    </row>
    <row r="7943" spans="1:13" s="71" customFormat="1" ht="26.4" customHeight="1">
      <c r="A7943" s="282">
        <v>341</v>
      </c>
      <c r="B7943" s="537"/>
      <c r="C7943" s="307" t="s">
        <v>9648</v>
      </c>
      <c r="D7943" s="307" t="s">
        <v>3</v>
      </c>
      <c r="E7943" s="260" t="s">
        <v>9877</v>
      </c>
      <c r="F7943" s="310">
        <v>204</v>
      </c>
      <c r="G7943" s="311">
        <v>1989</v>
      </c>
      <c r="H7943" s="329" t="s">
        <v>2658</v>
      </c>
      <c r="I7943" s="313">
        <v>1187</v>
      </c>
      <c r="J7943" s="350">
        <v>70.506489999999999</v>
      </c>
      <c r="K7943" s="350">
        <v>69.28004</v>
      </c>
      <c r="L7943" s="350">
        <f t="shared" si="106"/>
        <v>1.2264499999999998</v>
      </c>
      <c r="M7943" s="337"/>
    </row>
    <row r="7944" spans="1:13" s="71" customFormat="1" ht="26.4" customHeight="1">
      <c r="A7944" s="282">
        <v>342</v>
      </c>
      <c r="B7944" s="537"/>
      <c r="C7944" s="307" t="s">
        <v>9648</v>
      </c>
      <c r="D7944" s="307" t="s">
        <v>9794</v>
      </c>
      <c r="E7944" s="353" t="s">
        <v>9878</v>
      </c>
      <c r="F7944" s="310">
        <v>205</v>
      </c>
      <c r="G7944" s="311">
        <v>1989</v>
      </c>
      <c r="H7944" s="329" t="s">
        <v>3</v>
      </c>
      <c r="I7944" s="313" t="s">
        <v>3</v>
      </c>
      <c r="J7944" s="350">
        <v>2.7868200000000001</v>
      </c>
      <c r="K7944" s="350">
        <v>2.7680199999999999</v>
      </c>
      <c r="L7944" s="350">
        <f t="shared" si="106"/>
        <v>1.880000000000015E-2</v>
      </c>
      <c r="M7944" s="337"/>
    </row>
    <row r="7945" spans="1:13" s="71" customFormat="1" ht="26.4" customHeight="1">
      <c r="A7945" s="282">
        <v>343</v>
      </c>
      <c r="B7945" s="537"/>
      <c r="C7945" s="307" t="s">
        <v>9648</v>
      </c>
      <c r="D7945" s="307" t="s">
        <v>3</v>
      </c>
      <c r="E7945" s="260" t="s">
        <v>9879</v>
      </c>
      <c r="F7945" s="310">
        <v>205</v>
      </c>
      <c r="G7945" s="311">
        <v>1989</v>
      </c>
      <c r="H7945" s="329" t="s">
        <v>3</v>
      </c>
      <c r="I7945" s="313" t="s">
        <v>3</v>
      </c>
      <c r="J7945" s="350">
        <v>2.71286</v>
      </c>
      <c r="K7945" s="350">
        <v>2.6460599999999999</v>
      </c>
      <c r="L7945" s="350">
        <f t="shared" si="106"/>
        <v>6.6800000000000193E-2</v>
      </c>
      <c r="M7945" s="337"/>
    </row>
    <row r="7946" spans="1:13" s="71" customFormat="1" ht="26.4" customHeight="1">
      <c r="A7946" s="282">
        <v>344</v>
      </c>
      <c r="B7946" s="537"/>
      <c r="C7946" s="307" t="s">
        <v>9648</v>
      </c>
      <c r="D7946" s="307" t="s">
        <v>9880</v>
      </c>
      <c r="E7946" s="353" t="s">
        <v>9881</v>
      </c>
      <c r="F7946" s="310">
        <v>206</v>
      </c>
      <c r="G7946" s="311">
        <v>1954</v>
      </c>
      <c r="H7946" s="329" t="s">
        <v>1149</v>
      </c>
      <c r="I7946" s="313" t="s">
        <v>9882</v>
      </c>
      <c r="J7946" s="350">
        <v>106.97132999999999</v>
      </c>
      <c r="K7946" s="350">
        <v>66.886210000000005</v>
      </c>
      <c r="L7946" s="350">
        <f t="shared" si="106"/>
        <v>40.085119999999989</v>
      </c>
      <c r="M7946" s="337"/>
    </row>
    <row r="7947" spans="1:13" s="71" customFormat="1" ht="26.4" customHeight="1">
      <c r="A7947" s="282">
        <v>345</v>
      </c>
      <c r="B7947" s="537"/>
      <c r="C7947" s="307" t="s">
        <v>9648</v>
      </c>
      <c r="D7947" s="307" t="s">
        <v>9794</v>
      </c>
      <c r="E7947" s="353" t="s">
        <v>9883</v>
      </c>
      <c r="F7947" s="310">
        <v>206</v>
      </c>
      <c r="G7947" s="311">
        <v>1989</v>
      </c>
      <c r="H7947" s="329" t="s">
        <v>3</v>
      </c>
      <c r="I7947" s="313" t="s">
        <v>3</v>
      </c>
      <c r="J7947" s="350">
        <v>3.68587</v>
      </c>
      <c r="K7947" s="350">
        <v>3.6633100000000001</v>
      </c>
      <c r="L7947" s="350">
        <f t="shared" si="106"/>
        <v>2.2559999999999913E-2</v>
      </c>
      <c r="M7947" s="337"/>
    </row>
    <row r="7948" spans="1:13" s="71" customFormat="1" ht="26.4" customHeight="1">
      <c r="A7948" s="282">
        <v>346</v>
      </c>
      <c r="B7948" s="537"/>
      <c r="C7948" s="307" t="s">
        <v>9648</v>
      </c>
      <c r="D7948" s="307" t="s">
        <v>3</v>
      </c>
      <c r="E7948" s="260" t="s">
        <v>9884</v>
      </c>
      <c r="F7948" s="310">
        <v>206</v>
      </c>
      <c r="G7948" s="311">
        <v>1989</v>
      </c>
      <c r="H7948" s="329" t="s">
        <v>2658</v>
      </c>
      <c r="I7948" s="313">
        <v>900</v>
      </c>
      <c r="J7948" s="350">
        <v>79.143829999999994</v>
      </c>
      <c r="K7948" s="350">
        <v>71.136769999999999</v>
      </c>
      <c r="L7948" s="350">
        <f t="shared" si="106"/>
        <v>8.0070599999999956</v>
      </c>
      <c r="M7948" s="337"/>
    </row>
    <row r="7949" spans="1:13" s="71" customFormat="1" ht="26.4" customHeight="1">
      <c r="A7949" s="282">
        <v>347</v>
      </c>
      <c r="B7949" s="537"/>
      <c r="C7949" s="307" t="s">
        <v>9648</v>
      </c>
      <c r="D7949" s="307" t="s">
        <v>9794</v>
      </c>
      <c r="E7949" s="353" t="s">
        <v>9885</v>
      </c>
      <c r="F7949" s="310">
        <v>207</v>
      </c>
      <c r="G7949" s="311">
        <v>1989</v>
      </c>
      <c r="H7949" s="329" t="s">
        <v>3</v>
      </c>
      <c r="I7949" s="313" t="s">
        <v>3</v>
      </c>
      <c r="J7949" s="350">
        <v>110.02601</v>
      </c>
      <c r="K7949" s="350">
        <v>48.532960000000003</v>
      </c>
      <c r="L7949" s="350">
        <f t="shared" si="106"/>
        <v>61.493049999999997</v>
      </c>
      <c r="M7949" s="337"/>
    </row>
    <row r="7950" spans="1:13" s="71" customFormat="1" ht="26.4" customHeight="1">
      <c r="A7950" s="282">
        <v>348</v>
      </c>
      <c r="B7950" s="537"/>
      <c r="C7950" s="307" t="s">
        <v>9648</v>
      </c>
      <c r="D7950" s="307" t="s">
        <v>3</v>
      </c>
      <c r="E7950" s="260" t="s">
        <v>9886</v>
      </c>
      <c r="F7950" s="310">
        <v>207</v>
      </c>
      <c r="G7950" s="311">
        <v>1989</v>
      </c>
      <c r="H7950" s="329" t="s">
        <v>2658</v>
      </c>
      <c r="I7950" s="313">
        <v>1999</v>
      </c>
      <c r="J7950" s="350">
        <v>503.43720000000002</v>
      </c>
      <c r="K7950" s="350">
        <v>490.02208000000002</v>
      </c>
      <c r="L7950" s="350">
        <f t="shared" si="106"/>
        <v>13.415120000000002</v>
      </c>
      <c r="M7950" s="337"/>
    </row>
    <row r="7951" spans="1:13" s="71" customFormat="1" ht="26.4" customHeight="1">
      <c r="A7951" s="282">
        <v>349</v>
      </c>
      <c r="B7951" s="537"/>
      <c r="C7951" s="307" t="s">
        <v>9477</v>
      </c>
      <c r="D7951" s="307" t="s">
        <v>9887</v>
      </c>
      <c r="E7951" s="353" t="s">
        <v>9888</v>
      </c>
      <c r="F7951" s="310">
        <v>208</v>
      </c>
      <c r="G7951" s="311">
        <v>1974</v>
      </c>
      <c r="H7951" s="329" t="s">
        <v>3</v>
      </c>
      <c r="I7951" s="320" t="s">
        <v>3</v>
      </c>
      <c r="J7951" s="350">
        <v>2.9916100000000001</v>
      </c>
      <c r="K7951" s="350">
        <v>2.9716100000000001</v>
      </c>
      <c r="L7951" s="350">
        <f t="shared" si="106"/>
        <v>2.0000000000000018E-2</v>
      </c>
      <c r="M7951" s="337"/>
    </row>
    <row r="7952" spans="1:13" s="71" customFormat="1" ht="26.4" customHeight="1">
      <c r="A7952" s="282">
        <v>350</v>
      </c>
      <c r="B7952" s="537"/>
      <c r="C7952" s="313" t="s">
        <v>9648</v>
      </c>
      <c r="D7952" s="307" t="s">
        <v>3</v>
      </c>
      <c r="E7952" s="444" t="s">
        <v>9889</v>
      </c>
      <c r="F7952" s="310">
        <v>209</v>
      </c>
      <c r="G7952" s="311">
        <v>1989</v>
      </c>
      <c r="H7952" s="329" t="s">
        <v>2658</v>
      </c>
      <c r="I7952" s="313">
        <v>475</v>
      </c>
      <c r="J7952" s="350">
        <v>85.029480000000007</v>
      </c>
      <c r="K7952" s="350">
        <v>82.763720000000006</v>
      </c>
      <c r="L7952" s="350">
        <f t="shared" si="106"/>
        <v>2.2657600000000002</v>
      </c>
      <c r="M7952" s="337"/>
    </row>
    <row r="7953" spans="1:13" s="71" customFormat="1" ht="26.4" customHeight="1">
      <c r="A7953" s="282">
        <v>351</v>
      </c>
      <c r="B7953" s="537"/>
      <c r="C7953" s="307" t="s">
        <v>9648</v>
      </c>
      <c r="D7953" s="307" t="s">
        <v>3</v>
      </c>
      <c r="E7953" s="260" t="s">
        <v>9890</v>
      </c>
      <c r="F7953" s="310">
        <v>210</v>
      </c>
      <c r="G7953" s="311">
        <v>1989</v>
      </c>
      <c r="H7953" s="329" t="s">
        <v>2658</v>
      </c>
      <c r="I7953" s="313">
        <v>2301</v>
      </c>
      <c r="J7953" s="350">
        <v>275.10442999999998</v>
      </c>
      <c r="K7953" s="350">
        <v>272.33022999999997</v>
      </c>
      <c r="L7953" s="350">
        <f t="shared" si="106"/>
        <v>2.7742000000000075</v>
      </c>
      <c r="M7953" s="337"/>
    </row>
    <row r="7954" spans="1:13" s="71" customFormat="1" ht="26.4" customHeight="1">
      <c r="A7954" s="282">
        <v>352</v>
      </c>
      <c r="B7954" s="537"/>
      <c r="C7954" s="307" t="s">
        <v>7495</v>
      </c>
      <c r="D7954" s="307" t="s">
        <v>3</v>
      </c>
      <c r="E7954" s="353" t="s">
        <v>9891</v>
      </c>
      <c r="F7954" s="310">
        <v>211</v>
      </c>
      <c r="G7954" s="311">
        <v>1976</v>
      </c>
      <c r="H7954" s="329" t="s">
        <v>3</v>
      </c>
      <c r="I7954" s="320" t="s">
        <v>3</v>
      </c>
      <c r="J7954" s="350">
        <v>21.3689</v>
      </c>
      <c r="K7954" s="350">
        <v>20.509499999999999</v>
      </c>
      <c r="L7954" s="350">
        <f t="shared" si="106"/>
        <v>0.85940000000000083</v>
      </c>
      <c r="M7954" s="337"/>
    </row>
    <row r="7955" spans="1:13" s="71" customFormat="1" ht="26.4" customHeight="1">
      <c r="A7955" s="282">
        <v>353</v>
      </c>
      <c r="B7955" s="537"/>
      <c r="C7955" s="307" t="s">
        <v>7495</v>
      </c>
      <c r="D7955" s="307" t="s">
        <v>3</v>
      </c>
      <c r="E7955" s="260" t="s">
        <v>9892</v>
      </c>
      <c r="F7955" s="310">
        <v>211</v>
      </c>
      <c r="G7955" s="311">
        <v>1989</v>
      </c>
      <c r="H7955" s="329" t="s">
        <v>2658</v>
      </c>
      <c r="I7955" s="313">
        <v>1100</v>
      </c>
      <c r="J7955" s="350">
        <v>1271.6904199999999</v>
      </c>
      <c r="K7955" s="350">
        <v>1240.6244999999999</v>
      </c>
      <c r="L7955" s="350">
        <f t="shared" si="106"/>
        <v>31.065920000000006</v>
      </c>
      <c r="M7955" s="337"/>
    </row>
    <row r="7956" spans="1:13" s="71" customFormat="1" ht="26.4" customHeight="1">
      <c r="A7956" s="282">
        <v>354</v>
      </c>
      <c r="B7956" s="537"/>
      <c r="C7956" s="307" t="s">
        <v>7495</v>
      </c>
      <c r="D7956" s="307" t="s">
        <v>3</v>
      </c>
      <c r="E7956" s="353" t="s">
        <v>9893</v>
      </c>
      <c r="F7956" s="310">
        <v>212</v>
      </c>
      <c r="G7956" s="311">
        <v>1976</v>
      </c>
      <c r="H7956" s="329" t="s">
        <v>3</v>
      </c>
      <c r="I7956" s="320" t="s">
        <v>3</v>
      </c>
      <c r="J7956" s="350">
        <v>21.3689</v>
      </c>
      <c r="K7956" s="350">
        <v>20.509499999999999</v>
      </c>
      <c r="L7956" s="350">
        <f t="shared" si="106"/>
        <v>0.85940000000000083</v>
      </c>
      <c r="M7956" s="337"/>
    </row>
    <row r="7957" spans="1:13" s="71" customFormat="1" ht="26.4" customHeight="1">
      <c r="A7957" s="282">
        <v>355</v>
      </c>
      <c r="B7957" s="537"/>
      <c r="C7957" s="313" t="s">
        <v>214</v>
      </c>
      <c r="D7957" s="313" t="s">
        <v>9697</v>
      </c>
      <c r="E7957" s="444" t="s">
        <v>9894</v>
      </c>
      <c r="F7957" s="310">
        <v>212</v>
      </c>
      <c r="G7957" s="311">
        <v>1989</v>
      </c>
      <c r="H7957" s="329" t="s">
        <v>2658</v>
      </c>
      <c r="I7957" s="313">
        <v>345</v>
      </c>
      <c r="J7957" s="350">
        <v>246.14519000000001</v>
      </c>
      <c r="K7957" s="350">
        <v>223.4502</v>
      </c>
      <c r="L7957" s="350">
        <f t="shared" si="106"/>
        <v>22.694990000000018</v>
      </c>
      <c r="M7957" s="337"/>
    </row>
    <row r="7958" spans="1:13" s="71" customFormat="1" ht="26.4" customHeight="1">
      <c r="A7958" s="282">
        <v>356</v>
      </c>
      <c r="B7958" s="537"/>
      <c r="C7958" s="307" t="s">
        <v>7495</v>
      </c>
      <c r="D7958" s="307" t="s">
        <v>3</v>
      </c>
      <c r="E7958" s="353" t="s">
        <v>9895</v>
      </c>
      <c r="F7958" s="310">
        <v>213</v>
      </c>
      <c r="G7958" s="311">
        <v>1976</v>
      </c>
      <c r="H7958" s="329" t="s">
        <v>3</v>
      </c>
      <c r="I7958" s="320" t="s">
        <v>3</v>
      </c>
      <c r="J7958" s="350">
        <v>21.3689</v>
      </c>
      <c r="K7958" s="350">
        <v>20.509499999999999</v>
      </c>
      <c r="L7958" s="350">
        <f t="shared" si="106"/>
        <v>0.85940000000000083</v>
      </c>
      <c r="M7958" s="337"/>
    </row>
    <row r="7959" spans="1:13" s="71" customFormat="1" ht="26.4" customHeight="1">
      <c r="A7959" s="282">
        <v>357</v>
      </c>
      <c r="B7959" s="537"/>
      <c r="C7959" s="307" t="s">
        <v>7495</v>
      </c>
      <c r="D7959" s="307" t="s">
        <v>3</v>
      </c>
      <c r="E7959" s="353" t="s">
        <v>9896</v>
      </c>
      <c r="F7959" s="310">
        <v>214</v>
      </c>
      <c r="G7959" s="311">
        <v>1976</v>
      </c>
      <c r="H7959" s="329" t="s">
        <v>3</v>
      </c>
      <c r="I7959" s="320" t="s">
        <v>3</v>
      </c>
      <c r="J7959" s="350">
        <v>21.3689</v>
      </c>
      <c r="K7959" s="350">
        <v>20.509499999999999</v>
      </c>
      <c r="L7959" s="350">
        <f t="shared" si="106"/>
        <v>0.85940000000000083</v>
      </c>
      <c r="M7959" s="337"/>
    </row>
    <row r="7960" spans="1:13" s="71" customFormat="1" ht="26.4" customHeight="1">
      <c r="A7960" s="282">
        <v>358</v>
      </c>
      <c r="B7960" s="537"/>
      <c r="C7960" s="307" t="s">
        <v>7495</v>
      </c>
      <c r="D7960" s="307" t="s">
        <v>3</v>
      </c>
      <c r="E7960" s="260" t="s">
        <v>9897</v>
      </c>
      <c r="F7960" s="310">
        <v>214</v>
      </c>
      <c r="G7960" s="311">
        <v>1989</v>
      </c>
      <c r="H7960" s="329" t="s">
        <v>2658</v>
      </c>
      <c r="I7960" s="313">
        <v>2382</v>
      </c>
      <c r="J7960" s="350">
        <v>749.17376999999999</v>
      </c>
      <c r="K7960" s="350">
        <v>741.46191999999996</v>
      </c>
      <c r="L7960" s="350">
        <f t="shared" si="106"/>
        <v>7.7118500000000267</v>
      </c>
      <c r="M7960" s="337"/>
    </row>
    <row r="7961" spans="1:13" s="71" customFormat="1" ht="26.4" customHeight="1">
      <c r="A7961" s="282">
        <v>359</v>
      </c>
      <c r="B7961" s="537"/>
      <c r="C7961" s="307" t="s">
        <v>7495</v>
      </c>
      <c r="D7961" s="307" t="s">
        <v>3</v>
      </c>
      <c r="E7961" s="353" t="s">
        <v>9898</v>
      </c>
      <c r="F7961" s="310">
        <v>215</v>
      </c>
      <c r="G7961" s="311">
        <v>1976</v>
      </c>
      <c r="H7961" s="329" t="s">
        <v>3</v>
      </c>
      <c r="I7961" s="320" t="s">
        <v>3</v>
      </c>
      <c r="J7961" s="350">
        <v>21.3689</v>
      </c>
      <c r="K7961" s="350">
        <v>15.296150000000001</v>
      </c>
      <c r="L7961" s="350">
        <f t="shared" si="106"/>
        <v>6.0727499999999992</v>
      </c>
      <c r="M7961" s="337"/>
    </row>
    <row r="7962" spans="1:13" s="71" customFormat="1" ht="26.4" customHeight="1">
      <c r="A7962" s="282">
        <v>360</v>
      </c>
      <c r="B7962" s="537"/>
      <c r="C7962" s="307" t="s">
        <v>7495</v>
      </c>
      <c r="D7962" s="307" t="s">
        <v>3</v>
      </c>
      <c r="E7962" s="353" t="s">
        <v>9899</v>
      </c>
      <c r="F7962" s="310">
        <v>216</v>
      </c>
      <c r="G7962" s="311">
        <v>1976</v>
      </c>
      <c r="H7962" s="329" t="s">
        <v>3</v>
      </c>
      <c r="I7962" s="320" t="s">
        <v>3</v>
      </c>
      <c r="J7962" s="350">
        <v>21.3689</v>
      </c>
      <c r="K7962" s="350">
        <v>15.296150000000001</v>
      </c>
      <c r="L7962" s="350">
        <f t="shared" si="106"/>
        <v>6.0727499999999992</v>
      </c>
      <c r="M7962" s="337"/>
    </row>
    <row r="7963" spans="1:13" s="71" customFormat="1" ht="26.4" customHeight="1">
      <c r="A7963" s="282">
        <v>361</v>
      </c>
      <c r="B7963" s="537"/>
      <c r="C7963" s="313" t="s">
        <v>9552</v>
      </c>
      <c r="D7963" s="307" t="s">
        <v>3</v>
      </c>
      <c r="E7963" s="444" t="s">
        <v>13437</v>
      </c>
      <c r="F7963" s="310">
        <v>216</v>
      </c>
      <c r="G7963" s="311">
        <v>1989</v>
      </c>
      <c r="H7963" s="329" t="s">
        <v>2658</v>
      </c>
      <c r="I7963" s="313">
        <v>3400</v>
      </c>
      <c r="J7963" s="350">
        <v>480.16836000000001</v>
      </c>
      <c r="K7963" s="350">
        <v>472.87266</v>
      </c>
      <c r="L7963" s="350">
        <f t="shared" si="106"/>
        <v>7.2957000000000107</v>
      </c>
      <c r="M7963" s="337"/>
    </row>
    <row r="7964" spans="1:13" s="71" customFormat="1" ht="26.4" customHeight="1">
      <c r="A7964" s="282">
        <v>362</v>
      </c>
      <c r="B7964" s="537"/>
      <c r="C7964" s="307" t="s">
        <v>7495</v>
      </c>
      <c r="D7964" s="307" t="s">
        <v>3</v>
      </c>
      <c r="E7964" s="353" t="s">
        <v>9900</v>
      </c>
      <c r="F7964" s="310">
        <v>217</v>
      </c>
      <c r="G7964" s="311">
        <v>1976</v>
      </c>
      <c r="H7964" s="329" t="s">
        <v>3</v>
      </c>
      <c r="I7964" s="320" t="s">
        <v>3</v>
      </c>
      <c r="J7964" s="350">
        <v>21.3689</v>
      </c>
      <c r="K7964" s="350">
        <v>15.296150000000001</v>
      </c>
      <c r="L7964" s="350">
        <f t="shared" si="106"/>
        <v>6.0727499999999992</v>
      </c>
      <c r="M7964" s="337"/>
    </row>
    <row r="7965" spans="1:13" s="71" customFormat="1" ht="26.4" customHeight="1">
      <c r="A7965" s="282">
        <v>363</v>
      </c>
      <c r="B7965" s="537"/>
      <c r="C7965" s="307" t="s">
        <v>9648</v>
      </c>
      <c r="D7965" s="307" t="s">
        <v>3</v>
      </c>
      <c r="E7965" s="260" t="s">
        <v>9901</v>
      </c>
      <c r="F7965" s="310">
        <v>217</v>
      </c>
      <c r="G7965" s="311">
        <v>1989</v>
      </c>
      <c r="H7965" s="329" t="s">
        <v>2658</v>
      </c>
      <c r="I7965" s="313">
        <v>223</v>
      </c>
      <c r="J7965" s="350">
        <v>9.9714299999999998</v>
      </c>
      <c r="K7965" s="350">
        <v>9.6771899999999995</v>
      </c>
      <c r="L7965" s="350">
        <f t="shared" si="106"/>
        <v>0.29424000000000028</v>
      </c>
      <c r="M7965" s="337"/>
    </row>
    <row r="7966" spans="1:13" s="71" customFormat="1" ht="26.4" customHeight="1">
      <c r="A7966" s="282">
        <v>364</v>
      </c>
      <c r="B7966" s="537"/>
      <c r="C7966" s="307" t="s">
        <v>7495</v>
      </c>
      <c r="D7966" s="307" t="s">
        <v>3</v>
      </c>
      <c r="E7966" s="353" t="s">
        <v>9902</v>
      </c>
      <c r="F7966" s="310">
        <v>218</v>
      </c>
      <c r="G7966" s="311">
        <v>1976</v>
      </c>
      <c r="H7966" s="329" t="s">
        <v>3</v>
      </c>
      <c r="I7966" s="313" t="s">
        <v>3</v>
      </c>
      <c r="J7966" s="350">
        <v>21.3689</v>
      </c>
      <c r="K7966" s="350">
        <v>15.296150000000001</v>
      </c>
      <c r="L7966" s="350">
        <f t="shared" si="106"/>
        <v>6.0727499999999992</v>
      </c>
      <c r="M7966" s="337"/>
    </row>
    <row r="7967" spans="1:13" s="71" customFormat="1" ht="26.4" customHeight="1">
      <c r="A7967" s="282">
        <v>365</v>
      </c>
      <c r="B7967" s="537"/>
      <c r="C7967" s="307" t="s">
        <v>9453</v>
      </c>
      <c r="D7967" s="307" t="s">
        <v>3</v>
      </c>
      <c r="E7967" s="260" t="s">
        <v>13364</v>
      </c>
      <c r="F7967" s="310">
        <v>218</v>
      </c>
      <c r="G7967" s="311">
        <v>1989</v>
      </c>
      <c r="H7967" s="329" t="s">
        <v>2658</v>
      </c>
      <c r="I7967" s="313">
        <v>352</v>
      </c>
      <c r="J7967" s="350">
        <v>16.678100000000001</v>
      </c>
      <c r="K7967" s="350">
        <v>16.677009999999999</v>
      </c>
      <c r="L7967" s="350">
        <f t="shared" si="106"/>
        <v>1.0900000000013677E-3</v>
      </c>
      <c r="M7967" s="337"/>
    </row>
    <row r="7968" spans="1:13" s="71" customFormat="1" ht="26.4" customHeight="1">
      <c r="A7968" s="282">
        <v>366</v>
      </c>
      <c r="B7968" s="537"/>
      <c r="C7968" s="307" t="s">
        <v>9535</v>
      </c>
      <c r="D7968" s="307" t="s">
        <v>3</v>
      </c>
      <c r="E7968" s="353" t="s">
        <v>9903</v>
      </c>
      <c r="F7968" s="310">
        <v>219</v>
      </c>
      <c r="G7968" s="311">
        <v>1976</v>
      </c>
      <c r="H7968" s="329" t="s">
        <v>3</v>
      </c>
      <c r="I7968" s="320" t="s">
        <v>3</v>
      </c>
      <c r="J7968" s="350">
        <v>7.9831000000000003</v>
      </c>
      <c r="K7968" s="350">
        <v>7.9831000000000003</v>
      </c>
      <c r="L7968" s="350">
        <f t="shared" si="106"/>
        <v>0</v>
      </c>
      <c r="M7968" s="337"/>
    </row>
    <row r="7969" spans="1:13" s="71" customFormat="1" ht="26.4" customHeight="1">
      <c r="A7969" s="282">
        <v>367</v>
      </c>
      <c r="B7969" s="537"/>
      <c r="C7969" s="307" t="s">
        <v>7495</v>
      </c>
      <c r="D7969" s="307" t="s">
        <v>3</v>
      </c>
      <c r="E7969" s="353" t="s">
        <v>9904</v>
      </c>
      <c r="F7969" s="310">
        <v>220</v>
      </c>
      <c r="G7969" s="311">
        <v>1976</v>
      </c>
      <c r="H7969" s="329" t="s">
        <v>3</v>
      </c>
      <c r="I7969" s="320" t="s">
        <v>3</v>
      </c>
      <c r="J7969" s="350">
        <v>87.767830000000004</v>
      </c>
      <c r="K7969" s="350">
        <v>87.767830000000004</v>
      </c>
      <c r="L7969" s="350">
        <f t="shared" si="106"/>
        <v>0</v>
      </c>
      <c r="M7969" s="337"/>
    </row>
    <row r="7970" spans="1:13" s="71" customFormat="1" ht="26.4" customHeight="1">
      <c r="A7970" s="282">
        <v>368</v>
      </c>
      <c r="B7970" s="537"/>
      <c r="C7970" s="307" t="s">
        <v>9477</v>
      </c>
      <c r="D7970" s="307" t="s">
        <v>3</v>
      </c>
      <c r="E7970" s="353" t="s">
        <v>9905</v>
      </c>
      <c r="F7970" s="310">
        <v>221</v>
      </c>
      <c r="G7970" s="311">
        <v>1976</v>
      </c>
      <c r="H7970" s="329" t="s">
        <v>1149</v>
      </c>
      <c r="I7970" s="313" t="s">
        <v>9906</v>
      </c>
      <c r="J7970" s="350">
        <v>112.4204</v>
      </c>
      <c r="K7970" s="350">
        <v>104.52834</v>
      </c>
      <c r="L7970" s="350">
        <f t="shared" si="106"/>
        <v>7.8920600000000007</v>
      </c>
      <c r="M7970" s="337"/>
    </row>
    <row r="7971" spans="1:13" s="71" customFormat="1" ht="26.4" customHeight="1">
      <c r="A7971" s="282">
        <v>369</v>
      </c>
      <c r="B7971" s="537"/>
      <c r="C7971" s="307" t="s">
        <v>9552</v>
      </c>
      <c r="D7971" s="313" t="s">
        <v>9871</v>
      </c>
      <c r="E7971" s="260" t="s">
        <v>13205</v>
      </c>
      <c r="F7971" s="310">
        <v>222</v>
      </c>
      <c r="G7971" s="311">
        <v>1989</v>
      </c>
      <c r="H7971" s="329" t="s">
        <v>2658</v>
      </c>
      <c r="I7971" s="313">
        <v>898</v>
      </c>
      <c r="J7971" s="350">
        <v>114.27753</v>
      </c>
      <c r="K7971" s="350">
        <v>107.20851</v>
      </c>
      <c r="L7971" s="350">
        <f t="shared" si="106"/>
        <v>7.0690199999999948</v>
      </c>
      <c r="M7971" s="337"/>
    </row>
    <row r="7972" spans="1:13" s="71" customFormat="1" ht="26.4" customHeight="1">
      <c r="A7972" s="282">
        <v>370</v>
      </c>
      <c r="B7972" s="537"/>
      <c r="C7972" s="307" t="s">
        <v>9477</v>
      </c>
      <c r="D7972" s="307" t="s">
        <v>3</v>
      </c>
      <c r="E7972" s="353" t="s">
        <v>9907</v>
      </c>
      <c r="F7972" s="310">
        <v>222</v>
      </c>
      <c r="G7972" s="311">
        <v>1976</v>
      </c>
      <c r="H7972" s="329" t="s">
        <v>1149</v>
      </c>
      <c r="I7972" s="313" t="s">
        <v>9906</v>
      </c>
      <c r="J7972" s="350">
        <v>24.672239999999999</v>
      </c>
      <c r="K7972" s="350">
        <v>23.406590000000001</v>
      </c>
      <c r="L7972" s="350">
        <f t="shared" si="106"/>
        <v>1.2656499999999973</v>
      </c>
      <c r="M7972" s="337"/>
    </row>
    <row r="7973" spans="1:13" s="71" customFormat="1" ht="26.4" customHeight="1">
      <c r="A7973" s="282">
        <v>371</v>
      </c>
      <c r="B7973" s="537"/>
      <c r="C7973" s="307" t="s">
        <v>9552</v>
      </c>
      <c r="D7973" s="307" t="s">
        <v>3</v>
      </c>
      <c r="E7973" s="353" t="s">
        <v>9908</v>
      </c>
      <c r="F7973" s="310">
        <v>223</v>
      </c>
      <c r="G7973" s="311">
        <v>1991</v>
      </c>
      <c r="H7973" s="329" t="s">
        <v>3</v>
      </c>
      <c r="I7973" s="313" t="s">
        <v>3</v>
      </c>
      <c r="J7973" s="350">
        <v>143.87073000000001</v>
      </c>
      <c r="K7973" s="350">
        <v>113.04423</v>
      </c>
      <c r="L7973" s="350">
        <f t="shared" si="106"/>
        <v>30.82650000000001</v>
      </c>
      <c r="M7973" s="337"/>
    </row>
    <row r="7974" spans="1:13" s="71" customFormat="1" ht="26.4" customHeight="1">
      <c r="A7974" s="282">
        <v>372</v>
      </c>
      <c r="B7974" s="537"/>
      <c r="C7974" s="307" t="s">
        <v>9552</v>
      </c>
      <c r="D7974" s="307" t="s">
        <v>9909</v>
      </c>
      <c r="E7974" s="353" t="s">
        <v>13315</v>
      </c>
      <c r="F7974" s="310">
        <v>223</v>
      </c>
      <c r="G7974" s="311">
        <v>1978</v>
      </c>
      <c r="H7974" s="329" t="s">
        <v>1149</v>
      </c>
      <c r="I7974" s="313" t="s">
        <v>9910</v>
      </c>
      <c r="J7974" s="350">
        <v>88.340890000000002</v>
      </c>
      <c r="K7974" s="350">
        <v>78.834360000000004</v>
      </c>
      <c r="L7974" s="350">
        <f t="shared" si="106"/>
        <v>9.5065299999999979</v>
      </c>
      <c r="M7974" s="337"/>
    </row>
    <row r="7975" spans="1:13" s="71" customFormat="1" ht="26.4" customHeight="1">
      <c r="A7975" s="282">
        <v>373</v>
      </c>
      <c r="B7975" s="537"/>
      <c r="C7975" s="307" t="s">
        <v>214</v>
      </c>
      <c r="D7975" s="307" t="s">
        <v>9697</v>
      </c>
      <c r="E7975" s="353" t="s">
        <v>9911</v>
      </c>
      <c r="F7975" s="310">
        <v>223</v>
      </c>
      <c r="G7975" s="311">
        <v>1954</v>
      </c>
      <c r="H7975" s="329" t="s">
        <v>1149</v>
      </c>
      <c r="I7975" s="313" t="s">
        <v>9912</v>
      </c>
      <c r="J7975" s="350">
        <v>102.91003000000001</v>
      </c>
      <c r="K7975" s="350">
        <v>78.968320000000006</v>
      </c>
      <c r="L7975" s="350">
        <f t="shared" si="106"/>
        <v>23.94171</v>
      </c>
      <c r="M7975" s="337"/>
    </row>
    <row r="7976" spans="1:13" s="71" customFormat="1" ht="26.4" customHeight="1">
      <c r="A7976" s="282">
        <v>374</v>
      </c>
      <c r="B7976" s="537"/>
      <c r="C7976" s="307" t="s">
        <v>214</v>
      </c>
      <c r="D7976" s="307" t="s">
        <v>9697</v>
      </c>
      <c r="E7976" s="353" t="s">
        <v>9913</v>
      </c>
      <c r="F7976" s="310">
        <v>223</v>
      </c>
      <c r="G7976" s="311">
        <v>1991</v>
      </c>
      <c r="H7976" s="329" t="s">
        <v>1149</v>
      </c>
      <c r="I7976" s="313" t="s">
        <v>9914</v>
      </c>
      <c r="J7976" s="350">
        <v>353.50871000000001</v>
      </c>
      <c r="K7976" s="350">
        <v>290.20155999999997</v>
      </c>
      <c r="L7976" s="350">
        <f t="shared" si="106"/>
        <v>63.307150000000036</v>
      </c>
      <c r="M7976" s="337"/>
    </row>
    <row r="7977" spans="1:13" s="71" customFormat="1" ht="26.4" customHeight="1">
      <c r="A7977" s="282">
        <v>375</v>
      </c>
      <c r="B7977" s="537"/>
      <c r="C7977" s="313" t="s">
        <v>9453</v>
      </c>
      <c r="D7977" s="313" t="s">
        <v>9871</v>
      </c>
      <c r="E7977" s="444" t="s">
        <v>9915</v>
      </c>
      <c r="F7977" s="310">
        <v>223</v>
      </c>
      <c r="G7977" s="311">
        <v>1989</v>
      </c>
      <c r="H7977" s="329" t="s">
        <v>2658</v>
      </c>
      <c r="I7977" s="313">
        <v>737</v>
      </c>
      <c r="J7977" s="350">
        <v>172.28784999999999</v>
      </c>
      <c r="K7977" s="350">
        <v>161.63034999999999</v>
      </c>
      <c r="L7977" s="350">
        <f t="shared" si="106"/>
        <v>10.657499999999999</v>
      </c>
      <c r="M7977" s="337"/>
    </row>
    <row r="7978" spans="1:13" s="71" customFormat="1" ht="26.4" customHeight="1">
      <c r="A7978" s="282">
        <v>376</v>
      </c>
      <c r="B7978" s="537"/>
      <c r="C7978" s="313" t="s">
        <v>9453</v>
      </c>
      <c r="D7978" s="313" t="s">
        <v>9871</v>
      </c>
      <c r="E7978" s="444" t="s">
        <v>9916</v>
      </c>
      <c r="F7978" s="310">
        <v>224</v>
      </c>
      <c r="G7978" s="311">
        <v>1989</v>
      </c>
      <c r="H7978" s="329" t="s">
        <v>2658</v>
      </c>
      <c r="I7978" s="313">
        <v>1879</v>
      </c>
      <c r="J7978" s="350">
        <v>160.59962999999999</v>
      </c>
      <c r="K7978" s="350">
        <v>149.79765</v>
      </c>
      <c r="L7978" s="350">
        <f t="shared" si="106"/>
        <v>10.801979999999986</v>
      </c>
      <c r="M7978" s="337"/>
    </row>
    <row r="7979" spans="1:13" s="71" customFormat="1" ht="26.4" customHeight="1">
      <c r="A7979" s="282">
        <v>377</v>
      </c>
      <c r="B7979" s="537"/>
      <c r="C7979" s="313" t="s">
        <v>9453</v>
      </c>
      <c r="D7979" s="313" t="s">
        <v>9794</v>
      </c>
      <c r="E7979" s="420" t="s">
        <v>9917</v>
      </c>
      <c r="F7979" s="310">
        <v>225</v>
      </c>
      <c r="G7979" s="311">
        <v>1978</v>
      </c>
      <c r="H7979" s="329" t="s">
        <v>3</v>
      </c>
      <c r="I7979" s="313" t="s">
        <v>3</v>
      </c>
      <c r="J7979" s="350">
        <v>13.30757</v>
      </c>
      <c r="K7979" s="350">
        <v>11.13007</v>
      </c>
      <c r="L7979" s="350">
        <f t="shared" si="106"/>
        <v>2.1775000000000002</v>
      </c>
      <c r="M7979" s="337"/>
    </row>
    <row r="7980" spans="1:13" s="71" customFormat="1" ht="26.4" customHeight="1">
      <c r="A7980" s="282">
        <v>378</v>
      </c>
      <c r="B7980" s="537"/>
      <c r="C7980" s="313" t="s">
        <v>9484</v>
      </c>
      <c r="D7980" s="313" t="s">
        <v>9871</v>
      </c>
      <c r="E7980" s="444" t="s">
        <v>13438</v>
      </c>
      <c r="F7980" s="310">
        <v>225</v>
      </c>
      <c r="G7980" s="311">
        <v>1989</v>
      </c>
      <c r="H7980" s="329" t="s">
        <v>2658</v>
      </c>
      <c r="I7980" s="313">
        <v>32.299999999999997</v>
      </c>
      <c r="J7980" s="350">
        <v>3.8444600000000002</v>
      </c>
      <c r="K7980" s="350">
        <v>3.8054100000000002</v>
      </c>
      <c r="L7980" s="350">
        <f t="shared" si="106"/>
        <v>3.9050000000000029E-2</v>
      </c>
      <c r="M7980" s="337"/>
    </row>
    <row r="7981" spans="1:13" s="71" customFormat="1" ht="26.4" customHeight="1">
      <c r="A7981" s="282">
        <v>379</v>
      </c>
      <c r="B7981" s="537"/>
      <c r="C7981" s="313" t="s">
        <v>9552</v>
      </c>
      <c r="D7981" s="313" t="s">
        <v>9871</v>
      </c>
      <c r="E7981" s="444" t="s">
        <v>9918</v>
      </c>
      <c r="F7981" s="310">
        <v>226</v>
      </c>
      <c r="G7981" s="311">
        <v>1989</v>
      </c>
      <c r="H7981" s="329" t="s">
        <v>2658</v>
      </c>
      <c r="I7981" s="313">
        <v>89.1</v>
      </c>
      <c r="J7981" s="350">
        <v>10.123989999999999</v>
      </c>
      <c r="K7981" s="350">
        <v>9.0333500000000004</v>
      </c>
      <c r="L7981" s="350">
        <f t="shared" si="106"/>
        <v>1.0906399999999987</v>
      </c>
      <c r="M7981" s="337"/>
    </row>
    <row r="7982" spans="1:13" s="71" customFormat="1" ht="26.4" customHeight="1">
      <c r="A7982" s="282">
        <v>380</v>
      </c>
      <c r="B7982" s="537"/>
      <c r="C7982" s="313" t="s">
        <v>9552</v>
      </c>
      <c r="D7982" s="313" t="s">
        <v>9871</v>
      </c>
      <c r="E7982" s="444" t="s">
        <v>12824</v>
      </c>
      <c r="F7982" s="310">
        <v>227</v>
      </c>
      <c r="G7982" s="311">
        <v>1989</v>
      </c>
      <c r="H7982" s="329" t="s">
        <v>2658</v>
      </c>
      <c r="I7982" s="313">
        <v>427</v>
      </c>
      <c r="J7982" s="350">
        <v>29.364719999999998</v>
      </c>
      <c r="K7982" s="350">
        <v>20.639779999999998</v>
      </c>
      <c r="L7982" s="350">
        <f t="shared" si="106"/>
        <v>8.7249400000000001</v>
      </c>
      <c r="M7982" s="337"/>
    </row>
    <row r="7983" spans="1:13" s="71" customFormat="1" ht="26.4" customHeight="1">
      <c r="A7983" s="282">
        <v>381</v>
      </c>
      <c r="B7983" s="537"/>
      <c r="C7983" s="307" t="s">
        <v>9919</v>
      </c>
      <c r="D7983" s="307" t="s">
        <v>3</v>
      </c>
      <c r="E7983" s="353" t="s">
        <v>9920</v>
      </c>
      <c r="F7983" s="310">
        <v>227</v>
      </c>
      <c r="G7983" s="311">
        <v>1978</v>
      </c>
      <c r="H7983" s="329" t="s">
        <v>1149</v>
      </c>
      <c r="I7983" s="313" t="s">
        <v>9921</v>
      </c>
      <c r="J7983" s="350">
        <v>24.506450000000001</v>
      </c>
      <c r="K7983" s="350">
        <v>23.000630000000001</v>
      </c>
      <c r="L7983" s="350">
        <f t="shared" si="106"/>
        <v>1.5058199999999999</v>
      </c>
      <c r="M7983" s="337"/>
    </row>
    <row r="7984" spans="1:13" s="71" customFormat="1" ht="26.4" customHeight="1">
      <c r="A7984" s="282">
        <v>382</v>
      </c>
      <c r="B7984" s="537"/>
      <c r="C7984" s="307" t="s">
        <v>9453</v>
      </c>
      <c r="D7984" s="307" t="s">
        <v>3</v>
      </c>
      <c r="E7984" s="353" t="s">
        <v>9922</v>
      </c>
      <c r="F7984" s="310">
        <v>228</v>
      </c>
      <c r="G7984" s="311">
        <v>1978</v>
      </c>
      <c r="H7984" s="329" t="s">
        <v>3</v>
      </c>
      <c r="I7984" s="313" t="s">
        <v>3</v>
      </c>
      <c r="J7984" s="350">
        <v>670.70200999999997</v>
      </c>
      <c r="K7984" s="350">
        <v>406.30921999999998</v>
      </c>
      <c r="L7984" s="350">
        <f t="shared" si="106"/>
        <v>264.39278999999999</v>
      </c>
      <c r="M7984" s="337"/>
    </row>
    <row r="7985" spans="1:13" s="71" customFormat="1" ht="26.4" customHeight="1">
      <c r="A7985" s="282">
        <v>383</v>
      </c>
      <c r="B7985" s="537"/>
      <c r="C7985" s="307" t="s">
        <v>9453</v>
      </c>
      <c r="D7985" s="307" t="s">
        <v>3</v>
      </c>
      <c r="E7985" s="260" t="s">
        <v>9916</v>
      </c>
      <c r="F7985" s="310">
        <v>228</v>
      </c>
      <c r="G7985" s="311">
        <v>1989</v>
      </c>
      <c r="H7985" s="329" t="s">
        <v>2658</v>
      </c>
      <c r="I7985" s="313">
        <v>215</v>
      </c>
      <c r="J7985" s="350">
        <v>24.455220000000001</v>
      </c>
      <c r="K7985" s="350">
        <v>16.815840000000001</v>
      </c>
      <c r="L7985" s="350">
        <f t="shared" si="106"/>
        <v>7.6393799999999992</v>
      </c>
      <c r="M7985" s="337"/>
    </row>
    <row r="7986" spans="1:13" s="71" customFormat="1" ht="26.4" customHeight="1">
      <c r="A7986" s="282">
        <v>384</v>
      </c>
      <c r="B7986" s="537"/>
      <c r="C7986" s="307" t="s">
        <v>9453</v>
      </c>
      <c r="D7986" s="307" t="s">
        <v>3</v>
      </c>
      <c r="E7986" s="260" t="s">
        <v>12824</v>
      </c>
      <c r="F7986" s="310">
        <v>229</v>
      </c>
      <c r="G7986" s="311">
        <v>1989</v>
      </c>
      <c r="H7986" s="329" t="s">
        <v>2658</v>
      </c>
      <c r="I7986" s="313">
        <v>546</v>
      </c>
      <c r="J7986" s="350">
        <v>38.26849</v>
      </c>
      <c r="K7986" s="350">
        <v>33.695929999999997</v>
      </c>
      <c r="L7986" s="350">
        <f t="shared" si="106"/>
        <v>4.5725600000000028</v>
      </c>
      <c r="M7986" s="337"/>
    </row>
    <row r="7987" spans="1:13" s="71" customFormat="1" ht="26.4" customHeight="1">
      <c r="A7987" s="282">
        <v>385</v>
      </c>
      <c r="B7987" s="537"/>
      <c r="C7987" s="307" t="s">
        <v>9453</v>
      </c>
      <c r="D7987" s="307" t="s">
        <v>3</v>
      </c>
      <c r="E7987" s="260" t="s">
        <v>9918</v>
      </c>
      <c r="F7987" s="310">
        <v>230</v>
      </c>
      <c r="G7987" s="311">
        <v>1989</v>
      </c>
      <c r="H7987" s="329" t="s">
        <v>2658</v>
      </c>
      <c r="I7987" s="313">
        <v>36</v>
      </c>
      <c r="J7987" s="350">
        <v>4.0946400000000001</v>
      </c>
      <c r="K7987" s="350">
        <v>3.5938400000000001</v>
      </c>
      <c r="L7987" s="350">
        <f t="shared" ref="L7987:L8050" si="107">J7987-K7987</f>
        <v>0.50079999999999991</v>
      </c>
      <c r="M7987" s="337"/>
    </row>
    <row r="7988" spans="1:13" s="71" customFormat="1" ht="26.4" customHeight="1">
      <c r="A7988" s="282">
        <v>386</v>
      </c>
      <c r="B7988" s="537"/>
      <c r="C7988" s="307" t="s">
        <v>9453</v>
      </c>
      <c r="D7988" s="307" t="s">
        <v>3</v>
      </c>
      <c r="E7988" s="260" t="s">
        <v>9923</v>
      </c>
      <c r="F7988" s="310">
        <v>231</v>
      </c>
      <c r="G7988" s="311">
        <v>1991</v>
      </c>
      <c r="H7988" s="329" t="s">
        <v>2658</v>
      </c>
      <c r="I7988" s="313">
        <v>20</v>
      </c>
      <c r="J7988" s="350">
        <v>55.843960000000003</v>
      </c>
      <c r="K7988" s="350">
        <v>50.727640000000001</v>
      </c>
      <c r="L7988" s="350">
        <f t="shared" si="107"/>
        <v>5.1163200000000018</v>
      </c>
      <c r="M7988" s="337"/>
    </row>
    <row r="7989" spans="1:13" s="71" customFormat="1" ht="26.4" customHeight="1">
      <c r="A7989" s="282">
        <v>387</v>
      </c>
      <c r="B7989" s="537"/>
      <c r="C7989" s="307" t="s">
        <v>9453</v>
      </c>
      <c r="D7989" s="307" t="s">
        <v>3</v>
      </c>
      <c r="E7989" s="260" t="s">
        <v>9924</v>
      </c>
      <c r="F7989" s="310">
        <v>232</v>
      </c>
      <c r="G7989" s="311">
        <v>1991</v>
      </c>
      <c r="H7989" s="329" t="s">
        <v>2658</v>
      </c>
      <c r="I7989" s="313">
        <v>840</v>
      </c>
      <c r="J7989" s="350">
        <v>97.483170000000001</v>
      </c>
      <c r="K7989" s="350">
        <v>89.813950000000006</v>
      </c>
      <c r="L7989" s="350">
        <f t="shared" si="107"/>
        <v>7.6692199999999957</v>
      </c>
      <c r="M7989" s="337"/>
    </row>
    <row r="7990" spans="1:13" s="71" customFormat="1" ht="26.4" customHeight="1">
      <c r="A7990" s="282">
        <v>388</v>
      </c>
      <c r="B7990" s="537"/>
      <c r="C7990" s="307" t="s">
        <v>9453</v>
      </c>
      <c r="D7990" s="307" t="s">
        <v>3</v>
      </c>
      <c r="E7990" s="260" t="s">
        <v>9925</v>
      </c>
      <c r="F7990" s="310">
        <v>233</v>
      </c>
      <c r="G7990" s="311">
        <v>1991</v>
      </c>
      <c r="H7990" s="329" t="s">
        <v>3</v>
      </c>
      <c r="I7990" s="313" t="s">
        <v>3</v>
      </c>
      <c r="J7990" s="350">
        <v>64.375950000000003</v>
      </c>
      <c r="K7990" s="350">
        <v>56.781939999999999</v>
      </c>
      <c r="L7990" s="350">
        <f t="shared" si="107"/>
        <v>7.5940100000000044</v>
      </c>
      <c r="M7990" s="337"/>
    </row>
    <row r="7991" spans="1:13" s="71" customFormat="1" ht="26.4" customHeight="1">
      <c r="A7991" s="282">
        <v>389</v>
      </c>
      <c r="B7991" s="537"/>
      <c r="C7991" s="307" t="s">
        <v>9453</v>
      </c>
      <c r="D7991" s="307" t="s">
        <v>3</v>
      </c>
      <c r="E7991" s="260" t="s">
        <v>9926</v>
      </c>
      <c r="F7991" s="310">
        <v>234</v>
      </c>
      <c r="G7991" s="311">
        <v>1991</v>
      </c>
      <c r="H7991" s="329" t="s">
        <v>2658</v>
      </c>
      <c r="I7991" s="313">
        <v>295</v>
      </c>
      <c r="J7991" s="350">
        <v>22.991399999999999</v>
      </c>
      <c r="K7991" s="350">
        <v>20.266279999999998</v>
      </c>
      <c r="L7991" s="350">
        <f t="shared" si="107"/>
        <v>2.7251200000000004</v>
      </c>
      <c r="M7991" s="337"/>
    </row>
    <row r="7992" spans="1:13" s="71" customFormat="1" ht="26.4" customHeight="1">
      <c r="A7992" s="282">
        <v>390</v>
      </c>
      <c r="B7992" s="537"/>
      <c r="C7992" s="307" t="s">
        <v>9453</v>
      </c>
      <c r="D7992" s="307" t="s">
        <v>3</v>
      </c>
      <c r="E7992" s="260" t="s">
        <v>9927</v>
      </c>
      <c r="F7992" s="310">
        <v>235</v>
      </c>
      <c r="G7992" s="311">
        <v>1991</v>
      </c>
      <c r="H7992" s="329" t="s">
        <v>2658</v>
      </c>
      <c r="I7992" s="313">
        <v>300</v>
      </c>
      <c r="J7992" s="350">
        <v>140.75711000000001</v>
      </c>
      <c r="K7992" s="350">
        <v>139.15620999999999</v>
      </c>
      <c r="L7992" s="350">
        <f t="shared" si="107"/>
        <v>1.6009000000000242</v>
      </c>
      <c r="M7992" s="337"/>
    </row>
    <row r="7993" spans="1:13" s="71" customFormat="1" ht="26.4" customHeight="1">
      <c r="A7993" s="282">
        <v>391</v>
      </c>
      <c r="B7993" s="537"/>
      <c r="C7993" s="307" t="s">
        <v>9453</v>
      </c>
      <c r="D7993" s="307" t="s">
        <v>3</v>
      </c>
      <c r="E7993" s="260" t="s">
        <v>9928</v>
      </c>
      <c r="F7993" s="310">
        <v>236</v>
      </c>
      <c r="G7993" s="311">
        <v>1991</v>
      </c>
      <c r="H7993" s="329" t="s">
        <v>2658</v>
      </c>
      <c r="I7993" s="313">
        <v>182</v>
      </c>
      <c r="J7993" s="350">
        <v>169.26714999999999</v>
      </c>
      <c r="K7993" s="350">
        <v>167.34200000000001</v>
      </c>
      <c r="L7993" s="350">
        <f t="shared" si="107"/>
        <v>1.9251499999999737</v>
      </c>
      <c r="M7993" s="337"/>
    </row>
    <row r="7994" spans="1:13" s="71" customFormat="1" ht="26.4" customHeight="1">
      <c r="A7994" s="282">
        <v>392</v>
      </c>
      <c r="B7994" s="537"/>
      <c r="C7994" s="307" t="s">
        <v>9453</v>
      </c>
      <c r="D7994" s="307" t="s">
        <v>3</v>
      </c>
      <c r="E7994" s="260" t="s">
        <v>9929</v>
      </c>
      <c r="F7994" s="310">
        <v>237</v>
      </c>
      <c r="G7994" s="311">
        <v>1991</v>
      </c>
      <c r="H7994" s="329" t="s">
        <v>3</v>
      </c>
      <c r="I7994" s="313" t="s">
        <v>3</v>
      </c>
      <c r="J7994" s="350">
        <v>22.991389999999999</v>
      </c>
      <c r="K7994" s="350">
        <v>12.2852</v>
      </c>
      <c r="L7994" s="350">
        <f t="shared" si="107"/>
        <v>10.706189999999999</v>
      </c>
      <c r="M7994" s="337"/>
    </row>
    <row r="7995" spans="1:13" s="71" customFormat="1" ht="26.4" customHeight="1">
      <c r="A7995" s="282">
        <v>393</v>
      </c>
      <c r="B7995" s="537"/>
      <c r="C7995" s="307" t="s">
        <v>9930</v>
      </c>
      <c r="D7995" s="307" t="s">
        <v>9931</v>
      </c>
      <c r="E7995" s="353" t="s">
        <v>9932</v>
      </c>
      <c r="F7995" s="310">
        <v>238</v>
      </c>
      <c r="G7995" s="311">
        <v>1981</v>
      </c>
      <c r="H7995" s="329" t="s">
        <v>3</v>
      </c>
      <c r="I7995" s="313" t="s">
        <v>3</v>
      </c>
      <c r="J7995" s="350">
        <v>49.749899999999997</v>
      </c>
      <c r="K7995" s="350">
        <v>46.101370000000003</v>
      </c>
      <c r="L7995" s="350">
        <f t="shared" si="107"/>
        <v>3.6485299999999938</v>
      </c>
      <c r="M7995" s="337"/>
    </row>
    <row r="7996" spans="1:13" s="71" customFormat="1" ht="26.4" customHeight="1">
      <c r="A7996" s="282">
        <v>394</v>
      </c>
      <c r="B7996" s="537"/>
      <c r="C7996" s="307" t="s">
        <v>214</v>
      </c>
      <c r="D7996" s="307" t="s">
        <v>9697</v>
      </c>
      <c r="E7996" s="260" t="s">
        <v>9933</v>
      </c>
      <c r="F7996" s="310">
        <v>238</v>
      </c>
      <c r="G7996" s="311">
        <v>1991</v>
      </c>
      <c r="H7996" s="329" t="s">
        <v>2658</v>
      </c>
      <c r="I7996" s="313">
        <v>681</v>
      </c>
      <c r="J7996" s="350">
        <v>236.12153000000001</v>
      </c>
      <c r="K7996" s="350">
        <v>209.21623</v>
      </c>
      <c r="L7996" s="350">
        <f t="shared" si="107"/>
        <v>26.905300000000011</v>
      </c>
      <c r="M7996" s="337"/>
    </row>
    <row r="7997" spans="1:13" s="71" customFormat="1" ht="26.4" customHeight="1">
      <c r="A7997" s="282">
        <v>395</v>
      </c>
      <c r="B7997" s="537"/>
      <c r="C7997" s="307" t="s">
        <v>9453</v>
      </c>
      <c r="D7997" s="307" t="s">
        <v>3</v>
      </c>
      <c r="E7997" s="353" t="s">
        <v>9934</v>
      </c>
      <c r="F7997" s="310">
        <v>239</v>
      </c>
      <c r="G7997" s="311">
        <v>1981</v>
      </c>
      <c r="H7997" s="329" t="s">
        <v>3</v>
      </c>
      <c r="I7997" s="313" t="s">
        <v>3</v>
      </c>
      <c r="J7997" s="350">
        <v>24.97729</v>
      </c>
      <c r="K7997" s="350">
        <v>23.121749999999999</v>
      </c>
      <c r="L7997" s="350">
        <f t="shared" si="107"/>
        <v>1.8555400000000013</v>
      </c>
      <c r="M7997" s="337"/>
    </row>
    <row r="7998" spans="1:13" s="71" customFormat="1" ht="26.4" customHeight="1">
      <c r="A7998" s="282">
        <v>396</v>
      </c>
      <c r="B7998" s="537"/>
      <c r="C7998" s="307" t="s">
        <v>9453</v>
      </c>
      <c r="D7998" s="307" t="s">
        <v>3</v>
      </c>
      <c r="E7998" s="353" t="s">
        <v>9934</v>
      </c>
      <c r="F7998" s="310">
        <v>239</v>
      </c>
      <c r="G7998" s="311">
        <v>1991</v>
      </c>
      <c r="H7998" s="329" t="s">
        <v>3</v>
      </c>
      <c r="I7998" s="313" t="s">
        <v>3</v>
      </c>
      <c r="J7998" s="350">
        <v>160.58360999999999</v>
      </c>
      <c r="K7998" s="350">
        <v>141.8501</v>
      </c>
      <c r="L7998" s="350">
        <f t="shared" si="107"/>
        <v>18.733509999999995</v>
      </c>
      <c r="M7998" s="337"/>
    </row>
    <row r="7999" spans="1:13" s="71" customFormat="1" ht="26.4" customHeight="1">
      <c r="A7999" s="282">
        <v>397</v>
      </c>
      <c r="B7999" s="537"/>
      <c r="C7999" s="307" t="s">
        <v>214</v>
      </c>
      <c r="D7999" s="307" t="s">
        <v>9697</v>
      </c>
      <c r="E7999" s="260" t="s">
        <v>9935</v>
      </c>
      <c r="F7999" s="310">
        <v>239</v>
      </c>
      <c r="G7999" s="311">
        <v>1991</v>
      </c>
      <c r="H7999" s="329" t="s">
        <v>2658</v>
      </c>
      <c r="I7999" s="313">
        <v>278</v>
      </c>
      <c r="J7999" s="350">
        <v>309.94123000000002</v>
      </c>
      <c r="K7999" s="350">
        <v>226.63619</v>
      </c>
      <c r="L7999" s="350">
        <f t="shared" si="107"/>
        <v>83.30504000000002</v>
      </c>
      <c r="M7999" s="337"/>
    </row>
    <row r="8000" spans="1:13" s="71" customFormat="1" ht="26.4" customHeight="1">
      <c r="A8000" s="282">
        <v>398</v>
      </c>
      <c r="B8000" s="537"/>
      <c r="C8000" s="307" t="s">
        <v>9477</v>
      </c>
      <c r="D8000" s="307" t="s">
        <v>3</v>
      </c>
      <c r="E8000" s="353" t="s">
        <v>9936</v>
      </c>
      <c r="F8000" s="310">
        <v>240</v>
      </c>
      <c r="G8000" s="311">
        <v>1988</v>
      </c>
      <c r="H8000" s="329" t="s">
        <v>1149</v>
      </c>
      <c r="I8000" s="313" t="s">
        <v>9937</v>
      </c>
      <c r="J8000" s="350">
        <v>9.1310500000000001</v>
      </c>
      <c r="K8000" s="350">
        <v>8.1579700000000006</v>
      </c>
      <c r="L8000" s="350">
        <f t="shared" si="107"/>
        <v>0.9730799999999995</v>
      </c>
      <c r="M8000" s="337"/>
    </row>
    <row r="8001" spans="1:13" s="71" customFormat="1" ht="26.4" customHeight="1">
      <c r="A8001" s="282">
        <v>399</v>
      </c>
      <c r="B8001" s="537"/>
      <c r="C8001" s="307" t="s">
        <v>214</v>
      </c>
      <c r="D8001" s="307" t="s">
        <v>9697</v>
      </c>
      <c r="E8001" s="260" t="s">
        <v>9938</v>
      </c>
      <c r="F8001" s="310">
        <v>240</v>
      </c>
      <c r="G8001" s="311">
        <v>1991</v>
      </c>
      <c r="H8001" s="329" t="s">
        <v>2658</v>
      </c>
      <c r="I8001" s="313">
        <v>52</v>
      </c>
      <c r="J8001" s="350">
        <v>122.77188</v>
      </c>
      <c r="K8001" s="350">
        <v>82.147409999999994</v>
      </c>
      <c r="L8001" s="350">
        <f t="shared" si="107"/>
        <v>40.624470000000002</v>
      </c>
      <c r="M8001" s="337"/>
    </row>
    <row r="8002" spans="1:13" s="71" customFormat="1" ht="26.4" customHeight="1">
      <c r="A8002" s="282">
        <v>400</v>
      </c>
      <c r="B8002" s="537"/>
      <c r="C8002" s="307" t="s">
        <v>214</v>
      </c>
      <c r="D8002" s="307" t="s">
        <v>9697</v>
      </c>
      <c r="E8002" s="260" t="s">
        <v>9939</v>
      </c>
      <c r="F8002" s="310">
        <v>241</v>
      </c>
      <c r="G8002" s="311">
        <v>1991</v>
      </c>
      <c r="H8002" s="329" t="s">
        <v>2658</v>
      </c>
      <c r="I8002" s="313">
        <v>180</v>
      </c>
      <c r="J8002" s="350">
        <v>220.71749</v>
      </c>
      <c r="K8002" s="350">
        <v>117.93004000000001</v>
      </c>
      <c r="L8002" s="350">
        <f t="shared" si="107"/>
        <v>102.78744999999999</v>
      </c>
      <c r="M8002" s="337"/>
    </row>
    <row r="8003" spans="1:13" s="71" customFormat="1" ht="26.4" customHeight="1">
      <c r="A8003" s="282">
        <v>401</v>
      </c>
      <c r="B8003" s="537"/>
      <c r="C8003" s="307" t="s">
        <v>21</v>
      </c>
      <c r="D8003" s="307" t="s">
        <v>3</v>
      </c>
      <c r="E8003" s="353" t="s">
        <v>9940</v>
      </c>
      <c r="F8003" s="310">
        <v>242</v>
      </c>
      <c r="G8003" s="311">
        <v>1989</v>
      </c>
      <c r="H8003" s="329" t="s">
        <v>1149</v>
      </c>
      <c r="I8003" s="313" t="s">
        <v>9941</v>
      </c>
      <c r="J8003" s="350">
        <v>58.897289999999998</v>
      </c>
      <c r="K8003" s="350">
        <v>53.573819999999998</v>
      </c>
      <c r="L8003" s="350">
        <f t="shared" si="107"/>
        <v>5.3234700000000004</v>
      </c>
      <c r="M8003" s="337"/>
    </row>
    <row r="8004" spans="1:13" s="71" customFormat="1" ht="26.4" customHeight="1">
      <c r="A8004" s="282">
        <v>402</v>
      </c>
      <c r="B8004" s="537"/>
      <c r="C8004" s="307" t="s">
        <v>9552</v>
      </c>
      <c r="D8004" s="307" t="s">
        <v>3</v>
      </c>
      <c r="E8004" s="260" t="s">
        <v>9942</v>
      </c>
      <c r="F8004" s="310">
        <v>242</v>
      </c>
      <c r="G8004" s="311">
        <v>1991</v>
      </c>
      <c r="H8004" s="329" t="s">
        <v>2658</v>
      </c>
      <c r="I8004" s="313">
        <v>912</v>
      </c>
      <c r="J8004" s="350">
        <v>203.77835999999999</v>
      </c>
      <c r="K8004" s="350">
        <v>189.65228999999999</v>
      </c>
      <c r="L8004" s="350">
        <f t="shared" si="107"/>
        <v>14.126069999999999</v>
      </c>
      <c r="M8004" s="337"/>
    </row>
    <row r="8005" spans="1:13" s="71" customFormat="1" ht="26.4" customHeight="1">
      <c r="A8005" s="282">
        <v>403</v>
      </c>
      <c r="B8005" s="537"/>
      <c r="C8005" s="307" t="s">
        <v>9602</v>
      </c>
      <c r="D8005" s="307" t="s">
        <v>9943</v>
      </c>
      <c r="E8005" s="353" t="s">
        <v>9944</v>
      </c>
      <c r="F8005" s="310">
        <v>243</v>
      </c>
      <c r="G8005" s="311">
        <v>1990</v>
      </c>
      <c r="H8005" s="329" t="s">
        <v>1149</v>
      </c>
      <c r="I8005" s="313" t="s">
        <v>9945</v>
      </c>
      <c r="J8005" s="350">
        <v>358.45082000000002</v>
      </c>
      <c r="K8005" s="350">
        <v>154.49728999999999</v>
      </c>
      <c r="L8005" s="350">
        <f t="shared" si="107"/>
        <v>203.95353000000003</v>
      </c>
      <c r="M8005" s="337"/>
    </row>
    <row r="8006" spans="1:13" s="71" customFormat="1" ht="26.4" customHeight="1">
      <c r="A8006" s="282">
        <v>404</v>
      </c>
      <c r="B8006" s="537"/>
      <c r="C8006" s="307" t="s">
        <v>9552</v>
      </c>
      <c r="D8006" s="307" t="s">
        <v>3</v>
      </c>
      <c r="E8006" s="260" t="s">
        <v>9946</v>
      </c>
      <c r="F8006" s="310">
        <v>243</v>
      </c>
      <c r="G8006" s="311">
        <v>1991</v>
      </c>
      <c r="H8006" s="329" t="s">
        <v>2658</v>
      </c>
      <c r="I8006" s="313">
        <v>90</v>
      </c>
      <c r="J8006" s="350">
        <v>1072.14275</v>
      </c>
      <c r="K8006" s="350">
        <v>1033.5392300000001</v>
      </c>
      <c r="L8006" s="350">
        <f t="shared" si="107"/>
        <v>38.603519999999889</v>
      </c>
      <c r="M8006" s="337"/>
    </row>
    <row r="8007" spans="1:13" s="71" customFormat="1" ht="26.4" customHeight="1">
      <c r="A8007" s="282">
        <v>405</v>
      </c>
      <c r="B8007" s="537"/>
      <c r="C8007" s="307" t="s">
        <v>9552</v>
      </c>
      <c r="D8007" s="307" t="s">
        <v>9794</v>
      </c>
      <c r="E8007" s="353" t="s">
        <v>9947</v>
      </c>
      <c r="F8007" s="310">
        <v>244</v>
      </c>
      <c r="G8007" s="311">
        <v>1989</v>
      </c>
      <c r="H8007" s="329" t="s">
        <v>1149</v>
      </c>
      <c r="I8007" s="313" t="s">
        <v>9948</v>
      </c>
      <c r="J8007" s="350">
        <v>429.49065000000002</v>
      </c>
      <c r="K8007" s="350">
        <v>66.595780000000005</v>
      </c>
      <c r="L8007" s="350">
        <f t="shared" si="107"/>
        <v>362.89487000000003</v>
      </c>
      <c r="M8007" s="337"/>
    </row>
    <row r="8008" spans="1:13" s="71" customFormat="1" ht="26.4" customHeight="1">
      <c r="A8008" s="282">
        <v>406</v>
      </c>
      <c r="B8008" s="537"/>
      <c r="C8008" s="307" t="s">
        <v>214</v>
      </c>
      <c r="D8008" s="307" t="s">
        <v>3</v>
      </c>
      <c r="E8008" s="260" t="s">
        <v>9949</v>
      </c>
      <c r="F8008" s="310">
        <v>244</v>
      </c>
      <c r="G8008" s="311">
        <v>1991</v>
      </c>
      <c r="H8008" s="329" t="s">
        <v>2658</v>
      </c>
      <c r="I8008" s="313">
        <v>5900</v>
      </c>
      <c r="J8008" s="350">
        <v>1767.90416</v>
      </c>
      <c r="K8008" s="350">
        <v>1119.2202</v>
      </c>
      <c r="L8008" s="350">
        <f t="shared" si="107"/>
        <v>648.68396000000007</v>
      </c>
      <c r="M8008" s="337"/>
    </row>
    <row r="8009" spans="1:13" s="71" customFormat="1" ht="26.4" customHeight="1">
      <c r="A8009" s="282">
        <v>407</v>
      </c>
      <c r="B8009" s="537"/>
      <c r="C8009" s="307" t="s">
        <v>9552</v>
      </c>
      <c r="D8009" s="307" t="s">
        <v>3</v>
      </c>
      <c r="E8009" s="353" t="s">
        <v>9950</v>
      </c>
      <c r="F8009" s="310">
        <v>245</v>
      </c>
      <c r="G8009" s="311">
        <v>1989</v>
      </c>
      <c r="H8009" s="329" t="s">
        <v>1149</v>
      </c>
      <c r="I8009" s="313" t="s">
        <v>9951</v>
      </c>
      <c r="J8009" s="350">
        <v>3.6217000000000001</v>
      </c>
      <c r="K8009" s="350">
        <v>3.1796799999999998</v>
      </c>
      <c r="L8009" s="350">
        <f t="shared" si="107"/>
        <v>0.4420200000000003</v>
      </c>
      <c r="M8009" s="337"/>
    </row>
    <row r="8010" spans="1:13" s="71" customFormat="1" ht="26.4" customHeight="1">
      <c r="A8010" s="282">
        <v>408</v>
      </c>
      <c r="B8010" s="537"/>
      <c r="C8010" s="307" t="s">
        <v>214</v>
      </c>
      <c r="D8010" s="307" t="s">
        <v>214</v>
      </c>
      <c r="E8010" s="260" t="s">
        <v>9949</v>
      </c>
      <c r="F8010" s="310">
        <v>245</v>
      </c>
      <c r="G8010" s="311">
        <v>1991</v>
      </c>
      <c r="H8010" s="329" t="s">
        <v>2658</v>
      </c>
      <c r="I8010" s="313">
        <v>1400</v>
      </c>
      <c r="J8010" s="350">
        <v>395.07578999999998</v>
      </c>
      <c r="K8010" s="350">
        <v>250.12766999999999</v>
      </c>
      <c r="L8010" s="350">
        <f t="shared" si="107"/>
        <v>144.94811999999999</v>
      </c>
      <c r="M8010" s="337"/>
    </row>
    <row r="8011" spans="1:13" s="71" customFormat="1" ht="26.4" customHeight="1">
      <c r="A8011" s="282">
        <v>409</v>
      </c>
      <c r="B8011" s="537"/>
      <c r="C8011" s="307" t="s">
        <v>9552</v>
      </c>
      <c r="D8011" s="307" t="s">
        <v>9952</v>
      </c>
      <c r="E8011" s="353" t="s">
        <v>9953</v>
      </c>
      <c r="F8011" s="310">
        <v>246</v>
      </c>
      <c r="G8011" s="311">
        <v>1954</v>
      </c>
      <c r="H8011" s="329" t="s">
        <v>3</v>
      </c>
      <c r="I8011" s="313" t="s">
        <v>3</v>
      </c>
      <c r="J8011" s="350">
        <v>10.5611</v>
      </c>
      <c r="K8011" s="350">
        <v>10.11379</v>
      </c>
      <c r="L8011" s="350">
        <f t="shared" si="107"/>
        <v>0.44730999999999987</v>
      </c>
      <c r="M8011" s="337"/>
    </row>
    <row r="8012" spans="1:13" s="71" customFormat="1" ht="26.4" customHeight="1">
      <c r="A8012" s="282">
        <v>410</v>
      </c>
      <c r="B8012" s="537"/>
      <c r="C8012" s="307" t="s">
        <v>9552</v>
      </c>
      <c r="D8012" s="307" t="s">
        <v>3</v>
      </c>
      <c r="E8012" s="353" t="s">
        <v>9954</v>
      </c>
      <c r="F8012" s="310">
        <v>246</v>
      </c>
      <c r="G8012" s="311">
        <v>1989</v>
      </c>
      <c r="H8012" s="329" t="s">
        <v>1149</v>
      </c>
      <c r="I8012" s="313" t="s">
        <v>9955</v>
      </c>
      <c r="J8012" s="350">
        <v>119.72318</v>
      </c>
      <c r="K8012" s="350">
        <v>110.32702</v>
      </c>
      <c r="L8012" s="350">
        <f t="shared" si="107"/>
        <v>9.3961599999999947</v>
      </c>
      <c r="M8012" s="337"/>
    </row>
    <row r="8013" spans="1:13" s="71" customFormat="1" ht="26.4" customHeight="1">
      <c r="A8013" s="282">
        <v>411</v>
      </c>
      <c r="B8013" s="537"/>
      <c r="C8013" s="307" t="s">
        <v>9956</v>
      </c>
      <c r="D8013" s="307" t="s">
        <v>9931</v>
      </c>
      <c r="E8013" s="353" t="s">
        <v>9957</v>
      </c>
      <c r="F8013" s="310">
        <v>247</v>
      </c>
      <c r="G8013" s="311">
        <v>1989</v>
      </c>
      <c r="H8013" s="329" t="s">
        <v>1149</v>
      </c>
      <c r="I8013" s="313" t="s">
        <v>9958</v>
      </c>
      <c r="J8013" s="350">
        <v>1250.84194</v>
      </c>
      <c r="K8013" s="350">
        <v>781.23652000000004</v>
      </c>
      <c r="L8013" s="350">
        <f t="shared" si="107"/>
        <v>469.60541999999998</v>
      </c>
      <c r="M8013" s="337"/>
    </row>
    <row r="8014" spans="1:13" s="332" customFormat="1" ht="26.4" customHeight="1">
      <c r="A8014" s="445">
        <v>412</v>
      </c>
      <c r="B8014" s="537"/>
      <c r="C8014" s="313" t="s">
        <v>9959</v>
      </c>
      <c r="D8014" s="313" t="s">
        <v>3</v>
      </c>
      <c r="E8014" s="444" t="s">
        <v>9960</v>
      </c>
      <c r="F8014" s="310">
        <v>247</v>
      </c>
      <c r="G8014" s="311">
        <v>1991</v>
      </c>
      <c r="H8014" s="329" t="s">
        <v>2658</v>
      </c>
      <c r="I8014" s="313">
        <v>5206</v>
      </c>
      <c r="J8014" s="350">
        <v>6805.6724599999998</v>
      </c>
      <c r="K8014" s="350">
        <v>4646.53377</v>
      </c>
      <c r="L8014" s="350">
        <f t="shared" si="107"/>
        <v>2159.1386899999998</v>
      </c>
      <c r="M8014" s="331"/>
    </row>
    <row r="8015" spans="1:13" s="71" customFormat="1" ht="26.4" customHeight="1">
      <c r="A8015" s="282">
        <v>413</v>
      </c>
      <c r="B8015" s="537"/>
      <c r="C8015" s="307" t="s">
        <v>9552</v>
      </c>
      <c r="D8015" s="307" t="s">
        <v>9794</v>
      </c>
      <c r="E8015" s="353" t="s">
        <v>9961</v>
      </c>
      <c r="F8015" s="310">
        <v>248</v>
      </c>
      <c r="G8015" s="311">
        <v>1989</v>
      </c>
      <c r="H8015" s="329" t="s">
        <v>1149</v>
      </c>
      <c r="I8015" s="313" t="s">
        <v>9962</v>
      </c>
      <c r="J8015" s="350">
        <v>18.108540000000001</v>
      </c>
      <c r="K8015" s="350">
        <v>16.687159999999999</v>
      </c>
      <c r="L8015" s="350">
        <f t="shared" si="107"/>
        <v>1.4213800000000028</v>
      </c>
      <c r="M8015" s="337"/>
    </row>
    <row r="8016" spans="1:13" s="71" customFormat="1" ht="26.4" customHeight="1">
      <c r="A8016" s="282">
        <v>414</v>
      </c>
      <c r="B8016" s="537"/>
      <c r="C8016" s="307" t="s">
        <v>9956</v>
      </c>
      <c r="D8016" s="307" t="s">
        <v>9931</v>
      </c>
      <c r="E8016" s="353" t="s">
        <v>9963</v>
      </c>
      <c r="F8016" s="310">
        <v>249</v>
      </c>
      <c r="G8016" s="311">
        <v>1989</v>
      </c>
      <c r="H8016" s="329" t="s">
        <v>1149</v>
      </c>
      <c r="I8016" s="313" t="s">
        <v>9964</v>
      </c>
      <c r="J8016" s="350">
        <v>582.44822999999997</v>
      </c>
      <c r="K8016" s="350">
        <v>395.59282999999999</v>
      </c>
      <c r="L8016" s="350">
        <f t="shared" si="107"/>
        <v>186.85539999999997</v>
      </c>
      <c r="M8016" s="337"/>
    </row>
    <row r="8017" spans="1:13" s="71" customFormat="1" ht="26.4" customHeight="1">
      <c r="A8017" s="282">
        <v>415</v>
      </c>
      <c r="B8017" s="537"/>
      <c r="C8017" s="307" t="s">
        <v>214</v>
      </c>
      <c r="D8017" s="307" t="s">
        <v>9697</v>
      </c>
      <c r="E8017" s="353" t="s">
        <v>9965</v>
      </c>
      <c r="F8017" s="310">
        <v>250</v>
      </c>
      <c r="G8017" s="311">
        <v>1989</v>
      </c>
      <c r="H8017" s="329" t="s">
        <v>1149</v>
      </c>
      <c r="I8017" s="313" t="s">
        <v>9966</v>
      </c>
      <c r="J8017" s="350">
        <v>490.24101999999999</v>
      </c>
      <c r="K8017" s="350">
        <v>432.56954000000002</v>
      </c>
      <c r="L8017" s="350">
        <f t="shared" si="107"/>
        <v>57.671479999999974</v>
      </c>
      <c r="M8017" s="337"/>
    </row>
    <row r="8018" spans="1:13" s="71" customFormat="1" ht="26.4" customHeight="1">
      <c r="A8018" s="282">
        <v>416</v>
      </c>
      <c r="B8018" s="537"/>
      <c r="C8018" s="307" t="s">
        <v>9552</v>
      </c>
      <c r="D8018" s="307" t="s">
        <v>3</v>
      </c>
      <c r="E8018" s="353" t="s">
        <v>9967</v>
      </c>
      <c r="F8018" s="310">
        <v>251</v>
      </c>
      <c r="G8018" s="311">
        <v>1989</v>
      </c>
      <c r="H8018" s="329" t="s">
        <v>1149</v>
      </c>
      <c r="I8018" s="313" t="s">
        <v>9968</v>
      </c>
      <c r="J8018" s="350">
        <v>184.89554000000001</v>
      </c>
      <c r="K8018" s="350">
        <v>164.35968</v>
      </c>
      <c r="L8018" s="350">
        <f t="shared" si="107"/>
        <v>20.535860000000014</v>
      </c>
      <c r="M8018" s="337"/>
    </row>
    <row r="8019" spans="1:13" s="71" customFormat="1" ht="26.4" customHeight="1">
      <c r="A8019" s="282">
        <v>417</v>
      </c>
      <c r="B8019" s="537"/>
      <c r="C8019" s="307" t="s">
        <v>9535</v>
      </c>
      <c r="D8019" s="307" t="s">
        <v>3</v>
      </c>
      <c r="E8019" s="260" t="s">
        <v>9969</v>
      </c>
      <c r="F8019" s="310">
        <v>251</v>
      </c>
      <c r="G8019" s="311">
        <v>1972</v>
      </c>
      <c r="H8019" s="329" t="s">
        <v>2658</v>
      </c>
      <c r="I8019" s="313">
        <v>5645</v>
      </c>
      <c r="J8019" s="350">
        <v>73.45581</v>
      </c>
      <c r="K8019" s="350">
        <v>69.542590000000004</v>
      </c>
      <c r="L8019" s="350">
        <f t="shared" si="107"/>
        <v>3.9132199999999955</v>
      </c>
      <c r="M8019" s="337"/>
    </row>
    <row r="8020" spans="1:13" s="71" customFormat="1" ht="26.4" customHeight="1">
      <c r="A8020" s="282">
        <v>418</v>
      </c>
      <c r="B8020" s="537"/>
      <c r="C8020" s="307" t="s">
        <v>9535</v>
      </c>
      <c r="D8020" s="307" t="s">
        <v>9943</v>
      </c>
      <c r="E8020" s="353" t="s">
        <v>9970</v>
      </c>
      <c r="F8020" s="310">
        <v>252</v>
      </c>
      <c r="G8020" s="311">
        <v>1989</v>
      </c>
      <c r="H8020" s="329" t="s">
        <v>1149</v>
      </c>
      <c r="I8020" s="313" t="s">
        <v>9971</v>
      </c>
      <c r="J8020" s="350">
        <v>29.874479999999998</v>
      </c>
      <c r="K8020" s="350">
        <v>26.631139999999998</v>
      </c>
      <c r="L8020" s="350">
        <f t="shared" si="107"/>
        <v>3.2433399999999999</v>
      </c>
      <c r="M8020" s="337"/>
    </row>
    <row r="8021" spans="1:13" s="71" customFormat="1" ht="26.4" customHeight="1">
      <c r="A8021" s="282">
        <v>419</v>
      </c>
      <c r="B8021" s="537"/>
      <c r="C8021" s="307" t="s">
        <v>214</v>
      </c>
      <c r="D8021" s="446" t="s">
        <v>3</v>
      </c>
      <c r="E8021" s="260" t="s">
        <v>9972</v>
      </c>
      <c r="F8021" s="310">
        <v>252</v>
      </c>
      <c r="G8021" s="311">
        <v>1992</v>
      </c>
      <c r="H8021" s="329" t="s">
        <v>2658</v>
      </c>
      <c r="I8021" s="313">
        <v>568</v>
      </c>
      <c r="J8021" s="350">
        <v>433.59656000000001</v>
      </c>
      <c r="K8021" s="350">
        <v>310.02170000000001</v>
      </c>
      <c r="L8021" s="350">
        <f t="shared" si="107"/>
        <v>123.57486</v>
      </c>
      <c r="M8021" s="337"/>
    </row>
    <row r="8022" spans="1:13" s="71" customFormat="1" ht="26.4" customHeight="1">
      <c r="A8022" s="282">
        <v>420</v>
      </c>
      <c r="B8022" s="537"/>
      <c r="C8022" s="307" t="s">
        <v>9552</v>
      </c>
      <c r="D8022" s="446" t="s">
        <v>3</v>
      </c>
      <c r="E8022" s="353" t="s">
        <v>9973</v>
      </c>
      <c r="F8022" s="310">
        <v>253</v>
      </c>
      <c r="G8022" s="311">
        <v>1989</v>
      </c>
      <c r="H8022" s="329" t="s">
        <v>3</v>
      </c>
      <c r="I8022" s="313" t="s">
        <v>3</v>
      </c>
      <c r="J8022" s="350">
        <v>1221.1524899999999</v>
      </c>
      <c r="K8022" s="350">
        <v>1127.18442</v>
      </c>
      <c r="L8022" s="350">
        <f t="shared" si="107"/>
        <v>93.968069999999898</v>
      </c>
      <c r="M8022" s="337"/>
    </row>
    <row r="8023" spans="1:13" s="71" customFormat="1" ht="26.4" customHeight="1">
      <c r="A8023" s="282">
        <v>421</v>
      </c>
      <c r="B8023" s="537"/>
      <c r="C8023" s="307" t="s">
        <v>9552</v>
      </c>
      <c r="D8023" s="453" t="s">
        <v>3</v>
      </c>
      <c r="E8023" s="353" t="s">
        <v>9974</v>
      </c>
      <c r="F8023" s="310">
        <v>254</v>
      </c>
      <c r="G8023" s="311">
        <v>1989</v>
      </c>
      <c r="H8023" s="329" t="s">
        <v>1149</v>
      </c>
      <c r="I8023" s="313" t="s">
        <v>9975</v>
      </c>
      <c r="J8023" s="350">
        <v>441.72359999999998</v>
      </c>
      <c r="K8023" s="350">
        <v>331.62797999999998</v>
      </c>
      <c r="L8023" s="350">
        <f t="shared" si="107"/>
        <v>110.09562</v>
      </c>
      <c r="M8023" s="337"/>
    </row>
    <row r="8024" spans="1:13" s="71" customFormat="1" ht="26.4" customHeight="1">
      <c r="A8024" s="282">
        <v>422</v>
      </c>
      <c r="B8024" s="537"/>
      <c r="C8024" s="307" t="s">
        <v>9552</v>
      </c>
      <c r="D8024" s="307" t="s">
        <v>9943</v>
      </c>
      <c r="E8024" s="353" t="s">
        <v>9976</v>
      </c>
      <c r="F8024" s="310">
        <v>255</v>
      </c>
      <c r="G8024" s="311">
        <v>1990</v>
      </c>
      <c r="H8024" s="329" t="s">
        <v>3</v>
      </c>
      <c r="I8024" s="313" t="s">
        <v>3</v>
      </c>
      <c r="J8024" s="350">
        <v>32.19265</v>
      </c>
      <c r="K8024" s="350">
        <v>1.99359</v>
      </c>
      <c r="L8024" s="350">
        <f t="shared" si="107"/>
        <v>30.199059999999999</v>
      </c>
      <c r="M8024" s="337"/>
    </row>
    <row r="8025" spans="1:13" s="71" customFormat="1" ht="26.4" customHeight="1">
      <c r="A8025" s="282">
        <v>423</v>
      </c>
      <c r="B8025" s="537"/>
      <c r="C8025" s="307" t="s">
        <v>9552</v>
      </c>
      <c r="D8025" s="307" t="s">
        <v>9977</v>
      </c>
      <c r="E8025" s="353" t="s">
        <v>9978</v>
      </c>
      <c r="F8025" s="310">
        <v>256</v>
      </c>
      <c r="G8025" s="311">
        <v>1991</v>
      </c>
      <c r="H8025" s="329" t="s">
        <v>1149</v>
      </c>
      <c r="I8025" s="313" t="s">
        <v>9979</v>
      </c>
      <c r="J8025" s="350">
        <v>138.67318</v>
      </c>
      <c r="K8025" s="350">
        <v>122.49551</v>
      </c>
      <c r="L8025" s="350">
        <f t="shared" si="107"/>
        <v>16.177670000000006</v>
      </c>
      <c r="M8025" s="337"/>
    </row>
    <row r="8026" spans="1:13" s="71" customFormat="1" ht="26.4" customHeight="1">
      <c r="A8026" s="282">
        <v>424</v>
      </c>
      <c r="B8026" s="537"/>
      <c r="C8026" s="307" t="s">
        <v>9781</v>
      </c>
      <c r="D8026" s="307" t="s">
        <v>3</v>
      </c>
      <c r="E8026" s="353" t="s">
        <v>9980</v>
      </c>
      <c r="F8026" s="310">
        <v>258</v>
      </c>
      <c r="G8026" s="311">
        <v>1991</v>
      </c>
      <c r="H8026" s="329" t="s">
        <v>1149</v>
      </c>
      <c r="I8026" s="313" t="s">
        <v>9981</v>
      </c>
      <c r="J8026" s="350">
        <v>623.65328999999997</v>
      </c>
      <c r="K8026" s="350">
        <v>511.96661</v>
      </c>
      <c r="L8026" s="350">
        <f t="shared" si="107"/>
        <v>111.68667999999997</v>
      </c>
      <c r="M8026" s="337"/>
    </row>
    <row r="8027" spans="1:13" s="71" customFormat="1" ht="26.4" customHeight="1">
      <c r="A8027" s="282">
        <v>425</v>
      </c>
      <c r="B8027" s="537"/>
      <c r="C8027" s="307" t="s">
        <v>9781</v>
      </c>
      <c r="D8027" s="307" t="s">
        <v>3</v>
      </c>
      <c r="E8027" s="260" t="s">
        <v>9982</v>
      </c>
      <c r="F8027" s="310">
        <v>258</v>
      </c>
      <c r="G8027" s="311">
        <v>1997</v>
      </c>
      <c r="H8027" s="329" t="s">
        <v>2658</v>
      </c>
      <c r="I8027" s="313">
        <v>172</v>
      </c>
      <c r="J8027" s="350">
        <v>341.48137000000003</v>
      </c>
      <c r="K8027" s="350">
        <v>234.27198999999999</v>
      </c>
      <c r="L8027" s="350">
        <f t="shared" si="107"/>
        <v>107.20938000000004</v>
      </c>
      <c r="M8027" s="337"/>
    </row>
    <row r="8028" spans="1:13" s="71" customFormat="1" ht="26.4" customHeight="1">
      <c r="A8028" s="282">
        <v>426</v>
      </c>
      <c r="B8028" s="537"/>
      <c r="C8028" s="307" t="s">
        <v>9919</v>
      </c>
      <c r="D8028" s="307" t="s">
        <v>9983</v>
      </c>
      <c r="E8028" s="353" t="s">
        <v>12826</v>
      </c>
      <c r="F8028" s="310">
        <v>259</v>
      </c>
      <c r="G8028" s="311">
        <v>1955</v>
      </c>
      <c r="H8028" s="329" t="s">
        <v>1149</v>
      </c>
      <c r="I8028" s="313" t="s">
        <v>9984</v>
      </c>
      <c r="J8028" s="350">
        <v>765.82857000000001</v>
      </c>
      <c r="K8028" s="350">
        <v>446.61500999999998</v>
      </c>
      <c r="L8028" s="350">
        <f t="shared" si="107"/>
        <v>319.21356000000003</v>
      </c>
      <c r="M8028" s="337"/>
    </row>
    <row r="8029" spans="1:13" s="71" customFormat="1" ht="26.4" customHeight="1">
      <c r="A8029" s="282">
        <v>427</v>
      </c>
      <c r="B8029" s="537"/>
      <c r="C8029" s="307" t="s">
        <v>9930</v>
      </c>
      <c r="D8029" s="307" t="s">
        <v>9871</v>
      </c>
      <c r="E8029" s="353" t="s">
        <v>9985</v>
      </c>
      <c r="F8029" s="310">
        <v>259</v>
      </c>
      <c r="G8029" s="311">
        <v>1991</v>
      </c>
      <c r="H8029" s="329" t="s">
        <v>3</v>
      </c>
      <c r="I8029" s="313" t="s">
        <v>3</v>
      </c>
      <c r="J8029" s="350">
        <v>573.71312</v>
      </c>
      <c r="K8029" s="350">
        <v>468.54611999999997</v>
      </c>
      <c r="L8029" s="350">
        <f t="shared" si="107"/>
        <v>105.16700000000003</v>
      </c>
      <c r="M8029" s="337"/>
    </row>
    <row r="8030" spans="1:13" s="71" customFormat="1" ht="26.4" customHeight="1">
      <c r="A8030" s="282">
        <v>428</v>
      </c>
      <c r="B8030" s="537"/>
      <c r="C8030" s="307" t="s">
        <v>21</v>
      </c>
      <c r="D8030" s="465" t="s">
        <v>3</v>
      </c>
      <c r="E8030" s="260" t="s">
        <v>9986</v>
      </c>
      <c r="F8030" s="310">
        <v>259</v>
      </c>
      <c r="G8030" s="311">
        <v>1954</v>
      </c>
      <c r="H8030" s="329" t="s">
        <v>2658</v>
      </c>
      <c r="I8030" s="313">
        <v>64.5</v>
      </c>
      <c r="J8030" s="350">
        <v>6.3832800000000001</v>
      </c>
      <c r="K8030" s="350">
        <v>1.5587899999999999</v>
      </c>
      <c r="L8030" s="350">
        <f t="shared" si="107"/>
        <v>4.8244899999999999</v>
      </c>
      <c r="M8030" s="337"/>
    </row>
    <row r="8031" spans="1:13" s="71" customFormat="1" ht="26.4" customHeight="1">
      <c r="A8031" s="282">
        <v>429</v>
      </c>
      <c r="B8031" s="537"/>
      <c r="C8031" s="307" t="s">
        <v>21</v>
      </c>
      <c r="D8031" s="307" t="s">
        <v>9987</v>
      </c>
      <c r="E8031" s="353" t="s">
        <v>12825</v>
      </c>
      <c r="F8031" s="310">
        <v>260</v>
      </c>
      <c r="G8031" s="311">
        <v>1956</v>
      </c>
      <c r="H8031" s="329" t="s">
        <v>1149</v>
      </c>
      <c r="I8031" s="313" t="s">
        <v>9988</v>
      </c>
      <c r="J8031" s="350">
        <v>765.82812000000001</v>
      </c>
      <c r="K8031" s="350">
        <v>439.17905000000002</v>
      </c>
      <c r="L8031" s="350">
        <f t="shared" si="107"/>
        <v>326.64906999999999</v>
      </c>
      <c r="M8031" s="337"/>
    </row>
    <row r="8032" spans="1:13" s="71" customFormat="1" ht="26.4" customHeight="1">
      <c r="A8032" s="282">
        <v>430</v>
      </c>
      <c r="B8032" s="537"/>
      <c r="C8032" s="307" t="s">
        <v>21</v>
      </c>
      <c r="D8032" s="453" t="s">
        <v>9690</v>
      </c>
      <c r="E8032" s="353" t="s">
        <v>9989</v>
      </c>
      <c r="F8032" s="310">
        <v>260</v>
      </c>
      <c r="G8032" s="311">
        <v>1991</v>
      </c>
      <c r="H8032" s="329" t="s">
        <v>3</v>
      </c>
      <c r="I8032" s="313" t="s">
        <v>3</v>
      </c>
      <c r="J8032" s="350">
        <v>36.086089999999999</v>
      </c>
      <c r="K8032" s="350">
        <v>30.779579999999999</v>
      </c>
      <c r="L8032" s="350">
        <f t="shared" si="107"/>
        <v>5.3065099999999994</v>
      </c>
      <c r="M8032" s="337"/>
    </row>
    <row r="8033" spans="1:13" s="71" customFormat="1" ht="26.4" customHeight="1">
      <c r="A8033" s="282">
        <v>431</v>
      </c>
      <c r="B8033" s="537"/>
      <c r="C8033" s="307" t="s">
        <v>21</v>
      </c>
      <c r="D8033" s="307" t="s">
        <v>9990</v>
      </c>
      <c r="E8033" s="353" t="s">
        <v>9991</v>
      </c>
      <c r="F8033" s="310">
        <v>261</v>
      </c>
      <c r="G8033" s="311">
        <v>1953</v>
      </c>
      <c r="H8033" s="329" t="s">
        <v>1149</v>
      </c>
      <c r="I8033" s="313" t="s">
        <v>9992</v>
      </c>
      <c r="J8033" s="350">
        <v>1335.5290399999999</v>
      </c>
      <c r="K8033" s="350">
        <v>845.05371000000002</v>
      </c>
      <c r="L8033" s="350">
        <f t="shared" si="107"/>
        <v>490.47532999999987</v>
      </c>
      <c r="M8033" s="337"/>
    </row>
    <row r="8034" spans="1:13" s="71" customFormat="1" ht="26.4" customHeight="1">
      <c r="A8034" s="282">
        <v>432</v>
      </c>
      <c r="B8034" s="537"/>
      <c r="C8034" s="307" t="s">
        <v>9799</v>
      </c>
      <c r="D8034" s="307" t="s">
        <v>3</v>
      </c>
      <c r="E8034" s="353" t="s">
        <v>9993</v>
      </c>
      <c r="F8034" s="310">
        <v>261</v>
      </c>
      <c r="G8034" s="311">
        <v>1991</v>
      </c>
      <c r="H8034" s="329" t="s">
        <v>1149</v>
      </c>
      <c r="I8034" s="313" t="s">
        <v>9994</v>
      </c>
      <c r="J8034" s="350">
        <v>7.2642800000000003</v>
      </c>
      <c r="K8034" s="350">
        <v>6.7253999999999996</v>
      </c>
      <c r="L8034" s="350">
        <f t="shared" si="107"/>
        <v>0.53888000000000069</v>
      </c>
      <c r="M8034" s="337"/>
    </row>
    <row r="8035" spans="1:13" s="71" customFormat="1" ht="26.4" customHeight="1">
      <c r="A8035" s="282">
        <v>433</v>
      </c>
      <c r="B8035" s="537"/>
      <c r="C8035" s="307" t="s">
        <v>9799</v>
      </c>
      <c r="D8035" s="307" t="s">
        <v>9995</v>
      </c>
      <c r="E8035" s="353" t="s">
        <v>9996</v>
      </c>
      <c r="F8035" s="310">
        <v>262</v>
      </c>
      <c r="G8035" s="311">
        <v>1952</v>
      </c>
      <c r="H8035" s="329" t="s">
        <v>1149</v>
      </c>
      <c r="I8035" s="313" t="s">
        <v>9997</v>
      </c>
      <c r="J8035" s="350">
        <v>512.72987999999998</v>
      </c>
      <c r="K8035" s="350">
        <v>512.72987999999998</v>
      </c>
      <c r="L8035" s="350">
        <f t="shared" si="107"/>
        <v>0</v>
      </c>
      <c r="M8035" s="337"/>
    </row>
    <row r="8036" spans="1:13" s="71" customFormat="1" ht="26.4" customHeight="1">
      <c r="A8036" s="282">
        <v>434</v>
      </c>
      <c r="B8036" s="537"/>
      <c r="C8036" s="307" t="s">
        <v>9799</v>
      </c>
      <c r="D8036" s="307" t="s">
        <v>3</v>
      </c>
      <c r="E8036" s="353" t="s">
        <v>9998</v>
      </c>
      <c r="F8036" s="310">
        <v>262</v>
      </c>
      <c r="G8036" s="311">
        <v>1991</v>
      </c>
      <c r="H8036" s="329" t="s">
        <v>1149</v>
      </c>
      <c r="I8036" s="313" t="s">
        <v>9999</v>
      </c>
      <c r="J8036" s="350">
        <v>4.9359400000000004</v>
      </c>
      <c r="K8036" s="350">
        <v>4.0856599999999998</v>
      </c>
      <c r="L8036" s="350">
        <f t="shared" si="107"/>
        <v>0.85028000000000059</v>
      </c>
      <c r="M8036" s="337"/>
    </row>
    <row r="8037" spans="1:13" s="71" customFormat="1" ht="26.4" customHeight="1">
      <c r="A8037" s="282">
        <v>435</v>
      </c>
      <c r="B8037" s="537"/>
      <c r="C8037" s="307" t="s">
        <v>9799</v>
      </c>
      <c r="D8037" s="307" t="s">
        <v>3</v>
      </c>
      <c r="E8037" s="353" t="s">
        <v>10000</v>
      </c>
      <c r="F8037" s="310">
        <v>263</v>
      </c>
      <c r="G8037" s="311">
        <v>1991</v>
      </c>
      <c r="H8037" s="329" t="s">
        <v>1149</v>
      </c>
      <c r="I8037" s="313" t="s">
        <v>10001</v>
      </c>
      <c r="J8037" s="350">
        <v>38.664560000000002</v>
      </c>
      <c r="K8037" s="350">
        <v>33.853639999999999</v>
      </c>
      <c r="L8037" s="350">
        <f t="shared" si="107"/>
        <v>4.810920000000003</v>
      </c>
      <c r="M8037" s="337"/>
    </row>
    <row r="8038" spans="1:13" s="71" customFormat="1" ht="26.4" customHeight="1">
      <c r="A8038" s="282">
        <v>436</v>
      </c>
      <c r="B8038" s="537"/>
      <c r="C8038" s="307" t="s">
        <v>9930</v>
      </c>
      <c r="D8038" s="307" t="s">
        <v>9871</v>
      </c>
      <c r="E8038" s="353" t="s">
        <v>10002</v>
      </c>
      <c r="F8038" s="310">
        <v>264</v>
      </c>
      <c r="G8038" s="311">
        <v>1991</v>
      </c>
      <c r="H8038" s="329" t="s">
        <v>1149</v>
      </c>
      <c r="I8038" s="313" t="s">
        <v>9958</v>
      </c>
      <c r="J8038" s="350">
        <v>1818.99468</v>
      </c>
      <c r="K8038" s="350">
        <v>1013.9059999999999</v>
      </c>
      <c r="L8038" s="350">
        <f t="shared" si="107"/>
        <v>805.08868000000007</v>
      </c>
      <c r="M8038" s="337"/>
    </row>
    <row r="8039" spans="1:13" s="71" customFormat="1" ht="26.4" customHeight="1">
      <c r="A8039" s="282">
        <v>437</v>
      </c>
      <c r="B8039" s="537"/>
      <c r="C8039" s="307" t="s">
        <v>21</v>
      </c>
      <c r="D8039" s="453" t="s">
        <v>9690</v>
      </c>
      <c r="E8039" s="353" t="s">
        <v>10003</v>
      </c>
      <c r="F8039" s="310">
        <v>265</v>
      </c>
      <c r="G8039" s="311">
        <v>1991</v>
      </c>
      <c r="H8039" s="329" t="s">
        <v>1149</v>
      </c>
      <c r="I8039" s="313" t="s">
        <v>10004</v>
      </c>
      <c r="J8039" s="350">
        <v>531.96948999999995</v>
      </c>
      <c r="K8039" s="350">
        <v>483.55727000000002</v>
      </c>
      <c r="L8039" s="350">
        <f t="shared" si="107"/>
        <v>48.412219999999934</v>
      </c>
      <c r="M8039" s="337"/>
    </row>
    <row r="8040" spans="1:13" s="71" customFormat="1" ht="26.4" customHeight="1">
      <c r="A8040" s="282">
        <v>438</v>
      </c>
      <c r="B8040" s="537"/>
      <c r="C8040" s="307" t="s">
        <v>9453</v>
      </c>
      <c r="D8040" s="307" t="s">
        <v>10005</v>
      </c>
      <c r="E8040" s="353" t="s">
        <v>13184</v>
      </c>
      <c r="F8040" s="310">
        <v>271</v>
      </c>
      <c r="G8040" s="311">
        <v>1957</v>
      </c>
      <c r="H8040" s="329" t="s">
        <v>1149</v>
      </c>
      <c r="I8040" s="313" t="s">
        <v>10006</v>
      </c>
      <c r="J8040" s="350">
        <v>86.58484</v>
      </c>
      <c r="K8040" s="350">
        <v>51.884630000000001</v>
      </c>
      <c r="L8040" s="350">
        <f t="shared" si="107"/>
        <v>34.700209999999998</v>
      </c>
      <c r="M8040" s="337"/>
    </row>
    <row r="8041" spans="1:13" s="71" customFormat="1" ht="26.4" customHeight="1">
      <c r="A8041" s="282">
        <v>439</v>
      </c>
      <c r="B8041" s="537"/>
      <c r="C8041" s="307" t="s">
        <v>8304</v>
      </c>
      <c r="D8041" s="313" t="s">
        <v>3</v>
      </c>
      <c r="E8041" s="353" t="s">
        <v>10007</v>
      </c>
      <c r="F8041" s="310">
        <v>275</v>
      </c>
      <c r="G8041" s="311">
        <v>1995</v>
      </c>
      <c r="H8041" s="329" t="s">
        <v>3</v>
      </c>
      <c r="I8041" s="313" t="s">
        <v>3</v>
      </c>
      <c r="J8041" s="350">
        <v>105.72524</v>
      </c>
      <c r="K8041" s="350">
        <v>32.409509999999997</v>
      </c>
      <c r="L8041" s="350">
        <f t="shared" si="107"/>
        <v>73.315730000000002</v>
      </c>
      <c r="M8041" s="337"/>
    </row>
    <row r="8042" spans="1:13" s="71" customFormat="1" ht="26.4" customHeight="1">
      <c r="A8042" s="282">
        <v>440</v>
      </c>
      <c r="B8042" s="537"/>
      <c r="C8042" s="307" t="s">
        <v>9799</v>
      </c>
      <c r="D8042" s="307" t="s">
        <v>10008</v>
      </c>
      <c r="E8042" s="353" t="s">
        <v>13185</v>
      </c>
      <c r="F8042" s="310">
        <v>280</v>
      </c>
      <c r="G8042" s="311">
        <v>1954</v>
      </c>
      <c r="H8042" s="329" t="s">
        <v>1149</v>
      </c>
      <c r="I8042" s="313" t="s">
        <v>10009</v>
      </c>
      <c r="J8042" s="350">
        <v>31.798719999999999</v>
      </c>
      <c r="K8042" s="350">
        <v>19.882429999999999</v>
      </c>
      <c r="L8042" s="350">
        <f t="shared" si="107"/>
        <v>11.91629</v>
      </c>
      <c r="M8042" s="337"/>
    </row>
    <row r="8043" spans="1:13" s="71" customFormat="1" ht="26.4" customHeight="1">
      <c r="A8043" s="282">
        <v>441</v>
      </c>
      <c r="B8043" s="537"/>
      <c r="C8043" s="307" t="s">
        <v>8294</v>
      </c>
      <c r="D8043" s="307" t="s">
        <v>3</v>
      </c>
      <c r="E8043" s="353" t="s">
        <v>10010</v>
      </c>
      <c r="F8043" s="310">
        <v>281</v>
      </c>
      <c r="G8043" s="311">
        <v>1957</v>
      </c>
      <c r="H8043" s="329" t="s">
        <v>3</v>
      </c>
      <c r="I8043" s="313" t="s">
        <v>3</v>
      </c>
      <c r="J8043" s="350">
        <v>7.2680100000000003</v>
      </c>
      <c r="K8043" s="350">
        <v>6.7297099999999999</v>
      </c>
      <c r="L8043" s="350">
        <f t="shared" si="107"/>
        <v>0.53830000000000044</v>
      </c>
      <c r="M8043" s="337"/>
    </row>
    <row r="8044" spans="1:13" s="71" customFormat="1" ht="26.4" customHeight="1">
      <c r="A8044" s="282">
        <v>442</v>
      </c>
      <c r="B8044" s="537"/>
      <c r="C8044" s="307" t="s">
        <v>9799</v>
      </c>
      <c r="D8044" s="307" t="s">
        <v>10011</v>
      </c>
      <c r="E8044" s="353" t="s">
        <v>13186</v>
      </c>
      <c r="F8044" s="310">
        <v>292</v>
      </c>
      <c r="G8044" s="311">
        <v>1954</v>
      </c>
      <c r="H8044" s="329" t="s">
        <v>1149</v>
      </c>
      <c r="I8044" s="313" t="s">
        <v>10012</v>
      </c>
      <c r="J8044" s="350">
        <v>31.798719999999999</v>
      </c>
      <c r="K8044" s="350">
        <v>19.882429999999999</v>
      </c>
      <c r="L8044" s="350">
        <f t="shared" si="107"/>
        <v>11.91629</v>
      </c>
      <c r="M8044" s="337"/>
    </row>
    <row r="8045" spans="1:13" s="71" customFormat="1" ht="26.4" customHeight="1">
      <c r="A8045" s="282">
        <v>443</v>
      </c>
      <c r="B8045" s="537"/>
      <c r="C8045" s="307" t="s">
        <v>9799</v>
      </c>
      <c r="D8045" s="307" t="s">
        <v>10013</v>
      </c>
      <c r="E8045" s="353" t="s">
        <v>10014</v>
      </c>
      <c r="F8045" s="310">
        <v>299</v>
      </c>
      <c r="G8045" s="311">
        <v>1954</v>
      </c>
      <c r="H8045" s="329" t="s">
        <v>1149</v>
      </c>
      <c r="I8045" s="313" t="s">
        <v>10012</v>
      </c>
      <c r="J8045" s="350">
        <v>42.394089999999998</v>
      </c>
      <c r="K8045" s="350">
        <v>24.06427</v>
      </c>
      <c r="L8045" s="350">
        <f t="shared" si="107"/>
        <v>18.329819999999998</v>
      </c>
      <c r="M8045" s="337"/>
    </row>
    <row r="8046" spans="1:13" s="71" customFormat="1" ht="26.4" customHeight="1">
      <c r="A8046" s="282">
        <v>444</v>
      </c>
      <c r="B8046" s="537"/>
      <c r="C8046" s="307" t="s">
        <v>9799</v>
      </c>
      <c r="D8046" s="307" t="s">
        <v>10015</v>
      </c>
      <c r="E8046" s="353" t="s">
        <v>10016</v>
      </c>
      <c r="F8046" s="310">
        <v>306</v>
      </c>
      <c r="G8046" s="311">
        <v>1952</v>
      </c>
      <c r="H8046" s="329" t="s">
        <v>1149</v>
      </c>
      <c r="I8046" s="313" t="s">
        <v>10017</v>
      </c>
      <c r="J8046" s="350">
        <v>104.61602000000001</v>
      </c>
      <c r="K8046" s="350">
        <v>81.582350000000005</v>
      </c>
      <c r="L8046" s="350">
        <f t="shared" si="107"/>
        <v>23.033670000000001</v>
      </c>
      <c r="M8046" s="337"/>
    </row>
    <row r="8047" spans="1:13" s="71" customFormat="1" ht="26.4" customHeight="1">
      <c r="A8047" s="282">
        <v>445</v>
      </c>
      <c r="B8047" s="537"/>
      <c r="C8047" s="307" t="s">
        <v>9799</v>
      </c>
      <c r="D8047" s="307" t="s">
        <v>10018</v>
      </c>
      <c r="E8047" s="353" t="s">
        <v>10019</v>
      </c>
      <c r="F8047" s="310">
        <v>307</v>
      </c>
      <c r="G8047" s="311">
        <v>1954</v>
      </c>
      <c r="H8047" s="329" t="s">
        <v>1149</v>
      </c>
      <c r="I8047" s="313" t="s">
        <v>10020</v>
      </c>
      <c r="J8047" s="350">
        <v>230.70938000000001</v>
      </c>
      <c r="K8047" s="350">
        <v>221.00104999999999</v>
      </c>
      <c r="L8047" s="350">
        <f t="shared" si="107"/>
        <v>9.7083300000000179</v>
      </c>
      <c r="M8047" s="337"/>
    </row>
    <row r="8048" spans="1:13" s="71" customFormat="1" ht="26.4" customHeight="1">
      <c r="A8048" s="282">
        <v>446</v>
      </c>
      <c r="B8048" s="537"/>
      <c r="C8048" s="307" t="s">
        <v>21</v>
      </c>
      <c r="D8048" s="307" t="s">
        <v>10021</v>
      </c>
      <c r="E8048" s="353" t="s">
        <v>10022</v>
      </c>
      <c r="F8048" s="310">
        <v>308</v>
      </c>
      <c r="G8048" s="311">
        <v>1954</v>
      </c>
      <c r="H8048" s="329" t="s">
        <v>1149</v>
      </c>
      <c r="I8048" s="313" t="s">
        <v>10023</v>
      </c>
      <c r="J8048" s="350">
        <v>213.42394999999999</v>
      </c>
      <c r="K8048" s="350">
        <v>108.93053</v>
      </c>
      <c r="L8048" s="350">
        <f t="shared" si="107"/>
        <v>104.49341999999999</v>
      </c>
      <c r="M8048" s="337"/>
    </row>
    <row r="8049" spans="1:13" s="71" customFormat="1" ht="26.4" customHeight="1">
      <c r="A8049" s="282">
        <v>447</v>
      </c>
      <c r="B8049" s="537"/>
      <c r="C8049" s="307" t="s">
        <v>9552</v>
      </c>
      <c r="D8049" s="307" t="s">
        <v>9794</v>
      </c>
      <c r="E8049" s="353" t="s">
        <v>10024</v>
      </c>
      <c r="F8049" s="310">
        <v>309</v>
      </c>
      <c r="G8049" s="311">
        <v>1954</v>
      </c>
      <c r="H8049" s="329" t="s">
        <v>1149</v>
      </c>
      <c r="I8049" s="313" t="s">
        <v>10025</v>
      </c>
      <c r="J8049" s="350">
        <v>17.10012</v>
      </c>
      <c r="K8049" s="350">
        <v>16.97287</v>
      </c>
      <c r="L8049" s="350">
        <f t="shared" si="107"/>
        <v>0.12725000000000009</v>
      </c>
      <c r="M8049" s="337"/>
    </row>
    <row r="8050" spans="1:13" s="71" customFormat="1" ht="26.4" customHeight="1">
      <c r="A8050" s="282">
        <v>448</v>
      </c>
      <c r="B8050" s="537"/>
      <c r="C8050" s="307" t="s">
        <v>9552</v>
      </c>
      <c r="D8050" s="307" t="s">
        <v>9794</v>
      </c>
      <c r="E8050" s="353" t="s">
        <v>10026</v>
      </c>
      <c r="F8050" s="310">
        <v>310</v>
      </c>
      <c r="G8050" s="311">
        <v>1954</v>
      </c>
      <c r="H8050" s="329" t="s">
        <v>1149</v>
      </c>
      <c r="I8050" s="313" t="s">
        <v>10027</v>
      </c>
      <c r="J8050" s="350">
        <v>10.192550000000001</v>
      </c>
      <c r="K8050" s="350">
        <v>10.1167</v>
      </c>
      <c r="L8050" s="350">
        <f t="shared" si="107"/>
        <v>7.5850000000000861E-2</v>
      </c>
      <c r="M8050" s="337"/>
    </row>
    <row r="8051" spans="1:13" s="71" customFormat="1" ht="26.4" customHeight="1">
      <c r="A8051" s="282">
        <v>449</v>
      </c>
      <c r="B8051" s="537"/>
      <c r="C8051" s="307" t="s">
        <v>21</v>
      </c>
      <c r="D8051" s="307" t="s">
        <v>10028</v>
      </c>
      <c r="E8051" s="353" t="s">
        <v>10029</v>
      </c>
      <c r="F8051" s="310">
        <v>311</v>
      </c>
      <c r="G8051" s="311">
        <v>1954</v>
      </c>
      <c r="H8051" s="329" t="s">
        <v>1149</v>
      </c>
      <c r="I8051" s="313" t="s">
        <v>10030</v>
      </c>
      <c r="J8051" s="350">
        <v>14.19713</v>
      </c>
      <c r="K8051" s="350">
        <v>13.36237</v>
      </c>
      <c r="L8051" s="350">
        <f t="shared" ref="L8051:L8114" si="108">J8051-K8051</f>
        <v>0.83475999999999928</v>
      </c>
      <c r="M8051" s="337"/>
    </row>
    <row r="8052" spans="1:13" s="71" customFormat="1" ht="26.4" customHeight="1">
      <c r="A8052" s="282">
        <v>450</v>
      </c>
      <c r="B8052" s="537"/>
      <c r="C8052" s="307" t="s">
        <v>21</v>
      </c>
      <c r="D8052" s="307" t="s">
        <v>10028</v>
      </c>
      <c r="E8052" s="353" t="s">
        <v>10031</v>
      </c>
      <c r="F8052" s="310">
        <v>312</v>
      </c>
      <c r="G8052" s="311">
        <v>1954</v>
      </c>
      <c r="H8052" s="329" t="s">
        <v>1149</v>
      </c>
      <c r="I8052" s="313" t="s">
        <v>10032</v>
      </c>
      <c r="J8052" s="350">
        <v>32.671300000000002</v>
      </c>
      <c r="K8052" s="350">
        <v>30.759060000000002</v>
      </c>
      <c r="L8052" s="350">
        <f t="shared" si="108"/>
        <v>1.9122400000000006</v>
      </c>
      <c r="M8052" s="337"/>
    </row>
    <row r="8053" spans="1:13" s="71" customFormat="1" ht="26.4" customHeight="1">
      <c r="A8053" s="282">
        <v>451</v>
      </c>
      <c r="B8053" s="537"/>
      <c r="C8053" s="307" t="s">
        <v>9552</v>
      </c>
      <c r="D8053" s="307" t="s">
        <v>10011</v>
      </c>
      <c r="E8053" s="260" t="s">
        <v>10033</v>
      </c>
      <c r="F8053" s="362">
        <v>313</v>
      </c>
      <c r="G8053" s="311">
        <v>1956</v>
      </c>
      <c r="H8053" s="329" t="s">
        <v>1149</v>
      </c>
      <c r="I8053" s="313">
        <v>78.8</v>
      </c>
      <c r="J8053" s="350">
        <v>24.625</v>
      </c>
      <c r="K8053" s="350">
        <v>21.302869999999999</v>
      </c>
      <c r="L8053" s="350">
        <f t="shared" si="108"/>
        <v>3.3221300000000014</v>
      </c>
      <c r="M8053" s="337"/>
    </row>
    <row r="8054" spans="1:13" s="71" customFormat="1" ht="26.4" customHeight="1">
      <c r="A8054" s="282">
        <v>452</v>
      </c>
      <c r="B8054" s="537"/>
      <c r="C8054" s="307" t="s">
        <v>10034</v>
      </c>
      <c r="D8054" s="307" t="s">
        <v>10035</v>
      </c>
      <c r="E8054" s="353" t="s">
        <v>10036</v>
      </c>
      <c r="F8054" s="310">
        <v>326</v>
      </c>
      <c r="G8054" s="311">
        <v>1955</v>
      </c>
      <c r="H8054" s="329" t="s">
        <v>1149</v>
      </c>
      <c r="I8054" s="313">
        <v>67</v>
      </c>
      <c r="J8054" s="350">
        <v>153.71867</v>
      </c>
      <c r="K8054" s="350">
        <v>94.790840000000003</v>
      </c>
      <c r="L8054" s="350">
        <f t="shared" si="108"/>
        <v>58.92783</v>
      </c>
      <c r="M8054" s="337"/>
    </row>
    <row r="8055" spans="1:13" s="71" customFormat="1" ht="26.4" customHeight="1">
      <c r="A8055" s="282">
        <v>453</v>
      </c>
      <c r="B8055" s="537"/>
      <c r="C8055" s="307" t="s">
        <v>9552</v>
      </c>
      <c r="D8055" s="307" t="s">
        <v>10037</v>
      </c>
      <c r="E8055" s="353" t="s">
        <v>13187</v>
      </c>
      <c r="F8055" s="310">
        <v>330</v>
      </c>
      <c r="G8055" s="311">
        <v>1988</v>
      </c>
      <c r="H8055" s="329" t="s">
        <v>1149</v>
      </c>
      <c r="I8055" s="313" t="s">
        <v>10038</v>
      </c>
      <c r="J8055" s="350">
        <v>2220.9578000000001</v>
      </c>
      <c r="K8055" s="350">
        <v>629.94974999999999</v>
      </c>
      <c r="L8055" s="350">
        <f t="shared" si="108"/>
        <v>1591.0080500000001</v>
      </c>
      <c r="M8055" s="337"/>
    </row>
    <row r="8056" spans="1:13" s="71" customFormat="1" ht="26.4" customHeight="1">
      <c r="A8056" s="282">
        <v>454</v>
      </c>
      <c r="B8056" s="537"/>
      <c r="C8056" s="307" t="s">
        <v>9552</v>
      </c>
      <c r="D8056" s="307" t="s">
        <v>10039</v>
      </c>
      <c r="E8056" s="353" t="s">
        <v>10040</v>
      </c>
      <c r="F8056" s="310">
        <v>330</v>
      </c>
      <c r="G8056" s="311">
        <v>1954</v>
      </c>
      <c r="H8056" s="329" t="s">
        <v>1149</v>
      </c>
      <c r="I8056" s="313" t="s">
        <v>10041</v>
      </c>
      <c r="J8056" s="350">
        <v>72.659390000000002</v>
      </c>
      <c r="K8056" s="350">
        <v>67.814959999999999</v>
      </c>
      <c r="L8056" s="350">
        <f t="shared" si="108"/>
        <v>4.8444300000000027</v>
      </c>
      <c r="M8056" s="337"/>
    </row>
    <row r="8057" spans="1:13" s="71" customFormat="1" ht="26.4" customHeight="1">
      <c r="A8057" s="282">
        <v>455</v>
      </c>
      <c r="B8057" s="537"/>
      <c r="C8057" s="307" t="s">
        <v>9552</v>
      </c>
      <c r="D8057" s="307" t="s">
        <v>10042</v>
      </c>
      <c r="E8057" s="353" t="s">
        <v>10043</v>
      </c>
      <c r="F8057" s="310">
        <v>331</v>
      </c>
      <c r="G8057" s="311">
        <v>1988</v>
      </c>
      <c r="H8057" s="329" t="s">
        <v>1149</v>
      </c>
      <c r="I8057" s="313" t="s">
        <v>10044</v>
      </c>
      <c r="J8057" s="350">
        <v>1907.36987</v>
      </c>
      <c r="K8057" s="350">
        <v>531.39606000000003</v>
      </c>
      <c r="L8057" s="350">
        <f t="shared" si="108"/>
        <v>1375.97381</v>
      </c>
      <c r="M8057" s="337"/>
    </row>
    <row r="8058" spans="1:13" s="71" customFormat="1" ht="26.4" customHeight="1">
      <c r="A8058" s="282">
        <v>456</v>
      </c>
      <c r="B8058" s="537"/>
      <c r="C8058" s="307" t="s">
        <v>9552</v>
      </c>
      <c r="D8058" s="307" t="s">
        <v>10039</v>
      </c>
      <c r="E8058" s="353" t="s">
        <v>10045</v>
      </c>
      <c r="F8058" s="310">
        <v>331</v>
      </c>
      <c r="G8058" s="311">
        <v>1955</v>
      </c>
      <c r="H8058" s="329" t="s">
        <v>1149</v>
      </c>
      <c r="I8058" s="313" t="s">
        <v>10046</v>
      </c>
      <c r="J8058" s="350">
        <v>44.564459999999997</v>
      </c>
      <c r="K8058" s="350">
        <v>44.232860000000002</v>
      </c>
      <c r="L8058" s="350">
        <f t="shared" si="108"/>
        <v>0.33159999999999457</v>
      </c>
      <c r="M8058" s="337"/>
    </row>
    <row r="8059" spans="1:13" s="71" customFormat="1" ht="26.4" customHeight="1">
      <c r="A8059" s="282">
        <v>457</v>
      </c>
      <c r="B8059" s="537"/>
      <c r="C8059" s="307" t="s">
        <v>9552</v>
      </c>
      <c r="D8059" s="307" t="s">
        <v>10047</v>
      </c>
      <c r="E8059" s="353" t="s">
        <v>10048</v>
      </c>
      <c r="F8059" s="310">
        <v>334</v>
      </c>
      <c r="G8059" s="311">
        <v>1989</v>
      </c>
      <c r="H8059" s="329" t="s">
        <v>1149</v>
      </c>
      <c r="I8059" s="313" t="s">
        <v>10049</v>
      </c>
      <c r="J8059" s="350">
        <v>2032.73614</v>
      </c>
      <c r="K8059" s="350">
        <v>551.56813</v>
      </c>
      <c r="L8059" s="350">
        <f t="shared" si="108"/>
        <v>1481.1680099999999</v>
      </c>
      <c r="M8059" s="337"/>
    </row>
    <row r="8060" spans="1:13" s="71" customFormat="1" ht="26.4" customHeight="1">
      <c r="A8060" s="282">
        <v>458</v>
      </c>
      <c r="B8060" s="537"/>
      <c r="C8060" s="307" t="s">
        <v>9552</v>
      </c>
      <c r="D8060" s="307" t="s">
        <v>10050</v>
      </c>
      <c r="E8060" s="353" t="s">
        <v>10051</v>
      </c>
      <c r="F8060" s="310">
        <v>335</v>
      </c>
      <c r="G8060" s="311">
        <v>1989</v>
      </c>
      <c r="H8060" s="329" t="s">
        <v>1149</v>
      </c>
      <c r="I8060" s="313" t="s">
        <v>10052</v>
      </c>
      <c r="J8060" s="350">
        <v>2032.73675</v>
      </c>
      <c r="K8060" s="350">
        <v>525.32956999999999</v>
      </c>
      <c r="L8060" s="350">
        <f t="shared" si="108"/>
        <v>1507.4071800000002</v>
      </c>
      <c r="M8060" s="337"/>
    </row>
    <row r="8061" spans="1:13" s="71" customFormat="1" ht="26.4" customHeight="1">
      <c r="A8061" s="282">
        <v>459</v>
      </c>
      <c r="B8061" s="537"/>
      <c r="C8061" s="307" t="s">
        <v>9552</v>
      </c>
      <c r="D8061" s="307" t="s">
        <v>10039</v>
      </c>
      <c r="E8061" s="353" t="s">
        <v>10053</v>
      </c>
      <c r="F8061" s="310">
        <v>335</v>
      </c>
      <c r="G8061" s="311">
        <v>1954</v>
      </c>
      <c r="H8061" s="329" t="s">
        <v>1149</v>
      </c>
      <c r="I8061" s="313" t="s">
        <v>10054</v>
      </c>
      <c r="J8061" s="350">
        <v>154.49358000000001</v>
      </c>
      <c r="K8061" s="350">
        <v>125.52622</v>
      </c>
      <c r="L8061" s="350">
        <f t="shared" si="108"/>
        <v>28.967360000000014</v>
      </c>
      <c r="M8061" s="337"/>
    </row>
    <row r="8062" spans="1:13" s="71" customFormat="1" ht="26.4" customHeight="1">
      <c r="A8062" s="282">
        <v>460</v>
      </c>
      <c r="B8062" s="537"/>
      <c r="C8062" s="307" t="s">
        <v>9552</v>
      </c>
      <c r="D8062" s="307" t="s">
        <v>10055</v>
      </c>
      <c r="E8062" s="353" t="s">
        <v>10056</v>
      </c>
      <c r="F8062" s="310">
        <v>336</v>
      </c>
      <c r="G8062" s="311">
        <v>1989</v>
      </c>
      <c r="H8062" s="329" t="s">
        <v>1149</v>
      </c>
      <c r="I8062" s="313" t="s">
        <v>10057</v>
      </c>
      <c r="J8062" s="350">
        <v>2032.7374400000001</v>
      </c>
      <c r="K8062" s="350">
        <v>583.73472000000004</v>
      </c>
      <c r="L8062" s="350">
        <f t="shared" si="108"/>
        <v>1449.00272</v>
      </c>
      <c r="M8062" s="337"/>
    </row>
    <row r="8063" spans="1:13" s="71" customFormat="1" ht="26.4" customHeight="1">
      <c r="A8063" s="282">
        <v>461</v>
      </c>
      <c r="B8063" s="537"/>
      <c r="C8063" s="307" t="s">
        <v>9552</v>
      </c>
      <c r="D8063" s="307" t="s">
        <v>10058</v>
      </c>
      <c r="E8063" s="353" t="s">
        <v>10059</v>
      </c>
      <c r="F8063" s="310">
        <v>336</v>
      </c>
      <c r="G8063" s="311">
        <v>1956</v>
      </c>
      <c r="H8063" s="329" t="s">
        <v>1149</v>
      </c>
      <c r="I8063" s="313" t="s">
        <v>10060</v>
      </c>
      <c r="J8063" s="350">
        <v>1.89178</v>
      </c>
      <c r="K8063" s="350">
        <v>1.8833200000000001</v>
      </c>
      <c r="L8063" s="350">
        <f t="shared" si="108"/>
        <v>8.459999999999912E-3</v>
      </c>
      <c r="M8063" s="337"/>
    </row>
    <row r="8064" spans="1:13" s="71" customFormat="1" ht="26.4" customHeight="1">
      <c r="A8064" s="282">
        <v>462</v>
      </c>
      <c r="B8064" s="537"/>
      <c r="C8064" s="307" t="s">
        <v>9552</v>
      </c>
      <c r="D8064" s="307" t="s">
        <v>10061</v>
      </c>
      <c r="E8064" s="353" t="s">
        <v>10062</v>
      </c>
      <c r="F8064" s="310">
        <v>337</v>
      </c>
      <c r="G8064" s="311">
        <v>1989</v>
      </c>
      <c r="H8064" s="329" t="s">
        <v>1149</v>
      </c>
      <c r="I8064" s="313" t="s">
        <v>10063</v>
      </c>
      <c r="J8064" s="350">
        <v>2032.73738</v>
      </c>
      <c r="K8064" s="350">
        <v>539.13786000000005</v>
      </c>
      <c r="L8064" s="350">
        <f t="shared" si="108"/>
        <v>1493.59952</v>
      </c>
      <c r="M8064" s="337"/>
    </row>
    <row r="8065" spans="1:13" s="71" customFormat="1" ht="26.4" customHeight="1">
      <c r="A8065" s="282">
        <v>463</v>
      </c>
      <c r="B8065" s="537"/>
      <c r="C8065" s="307" t="s">
        <v>9552</v>
      </c>
      <c r="D8065" s="307" t="s">
        <v>10064</v>
      </c>
      <c r="E8065" s="353" t="s">
        <v>10065</v>
      </c>
      <c r="F8065" s="310">
        <v>339</v>
      </c>
      <c r="G8065" s="311">
        <v>1991</v>
      </c>
      <c r="H8065" s="329" t="s">
        <v>1149</v>
      </c>
      <c r="I8065" s="313" t="s">
        <v>10066</v>
      </c>
      <c r="J8065" s="350">
        <v>1389.74227</v>
      </c>
      <c r="K8065" s="350">
        <v>355.87205</v>
      </c>
      <c r="L8065" s="350">
        <f t="shared" si="108"/>
        <v>1033.87022</v>
      </c>
      <c r="M8065" s="337"/>
    </row>
    <row r="8066" spans="1:13" s="71" customFormat="1" ht="26.4" customHeight="1">
      <c r="A8066" s="282">
        <v>464</v>
      </c>
      <c r="B8066" s="537"/>
      <c r="C8066" s="307" t="s">
        <v>9552</v>
      </c>
      <c r="D8066" s="307" t="s">
        <v>10067</v>
      </c>
      <c r="E8066" s="353" t="s">
        <v>10068</v>
      </c>
      <c r="F8066" s="310">
        <v>340</v>
      </c>
      <c r="G8066" s="311">
        <v>1991</v>
      </c>
      <c r="H8066" s="329" t="s">
        <v>1149</v>
      </c>
      <c r="I8066" s="313" t="s">
        <v>10063</v>
      </c>
      <c r="J8066" s="350">
        <v>1389.7416499999999</v>
      </c>
      <c r="K8066" s="350">
        <v>352.93329999999997</v>
      </c>
      <c r="L8066" s="350">
        <f t="shared" si="108"/>
        <v>1036.80835</v>
      </c>
      <c r="M8066" s="337"/>
    </row>
    <row r="8067" spans="1:13" s="71" customFormat="1" ht="26.4" customHeight="1">
      <c r="A8067" s="282">
        <v>465</v>
      </c>
      <c r="B8067" s="537"/>
      <c r="C8067" s="307" t="s">
        <v>9552</v>
      </c>
      <c r="D8067" s="307" t="s">
        <v>10039</v>
      </c>
      <c r="E8067" s="353" t="s">
        <v>10069</v>
      </c>
      <c r="F8067" s="310">
        <v>340</v>
      </c>
      <c r="G8067" s="311">
        <v>1954</v>
      </c>
      <c r="H8067" s="329" t="s">
        <v>1149</v>
      </c>
      <c r="I8067" s="313" t="s">
        <v>10070</v>
      </c>
      <c r="J8067" s="350">
        <v>44.66301</v>
      </c>
      <c r="K8067" s="350">
        <v>43.748809999999999</v>
      </c>
      <c r="L8067" s="350">
        <f t="shared" si="108"/>
        <v>0.91420000000000101</v>
      </c>
      <c r="M8067" s="337"/>
    </row>
    <row r="8068" spans="1:13" s="71" customFormat="1" ht="26.4" customHeight="1">
      <c r="A8068" s="282">
        <v>466</v>
      </c>
      <c r="B8068" s="537"/>
      <c r="C8068" s="307" t="s">
        <v>9552</v>
      </c>
      <c r="D8068" s="307" t="s">
        <v>10071</v>
      </c>
      <c r="E8068" s="353" t="s">
        <v>10072</v>
      </c>
      <c r="F8068" s="310">
        <v>341</v>
      </c>
      <c r="G8068" s="311">
        <v>1991</v>
      </c>
      <c r="H8068" s="329" t="s">
        <v>1149</v>
      </c>
      <c r="I8068" s="313" t="s">
        <v>10073</v>
      </c>
      <c r="J8068" s="350">
        <v>1389.7352100000001</v>
      </c>
      <c r="K8068" s="350">
        <v>360.80279000000002</v>
      </c>
      <c r="L8068" s="350">
        <f t="shared" si="108"/>
        <v>1028.9324200000001</v>
      </c>
      <c r="M8068" s="337"/>
    </row>
    <row r="8069" spans="1:13" s="71" customFormat="1" ht="26.4" customHeight="1">
      <c r="A8069" s="282">
        <v>467</v>
      </c>
      <c r="B8069" s="537"/>
      <c r="C8069" s="307" t="s">
        <v>9552</v>
      </c>
      <c r="D8069" s="307" t="s">
        <v>9794</v>
      </c>
      <c r="E8069" s="353" t="s">
        <v>10074</v>
      </c>
      <c r="F8069" s="310">
        <v>341</v>
      </c>
      <c r="G8069" s="311">
        <v>1956</v>
      </c>
      <c r="H8069" s="329" t="s">
        <v>1149</v>
      </c>
      <c r="I8069" s="313" t="s">
        <v>10075</v>
      </c>
      <c r="J8069" s="350">
        <v>438.93024000000003</v>
      </c>
      <c r="K8069" s="350">
        <v>69.600269999999995</v>
      </c>
      <c r="L8069" s="350">
        <f t="shared" si="108"/>
        <v>369.32997</v>
      </c>
      <c r="M8069" s="337"/>
    </row>
    <row r="8070" spans="1:13" s="71" customFormat="1" ht="26.4" customHeight="1">
      <c r="A8070" s="282">
        <v>468</v>
      </c>
      <c r="B8070" s="537"/>
      <c r="C8070" s="307" t="s">
        <v>9552</v>
      </c>
      <c r="D8070" s="307" t="s">
        <v>9794</v>
      </c>
      <c r="E8070" s="353" t="s">
        <v>10076</v>
      </c>
      <c r="F8070" s="310">
        <v>342</v>
      </c>
      <c r="G8070" s="311">
        <v>1955</v>
      </c>
      <c r="H8070" s="329" t="s">
        <v>1149</v>
      </c>
      <c r="I8070" s="313" t="s">
        <v>9657</v>
      </c>
      <c r="J8070" s="350">
        <v>4.8245899999999997</v>
      </c>
      <c r="K8070" s="350">
        <v>4.81433</v>
      </c>
      <c r="L8070" s="350">
        <f t="shared" si="108"/>
        <v>1.0259999999999714E-2</v>
      </c>
      <c r="M8070" s="337"/>
    </row>
    <row r="8071" spans="1:13" s="71" customFormat="1" ht="26.4" customHeight="1">
      <c r="A8071" s="282">
        <v>469</v>
      </c>
      <c r="B8071" s="537"/>
      <c r="C8071" s="307" t="s">
        <v>9552</v>
      </c>
      <c r="D8071" s="307" t="s">
        <v>9794</v>
      </c>
      <c r="E8071" s="353" t="s">
        <v>10077</v>
      </c>
      <c r="F8071" s="310">
        <v>343</v>
      </c>
      <c r="G8071" s="311">
        <v>1961</v>
      </c>
      <c r="H8071" s="329" t="s">
        <v>1149</v>
      </c>
      <c r="I8071" s="313" t="s">
        <v>24</v>
      </c>
      <c r="J8071" s="350">
        <v>1.74431</v>
      </c>
      <c r="K8071" s="350">
        <v>1.62751</v>
      </c>
      <c r="L8071" s="350">
        <f t="shared" si="108"/>
        <v>0.11680000000000001</v>
      </c>
      <c r="M8071" s="337"/>
    </row>
    <row r="8072" spans="1:13" s="71" customFormat="1" ht="26.4" customHeight="1">
      <c r="A8072" s="282">
        <v>470</v>
      </c>
      <c r="B8072" s="537"/>
      <c r="C8072" s="307" t="s">
        <v>9552</v>
      </c>
      <c r="D8072" s="307" t="s">
        <v>9794</v>
      </c>
      <c r="E8072" s="260" t="s">
        <v>10078</v>
      </c>
      <c r="F8072" s="310">
        <v>343</v>
      </c>
      <c r="G8072" s="311">
        <v>1999</v>
      </c>
      <c r="H8072" s="329" t="s">
        <v>3</v>
      </c>
      <c r="I8072" s="313" t="s">
        <v>3</v>
      </c>
      <c r="J8072" s="350">
        <v>5.26485</v>
      </c>
      <c r="K8072" s="350">
        <v>5.25563</v>
      </c>
      <c r="L8072" s="350">
        <f t="shared" si="108"/>
        <v>9.220000000000006E-3</v>
      </c>
      <c r="M8072" s="337"/>
    </row>
    <row r="8073" spans="1:13" s="71" customFormat="1" ht="26.4" customHeight="1">
      <c r="A8073" s="282">
        <v>471</v>
      </c>
      <c r="B8073" s="537"/>
      <c r="C8073" s="307" t="s">
        <v>9552</v>
      </c>
      <c r="D8073" s="307" t="s">
        <v>9794</v>
      </c>
      <c r="E8073" s="353" t="s">
        <v>10079</v>
      </c>
      <c r="F8073" s="310">
        <v>344</v>
      </c>
      <c r="G8073" s="311">
        <v>1958</v>
      </c>
      <c r="H8073" s="329" t="s">
        <v>1149</v>
      </c>
      <c r="I8073" s="313" t="s">
        <v>9716</v>
      </c>
      <c r="J8073" s="350">
        <v>21.930309999999999</v>
      </c>
      <c r="K8073" s="350">
        <v>21.481470000000002</v>
      </c>
      <c r="L8073" s="350">
        <f t="shared" si="108"/>
        <v>0.44883999999999702</v>
      </c>
      <c r="M8073" s="337"/>
    </row>
    <row r="8074" spans="1:13" s="71" customFormat="1" ht="26.4" customHeight="1">
      <c r="A8074" s="282">
        <v>472</v>
      </c>
      <c r="B8074" s="537"/>
      <c r="C8074" s="307" t="s">
        <v>9552</v>
      </c>
      <c r="D8074" s="307" t="s">
        <v>9794</v>
      </c>
      <c r="E8074" s="353" t="s">
        <v>10080</v>
      </c>
      <c r="F8074" s="310">
        <v>355</v>
      </c>
      <c r="G8074" s="311">
        <v>1978</v>
      </c>
      <c r="H8074" s="329" t="s">
        <v>1149</v>
      </c>
      <c r="I8074" s="313" t="s">
        <v>10081</v>
      </c>
      <c r="J8074" s="350">
        <v>20.063759999999998</v>
      </c>
      <c r="K8074" s="350">
        <v>18.510960000000001</v>
      </c>
      <c r="L8074" s="350">
        <f t="shared" si="108"/>
        <v>1.5527999999999977</v>
      </c>
      <c r="M8074" s="337"/>
    </row>
    <row r="8075" spans="1:13" s="71" customFormat="1" ht="26.4" customHeight="1">
      <c r="A8075" s="282">
        <v>473</v>
      </c>
      <c r="B8075" s="537"/>
      <c r="C8075" s="307" t="s">
        <v>9552</v>
      </c>
      <c r="D8075" s="307" t="s">
        <v>9794</v>
      </c>
      <c r="E8075" s="353" t="s">
        <v>10082</v>
      </c>
      <c r="F8075" s="310">
        <v>356</v>
      </c>
      <c r="G8075" s="311">
        <v>1978</v>
      </c>
      <c r="H8075" s="329" t="s">
        <v>1149</v>
      </c>
      <c r="I8075" s="313" t="s">
        <v>10083</v>
      </c>
      <c r="J8075" s="350">
        <v>13.30758</v>
      </c>
      <c r="K8075" s="350">
        <v>12.85684</v>
      </c>
      <c r="L8075" s="350">
        <f t="shared" si="108"/>
        <v>0.4507399999999997</v>
      </c>
      <c r="M8075" s="337"/>
    </row>
    <row r="8076" spans="1:13" s="71" customFormat="1" ht="26.4" customHeight="1">
      <c r="A8076" s="282">
        <v>474</v>
      </c>
      <c r="B8076" s="537"/>
      <c r="C8076" s="307" t="s">
        <v>9552</v>
      </c>
      <c r="D8076" s="307" t="s">
        <v>3</v>
      </c>
      <c r="E8076" s="353" t="s">
        <v>10084</v>
      </c>
      <c r="F8076" s="310">
        <v>358</v>
      </c>
      <c r="G8076" s="311">
        <v>1978</v>
      </c>
      <c r="H8076" s="329" t="s">
        <v>1149</v>
      </c>
      <c r="I8076" s="313" t="s">
        <v>10085</v>
      </c>
      <c r="J8076" s="350">
        <v>106.02046</v>
      </c>
      <c r="K8076" s="350">
        <v>95.791880000000006</v>
      </c>
      <c r="L8076" s="350">
        <f t="shared" si="108"/>
        <v>10.228579999999994</v>
      </c>
      <c r="M8076" s="337"/>
    </row>
    <row r="8077" spans="1:13" s="71" customFormat="1" ht="26.4" customHeight="1">
      <c r="A8077" s="282">
        <v>475</v>
      </c>
      <c r="B8077" s="537"/>
      <c r="C8077" s="307" t="s">
        <v>9552</v>
      </c>
      <c r="D8077" s="307" t="s">
        <v>10086</v>
      </c>
      <c r="E8077" s="353" t="s">
        <v>13439</v>
      </c>
      <c r="F8077" s="310">
        <v>359</v>
      </c>
      <c r="G8077" s="311">
        <v>1988</v>
      </c>
      <c r="H8077" s="329" t="s">
        <v>1149</v>
      </c>
      <c r="I8077" s="313" t="s">
        <v>10087</v>
      </c>
      <c r="J8077" s="350">
        <v>2534.5317300000002</v>
      </c>
      <c r="K8077" s="350">
        <v>694.32896000000005</v>
      </c>
      <c r="L8077" s="350">
        <f t="shared" si="108"/>
        <v>1840.2027700000001</v>
      </c>
      <c r="M8077" s="337"/>
    </row>
    <row r="8078" spans="1:13" s="71" customFormat="1" ht="26.4" customHeight="1">
      <c r="A8078" s="282">
        <v>476</v>
      </c>
      <c r="B8078" s="537"/>
      <c r="C8078" s="307" t="s">
        <v>9552</v>
      </c>
      <c r="D8078" s="307" t="s">
        <v>3</v>
      </c>
      <c r="E8078" s="353" t="s">
        <v>10088</v>
      </c>
      <c r="F8078" s="310">
        <v>359</v>
      </c>
      <c r="G8078" s="311">
        <v>1981</v>
      </c>
      <c r="H8078" s="329" t="s">
        <v>1149</v>
      </c>
      <c r="I8078" s="313" t="s">
        <v>10089</v>
      </c>
      <c r="J8078" s="350">
        <v>266.74722000000003</v>
      </c>
      <c r="K8078" s="350">
        <v>197.72835000000001</v>
      </c>
      <c r="L8078" s="350">
        <f t="shared" si="108"/>
        <v>69.018870000000021</v>
      </c>
      <c r="M8078" s="337"/>
    </row>
    <row r="8079" spans="1:13" s="71" customFormat="1" ht="26.4" customHeight="1">
      <c r="A8079" s="282">
        <v>477</v>
      </c>
      <c r="B8079" s="537"/>
      <c r="C8079" s="307" t="s">
        <v>9552</v>
      </c>
      <c r="D8079" s="307" t="s">
        <v>3</v>
      </c>
      <c r="E8079" s="353" t="s">
        <v>10090</v>
      </c>
      <c r="F8079" s="310">
        <v>360</v>
      </c>
      <c r="G8079" s="311">
        <v>1981</v>
      </c>
      <c r="H8079" s="329" t="s">
        <v>1149</v>
      </c>
      <c r="I8079" s="313" t="s">
        <v>9801</v>
      </c>
      <c r="J8079" s="350">
        <v>109.92675</v>
      </c>
      <c r="K8079" s="350">
        <v>98.289479999999998</v>
      </c>
      <c r="L8079" s="350">
        <f t="shared" si="108"/>
        <v>11.637270000000001</v>
      </c>
      <c r="M8079" s="337"/>
    </row>
    <row r="8080" spans="1:13" s="71" customFormat="1" ht="26.4" customHeight="1">
      <c r="A8080" s="282">
        <v>478</v>
      </c>
      <c r="B8080" s="537"/>
      <c r="C8080" s="307" t="s">
        <v>9552</v>
      </c>
      <c r="D8080" s="307" t="s">
        <v>3</v>
      </c>
      <c r="E8080" s="353" t="s">
        <v>10091</v>
      </c>
      <c r="F8080" s="310">
        <v>361</v>
      </c>
      <c r="G8080" s="311">
        <v>1981</v>
      </c>
      <c r="H8080" s="329" t="s">
        <v>1149</v>
      </c>
      <c r="I8080" s="313" t="s">
        <v>10092</v>
      </c>
      <c r="J8080" s="350">
        <v>294.99018000000001</v>
      </c>
      <c r="K8080" s="350">
        <v>204.98751999999999</v>
      </c>
      <c r="L8080" s="350">
        <f t="shared" si="108"/>
        <v>90.00266000000002</v>
      </c>
      <c r="M8080" s="337"/>
    </row>
    <row r="8081" spans="1:13" s="71" customFormat="1" ht="26.4" customHeight="1">
      <c r="A8081" s="282">
        <v>479</v>
      </c>
      <c r="B8081" s="537"/>
      <c r="C8081" s="307" t="s">
        <v>9474</v>
      </c>
      <c r="D8081" s="307" t="s">
        <v>9871</v>
      </c>
      <c r="E8081" s="353" t="s">
        <v>10093</v>
      </c>
      <c r="F8081" s="310">
        <v>362</v>
      </c>
      <c r="G8081" s="311">
        <v>1981</v>
      </c>
      <c r="H8081" s="329" t="s">
        <v>1149</v>
      </c>
      <c r="I8081" s="313" t="s">
        <v>10094</v>
      </c>
      <c r="J8081" s="350">
        <v>301.04950000000002</v>
      </c>
      <c r="K8081" s="350">
        <v>299.82886000000002</v>
      </c>
      <c r="L8081" s="350">
        <f t="shared" si="108"/>
        <v>1.2206400000000031</v>
      </c>
      <c r="M8081" s="337"/>
    </row>
    <row r="8082" spans="1:13" s="71" customFormat="1" ht="26.4" customHeight="1">
      <c r="A8082" s="282">
        <v>480</v>
      </c>
      <c r="B8082" s="537"/>
      <c r="C8082" s="307" t="s">
        <v>9477</v>
      </c>
      <c r="D8082" s="307" t="s">
        <v>3</v>
      </c>
      <c r="E8082" s="353" t="s">
        <v>10095</v>
      </c>
      <c r="F8082" s="310">
        <v>363</v>
      </c>
      <c r="G8082" s="311">
        <v>1981</v>
      </c>
      <c r="H8082" s="329" t="s">
        <v>1149</v>
      </c>
      <c r="I8082" s="313" t="s">
        <v>5271</v>
      </c>
      <c r="J8082" s="350">
        <v>56.649329999999999</v>
      </c>
      <c r="K8082" s="350">
        <v>50.201929999999997</v>
      </c>
      <c r="L8082" s="350">
        <f t="shared" si="108"/>
        <v>6.4474000000000018</v>
      </c>
      <c r="M8082" s="337"/>
    </row>
    <row r="8083" spans="1:13" s="71" customFormat="1" ht="26.4" customHeight="1">
      <c r="A8083" s="282">
        <v>481</v>
      </c>
      <c r="B8083" s="537"/>
      <c r="C8083" s="307" t="s">
        <v>9552</v>
      </c>
      <c r="D8083" s="307" t="s">
        <v>9794</v>
      </c>
      <c r="E8083" s="353" t="s">
        <v>10096</v>
      </c>
      <c r="F8083" s="310">
        <v>364</v>
      </c>
      <c r="G8083" s="311">
        <v>1988</v>
      </c>
      <c r="H8083" s="329" t="s">
        <v>1149</v>
      </c>
      <c r="I8083" s="313" t="s">
        <v>10097</v>
      </c>
      <c r="J8083" s="350">
        <v>106.84348</v>
      </c>
      <c r="K8083" s="350">
        <v>76.762960000000007</v>
      </c>
      <c r="L8083" s="350">
        <f t="shared" si="108"/>
        <v>30.080519999999993</v>
      </c>
      <c r="M8083" s="337"/>
    </row>
    <row r="8084" spans="1:13" s="71" customFormat="1" ht="26.4" customHeight="1">
      <c r="A8084" s="282">
        <v>482</v>
      </c>
      <c r="B8084" s="537"/>
      <c r="C8084" s="307" t="s">
        <v>9552</v>
      </c>
      <c r="D8084" s="307" t="s">
        <v>9794</v>
      </c>
      <c r="E8084" s="353" t="s">
        <v>10098</v>
      </c>
      <c r="F8084" s="310">
        <v>367</v>
      </c>
      <c r="G8084" s="311">
        <v>1989</v>
      </c>
      <c r="H8084" s="329" t="s">
        <v>1149</v>
      </c>
      <c r="I8084" s="313" t="s">
        <v>10099</v>
      </c>
      <c r="J8084" s="350">
        <v>132.48823999999999</v>
      </c>
      <c r="K8084" s="350">
        <v>66.315749999999994</v>
      </c>
      <c r="L8084" s="350">
        <f t="shared" si="108"/>
        <v>66.172489999999996</v>
      </c>
      <c r="M8084" s="337"/>
    </row>
    <row r="8085" spans="1:13" s="71" customFormat="1" ht="26.4" customHeight="1">
      <c r="A8085" s="282">
        <v>483</v>
      </c>
      <c r="B8085" s="537"/>
      <c r="C8085" s="307" t="s">
        <v>8257</v>
      </c>
      <c r="D8085" s="307" t="s">
        <v>10100</v>
      </c>
      <c r="E8085" s="353" t="s">
        <v>10101</v>
      </c>
      <c r="F8085" s="310">
        <v>368</v>
      </c>
      <c r="G8085" s="311">
        <v>1989</v>
      </c>
      <c r="H8085" s="329" t="s">
        <v>1149</v>
      </c>
      <c r="I8085" s="313" t="s">
        <v>9555</v>
      </c>
      <c r="J8085" s="350">
        <v>13.606490000000001</v>
      </c>
      <c r="K8085" s="350">
        <v>7.2954800000000004</v>
      </c>
      <c r="L8085" s="350">
        <f t="shared" si="108"/>
        <v>6.3110100000000005</v>
      </c>
      <c r="M8085" s="337"/>
    </row>
    <row r="8086" spans="1:13" s="71" customFormat="1" ht="26.4" customHeight="1">
      <c r="A8086" s="282">
        <v>484</v>
      </c>
      <c r="B8086" s="537"/>
      <c r="C8086" s="307" t="s">
        <v>9474</v>
      </c>
      <c r="D8086" s="307" t="s">
        <v>9871</v>
      </c>
      <c r="E8086" s="353" t="s">
        <v>10102</v>
      </c>
      <c r="F8086" s="310">
        <v>369</v>
      </c>
      <c r="G8086" s="311">
        <v>1989</v>
      </c>
      <c r="H8086" s="329" t="s">
        <v>1149</v>
      </c>
      <c r="I8086" s="313" t="s">
        <v>10103</v>
      </c>
      <c r="J8086" s="350">
        <v>11.69636</v>
      </c>
      <c r="K8086" s="350">
        <v>6.2641600000000004</v>
      </c>
      <c r="L8086" s="350">
        <f t="shared" si="108"/>
        <v>5.4321999999999999</v>
      </c>
      <c r="M8086" s="337"/>
    </row>
    <row r="8087" spans="1:13" s="71" customFormat="1" ht="26.4" customHeight="1">
      <c r="A8087" s="282">
        <v>485</v>
      </c>
      <c r="B8087" s="537"/>
      <c r="C8087" s="307" t="s">
        <v>9474</v>
      </c>
      <c r="D8087" s="307" t="s">
        <v>9871</v>
      </c>
      <c r="E8087" s="353" t="s">
        <v>10104</v>
      </c>
      <c r="F8087" s="310">
        <v>370</v>
      </c>
      <c r="G8087" s="311">
        <v>1989</v>
      </c>
      <c r="H8087" s="329" t="s">
        <v>1149</v>
      </c>
      <c r="I8087" s="313" t="s">
        <v>10089</v>
      </c>
      <c r="J8087" s="350">
        <v>830.25606000000005</v>
      </c>
      <c r="K8087" s="350">
        <v>156.55160000000001</v>
      </c>
      <c r="L8087" s="350">
        <f t="shared" si="108"/>
        <v>673.70446000000004</v>
      </c>
      <c r="M8087" s="337"/>
    </row>
    <row r="8088" spans="1:13" s="71" customFormat="1" ht="26.4" customHeight="1">
      <c r="A8088" s="282">
        <v>486</v>
      </c>
      <c r="B8088" s="537"/>
      <c r="C8088" s="307" t="s">
        <v>10105</v>
      </c>
      <c r="D8088" s="307" t="s">
        <v>3</v>
      </c>
      <c r="E8088" s="353" t="s">
        <v>10106</v>
      </c>
      <c r="F8088" s="310">
        <v>371</v>
      </c>
      <c r="G8088" s="311">
        <v>1989</v>
      </c>
      <c r="H8088" s="329" t="s">
        <v>1149</v>
      </c>
      <c r="I8088" s="313" t="s">
        <v>10107</v>
      </c>
      <c r="J8088" s="350">
        <v>264.44700999999998</v>
      </c>
      <c r="K8088" s="350">
        <v>222.33788000000001</v>
      </c>
      <c r="L8088" s="350">
        <f t="shared" si="108"/>
        <v>42.109129999999965</v>
      </c>
      <c r="M8088" s="337"/>
    </row>
    <row r="8089" spans="1:13" s="71" customFormat="1" ht="26.4" customHeight="1">
      <c r="A8089" s="282">
        <v>487</v>
      </c>
      <c r="B8089" s="537"/>
      <c r="C8089" s="307" t="s">
        <v>9474</v>
      </c>
      <c r="D8089" s="307" t="s">
        <v>9871</v>
      </c>
      <c r="E8089" s="353" t="s">
        <v>10108</v>
      </c>
      <c r="F8089" s="310">
        <v>372</v>
      </c>
      <c r="G8089" s="311">
        <v>1989</v>
      </c>
      <c r="H8089" s="329" t="s">
        <v>1149</v>
      </c>
      <c r="I8089" s="313" t="s">
        <v>10109</v>
      </c>
      <c r="J8089" s="350">
        <v>218.05934999999999</v>
      </c>
      <c r="K8089" s="350">
        <v>116.57172</v>
      </c>
      <c r="L8089" s="350">
        <f t="shared" si="108"/>
        <v>101.48763</v>
      </c>
      <c r="M8089" s="337"/>
    </row>
    <row r="8090" spans="1:13" s="71" customFormat="1" ht="26.4" customHeight="1">
      <c r="A8090" s="282">
        <v>488</v>
      </c>
      <c r="B8090" s="537"/>
      <c r="C8090" s="307" t="s">
        <v>214</v>
      </c>
      <c r="D8090" s="307" t="s">
        <v>9697</v>
      </c>
      <c r="E8090" s="353" t="s">
        <v>10110</v>
      </c>
      <c r="F8090" s="310">
        <v>373</v>
      </c>
      <c r="G8090" s="311">
        <v>1989</v>
      </c>
      <c r="H8090" s="329" t="s">
        <v>1149</v>
      </c>
      <c r="I8090" s="313" t="s">
        <v>10111</v>
      </c>
      <c r="J8090" s="350">
        <v>143.36044000000001</v>
      </c>
      <c r="K8090" s="350">
        <v>76.783630000000002</v>
      </c>
      <c r="L8090" s="350">
        <f t="shared" si="108"/>
        <v>66.576810000000009</v>
      </c>
      <c r="M8090" s="337"/>
    </row>
    <row r="8091" spans="1:13" s="71" customFormat="1" ht="26.4" customHeight="1">
      <c r="A8091" s="282">
        <v>489</v>
      </c>
      <c r="B8091" s="537"/>
      <c r="C8091" s="313" t="s">
        <v>10112</v>
      </c>
      <c r="D8091" s="313" t="s">
        <v>3</v>
      </c>
      <c r="E8091" s="420" t="s">
        <v>10113</v>
      </c>
      <c r="F8091" s="310">
        <v>374</v>
      </c>
      <c r="G8091" s="311">
        <v>1989</v>
      </c>
      <c r="H8091" s="329" t="s">
        <v>1149</v>
      </c>
      <c r="I8091" s="313" t="s">
        <v>9636</v>
      </c>
      <c r="J8091" s="350">
        <v>78.691820000000007</v>
      </c>
      <c r="K8091" s="350">
        <v>39.429740000000002</v>
      </c>
      <c r="L8091" s="350">
        <f t="shared" si="108"/>
        <v>39.262080000000005</v>
      </c>
      <c r="M8091" s="337"/>
    </row>
    <row r="8092" spans="1:13" s="71" customFormat="1" ht="26.4" customHeight="1">
      <c r="A8092" s="282">
        <v>490</v>
      </c>
      <c r="B8092" s="537"/>
      <c r="C8092" s="307" t="s">
        <v>9474</v>
      </c>
      <c r="D8092" s="307" t="s">
        <v>10114</v>
      </c>
      <c r="E8092" s="353" t="s">
        <v>10115</v>
      </c>
      <c r="F8092" s="310">
        <v>375</v>
      </c>
      <c r="G8092" s="311">
        <v>1989</v>
      </c>
      <c r="H8092" s="329" t="s">
        <v>1149</v>
      </c>
      <c r="I8092" s="313" t="s">
        <v>10116</v>
      </c>
      <c r="J8092" s="350">
        <v>2084.1532299999999</v>
      </c>
      <c r="K8092" s="350">
        <v>1173.15417</v>
      </c>
      <c r="L8092" s="350">
        <f t="shared" si="108"/>
        <v>910.99905999999987</v>
      </c>
      <c r="M8092" s="337"/>
    </row>
    <row r="8093" spans="1:13" s="71" customFormat="1" ht="26.4" customHeight="1">
      <c r="A8093" s="282">
        <v>491</v>
      </c>
      <c r="B8093" s="537"/>
      <c r="C8093" s="307" t="s">
        <v>9474</v>
      </c>
      <c r="D8093" s="307" t="s">
        <v>10114</v>
      </c>
      <c r="E8093" s="353" t="s">
        <v>10117</v>
      </c>
      <c r="F8093" s="310">
        <v>376</v>
      </c>
      <c r="G8093" s="311">
        <v>1989</v>
      </c>
      <c r="H8093" s="329" t="s">
        <v>1149</v>
      </c>
      <c r="I8093" s="313" t="s">
        <v>10118</v>
      </c>
      <c r="J8093" s="350">
        <v>781.90634999999997</v>
      </c>
      <c r="K8093" s="350">
        <v>428.06301000000002</v>
      </c>
      <c r="L8093" s="350">
        <f t="shared" si="108"/>
        <v>353.84333999999996</v>
      </c>
      <c r="M8093" s="337"/>
    </row>
    <row r="8094" spans="1:13" s="71" customFormat="1" ht="26.4" customHeight="1">
      <c r="A8094" s="282">
        <v>492</v>
      </c>
      <c r="B8094" s="537"/>
      <c r="C8094" s="307" t="s">
        <v>9453</v>
      </c>
      <c r="D8094" s="307" t="s">
        <v>10039</v>
      </c>
      <c r="E8094" s="353" t="s">
        <v>10119</v>
      </c>
      <c r="F8094" s="310">
        <v>377</v>
      </c>
      <c r="G8094" s="311">
        <v>1989</v>
      </c>
      <c r="H8094" s="329" t="s">
        <v>1149</v>
      </c>
      <c r="I8094" s="313" t="s">
        <v>10120</v>
      </c>
      <c r="J8094" s="350">
        <v>8.1166</v>
      </c>
      <c r="K8094" s="350">
        <v>3.9658899999999999</v>
      </c>
      <c r="L8094" s="350">
        <f t="shared" si="108"/>
        <v>4.1507100000000001</v>
      </c>
      <c r="M8094" s="337"/>
    </row>
    <row r="8095" spans="1:13" s="71" customFormat="1" ht="26.4" customHeight="1">
      <c r="A8095" s="282">
        <v>493</v>
      </c>
      <c r="B8095" s="537"/>
      <c r="C8095" s="313" t="s">
        <v>10112</v>
      </c>
      <c r="D8095" s="313" t="s">
        <v>3</v>
      </c>
      <c r="E8095" s="420" t="s">
        <v>10121</v>
      </c>
      <c r="F8095" s="310">
        <v>379</v>
      </c>
      <c r="G8095" s="311">
        <v>1989</v>
      </c>
      <c r="H8095" s="329" t="s">
        <v>1149</v>
      </c>
      <c r="I8095" s="313" t="s">
        <v>10122</v>
      </c>
      <c r="J8095" s="350">
        <v>2006.07673</v>
      </c>
      <c r="K8095" s="350">
        <v>848.13228000000004</v>
      </c>
      <c r="L8095" s="350">
        <f t="shared" si="108"/>
        <v>1157.94445</v>
      </c>
      <c r="M8095" s="337"/>
    </row>
    <row r="8096" spans="1:13" s="71" customFormat="1" ht="26.4" customHeight="1">
      <c r="A8096" s="282">
        <v>494</v>
      </c>
      <c r="B8096" s="537"/>
      <c r="C8096" s="307" t="s">
        <v>9474</v>
      </c>
      <c r="D8096" s="307" t="s">
        <v>10123</v>
      </c>
      <c r="E8096" s="353" t="s">
        <v>10124</v>
      </c>
      <c r="F8096" s="310">
        <v>380</v>
      </c>
      <c r="G8096" s="311">
        <v>1989</v>
      </c>
      <c r="H8096" s="329" t="s">
        <v>1149</v>
      </c>
      <c r="I8096" s="313" t="s">
        <v>10125</v>
      </c>
      <c r="J8096" s="350">
        <v>3738.9215199999999</v>
      </c>
      <c r="K8096" s="350">
        <v>551.98371999999995</v>
      </c>
      <c r="L8096" s="350">
        <f t="shared" si="108"/>
        <v>3186.9377999999997</v>
      </c>
      <c r="M8096" s="337"/>
    </row>
    <row r="8097" spans="1:13" s="71" customFormat="1" ht="26.4" customHeight="1">
      <c r="A8097" s="282">
        <v>495</v>
      </c>
      <c r="B8097" s="537"/>
      <c r="C8097" s="307" t="s">
        <v>9453</v>
      </c>
      <c r="D8097" s="307" t="s">
        <v>9794</v>
      </c>
      <c r="E8097" s="353" t="s">
        <v>10126</v>
      </c>
      <c r="F8097" s="310">
        <v>381</v>
      </c>
      <c r="G8097" s="311">
        <v>1989</v>
      </c>
      <c r="H8097" s="329" t="s">
        <v>1149</v>
      </c>
      <c r="I8097" s="313" t="s">
        <v>10127</v>
      </c>
      <c r="J8097" s="350">
        <v>206.05635000000001</v>
      </c>
      <c r="K8097" s="350">
        <v>77.74606</v>
      </c>
      <c r="L8097" s="350">
        <f t="shared" si="108"/>
        <v>128.31029000000001</v>
      </c>
      <c r="M8097" s="337"/>
    </row>
    <row r="8098" spans="1:13" s="71" customFormat="1" ht="26.4" customHeight="1">
      <c r="A8098" s="282">
        <v>496</v>
      </c>
      <c r="B8098" s="537"/>
      <c r="C8098" s="307" t="s">
        <v>9474</v>
      </c>
      <c r="D8098" s="307" t="s">
        <v>9871</v>
      </c>
      <c r="E8098" s="353" t="s">
        <v>10128</v>
      </c>
      <c r="F8098" s="310">
        <v>382</v>
      </c>
      <c r="G8098" s="311">
        <v>1989</v>
      </c>
      <c r="H8098" s="329" t="s">
        <v>1149</v>
      </c>
      <c r="I8098" s="313" t="s">
        <v>10129</v>
      </c>
      <c r="J8098" s="350">
        <v>450.78575000000001</v>
      </c>
      <c r="K8098" s="350">
        <v>170.08154999999999</v>
      </c>
      <c r="L8098" s="350">
        <f t="shared" si="108"/>
        <v>280.70420000000001</v>
      </c>
      <c r="M8098" s="337"/>
    </row>
    <row r="8099" spans="1:13" s="71" customFormat="1" ht="26.4" customHeight="1">
      <c r="A8099" s="282">
        <v>497</v>
      </c>
      <c r="B8099" s="537"/>
      <c r="C8099" s="307" t="s">
        <v>214</v>
      </c>
      <c r="D8099" s="307" t="s">
        <v>9697</v>
      </c>
      <c r="E8099" s="353" t="s">
        <v>10130</v>
      </c>
      <c r="F8099" s="310">
        <v>383</v>
      </c>
      <c r="G8099" s="311">
        <v>1991</v>
      </c>
      <c r="H8099" s="329" t="s">
        <v>1149</v>
      </c>
      <c r="I8099" s="313" t="s">
        <v>10131</v>
      </c>
      <c r="J8099" s="350">
        <v>187.21514999999999</v>
      </c>
      <c r="K8099" s="350">
        <v>155.57723999999999</v>
      </c>
      <c r="L8099" s="350">
        <f t="shared" si="108"/>
        <v>31.637910000000005</v>
      </c>
      <c r="M8099" s="337"/>
    </row>
    <row r="8100" spans="1:13" s="71" customFormat="1" ht="26.4" customHeight="1">
      <c r="A8100" s="282">
        <v>498</v>
      </c>
      <c r="B8100" s="537"/>
      <c r="C8100" s="307" t="s">
        <v>9552</v>
      </c>
      <c r="D8100" s="307" t="s">
        <v>9794</v>
      </c>
      <c r="E8100" s="353" t="s">
        <v>10132</v>
      </c>
      <c r="F8100" s="310">
        <v>384</v>
      </c>
      <c r="G8100" s="311">
        <v>1997</v>
      </c>
      <c r="H8100" s="329" t="s">
        <v>1149</v>
      </c>
      <c r="I8100" s="313" t="s">
        <v>9461</v>
      </c>
      <c r="J8100" s="350">
        <v>6.1303799999999997</v>
      </c>
      <c r="K8100" s="350">
        <v>6.10527</v>
      </c>
      <c r="L8100" s="350">
        <f t="shared" si="108"/>
        <v>2.5109999999999744E-2</v>
      </c>
      <c r="M8100" s="337"/>
    </row>
    <row r="8101" spans="1:13" s="71" customFormat="1" ht="26.4" customHeight="1">
      <c r="A8101" s="282">
        <v>499</v>
      </c>
      <c r="B8101" s="537"/>
      <c r="C8101" s="307" t="s">
        <v>214</v>
      </c>
      <c r="D8101" s="307" t="s">
        <v>9697</v>
      </c>
      <c r="E8101" s="353" t="s">
        <v>10133</v>
      </c>
      <c r="F8101" s="310">
        <v>400</v>
      </c>
      <c r="G8101" s="311">
        <v>1954</v>
      </c>
      <c r="H8101" s="329" t="s">
        <v>1149</v>
      </c>
      <c r="I8101" s="313">
        <v>45</v>
      </c>
      <c r="J8101" s="350">
        <v>11.45397</v>
      </c>
      <c r="K8101" s="350">
        <v>8.2822999999999993</v>
      </c>
      <c r="L8101" s="350">
        <f t="shared" si="108"/>
        <v>3.1716700000000007</v>
      </c>
      <c r="M8101" s="337"/>
    </row>
    <row r="8102" spans="1:13" s="71" customFormat="1" ht="26.4" customHeight="1">
      <c r="A8102" s="282">
        <v>500</v>
      </c>
      <c r="B8102" s="537"/>
      <c r="C8102" s="307" t="s">
        <v>214</v>
      </c>
      <c r="D8102" s="307" t="s">
        <v>9697</v>
      </c>
      <c r="E8102" s="353" t="s">
        <v>10134</v>
      </c>
      <c r="F8102" s="310">
        <v>401</v>
      </c>
      <c r="G8102" s="311">
        <v>1954</v>
      </c>
      <c r="H8102" s="329" t="s">
        <v>1149</v>
      </c>
      <c r="I8102" s="313">
        <v>20</v>
      </c>
      <c r="J8102" s="350">
        <v>2.5154999999999998</v>
      </c>
      <c r="K8102" s="350">
        <v>2.1680999999999999</v>
      </c>
      <c r="L8102" s="350">
        <f t="shared" si="108"/>
        <v>0.34739999999999993</v>
      </c>
      <c r="M8102" s="337"/>
    </row>
    <row r="8103" spans="1:13" s="71" customFormat="1" ht="26.4" customHeight="1">
      <c r="A8103" s="282">
        <v>501</v>
      </c>
      <c r="B8103" s="537"/>
      <c r="C8103" s="307" t="s">
        <v>214</v>
      </c>
      <c r="D8103" s="307" t="s">
        <v>9697</v>
      </c>
      <c r="E8103" s="353" t="s">
        <v>10135</v>
      </c>
      <c r="F8103" s="310">
        <v>402</v>
      </c>
      <c r="G8103" s="311">
        <v>1954</v>
      </c>
      <c r="H8103" s="329" t="s">
        <v>1149</v>
      </c>
      <c r="I8103" s="313">
        <v>2</v>
      </c>
      <c r="J8103" s="350">
        <v>0.22575000000000001</v>
      </c>
      <c r="K8103" s="350">
        <v>0.18084</v>
      </c>
      <c r="L8103" s="350">
        <f t="shared" si="108"/>
        <v>4.4910000000000005E-2</v>
      </c>
      <c r="M8103" s="337"/>
    </row>
    <row r="8104" spans="1:13" s="71" customFormat="1" ht="26.4" customHeight="1">
      <c r="A8104" s="282">
        <v>502</v>
      </c>
      <c r="B8104" s="537"/>
      <c r="C8104" s="307" t="s">
        <v>10136</v>
      </c>
      <c r="D8104" s="307" t="s">
        <v>3</v>
      </c>
      <c r="E8104" s="353" t="s">
        <v>10137</v>
      </c>
      <c r="F8104" s="310">
        <v>403</v>
      </c>
      <c r="G8104" s="311">
        <v>1954</v>
      </c>
      <c r="H8104" s="329" t="s">
        <v>3</v>
      </c>
      <c r="I8104" s="313" t="s">
        <v>3</v>
      </c>
      <c r="J8104" s="350">
        <v>2.9526300000000001</v>
      </c>
      <c r="K8104" s="350">
        <v>2.5446200000000001</v>
      </c>
      <c r="L8104" s="350">
        <f t="shared" si="108"/>
        <v>0.40800999999999998</v>
      </c>
      <c r="M8104" s="337"/>
    </row>
    <row r="8105" spans="1:13" s="71" customFormat="1" ht="26.4" customHeight="1">
      <c r="A8105" s="282">
        <v>503</v>
      </c>
      <c r="B8105" s="537"/>
      <c r="C8105" s="307" t="s">
        <v>10136</v>
      </c>
      <c r="D8105" s="307" t="s">
        <v>3</v>
      </c>
      <c r="E8105" s="353" t="s">
        <v>10138</v>
      </c>
      <c r="F8105" s="310">
        <v>404</v>
      </c>
      <c r="G8105" s="311">
        <v>1954</v>
      </c>
      <c r="H8105" s="329" t="s">
        <v>3</v>
      </c>
      <c r="I8105" s="313" t="s">
        <v>3</v>
      </c>
      <c r="J8105" s="350">
        <v>0.82752999999999999</v>
      </c>
      <c r="K8105" s="350">
        <v>0.65652999999999995</v>
      </c>
      <c r="L8105" s="350">
        <f t="shared" si="108"/>
        <v>0.17100000000000004</v>
      </c>
      <c r="M8105" s="337"/>
    </row>
    <row r="8106" spans="1:13" s="71" customFormat="1" ht="26.4" customHeight="1">
      <c r="A8106" s="282">
        <v>504</v>
      </c>
      <c r="B8106" s="537"/>
      <c r="C8106" s="307" t="s">
        <v>10136</v>
      </c>
      <c r="D8106" s="307" t="s">
        <v>3</v>
      </c>
      <c r="E8106" s="353" t="s">
        <v>10139</v>
      </c>
      <c r="F8106" s="310">
        <v>405</v>
      </c>
      <c r="G8106" s="311">
        <v>1989</v>
      </c>
      <c r="H8106" s="329" t="s">
        <v>3</v>
      </c>
      <c r="I8106" s="313" t="s">
        <v>3</v>
      </c>
      <c r="J8106" s="350">
        <v>5.085</v>
      </c>
      <c r="K8106" s="350">
        <v>4.4635600000000002</v>
      </c>
      <c r="L8106" s="350">
        <f t="shared" si="108"/>
        <v>0.62143999999999977</v>
      </c>
      <c r="M8106" s="337"/>
    </row>
    <row r="8107" spans="1:13" s="71" customFormat="1" ht="39.6">
      <c r="A8107" s="282">
        <v>505</v>
      </c>
      <c r="B8107" s="537"/>
      <c r="C8107" s="307" t="s">
        <v>214</v>
      </c>
      <c r="D8107" s="307" t="s">
        <v>9697</v>
      </c>
      <c r="E8107" s="353" t="s">
        <v>10140</v>
      </c>
      <c r="F8107" s="310">
        <v>406</v>
      </c>
      <c r="G8107" s="311">
        <v>1989</v>
      </c>
      <c r="H8107" s="329" t="s">
        <v>1149</v>
      </c>
      <c r="I8107" s="313">
        <v>35</v>
      </c>
      <c r="J8107" s="350">
        <v>3.5251999999999999</v>
      </c>
      <c r="K8107" s="350">
        <v>2.4672100000000001</v>
      </c>
      <c r="L8107" s="350">
        <f t="shared" si="108"/>
        <v>1.0579899999999998</v>
      </c>
      <c r="M8107" s="337"/>
    </row>
    <row r="8108" spans="1:13" s="71" customFormat="1" ht="26.4" customHeight="1">
      <c r="A8108" s="282">
        <v>506</v>
      </c>
      <c r="B8108" s="537"/>
      <c r="C8108" s="307" t="s">
        <v>9721</v>
      </c>
      <c r="D8108" s="307" t="s">
        <v>3</v>
      </c>
      <c r="E8108" s="353" t="s">
        <v>10141</v>
      </c>
      <c r="F8108" s="310">
        <v>407</v>
      </c>
      <c r="G8108" s="311">
        <v>1931</v>
      </c>
      <c r="H8108" s="329" t="s">
        <v>2658</v>
      </c>
      <c r="I8108" s="313">
        <v>6460.5</v>
      </c>
      <c r="J8108" s="350">
        <v>3.0301</v>
      </c>
      <c r="K8108" s="350">
        <v>2.8153899999999998</v>
      </c>
      <c r="L8108" s="350">
        <f t="shared" si="108"/>
        <v>0.21471000000000018</v>
      </c>
      <c r="M8108" s="337"/>
    </row>
    <row r="8109" spans="1:13" s="71" customFormat="1" ht="26.4" customHeight="1">
      <c r="A8109" s="282">
        <v>507</v>
      </c>
      <c r="B8109" s="537"/>
      <c r="C8109" s="307" t="s">
        <v>9721</v>
      </c>
      <c r="D8109" s="307" t="s">
        <v>3</v>
      </c>
      <c r="E8109" s="353" t="s">
        <v>10142</v>
      </c>
      <c r="F8109" s="310">
        <v>408</v>
      </c>
      <c r="G8109" s="311">
        <v>1944</v>
      </c>
      <c r="H8109" s="329" t="s">
        <v>3</v>
      </c>
      <c r="I8109" s="313" t="s">
        <v>3</v>
      </c>
      <c r="J8109" s="350">
        <v>4.2410300000000003</v>
      </c>
      <c r="K8109" s="350">
        <v>3.95817</v>
      </c>
      <c r="L8109" s="350">
        <f t="shared" si="108"/>
        <v>0.28286000000000033</v>
      </c>
      <c r="M8109" s="337"/>
    </row>
    <row r="8110" spans="1:13" s="71" customFormat="1" ht="26.4" customHeight="1">
      <c r="A8110" s="282">
        <v>508</v>
      </c>
      <c r="B8110" s="537"/>
      <c r="C8110" s="313" t="s">
        <v>21</v>
      </c>
      <c r="D8110" s="313" t="s">
        <v>10143</v>
      </c>
      <c r="E8110" s="260" t="s">
        <v>10144</v>
      </c>
      <c r="F8110" s="310">
        <v>1011</v>
      </c>
      <c r="G8110" s="311">
        <v>1954</v>
      </c>
      <c r="H8110" s="329" t="s">
        <v>2658</v>
      </c>
      <c r="I8110" s="313">
        <v>53</v>
      </c>
      <c r="J8110" s="350">
        <v>1.3358000000000001</v>
      </c>
      <c r="K8110" s="350">
        <v>1.3128</v>
      </c>
      <c r="L8110" s="350">
        <f t="shared" si="108"/>
        <v>2.3000000000000131E-2</v>
      </c>
      <c r="M8110" s="337"/>
    </row>
    <row r="8111" spans="1:13" s="71" customFormat="1" ht="26.4" customHeight="1">
      <c r="A8111" s="282">
        <v>509</v>
      </c>
      <c r="B8111" s="537"/>
      <c r="C8111" s="307" t="s">
        <v>9552</v>
      </c>
      <c r="D8111" s="307" t="s">
        <v>10058</v>
      </c>
      <c r="E8111" s="353" t="s">
        <v>10145</v>
      </c>
      <c r="F8111" s="310">
        <v>2081</v>
      </c>
      <c r="G8111" s="311">
        <v>1996</v>
      </c>
      <c r="H8111" s="329" t="s">
        <v>3</v>
      </c>
      <c r="I8111" s="313" t="s">
        <v>3</v>
      </c>
      <c r="J8111" s="350">
        <v>3.0673499999999998</v>
      </c>
      <c r="K8111" s="350">
        <v>3.0526300000000002</v>
      </c>
      <c r="L8111" s="350">
        <f t="shared" si="108"/>
        <v>1.4719999999999622E-2</v>
      </c>
      <c r="M8111" s="337"/>
    </row>
    <row r="8112" spans="1:13" s="71" customFormat="1" ht="26.4" customHeight="1">
      <c r="A8112" s="282">
        <v>510</v>
      </c>
      <c r="B8112" s="537"/>
      <c r="C8112" s="307" t="s">
        <v>9552</v>
      </c>
      <c r="D8112" s="313" t="s">
        <v>3</v>
      </c>
      <c r="E8112" s="260" t="s">
        <v>10146</v>
      </c>
      <c r="F8112" s="310">
        <v>3644</v>
      </c>
      <c r="G8112" s="311">
        <v>2000</v>
      </c>
      <c r="H8112" s="329" t="s">
        <v>2658</v>
      </c>
      <c r="I8112" s="313">
        <v>6460.5</v>
      </c>
      <c r="J8112" s="350">
        <v>152.04825</v>
      </c>
      <c r="K8112" s="350">
        <v>151.99600000000001</v>
      </c>
      <c r="L8112" s="350">
        <f t="shared" si="108"/>
        <v>5.2249999999986585E-2</v>
      </c>
      <c r="M8112" s="337"/>
    </row>
    <row r="8113" spans="1:13" s="71" customFormat="1" ht="26.4" customHeight="1">
      <c r="A8113" s="282">
        <v>511</v>
      </c>
      <c r="B8113" s="537"/>
      <c r="C8113" s="307" t="s">
        <v>12827</v>
      </c>
      <c r="D8113" s="307" t="s">
        <v>10147</v>
      </c>
      <c r="E8113" s="260" t="s">
        <v>10148</v>
      </c>
      <c r="F8113" s="310">
        <v>3645</v>
      </c>
      <c r="G8113" s="311">
        <v>2000</v>
      </c>
      <c r="H8113" s="329" t="s">
        <v>3</v>
      </c>
      <c r="I8113" s="313" t="s">
        <v>3</v>
      </c>
      <c r="J8113" s="350">
        <v>2.0592600000000001</v>
      </c>
      <c r="K8113" s="350">
        <v>2.0238100000000001</v>
      </c>
      <c r="L8113" s="350">
        <f t="shared" si="108"/>
        <v>3.5449999999999982E-2</v>
      </c>
      <c r="M8113" s="337"/>
    </row>
    <row r="8114" spans="1:13" s="71" customFormat="1" ht="26.4" customHeight="1">
      <c r="A8114" s="282">
        <v>512</v>
      </c>
      <c r="B8114" s="537"/>
      <c r="C8114" s="307" t="s">
        <v>12827</v>
      </c>
      <c r="D8114" s="307" t="s">
        <v>10149</v>
      </c>
      <c r="E8114" s="260" t="s">
        <v>13440</v>
      </c>
      <c r="F8114" s="310">
        <v>3646</v>
      </c>
      <c r="G8114" s="311">
        <v>2000</v>
      </c>
      <c r="H8114" s="329" t="s">
        <v>3</v>
      </c>
      <c r="I8114" s="313" t="s">
        <v>3</v>
      </c>
      <c r="J8114" s="350">
        <v>9.1716200000000008</v>
      </c>
      <c r="K8114" s="350">
        <v>9.0592199999999998</v>
      </c>
      <c r="L8114" s="350">
        <f t="shared" si="108"/>
        <v>0.11240000000000094</v>
      </c>
      <c r="M8114" s="337"/>
    </row>
    <row r="8115" spans="1:13" s="71" customFormat="1" ht="26.4" customHeight="1">
      <c r="A8115" s="282">
        <v>513</v>
      </c>
      <c r="B8115" s="537"/>
      <c r="C8115" s="307" t="s">
        <v>21</v>
      </c>
      <c r="D8115" s="307" t="s">
        <v>10150</v>
      </c>
      <c r="E8115" s="260" t="s">
        <v>10151</v>
      </c>
      <c r="F8115" s="310">
        <v>3647</v>
      </c>
      <c r="G8115" s="311">
        <v>2000</v>
      </c>
      <c r="H8115" s="329" t="s">
        <v>3</v>
      </c>
      <c r="I8115" s="313" t="s">
        <v>3</v>
      </c>
      <c r="J8115" s="350">
        <v>3.5542099999999999</v>
      </c>
      <c r="K8115" s="350">
        <v>3.5106600000000001</v>
      </c>
      <c r="L8115" s="350">
        <f t="shared" ref="L8115:L8178" si="109">J8115-K8115</f>
        <v>4.3549999999999756E-2</v>
      </c>
      <c r="M8115" s="337"/>
    </row>
    <row r="8116" spans="1:13" s="71" customFormat="1" ht="26.4" customHeight="1">
      <c r="A8116" s="282">
        <v>514</v>
      </c>
      <c r="B8116" s="537"/>
      <c r="C8116" s="307" t="s">
        <v>12827</v>
      </c>
      <c r="D8116" s="307" t="s">
        <v>10152</v>
      </c>
      <c r="E8116" s="260" t="s">
        <v>10153</v>
      </c>
      <c r="F8116" s="310">
        <v>3648</v>
      </c>
      <c r="G8116" s="311">
        <v>2000</v>
      </c>
      <c r="H8116" s="329" t="s">
        <v>3</v>
      </c>
      <c r="I8116" s="313" t="s">
        <v>3</v>
      </c>
      <c r="J8116" s="350">
        <v>7.8532700000000002</v>
      </c>
      <c r="K8116" s="350">
        <v>7.7570199999999998</v>
      </c>
      <c r="L8116" s="350">
        <f t="shared" si="109"/>
        <v>9.6250000000000391E-2</v>
      </c>
      <c r="M8116" s="337"/>
    </row>
    <row r="8117" spans="1:13" s="71" customFormat="1" ht="26.4" customHeight="1">
      <c r="A8117" s="282">
        <v>515</v>
      </c>
      <c r="B8117" s="537"/>
      <c r="C8117" s="307" t="s">
        <v>10154</v>
      </c>
      <c r="D8117" s="307" t="s">
        <v>10155</v>
      </c>
      <c r="E8117" s="353" t="s">
        <v>10156</v>
      </c>
      <c r="F8117" s="310">
        <v>3697</v>
      </c>
      <c r="G8117" s="311">
        <v>1950</v>
      </c>
      <c r="H8117" s="329" t="s">
        <v>1149</v>
      </c>
      <c r="I8117" s="313" t="s">
        <v>10157</v>
      </c>
      <c r="J8117" s="350">
        <v>365.71814000000001</v>
      </c>
      <c r="K8117" s="350">
        <v>365.71814000000001</v>
      </c>
      <c r="L8117" s="350">
        <f t="shared" si="109"/>
        <v>0</v>
      </c>
      <c r="M8117" s="337"/>
    </row>
    <row r="8118" spans="1:13" s="71" customFormat="1" ht="26.4" customHeight="1">
      <c r="A8118" s="282">
        <v>516</v>
      </c>
      <c r="B8118" s="537"/>
      <c r="C8118" s="307" t="s">
        <v>9552</v>
      </c>
      <c r="D8118" s="307" t="s">
        <v>10158</v>
      </c>
      <c r="E8118" s="353" t="s">
        <v>10159</v>
      </c>
      <c r="F8118" s="310">
        <v>3737</v>
      </c>
      <c r="G8118" s="311">
        <v>2001</v>
      </c>
      <c r="H8118" s="329" t="s">
        <v>1149</v>
      </c>
      <c r="I8118" s="313" t="s">
        <v>10160</v>
      </c>
      <c r="J8118" s="350">
        <v>4593.9338799999996</v>
      </c>
      <c r="K8118" s="350">
        <v>608.49211000000003</v>
      </c>
      <c r="L8118" s="350">
        <f t="shared" si="109"/>
        <v>3985.4417699999995</v>
      </c>
      <c r="M8118" s="337"/>
    </row>
    <row r="8119" spans="1:13" s="71" customFormat="1" ht="26.4" customHeight="1">
      <c r="A8119" s="282">
        <v>517</v>
      </c>
      <c r="B8119" s="537"/>
      <c r="C8119" s="307" t="s">
        <v>21</v>
      </c>
      <c r="D8119" s="307" t="s">
        <v>10161</v>
      </c>
      <c r="E8119" s="353" t="s">
        <v>10162</v>
      </c>
      <c r="F8119" s="310">
        <v>3851</v>
      </c>
      <c r="G8119" s="311">
        <v>1950</v>
      </c>
      <c r="H8119" s="329" t="s">
        <v>1149</v>
      </c>
      <c r="I8119" s="313" t="s">
        <v>10163</v>
      </c>
      <c r="J8119" s="350">
        <v>366.13704999999999</v>
      </c>
      <c r="K8119" s="350">
        <v>366.13704999999999</v>
      </c>
      <c r="L8119" s="350">
        <f t="shared" si="109"/>
        <v>0</v>
      </c>
      <c r="M8119" s="337"/>
    </row>
    <row r="8120" spans="1:13" s="71" customFormat="1" ht="26.4" customHeight="1">
      <c r="A8120" s="282">
        <v>518</v>
      </c>
      <c r="B8120" s="537"/>
      <c r="C8120" s="307" t="s">
        <v>21</v>
      </c>
      <c r="D8120" s="307" t="s">
        <v>10164</v>
      </c>
      <c r="E8120" s="353" t="s">
        <v>10165</v>
      </c>
      <c r="F8120" s="310">
        <v>3852</v>
      </c>
      <c r="G8120" s="311">
        <v>1952</v>
      </c>
      <c r="H8120" s="329" t="s">
        <v>1149</v>
      </c>
      <c r="I8120" s="313" t="s">
        <v>9632</v>
      </c>
      <c r="J8120" s="350">
        <v>367.93243999999999</v>
      </c>
      <c r="K8120" s="350">
        <v>367.93243999999999</v>
      </c>
      <c r="L8120" s="350">
        <f t="shared" si="109"/>
        <v>0</v>
      </c>
      <c r="M8120" s="337"/>
    </row>
    <row r="8121" spans="1:13" s="71" customFormat="1" ht="26.4" customHeight="1">
      <c r="A8121" s="282">
        <v>519</v>
      </c>
      <c r="B8121" s="537"/>
      <c r="C8121" s="307" t="s">
        <v>9552</v>
      </c>
      <c r="D8121" s="307" t="s">
        <v>9794</v>
      </c>
      <c r="E8121" s="353" t="s">
        <v>10166</v>
      </c>
      <c r="F8121" s="310">
        <v>3881</v>
      </c>
      <c r="G8121" s="311">
        <v>1993</v>
      </c>
      <c r="H8121" s="329" t="s">
        <v>1149</v>
      </c>
      <c r="I8121" s="313" t="s">
        <v>10167</v>
      </c>
      <c r="J8121" s="350">
        <v>12.45</v>
      </c>
      <c r="K8121" s="350">
        <v>8.9233600000000006</v>
      </c>
      <c r="L8121" s="350">
        <f t="shared" si="109"/>
        <v>3.5266399999999987</v>
      </c>
      <c r="M8121" s="337"/>
    </row>
    <row r="8122" spans="1:13" s="71" customFormat="1" ht="26.4" customHeight="1">
      <c r="A8122" s="282">
        <v>520</v>
      </c>
      <c r="B8122" s="537"/>
      <c r="C8122" s="307" t="s">
        <v>21</v>
      </c>
      <c r="D8122" s="313" t="s">
        <v>10021</v>
      </c>
      <c r="E8122" s="260" t="s">
        <v>10168</v>
      </c>
      <c r="F8122" s="310">
        <v>3897</v>
      </c>
      <c r="G8122" s="311">
        <v>1954</v>
      </c>
      <c r="H8122" s="329" t="s">
        <v>2658</v>
      </c>
      <c r="I8122" s="313">
        <v>32.5</v>
      </c>
      <c r="J8122" s="350">
        <v>1.831</v>
      </c>
      <c r="K8122" s="350">
        <v>1.7842199999999999</v>
      </c>
      <c r="L8122" s="350">
        <f t="shared" si="109"/>
        <v>4.6780000000000044E-2</v>
      </c>
      <c r="M8122" s="337"/>
    </row>
    <row r="8123" spans="1:13" s="71" customFormat="1" ht="26.4" customHeight="1">
      <c r="A8123" s="282">
        <v>521</v>
      </c>
      <c r="B8123" s="537"/>
      <c r="C8123" s="307" t="s">
        <v>9799</v>
      </c>
      <c r="D8123" s="307" t="s">
        <v>9794</v>
      </c>
      <c r="E8123" s="353" t="s">
        <v>10169</v>
      </c>
      <c r="F8123" s="310">
        <v>3917</v>
      </c>
      <c r="G8123" s="311">
        <v>2001</v>
      </c>
      <c r="H8123" s="329" t="s">
        <v>3</v>
      </c>
      <c r="I8123" s="313" t="s">
        <v>3</v>
      </c>
      <c r="J8123" s="350">
        <v>273.02999999999997</v>
      </c>
      <c r="K8123" s="350">
        <v>139.41888</v>
      </c>
      <c r="L8123" s="350">
        <f t="shared" si="109"/>
        <v>133.61111999999997</v>
      </c>
      <c r="M8123" s="337"/>
    </row>
    <row r="8124" spans="1:13" s="71" customFormat="1" ht="26.4" customHeight="1">
      <c r="A8124" s="282">
        <v>522</v>
      </c>
      <c r="B8124" s="537"/>
      <c r="C8124" s="307" t="s">
        <v>9799</v>
      </c>
      <c r="D8124" s="307" t="s">
        <v>10170</v>
      </c>
      <c r="E8124" s="353" t="s">
        <v>10171</v>
      </c>
      <c r="F8124" s="310">
        <v>3918</v>
      </c>
      <c r="G8124" s="311">
        <v>2001</v>
      </c>
      <c r="H8124" s="329" t="s">
        <v>2658</v>
      </c>
      <c r="I8124" s="313">
        <v>518</v>
      </c>
      <c r="J8124" s="350">
        <v>4.4489999999999998</v>
      </c>
      <c r="K8124" s="350">
        <v>3.5596800000000002</v>
      </c>
      <c r="L8124" s="350">
        <f t="shared" si="109"/>
        <v>0.88931999999999967</v>
      </c>
      <c r="M8124" s="337"/>
    </row>
    <row r="8125" spans="1:13" s="71" customFormat="1" ht="26.4" customHeight="1">
      <c r="A8125" s="282">
        <v>523</v>
      </c>
      <c r="B8125" s="537"/>
      <c r="C8125" s="307" t="s">
        <v>9799</v>
      </c>
      <c r="D8125" s="307" t="s">
        <v>10170</v>
      </c>
      <c r="E8125" s="353" t="s">
        <v>10171</v>
      </c>
      <c r="F8125" s="310">
        <v>3919</v>
      </c>
      <c r="G8125" s="311">
        <v>2001</v>
      </c>
      <c r="H8125" s="329" t="s">
        <v>2658</v>
      </c>
      <c r="I8125" s="313">
        <v>82</v>
      </c>
      <c r="J8125" s="350">
        <v>5.05</v>
      </c>
      <c r="K8125" s="350">
        <v>2.0198399999999999</v>
      </c>
      <c r="L8125" s="350">
        <f t="shared" si="109"/>
        <v>3.03016</v>
      </c>
      <c r="M8125" s="337"/>
    </row>
    <row r="8126" spans="1:13" s="71" customFormat="1" ht="26.4" customHeight="1">
      <c r="A8126" s="282">
        <v>524</v>
      </c>
      <c r="B8126" s="537"/>
      <c r="C8126" s="307" t="s">
        <v>9799</v>
      </c>
      <c r="D8126" s="307" t="s">
        <v>10170</v>
      </c>
      <c r="E8126" s="353" t="s">
        <v>10172</v>
      </c>
      <c r="F8126" s="310">
        <v>3920</v>
      </c>
      <c r="G8126" s="311">
        <v>2001</v>
      </c>
      <c r="H8126" s="329" t="s">
        <v>2658</v>
      </c>
      <c r="I8126" s="313">
        <v>150</v>
      </c>
      <c r="J8126" s="350">
        <v>1.4770000000000001</v>
      </c>
      <c r="K8126" s="350">
        <v>0.71616000000000002</v>
      </c>
      <c r="L8126" s="350">
        <f t="shared" si="109"/>
        <v>0.76084000000000007</v>
      </c>
      <c r="M8126" s="337"/>
    </row>
    <row r="8127" spans="1:13" s="71" customFormat="1" ht="26.4" customHeight="1">
      <c r="A8127" s="282">
        <v>525</v>
      </c>
      <c r="B8127" s="537"/>
      <c r="C8127" s="307" t="s">
        <v>9799</v>
      </c>
      <c r="D8127" s="307" t="s">
        <v>10170</v>
      </c>
      <c r="E8127" s="353" t="s">
        <v>10173</v>
      </c>
      <c r="F8127" s="310">
        <v>3921</v>
      </c>
      <c r="G8127" s="311">
        <v>2001</v>
      </c>
      <c r="H8127" s="329" t="s">
        <v>2658</v>
      </c>
      <c r="I8127" s="313">
        <v>45</v>
      </c>
      <c r="J8127" s="350">
        <v>3.6640000000000001</v>
      </c>
      <c r="K8127" s="350">
        <v>2.3443200000000002</v>
      </c>
      <c r="L8127" s="350">
        <f t="shared" si="109"/>
        <v>1.31968</v>
      </c>
      <c r="M8127" s="337"/>
    </row>
    <row r="8128" spans="1:13" s="71" customFormat="1" ht="26.4" customHeight="1">
      <c r="A8128" s="282">
        <v>526</v>
      </c>
      <c r="B8128" s="537"/>
      <c r="C8128" s="307" t="s">
        <v>9484</v>
      </c>
      <c r="D8128" s="313" t="s">
        <v>3</v>
      </c>
      <c r="E8128" s="260" t="s">
        <v>10174</v>
      </c>
      <c r="F8128" s="310">
        <v>3923</v>
      </c>
      <c r="G8128" s="311">
        <v>1976</v>
      </c>
      <c r="H8128" s="329" t="s">
        <v>2658</v>
      </c>
      <c r="I8128" s="313">
        <v>21240</v>
      </c>
      <c r="J8128" s="350">
        <v>1805.36913</v>
      </c>
      <c r="K8128" s="350">
        <v>1427.5671500000001</v>
      </c>
      <c r="L8128" s="350">
        <f t="shared" si="109"/>
        <v>377.80197999999996</v>
      </c>
      <c r="M8128" s="337"/>
    </row>
    <row r="8129" spans="1:13" s="332" customFormat="1" ht="26.4" customHeight="1">
      <c r="A8129" s="445">
        <v>527</v>
      </c>
      <c r="B8129" s="537"/>
      <c r="C8129" s="313" t="s">
        <v>9453</v>
      </c>
      <c r="D8129" s="313" t="s">
        <v>10175</v>
      </c>
      <c r="E8129" s="444" t="s">
        <v>10176</v>
      </c>
      <c r="F8129" s="310">
        <v>4043</v>
      </c>
      <c r="G8129" s="311">
        <v>2004</v>
      </c>
      <c r="H8129" s="329" t="s">
        <v>3</v>
      </c>
      <c r="I8129" s="313" t="s">
        <v>3</v>
      </c>
      <c r="J8129" s="350">
        <v>1.3066800000000001</v>
      </c>
      <c r="K8129" s="350">
        <v>1.2564</v>
      </c>
      <c r="L8129" s="350">
        <f t="shared" si="109"/>
        <v>5.0280000000000102E-2</v>
      </c>
      <c r="M8129" s="331"/>
    </row>
    <row r="8130" spans="1:13" s="71" customFormat="1" ht="26.4" customHeight="1">
      <c r="A8130" s="282">
        <v>528</v>
      </c>
      <c r="B8130" s="537"/>
      <c r="C8130" s="313" t="s">
        <v>9453</v>
      </c>
      <c r="D8130" s="313" t="s">
        <v>10175</v>
      </c>
      <c r="E8130" s="444" t="s">
        <v>10177</v>
      </c>
      <c r="F8130" s="310">
        <v>4044</v>
      </c>
      <c r="G8130" s="311">
        <v>2004</v>
      </c>
      <c r="H8130" s="329" t="s">
        <v>3</v>
      </c>
      <c r="I8130" s="313" t="s">
        <v>3</v>
      </c>
      <c r="J8130" s="350">
        <v>3.73976</v>
      </c>
      <c r="K8130" s="350">
        <v>3.5697800000000002</v>
      </c>
      <c r="L8130" s="350">
        <f t="shared" si="109"/>
        <v>0.1699799999999998</v>
      </c>
      <c r="M8130" s="337"/>
    </row>
    <row r="8131" spans="1:13" s="71" customFormat="1" ht="26.4" customHeight="1">
      <c r="A8131" s="282">
        <v>529</v>
      </c>
      <c r="B8131" s="537"/>
      <c r="C8131" s="313" t="s">
        <v>9453</v>
      </c>
      <c r="D8131" s="313" t="s">
        <v>10175</v>
      </c>
      <c r="E8131" s="444" t="s">
        <v>10178</v>
      </c>
      <c r="F8131" s="310">
        <v>4046</v>
      </c>
      <c r="G8131" s="311">
        <v>2004</v>
      </c>
      <c r="H8131" s="329" t="s">
        <v>3</v>
      </c>
      <c r="I8131" s="313" t="s">
        <v>3</v>
      </c>
      <c r="J8131" s="350">
        <v>1.6252</v>
      </c>
      <c r="K8131" s="350">
        <v>1.53142</v>
      </c>
      <c r="L8131" s="350">
        <f t="shared" si="109"/>
        <v>9.3779999999999974E-2</v>
      </c>
      <c r="M8131" s="337"/>
    </row>
    <row r="8132" spans="1:13" s="71" customFormat="1" ht="26.4" customHeight="1">
      <c r="A8132" s="282">
        <v>530</v>
      </c>
      <c r="B8132" s="537"/>
      <c r="C8132" s="313" t="s">
        <v>9721</v>
      </c>
      <c r="D8132" s="313" t="s">
        <v>3</v>
      </c>
      <c r="E8132" s="444" t="s">
        <v>10179</v>
      </c>
      <c r="F8132" s="310">
        <v>4521</v>
      </c>
      <c r="G8132" s="311">
        <v>2005</v>
      </c>
      <c r="H8132" s="329" t="s">
        <v>3</v>
      </c>
      <c r="I8132" s="313" t="s">
        <v>3</v>
      </c>
      <c r="J8132" s="350">
        <v>404.21499999999997</v>
      </c>
      <c r="K8132" s="350">
        <v>51.2012</v>
      </c>
      <c r="L8132" s="350">
        <f t="shared" si="109"/>
        <v>353.01379999999995</v>
      </c>
      <c r="M8132" s="337"/>
    </row>
    <row r="8133" spans="1:13" s="71" customFormat="1" ht="26.4" customHeight="1">
      <c r="A8133" s="282">
        <v>531</v>
      </c>
      <c r="B8133" s="537"/>
      <c r="C8133" s="307" t="s">
        <v>9799</v>
      </c>
      <c r="D8133" s="307" t="s">
        <v>9794</v>
      </c>
      <c r="E8133" s="353" t="s">
        <v>10180</v>
      </c>
      <c r="F8133" s="310">
        <v>4526</v>
      </c>
      <c r="G8133" s="311">
        <v>1954</v>
      </c>
      <c r="H8133" s="329" t="s">
        <v>1149</v>
      </c>
      <c r="I8133" s="313" t="s">
        <v>9651</v>
      </c>
      <c r="J8133" s="350">
        <v>4.4222099999999998</v>
      </c>
      <c r="K8133" s="350">
        <v>4.3032500000000002</v>
      </c>
      <c r="L8133" s="350">
        <f t="shared" si="109"/>
        <v>0.11895999999999951</v>
      </c>
      <c r="M8133" s="337"/>
    </row>
    <row r="8134" spans="1:13" s="71" customFormat="1" ht="26.4" customHeight="1">
      <c r="A8134" s="282">
        <v>532</v>
      </c>
      <c r="B8134" s="537"/>
      <c r="C8134" s="307" t="s">
        <v>10181</v>
      </c>
      <c r="D8134" s="307" t="s">
        <v>9977</v>
      </c>
      <c r="E8134" s="353" t="s">
        <v>10180</v>
      </c>
      <c r="F8134" s="310">
        <v>4528</v>
      </c>
      <c r="G8134" s="311">
        <v>1999</v>
      </c>
      <c r="H8134" s="329" t="s">
        <v>1149</v>
      </c>
      <c r="I8134" s="313" t="s">
        <v>9651</v>
      </c>
      <c r="J8134" s="350">
        <v>8.1166</v>
      </c>
      <c r="K8134" s="350">
        <v>3.8847700000000001</v>
      </c>
      <c r="L8134" s="350">
        <f t="shared" si="109"/>
        <v>4.2318300000000004</v>
      </c>
      <c r="M8134" s="337"/>
    </row>
    <row r="8135" spans="1:13" s="71" customFormat="1" ht="26.4" customHeight="1">
      <c r="A8135" s="282">
        <v>533</v>
      </c>
      <c r="B8135" s="537"/>
      <c r="C8135" s="307" t="s">
        <v>9721</v>
      </c>
      <c r="D8135" s="307" t="s">
        <v>3</v>
      </c>
      <c r="E8135" s="353" t="s">
        <v>10182</v>
      </c>
      <c r="F8135" s="310">
        <v>4529</v>
      </c>
      <c r="G8135" s="311">
        <v>2005</v>
      </c>
      <c r="H8135" s="329" t="s">
        <v>1149</v>
      </c>
      <c r="I8135" s="313" t="s">
        <v>10183</v>
      </c>
      <c r="J8135" s="350">
        <v>12.76</v>
      </c>
      <c r="K8135" s="350">
        <v>5.1862399999999997</v>
      </c>
      <c r="L8135" s="350">
        <f t="shared" si="109"/>
        <v>7.57376</v>
      </c>
      <c r="M8135" s="337"/>
    </row>
    <row r="8136" spans="1:13" s="71" customFormat="1" ht="26.4" customHeight="1">
      <c r="A8136" s="282">
        <v>534</v>
      </c>
      <c r="B8136" s="537"/>
      <c r="C8136" s="307" t="s">
        <v>9721</v>
      </c>
      <c r="D8136" s="307" t="s">
        <v>3</v>
      </c>
      <c r="E8136" s="260" t="s">
        <v>5483</v>
      </c>
      <c r="F8136" s="310">
        <v>4530</v>
      </c>
      <c r="G8136" s="311">
        <v>2005</v>
      </c>
      <c r="H8136" s="329" t="s">
        <v>2658</v>
      </c>
      <c r="I8136" s="313">
        <v>411</v>
      </c>
      <c r="J8136" s="350">
        <v>52.606999999999999</v>
      </c>
      <c r="K8136" s="350">
        <v>33.318399999999997</v>
      </c>
      <c r="L8136" s="350">
        <f t="shared" si="109"/>
        <v>19.288600000000002</v>
      </c>
      <c r="M8136" s="337"/>
    </row>
    <row r="8137" spans="1:13" s="71" customFormat="1" ht="26.4" customHeight="1">
      <c r="A8137" s="282">
        <v>535</v>
      </c>
      <c r="B8137" s="537"/>
      <c r="C8137" s="307" t="s">
        <v>9721</v>
      </c>
      <c r="D8137" s="307" t="s">
        <v>3</v>
      </c>
      <c r="E8137" s="260" t="s">
        <v>10184</v>
      </c>
      <c r="F8137" s="310">
        <v>4531</v>
      </c>
      <c r="G8137" s="311">
        <v>2005</v>
      </c>
      <c r="H8137" s="329" t="s">
        <v>2658</v>
      </c>
      <c r="I8137" s="313">
        <v>230</v>
      </c>
      <c r="J8137" s="350">
        <v>13.24</v>
      </c>
      <c r="K8137" s="350">
        <v>3.3546399999999998</v>
      </c>
      <c r="L8137" s="350">
        <f t="shared" si="109"/>
        <v>9.8853600000000004</v>
      </c>
      <c r="M8137" s="337"/>
    </row>
    <row r="8138" spans="1:13" s="71" customFormat="1" ht="26.4" customHeight="1">
      <c r="A8138" s="282">
        <v>536</v>
      </c>
      <c r="B8138" s="537"/>
      <c r="C8138" s="307" t="s">
        <v>9721</v>
      </c>
      <c r="D8138" s="307" t="s">
        <v>3</v>
      </c>
      <c r="E8138" s="260" t="s">
        <v>10185</v>
      </c>
      <c r="F8138" s="310">
        <v>4532</v>
      </c>
      <c r="G8138" s="311">
        <v>2005</v>
      </c>
      <c r="H8138" s="329" t="s">
        <v>2658</v>
      </c>
      <c r="I8138" s="313">
        <v>1609</v>
      </c>
      <c r="J8138" s="350">
        <v>81.797399999999996</v>
      </c>
      <c r="K8138" s="350">
        <v>31.397120000000001</v>
      </c>
      <c r="L8138" s="350">
        <f t="shared" si="109"/>
        <v>50.400279999999995</v>
      </c>
      <c r="M8138" s="337"/>
    </row>
    <row r="8139" spans="1:13" s="71" customFormat="1" ht="26.4" customHeight="1">
      <c r="A8139" s="282">
        <v>537</v>
      </c>
      <c r="B8139" s="537"/>
      <c r="C8139" s="307" t="s">
        <v>9721</v>
      </c>
      <c r="D8139" s="307" t="s">
        <v>3</v>
      </c>
      <c r="E8139" s="260" t="s">
        <v>10186</v>
      </c>
      <c r="F8139" s="310">
        <v>4533</v>
      </c>
      <c r="G8139" s="311">
        <v>2005</v>
      </c>
      <c r="H8139" s="329" t="s">
        <v>2658</v>
      </c>
      <c r="I8139" s="313">
        <v>76.5</v>
      </c>
      <c r="J8139" s="350">
        <v>17.815000000000001</v>
      </c>
      <c r="K8139" s="350">
        <v>11.282959999999999</v>
      </c>
      <c r="L8139" s="350">
        <f t="shared" si="109"/>
        <v>6.5320400000000021</v>
      </c>
      <c r="M8139" s="337"/>
    </row>
    <row r="8140" spans="1:13" s="71" customFormat="1" ht="26.4" customHeight="1">
      <c r="A8140" s="282">
        <v>538</v>
      </c>
      <c r="B8140" s="537"/>
      <c r="C8140" s="307" t="s">
        <v>9721</v>
      </c>
      <c r="D8140" s="307" t="s">
        <v>3</v>
      </c>
      <c r="E8140" s="260" t="s">
        <v>10187</v>
      </c>
      <c r="F8140" s="310">
        <v>4534</v>
      </c>
      <c r="G8140" s="311">
        <v>2005</v>
      </c>
      <c r="H8140" s="329" t="s">
        <v>2658</v>
      </c>
      <c r="I8140" s="313">
        <v>7.5</v>
      </c>
      <c r="J8140" s="350">
        <v>2.62</v>
      </c>
      <c r="K8140" s="350">
        <v>1.65984</v>
      </c>
      <c r="L8140" s="350">
        <f t="shared" si="109"/>
        <v>0.96016000000000012</v>
      </c>
      <c r="M8140" s="337"/>
    </row>
    <row r="8141" spans="1:13" s="71" customFormat="1" ht="26.4" customHeight="1">
      <c r="A8141" s="282">
        <v>539</v>
      </c>
      <c r="B8141" s="537"/>
      <c r="C8141" s="307" t="s">
        <v>9721</v>
      </c>
      <c r="D8141" s="307" t="s">
        <v>3</v>
      </c>
      <c r="E8141" s="353" t="s">
        <v>10188</v>
      </c>
      <c r="F8141" s="310">
        <v>4566</v>
      </c>
      <c r="G8141" s="311">
        <v>1999</v>
      </c>
      <c r="H8141" s="329" t="s">
        <v>1149</v>
      </c>
      <c r="I8141" s="313" t="s">
        <v>10189</v>
      </c>
      <c r="J8141" s="350">
        <v>0.69115000000000004</v>
      </c>
      <c r="K8141" s="350">
        <v>0.59323000000000004</v>
      </c>
      <c r="L8141" s="350">
        <f t="shared" si="109"/>
        <v>9.7920000000000007E-2</v>
      </c>
      <c r="M8141" s="337"/>
    </row>
    <row r="8142" spans="1:13" s="71" customFormat="1" ht="26.4" customHeight="1">
      <c r="A8142" s="282">
        <v>540</v>
      </c>
      <c r="B8142" s="537"/>
      <c r="C8142" s="307" t="s">
        <v>9721</v>
      </c>
      <c r="D8142" s="307" t="s">
        <v>3</v>
      </c>
      <c r="E8142" s="353" t="s">
        <v>10190</v>
      </c>
      <c r="F8142" s="310">
        <v>4567</v>
      </c>
      <c r="G8142" s="311">
        <v>1999</v>
      </c>
      <c r="H8142" s="329" t="s">
        <v>1149</v>
      </c>
      <c r="I8142" s="313" t="s">
        <v>24</v>
      </c>
      <c r="J8142" s="350">
        <v>0.36020000000000002</v>
      </c>
      <c r="K8142" s="350">
        <v>0.27592</v>
      </c>
      <c r="L8142" s="350">
        <f t="shared" si="109"/>
        <v>8.4280000000000022E-2</v>
      </c>
      <c r="M8142" s="337"/>
    </row>
    <row r="8143" spans="1:13" s="71" customFormat="1" ht="26.4" customHeight="1">
      <c r="A8143" s="282">
        <v>541</v>
      </c>
      <c r="B8143" s="537"/>
      <c r="C8143" s="307" t="s">
        <v>9474</v>
      </c>
      <c r="D8143" s="307" t="s">
        <v>9871</v>
      </c>
      <c r="E8143" s="353" t="s">
        <v>12828</v>
      </c>
      <c r="F8143" s="310">
        <v>4568</v>
      </c>
      <c r="G8143" s="311">
        <v>1989</v>
      </c>
      <c r="H8143" s="329" t="s">
        <v>1149</v>
      </c>
      <c r="I8143" s="313" t="s">
        <v>10191</v>
      </c>
      <c r="J8143" s="350">
        <v>3.0842000000000001</v>
      </c>
      <c r="K8143" s="350">
        <v>3.0167000000000002</v>
      </c>
      <c r="L8143" s="350">
        <f t="shared" si="109"/>
        <v>6.7499999999999893E-2</v>
      </c>
      <c r="M8143" s="337"/>
    </row>
    <row r="8144" spans="1:13" s="71" customFormat="1" ht="26.4" customHeight="1">
      <c r="A8144" s="282">
        <v>542</v>
      </c>
      <c r="B8144" s="537"/>
      <c r="C8144" s="307" t="s">
        <v>21</v>
      </c>
      <c r="D8144" s="313" t="s">
        <v>9690</v>
      </c>
      <c r="E8144" s="353" t="s">
        <v>10192</v>
      </c>
      <c r="F8144" s="310">
        <v>4569</v>
      </c>
      <c r="G8144" s="311">
        <v>1963</v>
      </c>
      <c r="H8144" s="329" t="s">
        <v>1149</v>
      </c>
      <c r="I8144" s="313" t="s">
        <v>10193</v>
      </c>
      <c r="J8144" s="350">
        <v>7.1242000000000001</v>
      </c>
      <c r="K8144" s="350">
        <v>5.5469200000000001</v>
      </c>
      <c r="L8144" s="350">
        <f t="shared" si="109"/>
        <v>1.57728</v>
      </c>
      <c r="M8144" s="337"/>
    </row>
    <row r="8145" spans="1:13" s="71" customFormat="1" ht="26.4" customHeight="1">
      <c r="A8145" s="282">
        <v>543</v>
      </c>
      <c r="B8145" s="537"/>
      <c r="C8145" s="307" t="s">
        <v>21</v>
      </c>
      <c r="D8145" s="307" t="s">
        <v>3</v>
      </c>
      <c r="E8145" s="353" t="s">
        <v>10194</v>
      </c>
      <c r="F8145" s="310">
        <v>4570</v>
      </c>
      <c r="G8145" s="311">
        <v>1979</v>
      </c>
      <c r="H8145" s="329" t="s">
        <v>1149</v>
      </c>
      <c r="I8145" s="313" t="s">
        <v>20</v>
      </c>
      <c r="J8145" s="350">
        <v>0.47377999999999998</v>
      </c>
      <c r="K8145" s="350">
        <v>0.47377999999999998</v>
      </c>
      <c r="L8145" s="350">
        <f t="shared" si="109"/>
        <v>0</v>
      </c>
      <c r="M8145" s="337"/>
    </row>
    <row r="8146" spans="1:13" s="71" customFormat="1" ht="26.4" customHeight="1">
      <c r="A8146" s="282">
        <v>544</v>
      </c>
      <c r="B8146" s="537"/>
      <c r="C8146" s="307" t="s">
        <v>21</v>
      </c>
      <c r="D8146" s="307" t="s">
        <v>3</v>
      </c>
      <c r="E8146" s="353" t="s">
        <v>10195</v>
      </c>
      <c r="F8146" s="310">
        <v>4571</v>
      </c>
      <c r="G8146" s="311">
        <v>1980</v>
      </c>
      <c r="H8146" s="329" t="s">
        <v>1149</v>
      </c>
      <c r="I8146" s="313" t="s">
        <v>18</v>
      </c>
      <c r="J8146" s="350">
        <v>0.68096000000000001</v>
      </c>
      <c r="K8146" s="350">
        <v>0.68096000000000001</v>
      </c>
      <c r="L8146" s="350">
        <f t="shared" si="109"/>
        <v>0</v>
      </c>
      <c r="M8146" s="337"/>
    </row>
    <row r="8147" spans="1:13" s="71" customFormat="1" ht="26.4" customHeight="1">
      <c r="A8147" s="282">
        <v>545</v>
      </c>
      <c r="B8147" s="537"/>
      <c r="C8147" s="307" t="s">
        <v>9552</v>
      </c>
      <c r="D8147" s="307" t="s">
        <v>10015</v>
      </c>
      <c r="E8147" s="353" t="s">
        <v>10196</v>
      </c>
      <c r="F8147" s="310">
        <v>4579</v>
      </c>
      <c r="G8147" s="311">
        <v>1999</v>
      </c>
      <c r="H8147" s="329" t="s">
        <v>3</v>
      </c>
      <c r="I8147" s="313" t="s">
        <v>3</v>
      </c>
      <c r="J8147" s="350">
        <v>15.986800000000001</v>
      </c>
      <c r="K8147" s="350">
        <v>14.800549999999999</v>
      </c>
      <c r="L8147" s="350">
        <f t="shared" si="109"/>
        <v>1.1862500000000011</v>
      </c>
      <c r="M8147" s="337"/>
    </row>
    <row r="8148" spans="1:13" s="71" customFormat="1" ht="26.4" customHeight="1">
      <c r="A8148" s="282">
        <v>546</v>
      </c>
      <c r="B8148" s="537"/>
      <c r="C8148" s="307" t="s">
        <v>21</v>
      </c>
      <c r="D8148" s="307" t="s">
        <v>3</v>
      </c>
      <c r="E8148" s="353" t="s">
        <v>10197</v>
      </c>
      <c r="F8148" s="310">
        <v>4580</v>
      </c>
      <c r="G8148" s="311">
        <v>1999</v>
      </c>
      <c r="H8148" s="329" t="s">
        <v>1149</v>
      </c>
      <c r="I8148" s="313" t="s">
        <v>10198</v>
      </c>
      <c r="J8148" s="350">
        <v>0.84672000000000003</v>
      </c>
      <c r="K8148" s="350">
        <v>0.84672000000000003</v>
      </c>
      <c r="L8148" s="350">
        <f t="shared" si="109"/>
        <v>0</v>
      </c>
      <c r="M8148" s="337"/>
    </row>
    <row r="8149" spans="1:13" s="71" customFormat="1" ht="26.4" customHeight="1">
      <c r="A8149" s="282">
        <v>547</v>
      </c>
      <c r="B8149" s="537"/>
      <c r="C8149" s="313" t="s">
        <v>12829</v>
      </c>
      <c r="D8149" s="307" t="s">
        <v>3</v>
      </c>
      <c r="E8149" s="260" t="s">
        <v>10199</v>
      </c>
      <c r="F8149" s="310">
        <v>4583</v>
      </c>
      <c r="G8149" s="311">
        <v>1972</v>
      </c>
      <c r="H8149" s="329" t="s">
        <v>2658</v>
      </c>
      <c r="I8149" s="313">
        <v>339.5</v>
      </c>
      <c r="J8149" s="350">
        <v>21.00573</v>
      </c>
      <c r="K8149" s="350">
        <v>21.00573</v>
      </c>
      <c r="L8149" s="350">
        <f t="shared" si="109"/>
        <v>0</v>
      </c>
      <c r="M8149" s="337"/>
    </row>
    <row r="8150" spans="1:13" s="71" customFormat="1" ht="26.4" customHeight="1">
      <c r="A8150" s="282">
        <v>548</v>
      </c>
      <c r="B8150" s="537"/>
      <c r="C8150" s="307" t="s">
        <v>21</v>
      </c>
      <c r="D8150" s="307" t="s">
        <v>10200</v>
      </c>
      <c r="E8150" s="260" t="s">
        <v>10201</v>
      </c>
      <c r="F8150" s="310">
        <v>4584</v>
      </c>
      <c r="G8150" s="311">
        <v>1953</v>
      </c>
      <c r="H8150" s="329" t="s">
        <v>2658</v>
      </c>
      <c r="I8150" s="313">
        <v>86</v>
      </c>
      <c r="J8150" s="350">
        <v>5.3680899999999996</v>
      </c>
      <c r="K8150" s="350">
        <v>5.3514400000000002</v>
      </c>
      <c r="L8150" s="350">
        <f t="shared" si="109"/>
        <v>1.6649999999999388E-2</v>
      </c>
      <c r="M8150" s="337"/>
    </row>
    <row r="8151" spans="1:13" s="71" customFormat="1" ht="26.4" customHeight="1">
      <c r="A8151" s="282">
        <v>549</v>
      </c>
      <c r="B8151" s="537"/>
      <c r="C8151" s="313" t="s">
        <v>12830</v>
      </c>
      <c r="D8151" s="307" t="s">
        <v>10202</v>
      </c>
      <c r="E8151" s="260" t="s">
        <v>10203</v>
      </c>
      <c r="F8151" s="310">
        <v>4585</v>
      </c>
      <c r="G8151" s="311">
        <v>1972</v>
      </c>
      <c r="H8151" s="329" t="s">
        <v>2658</v>
      </c>
      <c r="I8151" s="313">
        <v>37</v>
      </c>
      <c r="J8151" s="350">
        <v>0.86628000000000005</v>
      </c>
      <c r="K8151" s="350">
        <v>0.85790999999999995</v>
      </c>
      <c r="L8151" s="350">
        <f t="shared" si="109"/>
        <v>8.3700000000000996E-3</v>
      </c>
      <c r="M8151" s="337"/>
    </row>
    <row r="8152" spans="1:13" s="71" customFormat="1" ht="26.4" customHeight="1">
      <c r="A8152" s="282">
        <v>550</v>
      </c>
      <c r="B8152" s="537"/>
      <c r="C8152" s="313" t="s">
        <v>12830</v>
      </c>
      <c r="D8152" s="307" t="s">
        <v>10204</v>
      </c>
      <c r="E8152" s="260" t="s">
        <v>10205</v>
      </c>
      <c r="F8152" s="310">
        <v>4586</v>
      </c>
      <c r="G8152" s="311">
        <v>1972</v>
      </c>
      <c r="H8152" s="329" t="s">
        <v>2658</v>
      </c>
      <c r="I8152" s="313">
        <v>161</v>
      </c>
      <c r="J8152" s="350">
        <v>5.76119</v>
      </c>
      <c r="K8152" s="350">
        <v>5.6341099999999997</v>
      </c>
      <c r="L8152" s="350">
        <f t="shared" si="109"/>
        <v>0.1270800000000003</v>
      </c>
      <c r="M8152" s="337"/>
    </row>
    <row r="8153" spans="1:13" s="71" customFormat="1" ht="26.4" customHeight="1">
      <c r="A8153" s="282">
        <v>551</v>
      </c>
      <c r="B8153" s="537"/>
      <c r="C8153" s="313" t="s">
        <v>12830</v>
      </c>
      <c r="D8153" s="307" t="s">
        <v>10206</v>
      </c>
      <c r="E8153" s="260" t="s">
        <v>10207</v>
      </c>
      <c r="F8153" s="310">
        <v>4587</v>
      </c>
      <c r="G8153" s="311">
        <v>1972</v>
      </c>
      <c r="H8153" s="329" t="s">
        <v>2658</v>
      </c>
      <c r="I8153" s="313">
        <v>23</v>
      </c>
      <c r="J8153" s="350">
        <v>0.82308000000000003</v>
      </c>
      <c r="K8153" s="350">
        <v>0.80489999999999995</v>
      </c>
      <c r="L8153" s="350">
        <f t="shared" si="109"/>
        <v>1.8180000000000085E-2</v>
      </c>
      <c r="M8153" s="337"/>
    </row>
    <row r="8154" spans="1:13" s="71" customFormat="1" ht="26.4" customHeight="1">
      <c r="A8154" s="282">
        <v>552</v>
      </c>
      <c r="B8154" s="537"/>
      <c r="C8154" s="313" t="s">
        <v>12830</v>
      </c>
      <c r="D8154" s="307" t="s">
        <v>10208</v>
      </c>
      <c r="E8154" s="260" t="s">
        <v>10209</v>
      </c>
      <c r="F8154" s="310">
        <v>4588</v>
      </c>
      <c r="G8154" s="311">
        <v>1972</v>
      </c>
      <c r="H8154" s="329" t="s">
        <v>2658</v>
      </c>
      <c r="I8154" s="313">
        <v>61</v>
      </c>
      <c r="J8154" s="350">
        <v>2.1827999999999999</v>
      </c>
      <c r="K8154" s="350">
        <v>2.1346500000000002</v>
      </c>
      <c r="L8154" s="350">
        <f t="shared" si="109"/>
        <v>4.8149999999999693E-2</v>
      </c>
      <c r="M8154" s="337"/>
    </row>
    <row r="8155" spans="1:13" s="71" customFormat="1" ht="26.4" customHeight="1">
      <c r="A8155" s="282">
        <v>553</v>
      </c>
      <c r="B8155" s="537"/>
      <c r="C8155" s="313" t="s">
        <v>12830</v>
      </c>
      <c r="D8155" s="307" t="s">
        <v>10210</v>
      </c>
      <c r="E8155" s="260" t="s">
        <v>10211</v>
      </c>
      <c r="F8155" s="310">
        <v>4589</v>
      </c>
      <c r="G8155" s="311">
        <v>1972</v>
      </c>
      <c r="H8155" s="329" t="s">
        <v>2658</v>
      </c>
      <c r="I8155" s="313">
        <v>20</v>
      </c>
      <c r="J8155" s="350">
        <v>0.70814999999999995</v>
      </c>
      <c r="K8155" s="350">
        <v>0.69284999999999997</v>
      </c>
      <c r="L8155" s="350">
        <f t="shared" si="109"/>
        <v>1.529999999999998E-2</v>
      </c>
      <c r="M8155" s="337"/>
    </row>
    <row r="8156" spans="1:13" s="71" customFormat="1" ht="26.4" customHeight="1">
      <c r="A8156" s="282">
        <v>554</v>
      </c>
      <c r="B8156" s="537"/>
      <c r="C8156" s="313" t="s">
        <v>12830</v>
      </c>
      <c r="D8156" s="307" t="s">
        <v>10206</v>
      </c>
      <c r="E8156" s="260" t="s">
        <v>10212</v>
      </c>
      <c r="F8156" s="310">
        <v>4590</v>
      </c>
      <c r="G8156" s="311">
        <v>1972</v>
      </c>
      <c r="H8156" s="329" t="s">
        <v>2658</v>
      </c>
      <c r="I8156" s="313">
        <v>288</v>
      </c>
      <c r="J8156" s="350">
        <v>10.32719</v>
      </c>
      <c r="K8156" s="350">
        <v>10.099399999999999</v>
      </c>
      <c r="L8156" s="350">
        <f t="shared" si="109"/>
        <v>0.2277900000000006</v>
      </c>
      <c r="M8156" s="337"/>
    </row>
    <row r="8157" spans="1:13" s="71" customFormat="1" ht="26.4" customHeight="1">
      <c r="A8157" s="282">
        <v>555</v>
      </c>
      <c r="B8157" s="537"/>
      <c r="C8157" s="313" t="s">
        <v>12830</v>
      </c>
      <c r="D8157" s="307" t="s">
        <v>10213</v>
      </c>
      <c r="E8157" s="260" t="s">
        <v>13206</v>
      </c>
      <c r="F8157" s="310">
        <v>4591</v>
      </c>
      <c r="G8157" s="311">
        <v>2004</v>
      </c>
      <c r="H8157" s="329" t="s">
        <v>2658</v>
      </c>
      <c r="I8157" s="313">
        <v>42</v>
      </c>
      <c r="J8157" s="350">
        <v>0.75368999999999997</v>
      </c>
      <c r="K8157" s="350">
        <v>0.74843999999999999</v>
      </c>
      <c r="L8157" s="350">
        <f t="shared" si="109"/>
        <v>5.2499999999999769E-3</v>
      </c>
      <c r="M8157" s="337"/>
    </row>
    <row r="8158" spans="1:13" s="71" customFormat="1" ht="26.4" customHeight="1">
      <c r="A8158" s="282">
        <v>556</v>
      </c>
      <c r="B8158" s="537"/>
      <c r="C8158" s="313" t="s">
        <v>12830</v>
      </c>
      <c r="D8158" s="307" t="s">
        <v>12984</v>
      </c>
      <c r="E8158" s="260" t="s">
        <v>13207</v>
      </c>
      <c r="F8158" s="310">
        <v>4592</v>
      </c>
      <c r="G8158" s="311">
        <v>1972</v>
      </c>
      <c r="H8158" s="329" t="s">
        <v>2658</v>
      </c>
      <c r="I8158" s="313">
        <v>155</v>
      </c>
      <c r="J8158" s="350">
        <v>4.2414800000000001</v>
      </c>
      <c r="K8158" s="350">
        <v>4.1922499999999996</v>
      </c>
      <c r="L8158" s="350">
        <f t="shared" si="109"/>
        <v>4.9230000000000551E-2</v>
      </c>
      <c r="M8158" s="337"/>
    </row>
    <row r="8159" spans="1:13" s="71" customFormat="1" ht="26.4" customHeight="1">
      <c r="A8159" s="282">
        <v>557</v>
      </c>
      <c r="B8159" s="537"/>
      <c r="C8159" s="313" t="s">
        <v>12830</v>
      </c>
      <c r="D8159" s="307" t="s">
        <v>10210</v>
      </c>
      <c r="E8159" s="260" t="s">
        <v>10214</v>
      </c>
      <c r="F8159" s="310">
        <v>4593</v>
      </c>
      <c r="G8159" s="311">
        <v>1972</v>
      </c>
      <c r="H8159" s="329" t="s">
        <v>2658</v>
      </c>
      <c r="I8159" s="313">
        <v>48</v>
      </c>
      <c r="J8159" s="350">
        <v>0.82303999999999999</v>
      </c>
      <c r="K8159" s="350">
        <v>0.8135</v>
      </c>
      <c r="L8159" s="350">
        <f t="shared" si="109"/>
        <v>9.5399999999999929E-3</v>
      </c>
      <c r="M8159" s="337"/>
    </row>
    <row r="8160" spans="1:13" s="71" customFormat="1" ht="26.4" customHeight="1">
      <c r="A8160" s="282">
        <v>558</v>
      </c>
      <c r="B8160" s="537"/>
      <c r="C8160" s="313" t="s">
        <v>12830</v>
      </c>
      <c r="D8160" s="307" t="s">
        <v>10206</v>
      </c>
      <c r="E8160" s="260" t="s">
        <v>13208</v>
      </c>
      <c r="F8160" s="310">
        <v>4594</v>
      </c>
      <c r="G8160" s="311">
        <v>1972</v>
      </c>
      <c r="H8160" s="329" t="s">
        <v>2658</v>
      </c>
      <c r="I8160" s="313">
        <v>52</v>
      </c>
      <c r="J8160" s="350">
        <v>0.88175999999999999</v>
      </c>
      <c r="K8160" s="350">
        <v>0.87150000000000005</v>
      </c>
      <c r="L8160" s="350">
        <f t="shared" si="109"/>
        <v>1.0259999999999936E-2</v>
      </c>
      <c r="M8160" s="337"/>
    </row>
    <row r="8161" spans="1:13" s="71" customFormat="1" ht="26.4" customHeight="1">
      <c r="A8161" s="282">
        <v>559</v>
      </c>
      <c r="B8161" s="537"/>
      <c r="C8161" s="313" t="s">
        <v>12830</v>
      </c>
      <c r="D8161" s="307" t="s">
        <v>10215</v>
      </c>
      <c r="E8161" s="260" t="s">
        <v>10216</v>
      </c>
      <c r="F8161" s="310">
        <v>4595</v>
      </c>
      <c r="G8161" s="311">
        <v>1972</v>
      </c>
      <c r="H8161" s="329" t="s">
        <v>2658</v>
      </c>
      <c r="I8161" s="313">
        <v>218</v>
      </c>
      <c r="J8161" s="350">
        <v>6.1167400000000001</v>
      </c>
      <c r="K8161" s="350">
        <v>6.0343900000000001</v>
      </c>
      <c r="L8161" s="350">
        <f t="shared" si="109"/>
        <v>8.2349999999999923E-2</v>
      </c>
      <c r="M8161" s="337"/>
    </row>
    <row r="8162" spans="1:13" s="71" customFormat="1" ht="26.4" customHeight="1">
      <c r="A8162" s="282">
        <v>560</v>
      </c>
      <c r="B8162" s="537"/>
      <c r="C8162" s="313" t="s">
        <v>12830</v>
      </c>
      <c r="D8162" s="307" t="s">
        <v>10217</v>
      </c>
      <c r="E8162" s="260" t="s">
        <v>10218</v>
      </c>
      <c r="F8162" s="310">
        <v>4596</v>
      </c>
      <c r="G8162" s="311">
        <v>1972</v>
      </c>
      <c r="H8162" s="329" t="s">
        <v>2658</v>
      </c>
      <c r="I8162" s="313">
        <v>94</v>
      </c>
      <c r="J8162" s="350">
        <v>2.6026199999999999</v>
      </c>
      <c r="K8162" s="350">
        <v>2.5676100000000002</v>
      </c>
      <c r="L8162" s="350">
        <f t="shared" si="109"/>
        <v>3.5009999999999764E-2</v>
      </c>
      <c r="M8162" s="337"/>
    </row>
    <row r="8163" spans="1:13" s="71" customFormat="1" ht="26.4" customHeight="1">
      <c r="A8163" s="282">
        <v>561</v>
      </c>
      <c r="B8163" s="537"/>
      <c r="C8163" s="307" t="s">
        <v>9552</v>
      </c>
      <c r="D8163" s="313" t="s">
        <v>3</v>
      </c>
      <c r="E8163" s="260" t="s">
        <v>10219</v>
      </c>
      <c r="F8163" s="310">
        <v>4610</v>
      </c>
      <c r="G8163" s="311">
        <v>2005</v>
      </c>
      <c r="H8163" s="329" t="s">
        <v>2658</v>
      </c>
      <c r="I8163" s="313">
        <v>840</v>
      </c>
      <c r="J8163" s="350">
        <v>950.99211000000003</v>
      </c>
      <c r="K8163" s="350">
        <v>479.60244</v>
      </c>
      <c r="L8163" s="350">
        <f t="shared" si="109"/>
        <v>471.38967000000002</v>
      </c>
      <c r="M8163" s="337"/>
    </row>
    <row r="8164" spans="1:13" s="71" customFormat="1" ht="26.4" customHeight="1">
      <c r="A8164" s="282">
        <v>562</v>
      </c>
      <c r="B8164" s="537"/>
      <c r="C8164" s="307" t="s">
        <v>9552</v>
      </c>
      <c r="D8164" s="307" t="s">
        <v>9794</v>
      </c>
      <c r="E8164" s="353" t="s">
        <v>10220</v>
      </c>
      <c r="F8164" s="310">
        <v>4655</v>
      </c>
      <c r="G8164" s="311">
        <v>2007</v>
      </c>
      <c r="H8164" s="329" t="s">
        <v>1149</v>
      </c>
      <c r="I8164" s="313" t="s">
        <v>9870</v>
      </c>
      <c r="J8164" s="350">
        <v>9.8728599999999993</v>
      </c>
      <c r="K8164" s="350">
        <v>8.9130199999999995</v>
      </c>
      <c r="L8164" s="350">
        <f t="shared" si="109"/>
        <v>0.9598399999999998</v>
      </c>
      <c r="M8164" s="337"/>
    </row>
    <row r="8165" spans="1:13" s="71" customFormat="1" ht="26.4" customHeight="1">
      <c r="A8165" s="282">
        <v>563</v>
      </c>
      <c r="B8165" s="537"/>
      <c r="C8165" s="307" t="s">
        <v>10221</v>
      </c>
      <c r="D8165" s="313" t="s">
        <v>3</v>
      </c>
      <c r="E8165" s="260" t="s">
        <v>10222</v>
      </c>
      <c r="F8165" s="310">
        <v>4715</v>
      </c>
      <c r="G8165" s="311">
        <v>2007</v>
      </c>
      <c r="H8165" s="329" t="s">
        <v>2658</v>
      </c>
      <c r="I8165" s="313">
        <v>1300</v>
      </c>
      <c r="J8165" s="350">
        <v>133.03103999999999</v>
      </c>
      <c r="K8165" s="350">
        <v>131.19585000000001</v>
      </c>
      <c r="L8165" s="350">
        <f t="shared" si="109"/>
        <v>1.835189999999983</v>
      </c>
      <c r="M8165" s="337"/>
    </row>
    <row r="8166" spans="1:13" s="71" customFormat="1" ht="26.4" customHeight="1">
      <c r="A8166" s="282">
        <v>564</v>
      </c>
      <c r="B8166" s="537"/>
      <c r="C8166" s="307" t="s">
        <v>9552</v>
      </c>
      <c r="D8166" s="313" t="s">
        <v>3</v>
      </c>
      <c r="E8166" s="260" t="s">
        <v>10223</v>
      </c>
      <c r="F8166" s="310">
        <v>5075</v>
      </c>
      <c r="G8166" s="311">
        <v>2009</v>
      </c>
      <c r="H8166" s="329" t="s">
        <v>2658</v>
      </c>
      <c r="I8166" s="313">
        <v>3083</v>
      </c>
      <c r="J8166" s="350">
        <v>5836.2528400000001</v>
      </c>
      <c r="K8166" s="350">
        <v>2334.5011199999999</v>
      </c>
      <c r="L8166" s="350">
        <f t="shared" si="109"/>
        <v>3501.7517200000002</v>
      </c>
      <c r="M8166" s="337"/>
    </row>
    <row r="8167" spans="1:13" s="71" customFormat="1" ht="26.4" customHeight="1">
      <c r="A8167" s="282">
        <v>565</v>
      </c>
      <c r="B8167" s="537"/>
      <c r="C8167" s="307" t="s">
        <v>21</v>
      </c>
      <c r="D8167" s="307" t="s">
        <v>10224</v>
      </c>
      <c r="E8167" s="353" t="s">
        <v>627</v>
      </c>
      <c r="F8167" s="310">
        <v>5120</v>
      </c>
      <c r="G8167" s="311">
        <v>2011</v>
      </c>
      <c r="H8167" s="329" t="s">
        <v>1149</v>
      </c>
      <c r="I8167" s="313" t="s">
        <v>10225</v>
      </c>
      <c r="J8167" s="350">
        <v>1.23</v>
      </c>
      <c r="K8167" s="350">
        <v>0.96333000000000002</v>
      </c>
      <c r="L8167" s="350">
        <f t="shared" si="109"/>
        <v>0.26666999999999996</v>
      </c>
      <c r="M8167" s="337"/>
    </row>
    <row r="8168" spans="1:13" s="71" customFormat="1" ht="26.4" customHeight="1">
      <c r="A8168" s="282">
        <v>566</v>
      </c>
      <c r="B8168" s="537"/>
      <c r="C8168" s="307" t="s">
        <v>21</v>
      </c>
      <c r="D8168" s="307" t="s">
        <v>10224</v>
      </c>
      <c r="E8168" s="353" t="s">
        <v>10226</v>
      </c>
      <c r="F8168" s="310">
        <v>5137</v>
      </c>
      <c r="G8168" s="311">
        <v>2011</v>
      </c>
      <c r="H8168" s="329" t="s">
        <v>1149</v>
      </c>
      <c r="I8168" s="313" t="s">
        <v>20</v>
      </c>
      <c r="J8168" s="350">
        <v>11.21505</v>
      </c>
      <c r="K8168" s="350">
        <v>1.3643700000000001</v>
      </c>
      <c r="L8168" s="350">
        <f t="shared" si="109"/>
        <v>9.8506800000000005</v>
      </c>
      <c r="M8168" s="337"/>
    </row>
    <row r="8169" spans="1:13" s="71" customFormat="1" ht="26.4" customHeight="1">
      <c r="A8169" s="282">
        <v>567</v>
      </c>
      <c r="B8169" s="537"/>
      <c r="C8169" s="307" t="s">
        <v>12820</v>
      </c>
      <c r="D8169" s="313" t="s">
        <v>3</v>
      </c>
      <c r="E8169" s="260" t="s">
        <v>10227</v>
      </c>
      <c r="F8169" s="310">
        <v>5150</v>
      </c>
      <c r="G8169" s="311">
        <v>2012</v>
      </c>
      <c r="H8169" s="329" t="s">
        <v>3</v>
      </c>
      <c r="I8169" s="313" t="s">
        <v>3</v>
      </c>
      <c r="J8169" s="350">
        <v>6.2924600000000002</v>
      </c>
      <c r="K8169" s="350">
        <v>6.25976</v>
      </c>
      <c r="L8169" s="350">
        <f t="shared" si="109"/>
        <v>3.2700000000000173E-2</v>
      </c>
      <c r="M8169" s="337"/>
    </row>
    <row r="8170" spans="1:13" s="71" customFormat="1" ht="26.4" customHeight="1">
      <c r="A8170" s="282">
        <v>568</v>
      </c>
      <c r="B8170" s="537"/>
      <c r="C8170" s="307" t="s">
        <v>9552</v>
      </c>
      <c r="D8170" s="313" t="s">
        <v>3</v>
      </c>
      <c r="E8170" s="353" t="s">
        <v>10228</v>
      </c>
      <c r="F8170" s="310">
        <v>5158</v>
      </c>
      <c r="G8170" s="311">
        <v>2012</v>
      </c>
      <c r="H8170" s="329" t="s">
        <v>1149</v>
      </c>
      <c r="I8170" s="313" t="s">
        <v>9669</v>
      </c>
      <c r="J8170" s="350">
        <v>11.127000000000001</v>
      </c>
      <c r="K8170" s="350">
        <v>3.83284</v>
      </c>
      <c r="L8170" s="350">
        <f t="shared" si="109"/>
        <v>7.2941600000000006</v>
      </c>
      <c r="M8170" s="337"/>
    </row>
    <row r="8171" spans="1:13" s="71" customFormat="1" ht="26.4" customHeight="1">
      <c r="A8171" s="282">
        <v>569</v>
      </c>
      <c r="B8171" s="537"/>
      <c r="C8171" s="307" t="s">
        <v>9552</v>
      </c>
      <c r="D8171" s="313" t="s">
        <v>3</v>
      </c>
      <c r="E8171" s="353" t="s">
        <v>10228</v>
      </c>
      <c r="F8171" s="310">
        <v>5159</v>
      </c>
      <c r="G8171" s="311">
        <v>2012</v>
      </c>
      <c r="H8171" s="329" t="s">
        <v>1149</v>
      </c>
      <c r="I8171" s="313" t="s">
        <v>9669</v>
      </c>
      <c r="J8171" s="350">
        <v>10.877000000000001</v>
      </c>
      <c r="K8171" s="350">
        <v>3.7466599999999999</v>
      </c>
      <c r="L8171" s="350">
        <f t="shared" si="109"/>
        <v>7.1303400000000003</v>
      </c>
      <c r="M8171" s="337"/>
    </row>
    <row r="8172" spans="1:13" s="71" customFormat="1" ht="26.4" customHeight="1">
      <c r="A8172" s="282">
        <v>570</v>
      </c>
      <c r="B8172" s="537"/>
      <c r="C8172" s="307" t="s">
        <v>10229</v>
      </c>
      <c r="D8172" s="313" t="s">
        <v>3</v>
      </c>
      <c r="E8172" s="353" t="s">
        <v>10230</v>
      </c>
      <c r="F8172" s="310">
        <v>5188</v>
      </c>
      <c r="G8172" s="311">
        <v>2013</v>
      </c>
      <c r="H8172" s="329" t="s">
        <v>3</v>
      </c>
      <c r="I8172" s="313" t="s">
        <v>3</v>
      </c>
      <c r="J8172" s="350">
        <v>4.9000000000000004</v>
      </c>
      <c r="K8172" s="350">
        <v>1.4971000000000001</v>
      </c>
      <c r="L8172" s="350">
        <f t="shared" si="109"/>
        <v>3.4029000000000003</v>
      </c>
      <c r="M8172" s="337"/>
    </row>
    <row r="8173" spans="1:13" s="71" customFormat="1" ht="26.4" customHeight="1">
      <c r="A8173" s="282">
        <v>571</v>
      </c>
      <c r="B8173" s="537"/>
      <c r="C8173" s="307" t="s">
        <v>9474</v>
      </c>
      <c r="D8173" s="307" t="s">
        <v>9871</v>
      </c>
      <c r="E8173" s="353" t="s">
        <v>10231</v>
      </c>
      <c r="F8173" s="310">
        <v>5218</v>
      </c>
      <c r="G8173" s="311">
        <v>2013</v>
      </c>
      <c r="H8173" s="329" t="s">
        <v>1149</v>
      </c>
      <c r="I8173" s="313" t="s">
        <v>10232</v>
      </c>
      <c r="J8173" s="350">
        <v>661.58826999999997</v>
      </c>
      <c r="K8173" s="350">
        <v>648.46531000000004</v>
      </c>
      <c r="L8173" s="350">
        <f t="shared" si="109"/>
        <v>13.122959999999921</v>
      </c>
      <c r="M8173" s="337"/>
    </row>
    <row r="8174" spans="1:13" s="71" customFormat="1" ht="26.4" customHeight="1">
      <c r="A8174" s="282">
        <v>572</v>
      </c>
      <c r="B8174" s="537"/>
      <c r="C8174" s="307" t="s">
        <v>9552</v>
      </c>
      <c r="D8174" s="307" t="s">
        <v>10233</v>
      </c>
      <c r="E8174" s="353" t="s">
        <v>10234</v>
      </c>
      <c r="F8174" s="310">
        <v>5244</v>
      </c>
      <c r="G8174" s="311">
        <v>2015</v>
      </c>
      <c r="H8174" s="329" t="s">
        <v>3</v>
      </c>
      <c r="I8174" s="313" t="s">
        <v>3</v>
      </c>
      <c r="J8174" s="350">
        <v>59.42736</v>
      </c>
      <c r="K8174" s="350">
        <v>6.6854699999999996</v>
      </c>
      <c r="L8174" s="350">
        <f t="shared" si="109"/>
        <v>52.741889999999998</v>
      </c>
      <c r="M8174" s="337"/>
    </row>
    <row r="8175" spans="1:13" s="71" customFormat="1" ht="26.4" customHeight="1">
      <c r="A8175" s="282">
        <v>573</v>
      </c>
      <c r="B8175" s="537"/>
      <c r="C8175" s="313" t="s">
        <v>12830</v>
      </c>
      <c r="D8175" s="313" t="s">
        <v>10235</v>
      </c>
      <c r="E8175" s="444" t="s">
        <v>10236</v>
      </c>
      <c r="F8175" s="310">
        <v>5275</v>
      </c>
      <c r="G8175" s="311">
        <v>2016</v>
      </c>
      <c r="H8175" s="329" t="s">
        <v>3</v>
      </c>
      <c r="I8175" s="313" t="s">
        <v>3</v>
      </c>
      <c r="J8175" s="350">
        <v>1.6878</v>
      </c>
      <c r="K8175" s="350">
        <v>1.6198999999999999</v>
      </c>
      <c r="L8175" s="350">
        <f t="shared" si="109"/>
        <v>6.7900000000000071E-2</v>
      </c>
      <c r="M8175" s="337"/>
    </row>
    <row r="8176" spans="1:13" s="71" customFormat="1" ht="26.4" customHeight="1">
      <c r="A8176" s="282">
        <v>574</v>
      </c>
      <c r="B8176" s="537"/>
      <c r="C8176" s="313" t="s">
        <v>12830</v>
      </c>
      <c r="D8176" s="313" t="s">
        <v>10235</v>
      </c>
      <c r="E8176" s="444" t="s">
        <v>8231</v>
      </c>
      <c r="F8176" s="310">
        <v>5276</v>
      </c>
      <c r="G8176" s="311">
        <v>2016</v>
      </c>
      <c r="H8176" s="329" t="s">
        <v>3</v>
      </c>
      <c r="I8176" s="313" t="s">
        <v>3</v>
      </c>
      <c r="J8176" s="350">
        <v>3.4253</v>
      </c>
      <c r="K8176" s="350">
        <v>2.7117</v>
      </c>
      <c r="L8176" s="350">
        <f t="shared" si="109"/>
        <v>0.71360000000000001</v>
      </c>
      <c r="M8176" s="337"/>
    </row>
    <row r="8177" spans="1:13" s="71" customFormat="1" ht="26.4" customHeight="1">
      <c r="A8177" s="282">
        <v>575</v>
      </c>
      <c r="B8177" s="537"/>
      <c r="C8177" s="313" t="s">
        <v>12830</v>
      </c>
      <c r="D8177" s="313" t="s">
        <v>10235</v>
      </c>
      <c r="E8177" s="444" t="s">
        <v>10237</v>
      </c>
      <c r="F8177" s="310">
        <v>5277</v>
      </c>
      <c r="G8177" s="311">
        <v>2016</v>
      </c>
      <c r="H8177" s="329" t="s">
        <v>3</v>
      </c>
      <c r="I8177" s="313" t="s">
        <v>3</v>
      </c>
      <c r="J8177" s="350">
        <v>0.18232999999999999</v>
      </c>
      <c r="K8177" s="350">
        <v>0.14433000000000001</v>
      </c>
      <c r="L8177" s="350">
        <f t="shared" si="109"/>
        <v>3.7999999999999978E-2</v>
      </c>
      <c r="M8177" s="337"/>
    </row>
    <row r="8178" spans="1:13" s="71" customFormat="1" ht="26.4" customHeight="1">
      <c r="A8178" s="282">
        <v>576</v>
      </c>
      <c r="B8178" s="537"/>
      <c r="C8178" s="313" t="s">
        <v>12830</v>
      </c>
      <c r="D8178" s="313" t="s">
        <v>10235</v>
      </c>
      <c r="E8178" s="444" t="s">
        <v>10237</v>
      </c>
      <c r="F8178" s="310">
        <v>5278</v>
      </c>
      <c r="G8178" s="311">
        <v>2016</v>
      </c>
      <c r="H8178" s="329" t="s">
        <v>3</v>
      </c>
      <c r="I8178" s="313" t="s">
        <v>3</v>
      </c>
      <c r="J8178" s="350">
        <v>0.22289</v>
      </c>
      <c r="K8178" s="350">
        <v>0.17649000000000001</v>
      </c>
      <c r="L8178" s="350">
        <f t="shared" si="109"/>
        <v>4.6399999999999997E-2</v>
      </c>
      <c r="M8178" s="337"/>
    </row>
    <row r="8179" spans="1:13" s="71" customFormat="1" ht="26.4" customHeight="1">
      <c r="A8179" s="282">
        <v>577</v>
      </c>
      <c r="B8179" s="537"/>
      <c r="C8179" s="313" t="s">
        <v>12830</v>
      </c>
      <c r="D8179" s="313" t="s">
        <v>10235</v>
      </c>
      <c r="E8179" s="444" t="s">
        <v>10237</v>
      </c>
      <c r="F8179" s="310">
        <v>5279</v>
      </c>
      <c r="G8179" s="311">
        <v>2016</v>
      </c>
      <c r="H8179" s="329" t="s">
        <v>3</v>
      </c>
      <c r="I8179" s="313" t="s">
        <v>3</v>
      </c>
      <c r="J8179" s="350">
        <v>0.22289</v>
      </c>
      <c r="K8179" s="350">
        <v>0.17649000000000001</v>
      </c>
      <c r="L8179" s="350">
        <f t="shared" ref="L8179:L8200" si="110">J8179-K8179</f>
        <v>4.6399999999999997E-2</v>
      </c>
      <c r="M8179" s="337"/>
    </row>
    <row r="8180" spans="1:13" s="71" customFormat="1" ht="26.4" customHeight="1">
      <c r="A8180" s="282">
        <v>578</v>
      </c>
      <c r="B8180" s="537"/>
      <c r="C8180" s="307" t="s">
        <v>10238</v>
      </c>
      <c r="D8180" s="453" t="s">
        <v>3</v>
      </c>
      <c r="E8180" s="260" t="s">
        <v>10239</v>
      </c>
      <c r="F8180" s="310">
        <v>5361</v>
      </c>
      <c r="G8180" s="311">
        <v>2017</v>
      </c>
      <c r="H8180" s="329" t="s">
        <v>1149</v>
      </c>
      <c r="I8180" s="314">
        <v>6.25</v>
      </c>
      <c r="J8180" s="350">
        <v>8</v>
      </c>
      <c r="K8180" s="350">
        <v>0.13333</v>
      </c>
      <c r="L8180" s="350">
        <f t="shared" si="110"/>
        <v>7.8666700000000001</v>
      </c>
      <c r="M8180" s="337"/>
    </row>
    <row r="8181" spans="1:13" s="71" customFormat="1" ht="39.6">
      <c r="A8181" s="282">
        <v>579</v>
      </c>
      <c r="B8181" s="537"/>
      <c r="C8181" s="307" t="s">
        <v>10238</v>
      </c>
      <c r="D8181" s="453" t="s">
        <v>3</v>
      </c>
      <c r="E8181" s="260" t="s">
        <v>10240</v>
      </c>
      <c r="F8181" s="310">
        <v>5362</v>
      </c>
      <c r="G8181" s="311">
        <v>2017</v>
      </c>
      <c r="H8181" s="329" t="s">
        <v>2658</v>
      </c>
      <c r="I8181" s="313" t="s">
        <v>10241</v>
      </c>
      <c r="J8181" s="350">
        <v>0.8</v>
      </c>
      <c r="K8181" s="350">
        <v>1.333E-2</v>
      </c>
      <c r="L8181" s="350">
        <f t="shared" si="110"/>
        <v>0.78667000000000009</v>
      </c>
      <c r="M8181" s="337"/>
    </row>
    <row r="8182" spans="1:13" s="71" customFormat="1" ht="26.4" customHeight="1">
      <c r="A8182" s="282">
        <v>580</v>
      </c>
      <c r="B8182" s="537"/>
      <c r="C8182" s="307" t="s">
        <v>10229</v>
      </c>
      <c r="D8182" s="307" t="s">
        <v>3</v>
      </c>
      <c r="E8182" s="353" t="s">
        <v>10242</v>
      </c>
      <c r="F8182" s="310">
        <v>10010</v>
      </c>
      <c r="G8182" s="311">
        <v>1954</v>
      </c>
      <c r="H8182" s="329" t="s">
        <v>1149</v>
      </c>
      <c r="I8182" s="313" t="s">
        <v>10243</v>
      </c>
      <c r="J8182" s="350">
        <v>439.08891999999997</v>
      </c>
      <c r="K8182" s="350">
        <v>424.73523999999998</v>
      </c>
      <c r="L8182" s="350">
        <f t="shared" si="110"/>
        <v>14.353679999999997</v>
      </c>
      <c r="M8182" s="337"/>
    </row>
    <row r="8183" spans="1:13" s="71" customFormat="1" ht="26.4" customHeight="1">
      <c r="A8183" s="282">
        <v>581</v>
      </c>
      <c r="B8183" s="537"/>
      <c r="C8183" s="307" t="s">
        <v>10229</v>
      </c>
      <c r="D8183" s="307" t="s">
        <v>3</v>
      </c>
      <c r="E8183" s="353" t="s">
        <v>10244</v>
      </c>
      <c r="F8183" s="310">
        <v>10041</v>
      </c>
      <c r="G8183" s="311">
        <v>1954</v>
      </c>
      <c r="H8183" s="329" t="s">
        <v>1149</v>
      </c>
      <c r="I8183" s="313" t="s">
        <v>10245</v>
      </c>
      <c r="J8183" s="350">
        <v>37.465980000000002</v>
      </c>
      <c r="K8183" s="350">
        <v>32.687750000000001</v>
      </c>
      <c r="L8183" s="350">
        <f t="shared" si="110"/>
        <v>4.7782300000000006</v>
      </c>
      <c r="M8183" s="337"/>
    </row>
    <row r="8184" spans="1:13" s="71" customFormat="1" ht="26.4" customHeight="1">
      <c r="A8184" s="282">
        <v>582</v>
      </c>
      <c r="B8184" s="537"/>
      <c r="C8184" s="307" t="s">
        <v>10229</v>
      </c>
      <c r="D8184" s="307" t="s">
        <v>10246</v>
      </c>
      <c r="E8184" s="353" t="s">
        <v>10247</v>
      </c>
      <c r="F8184" s="310">
        <v>10054</v>
      </c>
      <c r="G8184" s="311">
        <v>2055</v>
      </c>
      <c r="H8184" s="329" t="s">
        <v>1149</v>
      </c>
      <c r="I8184" s="313" t="s">
        <v>10248</v>
      </c>
      <c r="J8184" s="350">
        <v>121.64155</v>
      </c>
      <c r="K8184" s="350">
        <v>98.126760000000004</v>
      </c>
      <c r="L8184" s="350">
        <f t="shared" si="110"/>
        <v>23.514789999999991</v>
      </c>
      <c r="M8184" s="337"/>
    </row>
    <row r="8185" spans="1:13" s="71" customFormat="1" ht="26.4" customHeight="1">
      <c r="A8185" s="282">
        <v>583</v>
      </c>
      <c r="B8185" s="537"/>
      <c r="C8185" s="307" t="s">
        <v>10229</v>
      </c>
      <c r="D8185" s="307" t="s">
        <v>3</v>
      </c>
      <c r="E8185" s="353" t="s">
        <v>10249</v>
      </c>
      <c r="F8185" s="310">
        <v>10058</v>
      </c>
      <c r="G8185" s="311">
        <v>1955</v>
      </c>
      <c r="H8185" s="329" t="s">
        <v>1149</v>
      </c>
      <c r="I8185" s="313" t="s">
        <v>10250</v>
      </c>
      <c r="J8185" s="350">
        <v>5.4971699999999997</v>
      </c>
      <c r="K8185" s="350">
        <v>5.4640300000000002</v>
      </c>
      <c r="L8185" s="350">
        <f t="shared" si="110"/>
        <v>3.3139999999999503E-2</v>
      </c>
      <c r="M8185" s="337"/>
    </row>
    <row r="8186" spans="1:13" s="71" customFormat="1" ht="26.4" customHeight="1">
      <c r="A8186" s="282">
        <v>584</v>
      </c>
      <c r="B8186" s="537"/>
      <c r="C8186" s="307" t="s">
        <v>10229</v>
      </c>
      <c r="D8186" s="307" t="s">
        <v>3</v>
      </c>
      <c r="E8186" s="353" t="s">
        <v>10251</v>
      </c>
      <c r="F8186" s="310">
        <v>10069</v>
      </c>
      <c r="G8186" s="311">
        <v>1954</v>
      </c>
      <c r="H8186" s="329" t="s">
        <v>1149</v>
      </c>
      <c r="I8186" s="313" t="s">
        <v>10252</v>
      </c>
      <c r="J8186" s="350">
        <v>4.67361</v>
      </c>
      <c r="K8186" s="350">
        <v>4.6379099999999998</v>
      </c>
      <c r="L8186" s="350">
        <f t="shared" si="110"/>
        <v>3.5700000000000287E-2</v>
      </c>
      <c r="M8186" s="337"/>
    </row>
    <row r="8187" spans="1:13" s="71" customFormat="1" ht="26.4" customHeight="1">
      <c r="A8187" s="282">
        <v>585</v>
      </c>
      <c r="B8187" s="537"/>
      <c r="C8187" s="307" t="s">
        <v>10229</v>
      </c>
      <c r="D8187" s="307" t="s">
        <v>3</v>
      </c>
      <c r="E8187" s="353" t="s">
        <v>10253</v>
      </c>
      <c r="F8187" s="310">
        <v>10238</v>
      </c>
      <c r="G8187" s="311">
        <v>1976</v>
      </c>
      <c r="H8187" s="329" t="s">
        <v>1149</v>
      </c>
      <c r="I8187" s="313" t="s">
        <v>10254</v>
      </c>
      <c r="J8187" s="350">
        <v>41.05489</v>
      </c>
      <c r="K8187" s="350">
        <v>37.55986</v>
      </c>
      <c r="L8187" s="350">
        <f t="shared" si="110"/>
        <v>3.4950299999999999</v>
      </c>
      <c r="M8187" s="337"/>
    </row>
    <row r="8188" spans="1:13" s="71" customFormat="1" ht="26.4" customHeight="1">
      <c r="A8188" s="282">
        <v>586</v>
      </c>
      <c r="B8188" s="537"/>
      <c r="C8188" s="307" t="s">
        <v>10229</v>
      </c>
      <c r="D8188" s="307" t="s">
        <v>3</v>
      </c>
      <c r="E8188" s="353" t="s">
        <v>10255</v>
      </c>
      <c r="F8188" s="310">
        <v>20251</v>
      </c>
      <c r="G8188" s="311">
        <v>1954</v>
      </c>
      <c r="H8188" s="329" t="s">
        <v>1149</v>
      </c>
      <c r="I8188" s="313" t="s">
        <v>10256</v>
      </c>
      <c r="J8188" s="350">
        <v>217.69564</v>
      </c>
      <c r="K8188" s="350">
        <v>217.21401</v>
      </c>
      <c r="L8188" s="350">
        <f t="shared" si="110"/>
        <v>0.48162999999999556</v>
      </c>
      <c r="M8188" s="337"/>
    </row>
    <row r="8189" spans="1:13" s="71" customFormat="1" ht="26.4" customHeight="1">
      <c r="A8189" s="282">
        <v>587</v>
      </c>
      <c r="B8189" s="537"/>
      <c r="C8189" s="307" t="s">
        <v>10229</v>
      </c>
      <c r="D8189" s="307" t="s">
        <v>3</v>
      </c>
      <c r="E8189" s="353" t="s">
        <v>10257</v>
      </c>
      <c r="F8189" s="310">
        <v>20326</v>
      </c>
      <c r="G8189" s="311">
        <v>1954</v>
      </c>
      <c r="H8189" s="329" t="s">
        <v>3</v>
      </c>
      <c r="I8189" s="313" t="s">
        <v>3</v>
      </c>
      <c r="J8189" s="350">
        <v>83.401420000000002</v>
      </c>
      <c r="K8189" s="350">
        <v>81.339240000000004</v>
      </c>
      <c r="L8189" s="350">
        <f t="shared" si="110"/>
        <v>2.0621799999999979</v>
      </c>
      <c r="M8189" s="337"/>
    </row>
    <row r="8190" spans="1:13" s="71" customFormat="1" ht="26.4" customHeight="1">
      <c r="A8190" s="282">
        <v>588</v>
      </c>
      <c r="B8190" s="537"/>
      <c r="C8190" s="307" t="s">
        <v>10229</v>
      </c>
      <c r="D8190" s="307" t="s">
        <v>3</v>
      </c>
      <c r="E8190" s="353" t="s">
        <v>10258</v>
      </c>
      <c r="F8190" s="310">
        <v>20332</v>
      </c>
      <c r="G8190" s="311">
        <v>1954</v>
      </c>
      <c r="H8190" s="329" t="s">
        <v>3</v>
      </c>
      <c r="I8190" s="313" t="s">
        <v>3</v>
      </c>
      <c r="J8190" s="350">
        <v>0.80386999999999997</v>
      </c>
      <c r="K8190" s="350">
        <v>0.80145999999999995</v>
      </c>
      <c r="L8190" s="350">
        <f t="shared" si="110"/>
        <v>2.4100000000000232E-3</v>
      </c>
      <c r="M8190" s="337"/>
    </row>
    <row r="8191" spans="1:13" s="71" customFormat="1" ht="26.4" customHeight="1">
      <c r="A8191" s="282">
        <v>589</v>
      </c>
      <c r="B8191" s="537"/>
      <c r="C8191" s="307" t="s">
        <v>10229</v>
      </c>
      <c r="D8191" s="307" t="s">
        <v>3</v>
      </c>
      <c r="E8191" s="353" t="s">
        <v>10259</v>
      </c>
      <c r="F8191" s="310">
        <v>20369</v>
      </c>
      <c r="G8191" s="311">
        <v>2006</v>
      </c>
      <c r="H8191" s="329" t="s">
        <v>1149</v>
      </c>
      <c r="I8191" s="313" t="s">
        <v>10260</v>
      </c>
      <c r="J8191" s="350">
        <v>15.763</v>
      </c>
      <c r="K8191" s="350">
        <v>13.605549999999999</v>
      </c>
      <c r="L8191" s="350">
        <f t="shared" si="110"/>
        <v>2.1574500000000008</v>
      </c>
      <c r="M8191" s="337"/>
    </row>
    <row r="8192" spans="1:13" s="71" customFormat="1" ht="26.4" customHeight="1">
      <c r="A8192" s="282">
        <v>590</v>
      </c>
      <c r="B8192" s="537"/>
      <c r="C8192" s="307" t="s">
        <v>10229</v>
      </c>
      <c r="D8192" s="307" t="s">
        <v>3</v>
      </c>
      <c r="E8192" s="260" t="s">
        <v>10261</v>
      </c>
      <c r="F8192" s="310">
        <v>30427</v>
      </c>
      <c r="G8192" s="311">
        <v>1954</v>
      </c>
      <c r="H8192" s="329" t="s">
        <v>2658</v>
      </c>
      <c r="I8192" s="313">
        <v>6158</v>
      </c>
      <c r="J8192" s="350">
        <v>777.38701000000003</v>
      </c>
      <c r="K8192" s="350">
        <v>703.63081</v>
      </c>
      <c r="L8192" s="350">
        <f t="shared" si="110"/>
        <v>73.756200000000035</v>
      </c>
      <c r="M8192" s="337"/>
    </row>
    <row r="8193" spans="1:13" s="71" customFormat="1" ht="66">
      <c r="A8193" s="282">
        <v>591</v>
      </c>
      <c r="B8193" s="537"/>
      <c r="C8193" s="307" t="s">
        <v>10229</v>
      </c>
      <c r="D8193" s="307" t="s">
        <v>3</v>
      </c>
      <c r="E8193" s="260" t="s">
        <v>10262</v>
      </c>
      <c r="F8193" s="310">
        <v>30431</v>
      </c>
      <c r="G8193" s="311">
        <v>1954</v>
      </c>
      <c r="H8193" s="329" t="s">
        <v>2658</v>
      </c>
      <c r="I8193" s="313">
        <v>19635</v>
      </c>
      <c r="J8193" s="350">
        <v>6215.4701299999997</v>
      </c>
      <c r="K8193" s="350">
        <v>6176.0281299999997</v>
      </c>
      <c r="L8193" s="350">
        <f t="shared" si="110"/>
        <v>39.442000000000007</v>
      </c>
      <c r="M8193" s="337"/>
    </row>
    <row r="8194" spans="1:13" s="71" customFormat="1" ht="26.4" customHeight="1">
      <c r="A8194" s="282">
        <v>592</v>
      </c>
      <c r="B8194" s="537"/>
      <c r="C8194" s="307" t="s">
        <v>10229</v>
      </c>
      <c r="D8194" s="307" t="s">
        <v>3</v>
      </c>
      <c r="E8194" s="260" t="s">
        <v>10263</v>
      </c>
      <c r="F8194" s="310">
        <v>30432</v>
      </c>
      <c r="G8194" s="311">
        <v>1954</v>
      </c>
      <c r="H8194" s="329" t="s">
        <v>2658</v>
      </c>
      <c r="I8194" s="313">
        <v>17100</v>
      </c>
      <c r="J8194" s="350">
        <v>1291.45046</v>
      </c>
      <c r="K8194" s="350">
        <v>1290.48974</v>
      </c>
      <c r="L8194" s="350">
        <f t="shared" si="110"/>
        <v>0.96072000000003754</v>
      </c>
      <c r="M8194" s="337"/>
    </row>
    <row r="8195" spans="1:13" s="71" customFormat="1" ht="26.4" customHeight="1">
      <c r="A8195" s="282">
        <v>593</v>
      </c>
      <c r="B8195" s="537"/>
      <c r="C8195" s="307" t="s">
        <v>10229</v>
      </c>
      <c r="D8195" s="307" t="s">
        <v>3</v>
      </c>
      <c r="E8195" s="260" t="s">
        <v>10264</v>
      </c>
      <c r="F8195" s="310">
        <v>30444</v>
      </c>
      <c r="G8195" s="311">
        <v>1954</v>
      </c>
      <c r="H8195" s="329" t="s">
        <v>2658</v>
      </c>
      <c r="I8195" s="313">
        <v>800</v>
      </c>
      <c r="J8195" s="350">
        <v>4.8172699999999997</v>
      </c>
      <c r="K8195" s="350">
        <v>4.8026900000000001</v>
      </c>
      <c r="L8195" s="350">
        <f t="shared" si="110"/>
        <v>1.4579999999999593E-2</v>
      </c>
      <c r="M8195" s="337"/>
    </row>
    <row r="8196" spans="1:13" s="71" customFormat="1" ht="26.4" customHeight="1">
      <c r="A8196" s="282">
        <v>594</v>
      </c>
      <c r="B8196" s="537"/>
      <c r="C8196" s="307" t="s">
        <v>10229</v>
      </c>
      <c r="D8196" s="307" t="s">
        <v>3</v>
      </c>
      <c r="E8196" s="260" t="s">
        <v>10265</v>
      </c>
      <c r="F8196" s="310">
        <v>30461</v>
      </c>
      <c r="G8196" s="311">
        <v>1964</v>
      </c>
      <c r="H8196" s="329" t="s">
        <v>2658</v>
      </c>
      <c r="I8196" s="313">
        <v>252</v>
      </c>
      <c r="J8196" s="350">
        <v>75.40352</v>
      </c>
      <c r="K8196" s="350">
        <v>72.153559999999999</v>
      </c>
      <c r="L8196" s="350">
        <f t="shared" si="110"/>
        <v>3.2499600000000015</v>
      </c>
      <c r="M8196" s="337"/>
    </row>
    <row r="8197" spans="1:13" s="71" customFormat="1" ht="26.4" customHeight="1">
      <c r="A8197" s="282">
        <v>595</v>
      </c>
      <c r="B8197" s="537"/>
      <c r="C8197" s="307" t="s">
        <v>10229</v>
      </c>
      <c r="D8197" s="307" t="s">
        <v>3</v>
      </c>
      <c r="E8197" s="260" t="s">
        <v>10266</v>
      </c>
      <c r="F8197" s="310">
        <v>30472</v>
      </c>
      <c r="G8197" s="311">
        <v>1954</v>
      </c>
      <c r="H8197" s="329" t="s">
        <v>2658</v>
      </c>
      <c r="I8197" s="313">
        <v>659</v>
      </c>
      <c r="J8197" s="350">
        <v>70.475239999999999</v>
      </c>
      <c r="K8197" s="350">
        <v>65.054119999999998</v>
      </c>
      <c r="L8197" s="350">
        <f t="shared" si="110"/>
        <v>5.4211200000000019</v>
      </c>
      <c r="M8197" s="337"/>
    </row>
    <row r="8198" spans="1:13" s="71" customFormat="1" ht="26.4" customHeight="1">
      <c r="A8198" s="282">
        <v>596</v>
      </c>
      <c r="B8198" s="537"/>
      <c r="C8198" s="307" t="s">
        <v>10229</v>
      </c>
      <c r="D8198" s="307" t="s">
        <v>3</v>
      </c>
      <c r="E8198" s="260" t="s">
        <v>10267</v>
      </c>
      <c r="F8198" s="310">
        <v>30492</v>
      </c>
      <c r="G8198" s="311">
        <v>1954</v>
      </c>
      <c r="H8198" s="329" t="s">
        <v>2658</v>
      </c>
      <c r="I8198" s="313">
        <v>7500</v>
      </c>
      <c r="J8198" s="350">
        <v>14.702489999999999</v>
      </c>
      <c r="K8198" s="350">
        <v>14.67881</v>
      </c>
      <c r="L8198" s="350">
        <f t="shared" si="110"/>
        <v>2.3679999999998813E-2</v>
      </c>
      <c r="M8198" s="337"/>
    </row>
    <row r="8199" spans="1:13" s="71" customFormat="1" ht="26.4" customHeight="1">
      <c r="A8199" s="282">
        <v>597</v>
      </c>
      <c r="B8199" s="537"/>
      <c r="C8199" s="307" t="s">
        <v>10229</v>
      </c>
      <c r="D8199" s="307" t="s">
        <v>3</v>
      </c>
      <c r="E8199" s="260" t="s">
        <v>10268</v>
      </c>
      <c r="F8199" s="310">
        <v>30494</v>
      </c>
      <c r="G8199" s="311">
        <v>1973</v>
      </c>
      <c r="H8199" s="329" t="s">
        <v>2658</v>
      </c>
      <c r="I8199" s="313">
        <v>14900</v>
      </c>
      <c r="J8199" s="350">
        <v>230.67789999999999</v>
      </c>
      <c r="K8199" s="350">
        <v>228.63229999999999</v>
      </c>
      <c r="L8199" s="350">
        <f t="shared" si="110"/>
        <v>2.0456000000000074</v>
      </c>
      <c r="M8199" s="337"/>
    </row>
    <row r="8200" spans="1:13" s="71" customFormat="1" ht="26.4" customHeight="1">
      <c r="A8200" s="282">
        <v>598</v>
      </c>
      <c r="B8200" s="538"/>
      <c r="C8200" s="307" t="s">
        <v>10229</v>
      </c>
      <c r="D8200" s="307" t="s">
        <v>3</v>
      </c>
      <c r="E8200" s="260" t="s">
        <v>10269</v>
      </c>
      <c r="F8200" s="310">
        <v>43260</v>
      </c>
      <c r="G8200" s="311">
        <v>2008</v>
      </c>
      <c r="H8200" s="329" t="s">
        <v>3</v>
      </c>
      <c r="I8200" s="313" t="s">
        <v>3</v>
      </c>
      <c r="J8200" s="350">
        <v>5.4214399999999996</v>
      </c>
      <c r="K8200" s="350">
        <v>4.2828999999999997</v>
      </c>
      <c r="L8200" s="350">
        <f t="shared" si="110"/>
        <v>1.1385399999999999</v>
      </c>
      <c r="M8200" s="337"/>
    </row>
    <row r="8201" spans="1:13" s="71" customFormat="1" ht="26.4" customHeight="1">
      <c r="A8201" s="324" t="s">
        <v>3</v>
      </c>
      <c r="B8201" s="341" t="s">
        <v>4</v>
      </c>
      <c r="C8201" s="343" t="s">
        <v>3</v>
      </c>
      <c r="D8201" s="343" t="s">
        <v>3</v>
      </c>
      <c r="E8201" s="343" t="s">
        <v>3</v>
      </c>
      <c r="F8201" s="421" t="s">
        <v>3</v>
      </c>
      <c r="G8201" s="422" t="s">
        <v>3</v>
      </c>
      <c r="H8201" s="423" t="s">
        <v>3</v>
      </c>
      <c r="I8201" s="343" t="s">
        <v>3</v>
      </c>
      <c r="J8201" s="424">
        <f>SUM(J7603:J8200)</f>
        <v>169415.86449000024</v>
      </c>
      <c r="K8201" s="424">
        <f>SUM(K7603:K8200)</f>
        <v>109456.46909999999</v>
      </c>
      <c r="L8201" s="424">
        <f>SUM(L7603:L8200)</f>
        <v>59959.395390000063</v>
      </c>
      <c r="M8201" s="337"/>
    </row>
    <row r="8202" spans="1:13" s="71" customFormat="1" ht="39.6">
      <c r="A8202" s="282">
        <v>1</v>
      </c>
      <c r="B8202" s="536" t="s">
        <v>10270</v>
      </c>
      <c r="C8202" s="313" t="s">
        <v>214</v>
      </c>
      <c r="D8202" s="313" t="s">
        <v>10271</v>
      </c>
      <c r="E8202" s="260" t="s">
        <v>10272</v>
      </c>
      <c r="F8202" s="466">
        <v>2004</v>
      </c>
      <c r="G8202" s="311">
        <v>1971</v>
      </c>
      <c r="H8202" s="467" t="s">
        <v>1149</v>
      </c>
      <c r="I8202" s="313">
        <v>126.9</v>
      </c>
      <c r="J8202" s="314">
        <v>5</v>
      </c>
      <c r="K8202" s="314">
        <v>2.9129999999999998</v>
      </c>
      <c r="L8202" s="350">
        <f t="shared" ref="L8202:L8265" si="111">J8202-K8202</f>
        <v>2.0870000000000002</v>
      </c>
      <c r="M8202" s="337"/>
    </row>
    <row r="8203" spans="1:13" s="71" customFormat="1" ht="39.6">
      <c r="A8203" s="282">
        <v>2</v>
      </c>
      <c r="B8203" s="537"/>
      <c r="C8203" s="307" t="s">
        <v>214</v>
      </c>
      <c r="D8203" s="307" t="s">
        <v>10271</v>
      </c>
      <c r="E8203" s="260" t="s">
        <v>10273</v>
      </c>
      <c r="F8203" s="466">
        <v>2005</v>
      </c>
      <c r="G8203" s="311">
        <v>1971</v>
      </c>
      <c r="H8203" s="467" t="s">
        <v>1149</v>
      </c>
      <c r="I8203" s="313">
        <v>18</v>
      </c>
      <c r="J8203" s="314">
        <v>1.72</v>
      </c>
      <c r="K8203" s="314">
        <v>1.6080000000000001</v>
      </c>
      <c r="L8203" s="350">
        <f t="shared" si="111"/>
        <v>0.11199999999999988</v>
      </c>
      <c r="M8203" s="337"/>
    </row>
    <row r="8204" spans="1:13" s="71" customFormat="1" ht="39.6">
      <c r="A8204" s="282">
        <v>3</v>
      </c>
      <c r="B8204" s="537"/>
      <c r="C8204" s="307" t="s">
        <v>214</v>
      </c>
      <c r="D8204" s="307" t="s">
        <v>10271</v>
      </c>
      <c r="E8204" s="260" t="s">
        <v>10274</v>
      </c>
      <c r="F8204" s="457">
        <v>506</v>
      </c>
      <c r="G8204" s="311">
        <v>1971</v>
      </c>
      <c r="H8204" s="467" t="s">
        <v>1149</v>
      </c>
      <c r="I8204" s="313">
        <v>162</v>
      </c>
      <c r="J8204" s="314">
        <v>71.063000000000002</v>
      </c>
      <c r="K8204" s="314">
        <v>70.646000000000001</v>
      </c>
      <c r="L8204" s="350">
        <f t="shared" si="111"/>
        <v>0.41700000000000159</v>
      </c>
      <c r="M8204" s="337"/>
    </row>
    <row r="8205" spans="1:13" s="71" customFormat="1" ht="39.6">
      <c r="A8205" s="282">
        <v>4</v>
      </c>
      <c r="B8205" s="537"/>
      <c r="C8205" s="307" t="s">
        <v>214</v>
      </c>
      <c r="D8205" s="307" t="s">
        <v>10271</v>
      </c>
      <c r="E8205" s="260" t="s">
        <v>10275</v>
      </c>
      <c r="F8205" s="310">
        <v>507</v>
      </c>
      <c r="G8205" s="311">
        <v>1971</v>
      </c>
      <c r="H8205" s="467" t="s">
        <v>1149</v>
      </c>
      <c r="I8205" s="313">
        <v>42</v>
      </c>
      <c r="J8205" s="314">
        <v>38.609000000000002</v>
      </c>
      <c r="K8205" s="314">
        <v>38.484000000000002</v>
      </c>
      <c r="L8205" s="350">
        <f t="shared" si="111"/>
        <v>0.125</v>
      </c>
      <c r="M8205" s="337"/>
    </row>
    <row r="8206" spans="1:13" s="71" customFormat="1" ht="39.6">
      <c r="A8206" s="282">
        <v>5</v>
      </c>
      <c r="B8206" s="537"/>
      <c r="C8206" s="307" t="s">
        <v>214</v>
      </c>
      <c r="D8206" s="307" t="s">
        <v>10271</v>
      </c>
      <c r="E8206" s="260" t="s">
        <v>10276</v>
      </c>
      <c r="F8206" s="310">
        <v>508</v>
      </c>
      <c r="G8206" s="311">
        <v>1971</v>
      </c>
      <c r="H8206" s="467" t="s">
        <v>1149</v>
      </c>
      <c r="I8206" s="313">
        <v>54</v>
      </c>
      <c r="J8206" s="314">
        <v>15.458</v>
      </c>
      <c r="K8206" s="314">
        <v>15.346</v>
      </c>
      <c r="L8206" s="350">
        <f t="shared" si="111"/>
        <v>0.1120000000000001</v>
      </c>
      <c r="M8206" s="337"/>
    </row>
    <row r="8207" spans="1:13" s="71" customFormat="1" ht="39.6">
      <c r="A8207" s="282">
        <v>6</v>
      </c>
      <c r="B8207" s="537"/>
      <c r="C8207" s="307" t="s">
        <v>214</v>
      </c>
      <c r="D8207" s="307" t="s">
        <v>10271</v>
      </c>
      <c r="E8207" s="260" t="s">
        <v>10277</v>
      </c>
      <c r="F8207" s="310">
        <v>509</v>
      </c>
      <c r="G8207" s="311">
        <v>1971</v>
      </c>
      <c r="H8207" s="467" t="s">
        <v>1149</v>
      </c>
      <c r="I8207" s="313">
        <v>157.4</v>
      </c>
      <c r="J8207" s="314">
        <v>261.40300000000002</v>
      </c>
      <c r="K8207" s="314">
        <v>178.62100000000001</v>
      </c>
      <c r="L8207" s="350">
        <f t="shared" si="111"/>
        <v>82.782000000000011</v>
      </c>
      <c r="M8207" s="337"/>
    </row>
    <row r="8208" spans="1:13" s="71" customFormat="1" ht="39.6">
      <c r="A8208" s="282">
        <v>7</v>
      </c>
      <c r="B8208" s="537"/>
      <c r="C8208" s="307" t="s">
        <v>214</v>
      </c>
      <c r="D8208" s="307" t="s">
        <v>10271</v>
      </c>
      <c r="E8208" s="260" t="s">
        <v>10278</v>
      </c>
      <c r="F8208" s="310">
        <v>510</v>
      </c>
      <c r="G8208" s="311">
        <v>1971</v>
      </c>
      <c r="H8208" s="467" t="s">
        <v>1149</v>
      </c>
      <c r="I8208" s="313">
        <v>30</v>
      </c>
      <c r="J8208" s="314">
        <v>23.221</v>
      </c>
      <c r="K8208" s="314">
        <v>23.096</v>
      </c>
      <c r="L8208" s="350">
        <f t="shared" si="111"/>
        <v>0.125</v>
      </c>
      <c r="M8208" s="337"/>
    </row>
    <row r="8209" spans="1:13" s="71" customFormat="1" ht="39.6">
      <c r="A8209" s="282">
        <v>8</v>
      </c>
      <c r="B8209" s="537"/>
      <c r="C8209" s="307" t="s">
        <v>214</v>
      </c>
      <c r="D8209" s="307" t="s">
        <v>10271</v>
      </c>
      <c r="E8209" s="260" t="s">
        <v>10279</v>
      </c>
      <c r="F8209" s="310">
        <v>513</v>
      </c>
      <c r="G8209" s="311">
        <v>1971</v>
      </c>
      <c r="H8209" s="467" t="s">
        <v>1149</v>
      </c>
      <c r="I8209" s="313">
        <v>188.2</v>
      </c>
      <c r="J8209" s="314">
        <v>91.366</v>
      </c>
      <c r="K8209" s="314">
        <v>89.605999999999995</v>
      </c>
      <c r="L8209" s="350">
        <f t="shared" si="111"/>
        <v>1.7600000000000051</v>
      </c>
      <c r="M8209" s="337"/>
    </row>
    <row r="8210" spans="1:13" s="71" customFormat="1" ht="39.6">
      <c r="A8210" s="282">
        <v>9</v>
      </c>
      <c r="B8210" s="537"/>
      <c r="C8210" s="307" t="s">
        <v>214</v>
      </c>
      <c r="D8210" s="307" t="s">
        <v>10271</v>
      </c>
      <c r="E8210" s="260" t="s">
        <v>10280</v>
      </c>
      <c r="F8210" s="310">
        <v>514</v>
      </c>
      <c r="G8210" s="311">
        <v>1971</v>
      </c>
      <c r="H8210" s="467" t="s">
        <v>1149</v>
      </c>
      <c r="I8210" s="313">
        <v>75</v>
      </c>
      <c r="J8210" s="314">
        <v>22.768999999999998</v>
      </c>
      <c r="K8210" s="314">
        <v>22.045999999999999</v>
      </c>
      <c r="L8210" s="350">
        <f t="shared" si="111"/>
        <v>0.72299999999999898</v>
      </c>
      <c r="M8210" s="337"/>
    </row>
    <row r="8211" spans="1:13" s="71" customFormat="1" ht="39.6">
      <c r="A8211" s="282">
        <v>10</v>
      </c>
      <c r="B8211" s="537"/>
      <c r="C8211" s="307" t="s">
        <v>214</v>
      </c>
      <c r="D8211" s="307" t="s">
        <v>10271</v>
      </c>
      <c r="E8211" s="260" t="s">
        <v>10280</v>
      </c>
      <c r="F8211" s="310">
        <v>515</v>
      </c>
      <c r="G8211" s="311">
        <v>1971</v>
      </c>
      <c r="H8211" s="467" t="s">
        <v>1149</v>
      </c>
      <c r="I8211" s="313">
        <v>75</v>
      </c>
      <c r="J8211" s="314">
        <v>22.771000000000001</v>
      </c>
      <c r="K8211" s="314">
        <v>21.99</v>
      </c>
      <c r="L8211" s="350">
        <f t="shared" si="111"/>
        <v>0.78100000000000236</v>
      </c>
      <c r="M8211" s="337"/>
    </row>
    <row r="8212" spans="1:13" s="71" customFormat="1" ht="39.6">
      <c r="A8212" s="282">
        <v>11</v>
      </c>
      <c r="B8212" s="537"/>
      <c r="C8212" s="307" t="s">
        <v>214</v>
      </c>
      <c r="D8212" s="307" t="s">
        <v>10271</v>
      </c>
      <c r="E8212" s="260" t="s">
        <v>10281</v>
      </c>
      <c r="F8212" s="310">
        <v>516</v>
      </c>
      <c r="G8212" s="311">
        <v>1971</v>
      </c>
      <c r="H8212" s="467" t="s">
        <v>1149</v>
      </c>
      <c r="I8212" s="313">
        <v>4413</v>
      </c>
      <c r="J8212" s="314">
        <v>694.31799999999998</v>
      </c>
      <c r="K8212" s="314">
        <v>604.05899999999997</v>
      </c>
      <c r="L8212" s="350">
        <f t="shared" si="111"/>
        <v>90.259000000000015</v>
      </c>
      <c r="M8212" s="337"/>
    </row>
    <row r="8213" spans="1:13" s="71" customFormat="1" ht="39.6">
      <c r="A8213" s="282">
        <v>12</v>
      </c>
      <c r="B8213" s="537"/>
      <c r="C8213" s="307" t="s">
        <v>214</v>
      </c>
      <c r="D8213" s="307" t="s">
        <v>10271</v>
      </c>
      <c r="E8213" s="260" t="s">
        <v>10282</v>
      </c>
      <c r="F8213" s="310">
        <v>517</v>
      </c>
      <c r="G8213" s="311">
        <v>1971</v>
      </c>
      <c r="H8213" s="467" t="s">
        <v>1149</v>
      </c>
      <c r="I8213" s="313">
        <v>706</v>
      </c>
      <c r="J8213" s="314">
        <v>148.80600000000001</v>
      </c>
      <c r="K8213" s="314">
        <v>136.59100000000001</v>
      </c>
      <c r="L8213" s="350">
        <f t="shared" si="111"/>
        <v>12.215000000000003</v>
      </c>
      <c r="M8213" s="337"/>
    </row>
    <row r="8214" spans="1:13" s="71" customFormat="1" ht="39.6">
      <c r="A8214" s="282">
        <v>13</v>
      </c>
      <c r="B8214" s="537"/>
      <c r="C8214" s="307" t="s">
        <v>214</v>
      </c>
      <c r="D8214" s="307" t="s">
        <v>10271</v>
      </c>
      <c r="E8214" s="260" t="s">
        <v>10282</v>
      </c>
      <c r="F8214" s="310">
        <v>518</v>
      </c>
      <c r="G8214" s="311">
        <v>1971</v>
      </c>
      <c r="H8214" s="467" t="s">
        <v>1149</v>
      </c>
      <c r="I8214" s="313">
        <v>706</v>
      </c>
      <c r="J8214" s="314">
        <v>148.80600000000001</v>
      </c>
      <c r="K8214" s="314">
        <v>136.59100000000001</v>
      </c>
      <c r="L8214" s="350">
        <f t="shared" si="111"/>
        <v>12.215000000000003</v>
      </c>
      <c r="M8214" s="337"/>
    </row>
    <row r="8215" spans="1:13" s="71" customFormat="1" ht="39.6">
      <c r="A8215" s="282">
        <v>14</v>
      </c>
      <c r="B8215" s="537"/>
      <c r="C8215" s="307" t="s">
        <v>214</v>
      </c>
      <c r="D8215" s="307" t="s">
        <v>10271</v>
      </c>
      <c r="E8215" s="260" t="s">
        <v>10283</v>
      </c>
      <c r="F8215" s="310">
        <v>522</v>
      </c>
      <c r="G8215" s="311">
        <v>1971</v>
      </c>
      <c r="H8215" s="467" t="s">
        <v>1149</v>
      </c>
      <c r="I8215" s="313">
        <v>13756.45</v>
      </c>
      <c r="J8215" s="314">
        <v>266.26600000000002</v>
      </c>
      <c r="K8215" s="314">
        <v>243.31899999999999</v>
      </c>
      <c r="L8215" s="350">
        <f t="shared" si="111"/>
        <v>22.947000000000031</v>
      </c>
      <c r="M8215" s="337"/>
    </row>
    <row r="8216" spans="1:13" s="71" customFormat="1" ht="39.6">
      <c r="A8216" s="282">
        <v>15</v>
      </c>
      <c r="B8216" s="537"/>
      <c r="C8216" s="307" t="s">
        <v>214</v>
      </c>
      <c r="D8216" s="307" t="s">
        <v>10271</v>
      </c>
      <c r="E8216" s="260" t="s">
        <v>10284</v>
      </c>
      <c r="F8216" s="310">
        <v>524</v>
      </c>
      <c r="G8216" s="311">
        <v>1973</v>
      </c>
      <c r="H8216" s="467" t="s">
        <v>1149</v>
      </c>
      <c r="I8216" s="313">
        <v>173</v>
      </c>
      <c r="J8216" s="314">
        <v>177.48400000000001</v>
      </c>
      <c r="K8216" s="314">
        <v>160.14699999999999</v>
      </c>
      <c r="L8216" s="350">
        <f t="shared" si="111"/>
        <v>17.337000000000018</v>
      </c>
      <c r="M8216" s="337"/>
    </row>
    <row r="8217" spans="1:13" s="71" customFormat="1" ht="39.6">
      <c r="A8217" s="282">
        <v>16</v>
      </c>
      <c r="B8217" s="537"/>
      <c r="C8217" s="307" t="s">
        <v>214</v>
      </c>
      <c r="D8217" s="307" t="s">
        <v>10271</v>
      </c>
      <c r="E8217" s="260" t="s">
        <v>10285</v>
      </c>
      <c r="F8217" s="310">
        <v>525</v>
      </c>
      <c r="G8217" s="311">
        <v>1971</v>
      </c>
      <c r="H8217" s="467" t="s">
        <v>1149</v>
      </c>
      <c r="I8217" s="313">
        <v>156</v>
      </c>
      <c r="J8217" s="314">
        <v>124.51</v>
      </c>
      <c r="K8217" s="314">
        <v>87.27</v>
      </c>
      <c r="L8217" s="350">
        <f t="shared" si="111"/>
        <v>37.240000000000009</v>
      </c>
      <c r="M8217" s="337"/>
    </row>
    <row r="8218" spans="1:13" s="71" customFormat="1" ht="39.6">
      <c r="A8218" s="282">
        <v>17</v>
      </c>
      <c r="B8218" s="537"/>
      <c r="C8218" s="307" t="s">
        <v>214</v>
      </c>
      <c r="D8218" s="307" t="s">
        <v>10271</v>
      </c>
      <c r="E8218" s="260" t="s">
        <v>10286</v>
      </c>
      <c r="F8218" s="310">
        <v>526</v>
      </c>
      <c r="G8218" s="311">
        <v>1973</v>
      </c>
      <c r="H8218" s="467" t="s">
        <v>1149</v>
      </c>
      <c r="I8218" s="313">
        <v>162</v>
      </c>
      <c r="J8218" s="314">
        <v>136.72800000000001</v>
      </c>
      <c r="K8218" s="314">
        <v>133.86600000000001</v>
      </c>
      <c r="L8218" s="350">
        <f t="shared" si="111"/>
        <v>2.8619999999999948</v>
      </c>
      <c r="M8218" s="337"/>
    </row>
    <row r="8219" spans="1:13" s="71" customFormat="1" ht="39.6">
      <c r="A8219" s="282">
        <v>18</v>
      </c>
      <c r="B8219" s="537"/>
      <c r="C8219" s="307" t="s">
        <v>214</v>
      </c>
      <c r="D8219" s="307" t="s">
        <v>10271</v>
      </c>
      <c r="E8219" s="260" t="s">
        <v>10287</v>
      </c>
      <c r="F8219" s="310" t="s">
        <v>10288</v>
      </c>
      <c r="G8219" s="311">
        <v>2002</v>
      </c>
      <c r="H8219" s="467" t="s">
        <v>1149</v>
      </c>
      <c r="I8219" s="313">
        <v>64.900000000000006</v>
      </c>
      <c r="J8219" s="314">
        <v>21.927</v>
      </c>
      <c r="K8219" s="314">
        <v>21.898</v>
      </c>
      <c r="L8219" s="350">
        <f t="shared" si="111"/>
        <v>2.8999999999999915E-2</v>
      </c>
      <c r="M8219" s="337"/>
    </row>
    <row r="8220" spans="1:13" s="71" customFormat="1" ht="39.6">
      <c r="A8220" s="282">
        <v>19</v>
      </c>
      <c r="B8220" s="537"/>
      <c r="C8220" s="307" t="s">
        <v>214</v>
      </c>
      <c r="D8220" s="307" t="s">
        <v>10271</v>
      </c>
      <c r="E8220" s="260" t="s">
        <v>10289</v>
      </c>
      <c r="F8220" s="310" t="s">
        <v>10290</v>
      </c>
      <c r="G8220" s="311">
        <v>2002</v>
      </c>
      <c r="H8220" s="467" t="s">
        <v>1149</v>
      </c>
      <c r="I8220" s="313">
        <v>70</v>
      </c>
      <c r="J8220" s="314">
        <v>9.4920000000000009</v>
      </c>
      <c r="K8220" s="314">
        <v>7.1</v>
      </c>
      <c r="L8220" s="350">
        <f t="shared" si="111"/>
        <v>2.3920000000000012</v>
      </c>
      <c r="M8220" s="337"/>
    </row>
    <row r="8221" spans="1:13" s="71" customFormat="1" ht="39.6">
      <c r="A8221" s="282">
        <v>20</v>
      </c>
      <c r="B8221" s="537"/>
      <c r="C8221" s="307" t="s">
        <v>214</v>
      </c>
      <c r="D8221" s="307" t="s">
        <v>10271</v>
      </c>
      <c r="E8221" s="260" t="s">
        <v>10291</v>
      </c>
      <c r="F8221" s="310" t="s">
        <v>10292</v>
      </c>
      <c r="G8221" s="311">
        <v>2002</v>
      </c>
      <c r="H8221" s="467" t="s">
        <v>1149</v>
      </c>
      <c r="I8221" s="313">
        <v>706.5</v>
      </c>
      <c r="J8221" s="314">
        <v>60.61</v>
      </c>
      <c r="K8221" s="314">
        <v>45.215000000000003</v>
      </c>
      <c r="L8221" s="350">
        <f t="shared" si="111"/>
        <v>15.394999999999996</v>
      </c>
      <c r="M8221" s="337"/>
    </row>
    <row r="8222" spans="1:13" s="71" customFormat="1" ht="39.6">
      <c r="A8222" s="282">
        <v>21</v>
      </c>
      <c r="B8222" s="537"/>
      <c r="C8222" s="307" t="s">
        <v>214</v>
      </c>
      <c r="D8222" s="307" t="s">
        <v>10271</v>
      </c>
      <c r="E8222" s="260" t="s">
        <v>10291</v>
      </c>
      <c r="F8222" s="310" t="s">
        <v>10293</v>
      </c>
      <c r="G8222" s="311">
        <v>2002</v>
      </c>
      <c r="H8222" s="467" t="s">
        <v>1149</v>
      </c>
      <c r="I8222" s="313">
        <v>706.5</v>
      </c>
      <c r="J8222" s="314">
        <v>60.61</v>
      </c>
      <c r="K8222" s="314">
        <v>45.926000000000002</v>
      </c>
      <c r="L8222" s="350">
        <f t="shared" si="111"/>
        <v>14.683999999999997</v>
      </c>
      <c r="M8222" s="337"/>
    </row>
    <row r="8223" spans="1:13" s="71" customFormat="1" ht="39.6">
      <c r="A8223" s="282">
        <v>22</v>
      </c>
      <c r="B8223" s="537"/>
      <c r="C8223" s="307" t="s">
        <v>214</v>
      </c>
      <c r="D8223" s="307" t="s">
        <v>10271</v>
      </c>
      <c r="E8223" s="260" t="s">
        <v>10294</v>
      </c>
      <c r="F8223" s="310" t="s">
        <v>10295</v>
      </c>
      <c r="G8223" s="311">
        <v>2002</v>
      </c>
      <c r="H8223" s="467" t="s">
        <v>1149</v>
      </c>
      <c r="I8223" s="313">
        <v>115</v>
      </c>
      <c r="J8223" s="314">
        <v>135.41999999999999</v>
      </c>
      <c r="K8223" s="314">
        <v>134.06</v>
      </c>
      <c r="L8223" s="350">
        <f t="shared" si="111"/>
        <v>1.3599999999999852</v>
      </c>
      <c r="M8223" s="337"/>
    </row>
    <row r="8224" spans="1:13" s="71" customFormat="1" ht="26.4" customHeight="1">
      <c r="A8224" s="282">
        <v>23</v>
      </c>
      <c r="B8224" s="537"/>
      <c r="C8224" s="307" t="s">
        <v>28</v>
      </c>
      <c r="D8224" s="307" t="s">
        <v>10296</v>
      </c>
      <c r="E8224" s="260" t="s">
        <v>13188</v>
      </c>
      <c r="F8224" s="310">
        <v>503</v>
      </c>
      <c r="G8224" s="311">
        <v>1971</v>
      </c>
      <c r="H8224" s="467" t="s">
        <v>1149</v>
      </c>
      <c r="I8224" s="313">
        <v>694</v>
      </c>
      <c r="J8224" s="314">
        <v>485.72199999999998</v>
      </c>
      <c r="K8224" s="314">
        <v>422.49</v>
      </c>
      <c r="L8224" s="350">
        <f t="shared" si="111"/>
        <v>63.231999999999971</v>
      </c>
      <c r="M8224" s="337"/>
    </row>
    <row r="8225" spans="1:13" s="71" customFormat="1" ht="26.4" customHeight="1">
      <c r="A8225" s="282">
        <v>24</v>
      </c>
      <c r="B8225" s="537"/>
      <c r="C8225" s="307" t="s">
        <v>28</v>
      </c>
      <c r="D8225" s="307" t="s">
        <v>10296</v>
      </c>
      <c r="E8225" s="260" t="s">
        <v>10297</v>
      </c>
      <c r="F8225" s="310">
        <v>511</v>
      </c>
      <c r="G8225" s="311">
        <v>1971</v>
      </c>
      <c r="H8225" s="467" t="s">
        <v>1149</v>
      </c>
      <c r="I8225" s="313">
        <v>27.5</v>
      </c>
      <c r="J8225" s="314">
        <v>29.407</v>
      </c>
      <c r="K8225" s="314">
        <v>28.957000000000001</v>
      </c>
      <c r="L8225" s="350">
        <f t="shared" si="111"/>
        <v>0.44999999999999929</v>
      </c>
      <c r="M8225" s="337"/>
    </row>
    <row r="8226" spans="1:13" s="71" customFormat="1" ht="26.4" customHeight="1">
      <c r="A8226" s="282">
        <v>25</v>
      </c>
      <c r="B8226" s="537"/>
      <c r="C8226" s="307" t="s">
        <v>28</v>
      </c>
      <c r="D8226" s="307" t="s">
        <v>10298</v>
      </c>
      <c r="E8226" s="260" t="s">
        <v>10299</v>
      </c>
      <c r="F8226" s="310">
        <v>504</v>
      </c>
      <c r="G8226" s="311">
        <v>1971</v>
      </c>
      <c r="H8226" s="467" t="s">
        <v>1149</v>
      </c>
      <c r="I8226" s="313">
        <v>462.3</v>
      </c>
      <c r="J8226" s="314">
        <v>290.31299999999999</v>
      </c>
      <c r="K8226" s="314">
        <v>249.95</v>
      </c>
      <c r="L8226" s="350">
        <f t="shared" si="111"/>
        <v>40.363</v>
      </c>
      <c r="M8226" s="337"/>
    </row>
    <row r="8227" spans="1:13" s="71" customFormat="1" ht="26.4" customHeight="1">
      <c r="A8227" s="282">
        <v>26</v>
      </c>
      <c r="B8227" s="537"/>
      <c r="C8227" s="307" t="s">
        <v>28</v>
      </c>
      <c r="D8227" s="307" t="s">
        <v>10298</v>
      </c>
      <c r="E8227" s="260" t="s">
        <v>10300</v>
      </c>
      <c r="F8227" s="310">
        <v>505</v>
      </c>
      <c r="G8227" s="311">
        <v>1971</v>
      </c>
      <c r="H8227" s="467" t="s">
        <v>1149</v>
      </c>
      <c r="I8227" s="313">
        <v>27.5</v>
      </c>
      <c r="J8227" s="314">
        <v>13.542</v>
      </c>
      <c r="K8227" s="314">
        <v>13.092000000000001</v>
      </c>
      <c r="L8227" s="350">
        <f t="shared" si="111"/>
        <v>0.44999999999999929</v>
      </c>
      <c r="M8227" s="337"/>
    </row>
    <row r="8228" spans="1:13" s="71" customFormat="1" ht="26.4" customHeight="1">
      <c r="A8228" s="282">
        <v>27</v>
      </c>
      <c r="B8228" s="537"/>
      <c r="C8228" s="307" t="s">
        <v>28</v>
      </c>
      <c r="D8228" s="307" t="s">
        <v>10298</v>
      </c>
      <c r="E8228" s="260" t="s">
        <v>10301</v>
      </c>
      <c r="F8228" s="310">
        <v>521</v>
      </c>
      <c r="G8228" s="311">
        <v>1971</v>
      </c>
      <c r="H8228" s="467" t="s">
        <v>1149</v>
      </c>
      <c r="I8228" s="313">
        <v>54</v>
      </c>
      <c r="J8228" s="314">
        <v>16.16</v>
      </c>
      <c r="K8228" s="314">
        <v>16.035</v>
      </c>
      <c r="L8228" s="350">
        <f t="shared" si="111"/>
        <v>0.125</v>
      </c>
      <c r="M8228" s="337"/>
    </row>
    <row r="8229" spans="1:13" s="71" customFormat="1" ht="26.4" customHeight="1">
      <c r="A8229" s="282">
        <v>28</v>
      </c>
      <c r="B8229" s="537"/>
      <c r="C8229" s="307" t="s">
        <v>28</v>
      </c>
      <c r="D8229" s="307" t="s">
        <v>10298</v>
      </c>
      <c r="E8229" s="260" t="s">
        <v>10302</v>
      </c>
      <c r="F8229" s="310">
        <v>1335</v>
      </c>
      <c r="G8229" s="311">
        <v>2014</v>
      </c>
      <c r="H8229" s="467" t="s">
        <v>1149</v>
      </c>
      <c r="I8229" s="313">
        <v>288</v>
      </c>
      <c r="J8229" s="314">
        <v>1042.8009999999999</v>
      </c>
      <c r="K8229" s="314">
        <v>679.55899999999997</v>
      </c>
      <c r="L8229" s="350">
        <f t="shared" si="111"/>
        <v>363.24199999999996</v>
      </c>
      <c r="M8229" s="337"/>
    </row>
    <row r="8230" spans="1:13" s="71" customFormat="1" ht="26.4" customHeight="1">
      <c r="A8230" s="282">
        <v>29</v>
      </c>
      <c r="B8230" s="537"/>
      <c r="C8230" s="307" t="s">
        <v>28</v>
      </c>
      <c r="D8230" s="307" t="s">
        <v>10298</v>
      </c>
      <c r="E8230" s="260" t="s">
        <v>10303</v>
      </c>
      <c r="F8230" s="310">
        <v>1176</v>
      </c>
      <c r="G8230" s="311">
        <v>2008</v>
      </c>
      <c r="H8230" s="467" t="s">
        <v>1149</v>
      </c>
      <c r="I8230" s="313">
        <v>0.8</v>
      </c>
      <c r="J8230" s="314">
        <v>1</v>
      </c>
      <c r="K8230" s="314">
        <v>0.92</v>
      </c>
      <c r="L8230" s="350">
        <f t="shared" si="111"/>
        <v>7.999999999999996E-2</v>
      </c>
      <c r="M8230" s="337"/>
    </row>
    <row r="8231" spans="1:13" s="71" customFormat="1" ht="26.4" customHeight="1">
      <c r="A8231" s="282">
        <v>30</v>
      </c>
      <c r="B8231" s="537"/>
      <c r="C8231" s="307" t="s">
        <v>28</v>
      </c>
      <c r="D8231" s="307" t="s">
        <v>10304</v>
      </c>
      <c r="E8231" s="260" t="s">
        <v>10305</v>
      </c>
      <c r="F8231" s="310">
        <v>2009</v>
      </c>
      <c r="G8231" s="311">
        <v>2004</v>
      </c>
      <c r="H8231" s="467" t="s">
        <v>1149</v>
      </c>
      <c r="I8231" s="313">
        <v>26.1</v>
      </c>
      <c r="J8231" s="314">
        <v>3.75</v>
      </c>
      <c r="K8231" s="314">
        <v>3.1</v>
      </c>
      <c r="L8231" s="350">
        <f t="shared" si="111"/>
        <v>0.64999999999999991</v>
      </c>
      <c r="M8231" s="337"/>
    </row>
    <row r="8232" spans="1:13" s="71" customFormat="1" ht="26.4" customHeight="1">
      <c r="A8232" s="282">
        <v>31</v>
      </c>
      <c r="B8232" s="537"/>
      <c r="C8232" s="307" t="s">
        <v>28</v>
      </c>
      <c r="D8232" s="307" t="s">
        <v>10304</v>
      </c>
      <c r="E8232" s="260" t="s">
        <v>10306</v>
      </c>
      <c r="F8232" s="310">
        <v>408</v>
      </c>
      <c r="G8232" s="311">
        <v>1963</v>
      </c>
      <c r="H8232" s="467" t="s">
        <v>1149</v>
      </c>
      <c r="I8232" s="313">
        <v>226.25</v>
      </c>
      <c r="J8232" s="314">
        <v>55.165999999999997</v>
      </c>
      <c r="K8232" s="314">
        <v>48.677999999999997</v>
      </c>
      <c r="L8232" s="350">
        <f t="shared" si="111"/>
        <v>6.4879999999999995</v>
      </c>
      <c r="M8232" s="337"/>
    </row>
    <row r="8233" spans="1:13" s="71" customFormat="1" ht="26.4" customHeight="1">
      <c r="A8233" s="282">
        <v>32</v>
      </c>
      <c r="B8233" s="537"/>
      <c r="C8233" s="307" t="s">
        <v>28</v>
      </c>
      <c r="D8233" s="307" t="s">
        <v>10307</v>
      </c>
      <c r="E8233" s="260" t="s">
        <v>10308</v>
      </c>
      <c r="F8233" s="310">
        <v>423</v>
      </c>
      <c r="G8233" s="311">
        <v>1963</v>
      </c>
      <c r="H8233" s="467" t="s">
        <v>1149</v>
      </c>
      <c r="I8233" s="313">
        <v>1306</v>
      </c>
      <c r="J8233" s="314">
        <v>99.263999999999996</v>
      </c>
      <c r="K8233" s="314">
        <v>91.528999999999996</v>
      </c>
      <c r="L8233" s="350">
        <f t="shared" si="111"/>
        <v>7.7349999999999994</v>
      </c>
      <c r="M8233" s="337"/>
    </row>
    <row r="8234" spans="1:13" s="71" customFormat="1" ht="26.4" customHeight="1">
      <c r="A8234" s="282">
        <v>33</v>
      </c>
      <c r="B8234" s="537"/>
      <c r="C8234" s="307" t="s">
        <v>28</v>
      </c>
      <c r="D8234" s="307" t="s">
        <v>10304</v>
      </c>
      <c r="E8234" s="260" t="s">
        <v>10309</v>
      </c>
      <c r="F8234" s="310">
        <v>714</v>
      </c>
      <c r="G8234" s="311">
        <v>1967</v>
      </c>
      <c r="H8234" s="467" t="s">
        <v>1149</v>
      </c>
      <c r="I8234" s="313">
        <v>324</v>
      </c>
      <c r="J8234" s="314">
        <v>96.055000000000007</v>
      </c>
      <c r="K8234" s="314">
        <v>91.667000000000002</v>
      </c>
      <c r="L8234" s="350">
        <f t="shared" si="111"/>
        <v>4.3880000000000052</v>
      </c>
      <c r="M8234" s="337"/>
    </row>
    <row r="8235" spans="1:13" s="71" customFormat="1" ht="26.4" customHeight="1">
      <c r="A8235" s="282">
        <v>34</v>
      </c>
      <c r="B8235" s="537"/>
      <c r="C8235" s="307" t="s">
        <v>28</v>
      </c>
      <c r="D8235" s="307" t="s">
        <v>10304</v>
      </c>
      <c r="E8235" s="260" t="s">
        <v>10310</v>
      </c>
      <c r="F8235" s="310">
        <v>715</v>
      </c>
      <c r="G8235" s="311">
        <v>1967</v>
      </c>
      <c r="H8235" s="467" t="s">
        <v>1149</v>
      </c>
      <c r="I8235" s="313">
        <v>557.9</v>
      </c>
      <c r="J8235" s="314">
        <v>24.84</v>
      </c>
      <c r="K8235" s="314">
        <v>23.786999999999999</v>
      </c>
      <c r="L8235" s="350">
        <f t="shared" si="111"/>
        <v>1.0530000000000008</v>
      </c>
      <c r="M8235" s="337"/>
    </row>
    <row r="8236" spans="1:13" s="71" customFormat="1" ht="26.4" customHeight="1">
      <c r="A8236" s="282">
        <v>35</v>
      </c>
      <c r="B8236" s="537"/>
      <c r="C8236" s="307" t="s">
        <v>28</v>
      </c>
      <c r="D8236" s="307" t="s">
        <v>10304</v>
      </c>
      <c r="E8236" s="260" t="s">
        <v>10311</v>
      </c>
      <c r="F8236" s="310">
        <v>716</v>
      </c>
      <c r="G8236" s="311">
        <v>1993</v>
      </c>
      <c r="H8236" s="467" t="s">
        <v>1149</v>
      </c>
      <c r="I8236" s="313">
        <v>682.4</v>
      </c>
      <c r="J8236" s="314">
        <v>5.71</v>
      </c>
      <c r="K8236" s="314">
        <v>5.3559999999999999</v>
      </c>
      <c r="L8236" s="350">
        <f t="shared" si="111"/>
        <v>0.35400000000000009</v>
      </c>
      <c r="M8236" s="337"/>
    </row>
    <row r="8237" spans="1:13" s="71" customFormat="1" ht="26.4" customHeight="1">
      <c r="A8237" s="282">
        <v>36</v>
      </c>
      <c r="B8237" s="537"/>
      <c r="C8237" s="307" t="s">
        <v>28</v>
      </c>
      <c r="D8237" s="307" t="s">
        <v>10304</v>
      </c>
      <c r="E8237" s="260" t="s">
        <v>10312</v>
      </c>
      <c r="F8237" s="310">
        <v>804</v>
      </c>
      <c r="G8237" s="311">
        <v>1967</v>
      </c>
      <c r="H8237" s="467" t="s">
        <v>1149</v>
      </c>
      <c r="I8237" s="313">
        <v>253.4</v>
      </c>
      <c r="J8237" s="314">
        <v>737.34299999999996</v>
      </c>
      <c r="K8237" s="314">
        <v>322.62200000000001</v>
      </c>
      <c r="L8237" s="350">
        <f t="shared" si="111"/>
        <v>414.72099999999995</v>
      </c>
      <c r="M8237" s="337"/>
    </row>
    <row r="8238" spans="1:13" s="71" customFormat="1" ht="26.4" customHeight="1">
      <c r="A8238" s="282">
        <v>37</v>
      </c>
      <c r="B8238" s="537"/>
      <c r="C8238" s="307" t="s">
        <v>28</v>
      </c>
      <c r="D8238" s="307" t="s">
        <v>10304</v>
      </c>
      <c r="E8238" s="260" t="s">
        <v>10313</v>
      </c>
      <c r="F8238" s="310">
        <v>827</v>
      </c>
      <c r="G8238" s="311">
        <v>1967</v>
      </c>
      <c r="H8238" s="467" t="s">
        <v>1149</v>
      </c>
      <c r="I8238" s="313">
        <v>350.6</v>
      </c>
      <c r="J8238" s="314">
        <v>19.623999999999999</v>
      </c>
      <c r="K8238" s="314">
        <v>18.183</v>
      </c>
      <c r="L8238" s="350">
        <f t="shared" si="111"/>
        <v>1.4409999999999989</v>
      </c>
      <c r="M8238" s="337"/>
    </row>
    <row r="8239" spans="1:13" s="71" customFormat="1" ht="26.4" customHeight="1">
      <c r="A8239" s="282">
        <v>38</v>
      </c>
      <c r="B8239" s="537"/>
      <c r="C8239" s="307" t="s">
        <v>28</v>
      </c>
      <c r="D8239" s="307" t="s">
        <v>10304</v>
      </c>
      <c r="E8239" s="260" t="s">
        <v>448</v>
      </c>
      <c r="F8239" s="310">
        <v>828</v>
      </c>
      <c r="G8239" s="311">
        <v>1977</v>
      </c>
      <c r="H8239" s="467" t="s">
        <v>1149</v>
      </c>
      <c r="I8239" s="313">
        <v>741.9</v>
      </c>
      <c r="J8239" s="314">
        <v>291.23599999999999</v>
      </c>
      <c r="K8239" s="314">
        <v>187.56399999999999</v>
      </c>
      <c r="L8239" s="350">
        <f t="shared" si="111"/>
        <v>103.672</v>
      </c>
      <c r="M8239" s="337"/>
    </row>
    <row r="8240" spans="1:13" s="71" customFormat="1" ht="26.4" customHeight="1">
      <c r="A8240" s="282">
        <v>39</v>
      </c>
      <c r="B8240" s="537"/>
      <c r="C8240" s="307" t="s">
        <v>28</v>
      </c>
      <c r="D8240" s="307" t="s">
        <v>10304</v>
      </c>
      <c r="E8240" s="260" t="s">
        <v>10314</v>
      </c>
      <c r="F8240" s="310">
        <v>829</v>
      </c>
      <c r="G8240" s="311">
        <v>1986</v>
      </c>
      <c r="H8240" s="467" t="s">
        <v>1149</v>
      </c>
      <c r="I8240" s="313">
        <v>206.2</v>
      </c>
      <c r="J8240" s="314">
        <v>6.75</v>
      </c>
      <c r="K8240" s="314">
        <v>5.3520000000000003</v>
      </c>
      <c r="L8240" s="350">
        <f t="shared" si="111"/>
        <v>1.3979999999999997</v>
      </c>
      <c r="M8240" s="337"/>
    </row>
    <row r="8241" spans="1:13" s="71" customFormat="1" ht="26.4" customHeight="1">
      <c r="A8241" s="282">
        <v>40</v>
      </c>
      <c r="B8241" s="537"/>
      <c r="C8241" s="307" t="s">
        <v>28</v>
      </c>
      <c r="D8241" s="307" t="s">
        <v>10304</v>
      </c>
      <c r="E8241" s="260" t="s">
        <v>2674</v>
      </c>
      <c r="F8241" s="310">
        <v>1137</v>
      </c>
      <c r="G8241" s="311">
        <v>2005</v>
      </c>
      <c r="H8241" s="467" t="s">
        <v>1149</v>
      </c>
      <c r="I8241" s="313">
        <v>76.400000000000006</v>
      </c>
      <c r="J8241" s="314">
        <v>207.17400000000001</v>
      </c>
      <c r="K8241" s="314">
        <v>115.417</v>
      </c>
      <c r="L8241" s="350">
        <f t="shared" si="111"/>
        <v>91.757000000000005</v>
      </c>
      <c r="M8241" s="337"/>
    </row>
    <row r="8242" spans="1:13" s="71" customFormat="1" ht="26.4" customHeight="1">
      <c r="A8242" s="282">
        <v>41</v>
      </c>
      <c r="B8242" s="537"/>
      <c r="C8242" s="307" t="s">
        <v>28</v>
      </c>
      <c r="D8242" s="307" t="s">
        <v>10304</v>
      </c>
      <c r="E8242" s="260" t="s">
        <v>10305</v>
      </c>
      <c r="F8242" s="310" t="s">
        <v>10315</v>
      </c>
      <c r="G8242" s="311">
        <v>2004</v>
      </c>
      <c r="H8242" s="467" t="s">
        <v>1149</v>
      </c>
      <c r="I8242" s="313">
        <v>26.1</v>
      </c>
      <c r="J8242" s="314">
        <v>3.75</v>
      </c>
      <c r="K8242" s="314">
        <v>3.1</v>
      </c>
      <c r="L8242" s="350">
        <f t="shared" si="111"/>
        <v>0.64999999999999991</v>
      </c>
      <c r="M8242" s="337"/>
    </row>
    <row r="8243" spans="1:13" s="71" customFormat="1" ht="26.4" customHeight="1">
      <c r="A8243" s="282">
        <v>42</v>
      </c>
      <c r="B8243" s="537"/>
      <c r="C8243" s="307" t="s">
        <v>28</v>
      </c>
      <c r="D8243" s="307" t="s">
        <v>10304</v>
      </c>
      <c r="E8243" s="260" t="s">
        <v>10316</v>
      </c>
      <c r="F8243" s="310">
        <v>1174</v>
      </c>
      <c r="G8243" s="311">
        <v>2008</v>
      </c>
      <c r="H8243" s="467" t="s">
        <v>1149</v>
      </c>
      <c r="I8243" s="313">
        <v>45.1</v>
      </c>
      <c r="J8243" s="314">
        <v>2</v>
      </c>
      <c r="K8243" s="314">
        <v>1.85</v>
      </c>
      <c r="L8243" s="350">
        <f t="shared" si="111"/>
        <v>0.14999999999999991</v>
      </c>
      <c r="M8243" s="337"/>
    </row>
    <row r="8244" spans="1:13" s="71" customFormat="1" ht="26.4" customHeight="1">
      <c r="A8244" s="282">
        <v>43</v>
      </c>
      <c r="B8244" s="537"/>
      <c r="C8244" s="307" t="s">
        <v>28</v>
      </c>
      <c r="D8244" s="307" t="s">
        <v>10304</v>
      </c>
      <c r="E8244" s="260" t="s">
        <v>10317</v>
      </c>
      <c r="F8244" s="310">
        <v>1171</v>
      </c>
      <c r="G8244" s="311">
        <v>2008</v>
      </c>
      <c r="H8244" s="467" t="s">
        <v>1149</v>
      </c>
      <c r="I8244" s="313">
        <v>6</v>
      </c>
      <c r="J8244" s="314">
        <v>3</v>
      </c>
      <c r="K8244" s="314">
        <v>2.78</v>
      </c>
      <c r="L8244" s="350">
        <f t="shared" si="111"/>
        <v>0.2200000000000002</v>
      </c>
      <c r="M8244" s="337"/>
    </row>
    <row r="8245" spans="1:13" s="71" customFormat="1" ht="26.4" customHeight="1">
      <c r="A8245" s="282">
        <v>44</v>
      </c>
      <c r="B8245" s="537"/>
      <c r="C8245" s="307" t="s">
        <v>28</v>
      </c>
      <c r="D8245" s="307" t="s">
        <v>10304</v>
      </c>
      <c r="E8245" s="260" t="s">
        <v>975</v>
      </c>
      <c r="F8245" s="310">
        <v>1172</v>
      </c>
      <c r="G8245" s="311">
        <v>2008</v>
      </c>
      <c r="H8245" s="467" t="s">
        <v>1149</v>
      </c>
      <c r="I8245" s="313">
        <v>6</v>
      </c>
      <c r="J8245" s="314">
        <v>2</v>
      </c>
      <c r="K8245" s="314">
        <v>1.85</v>
      </c>
      <c r="L8245" s="350">
        <f t="shared" si="111"/>
        <v>0.14999999999999991</v>
      </c>
      <c r="M8245" s="337"/>
    </row>
    <row r="8246" spans="1:13" s="71" customFormat="1" ht="26.4" customHeight="1">
      <c r="A8246" s="282">
        <v>45</v>
      </c>
      <c r="B8246" s="537"/>
      <c r="C8246" s="307" t="s">
        <v>28</v>
      </c>
      <c r="D8246" s="307" t="s">
        <v>10318</v>
      </c>
      <c r="E8246" s="260" t="s">
        <v>10319</v>
      </c>
      <c r="F8246" s="310">
        <v>410</v>
      </c>
      <c r="G8246" s="311">
        <v>1981</v>
      </c>
      <c r="H8246" s="467" t="s">
        <v>1149</v>
      </c>
      <c r="I8246" s="313">
        <v>57.9</v>
      </c>
      <c r="J8246" s="314">
        <v>36.976999999999997</v>
      </c>
      <c r="K8246" s="314">
        <v>29.545999999999999</v>
      </c>
      <c r="L8246" s="350">
        <f t="shared" si="111"/>
        <v>7.4309999999999974</v>
      </c>
      <c r="M8246" s="337"/>
    </row>
    <row r="8247" spans="1:13" s="71" customFormat="1" ht="26.4" customHeight="1">
      <c r="A8247" s="282">
        <v>46</v>
      </c>
      <c r="B8247" s="537"/>
      <c r="C8247" s="307" t="s">
        <v>28</v>
      </c>
      <c r="D8247" s="307" t="s">
        <v>10318</v>
      </c>
      <c r="E8247" s="260" t="s">
        <v>10320</v>
      </c>
      <c r="F8247" s="310">
        <v>411</v>
      </c>
      <c r="G8247" s="311">
        <v>1981</v>
      </c>
      <c r="H8247" s="467" t="s">
        <v>1149</v>
      </c>
      <c r="I8247" s="313">
        <v>147.9</v>
      </c>
      <c r="J8247" s="314">
        <v>104.3</v>
      </c>
      <c r="K8247" s="314">
        <v>98.203000000000003</v>
      </c>
      <c r="L8247" s="350">
        <f t="shared" si="111"/>
        <v>6.0969999999999942</v>
      </c>
      <c r="M8247" s="337"/>
    </row>
    <row r="8248" spans="1:13" s="71" customFormat="1" ht="26.4" customHeight="1">
      <c r="A8248" s="282">
        <v>47</v>
      </c>
      <c r="B8248" s="537"/>
      <c r="C8248" s="307" t="s">
        <v>28</v>
      </c>
      <c r="D8248" s="307" t="s">
        <v>10318</v>
      </c>
      <c r="E8248" s="260" t="s">
        <v>10321</v>
      </c>
      <c r="F8248" s="310">
        <v>412</v>
      </c>
      <c r="G8248" s="311">
        <v>1981</v>
      </c>
      <c r="H8248" s="467" t="s">
        <v>1149</v>
      </c>
      <c r="I8248" s="313">
        <v>72.400000000000006</v>
      </c>
      <c r="J8248" s="314">
        <v>44.945999999999998</v>
      </c>
      <c r="K8248" s="314">
        <v>38.268000000000001</v>
      </c>
      <c r="L8248" s="350">
        <f t="shared" si="111"/>
        <v>6.6779999999999973</v>
      </c>
      <c r="M8248" s="337"/>
    </row>
    <row r="8249" spans="1:13" s="71" customFormat="1" ht="26.4" customHeight="1">
      <c r="A8249" s="282">
        <v>48</v>
      </c>
      <c r="B8249" s="537"/>
      <c r="C8249" s="307" t="s">
        <v>28</v>
      </c>
      <c r="D8249" s="307" t="s">
        <v>10318</v>
      </c>
      <c r="E8249" s="260" t="s">
        <v>10322</v>
      </c>
      <c r="F8249" s="310">
        <v>413</v>
      </c>
      <c r="G8249" s="311">
        <v>1981</v>
      </c>
      <c r="H8249" s="467" t="s">
        <v>1149</v>
      </c>
      <c r="I8249" s="313">
        <v>28.8</v>
      </c>
      <c r="J8249" s="314">
        <v>20.803000000000001</v>
      </c>
      <c r="K8249" s="314">
        <v>20.335999999999999</v>
      </c>
      <c r="L8249" s="350">
        <f t="shared" si="111"/>
        <v>0.4670000000000023</v>
      </c>
      <c r="M8249" s="337"/>
    </row>
    <row r="8250" spans="1:13" s="71" customFormat="1" ht="26.4" customHeight="1">
      <c r="A8250" s="282">
        <v>49</v>
      </c>
      <c r="B8250" s="537"/>
      <c r="C8250" s="307" t="s">
        <v>28</v>
      </c>
      <c r="D8250" s="307" t="s">
        <v>10318</v>
      </c>
      <c r="E8250" s="260" t="s">
        <v>10323</v>
      </c>
      <c r="F8250" s="310">
        <v>424</v>
      </c>
      <c r="G8250" s="311">
        <v>1981</v>
      </c>
      <c r="H8250" s="467" t="s">
        <v>1149</v>
      </c>
      <c r="I8250" s="313">
        <v>1749</v>
      </c>
      <c r="J8250" s="314">
        <v>332.47199999999998</v>
      </c>
      <c r="K8250" s="314">
        <v>299.33600000000001</v>
      </c>
      <c r="L8250" s="350">
        <f t="shared" si="111"/>
        <v>33.135999999999967</v>
      </c>
      <c r="M8250" s="337"/>
    </row>
    <row r="8251" spans="1:13" s="71" customFormat="1" ht="26.4" customHeight="1">
      <c r="A8251" s="282">
        <v>50</v>
      </c>
      <c r="B8251" s="537"/>
      <c r="C8251" s="307" t="s">
        <v>10324</v>
      </c>
      <c r="D8251" s="307" t="s">
        <v>10325</v>
      </c>
      <c r="E8251" s="260" t="s">
        <v>10326</v>
      </c>
      <c r="F8251" s="310">
        <v>1062</v>
      </c>
      <c r="G8251" s="311">
        <v>1962</v>
      </c>
      <c r="H8251" s="467" t="s">
        <v>1149</v>
      </c>
      <c r="I8251" s="313">
        <v>37.799999999999997</v>
      </c>
      <c r="J8251" s="314">
        <v>46.273000000000003</v>
      </c>
      <c r="K8251" s="314">
        <v>44.573</v>
      </c>
      <c r="L8251" s="350">
        <f t="shared" si="111"/>
        <v>1.7000000000000028</v>
      </c>
      <c r="M8251" s="337"/>
    </row>
    <row r="8252" spans="1:13" s="71" customFormat="1" ht="26.4" customHeight="1">
      <c r="A8252" s="282">
        <v>51</v>
      </c>
      <c r="B8252" s="537"/>
      <c r="C8252" s="307" t="s">
        <v>10324</v>
      </c>
      <c r="D8252" s="307" t="s">
        <v>10327</v>
      </c>
      <c r="E8252" s="260" t="s">
        <v>10328</v>
      </c>
      <c r="F8252" s="310">
        <v>1063</v>
      </c>
      <c r="G8252" s="311">
        <v>1962</v>
      </c>
      <c r="H8252" s="467" t="s">
        <v>1149</v>
      </c>
      <c r="I8252" s="313">
        <v>33.299999999999997</v>
      </c>
      <c r="J8252" s="314">
        <v>46.228999999999999</v>
      </c>
      <c r="K8252" s="314">
        <v>46.043999999999997</v>
      </c>
      <c r="L8252" s="350">
        <f t="shared" si="111"/>
        <v>0.18500000000000227</v>
      </c>
      <c r="M8252" s="337"/>
    </row>
    <row r="8253" spans="1:13" s="71" customFormat="1" ht="26.4" customHeight="1">
      <c r="A8253" s="282">
        <v>52</v>
      </c>
      <c r="B8253" s="537"/>
      <c r="C8253" s="307" t="s">
        <v>10329</v>
      </c>
      <c r="D8253" s="307" t="s">
        <v>10330</v>
      </c>
      <c r="E8253" s="260" t="s">
        <v>10331</v>
      </c>
      <c r="F8253" s="310">
        <v>1113</v>
      </c>
      <c r="G8253" s="311">
        <v>2004</v>
      </c>
      <c r="H8253" s="467" t="s">
        <v>1149</v>
      </c>
      <c r="I8253" s="313">
        <v>3.14</v>
      </c>
      <c r="J8253" s="314">
        <v>62.25</v>
      </c>
      <c r="K8253" s="314">
        <v>45.256</v>
      </c>
      <c r="L8253" s="350">
        <f t="shared" si="111"/>
        <v>16.994</v>
      </c>
      <c r="M8253" s="337"/>
    </row>
    <row r="8254" spans="1:13" s="71" customFormat="1" ht="26.4" customHeight="1">
      <c r="A8254" s="282">
        <v>53</v>
      </c>
      <c r="B8254" s="537"/>
      <c r="C8254" s="307" t="s">
        <v>10332</v>
      </c>
      <c r="D8254" s="307" t="s">
        <v>10333</v>
      </c>
      <c r="E8254" s="260" t="s">
        <v>10334</v>
      </c>
      <c r="F8254" s="310">
        <v>1117</v>
      </c>
      <c r="G8254" s="311">
        <v>2004</v>
      </c>
      <c r="H8254" s="467" t="s">
        <v>1149</v>
      </c>
      <c r="I8254" s="313">
        <v>3.14</v>
      </c>
      <c r="J8254" s="314">
        <v>22.942</v>
      </c>
      <c r="K8254" s="314">
        <v>15.978999999999999</v>
      </c>
      <c r="L8254" s="350">
        <f t="shared" si="111"/>
        <v>6.963000000000001</v>
      </c>
      <c r="M8254" s="337"/>
    </row>
    <row r="8255" spans="1:13" s="71" customFormat="1" ht="26.4" customHeight="1">
      <c r="A8255" s="282">
        <v>54</v>
      </c>
      <c r="B8255" s="537"/>
      <c r="C8255" s="307" t="s">
        <v>10332</v>
      </c>
      <c r="D8255" s="307" t="s">
        <v>10335</v>
      </c>
      <c r="E8255" s="260" t="s">
        <v>10336</v>
      </c>
      <c r="F8255" s="310">
        <v>1118</v>
      </c>
      <c r="G8255" s="311">
        <v>1994</v>
      </c>
      <c r="H8255" s="467" t="s">
        <v>1149</v>
      </c>
      <c r="I8255" s="313">
        <v>3.14</v>
      </c>
      <c r="J8255" s="314">
        <v>503.596</v>
      </c>
      <c r="K8255" s="314">
        <v>499.42899999999997</v>
      </c>
      <c r="L8255" s="350">
        <f t="shared" si="111"/>
        <v>4.16700000000003</v>
      </c>
      <c r="M8255" s="337"/>
    </row>
    <row r="8256" spans="1:13" s="71" customFormat="1" ht="26.4" customHeight="1">
      <c r="A8256" s="282">
        <v>55</v>
      </c>
      <c r="B8256" s="537"/>
      <c r="C8256" s="307" t="s">
        <v>10332</v>
      </c>
      <c r="D8256" s="307" t="s">
        <v>10333</v>
      </c>
      <c r="E8256" s="260" t="s">
        <v>10337</v>
      </c>
      <c r="F8256" s="310">
        <v>1119</v>
      </c>
      <c r="G8256" s="311">
        <v>2000</v>
      </c>
      <c r="H8256" s="467" t="s">
        <v>1149</v>
      </c>
      <c r="I8256" s="313">
        <v>3.14</v>
      </c>
      <c r="J8256" s="314">
        <v>45.487000000000002</v>
      </c>
      <c r="K8256" s="314">
        <v>15.974</v>
      </c>
      <c r="L8256" s="350">
        <f t="shared" si="111"/>
        <v>29.513000000000002</v>
      </c>
      <c r="M8256" s="337"/>
    </row>
    <row r="8257" spans="1:13" s="71" customFormat="1" ht="26.4" customHeight="1">
      <c r="A8257" s="282">
        <v>56</v>
      </c>
      <c r="B8257" s="537"/>
      <c r="C8257" s="307" t="s">
        <v>10324</v>
      </c>
      <c r="D8257" s="307" t="s">
        <v>10338</v>
      </c>
      <c r="E8257" s="260" t="s">
        <v>10339</v>
      </c>
      <c r="F8257" s="310">
        <v>339</v>
      </c>
      <c r="G8257" s="311">
        <v>1972</v>
      </c>
      <c r="H8257" s="467" t="s">
        <v>1149</v>
      </c>
      <c r="I8257" s="313">
        <v>1862.7</v>
      </c>
      <c r="J8257" s="314">
        <v>328.07900000000001</v>
      </c>
      <c r="K8257" s="314">
        <v>285.13200000000001</v>
      </c>
      <c r="L8257" s="350">
        <f t="shared" si="111"/>
        <v>42.947000000000003</v>
      </c>
      <c r="M8257" s="337"/>
    </row>
    <row r="8258" spans="1:13" s="71" customFormat="1" ht="26.4" customHeight="1">
      <c r="A8258" s="282">
        <v>57</v>
      </c>
      <c r="B8258" s="537"/>
      <c r="C8258" s="307" t="s">
        <v>28</v>
      </c>
      <c r="D8258" s="307" t="s">
        <v>10340</v>
      </c>
      <c r="E8258" s="260" t="s">
        <v>10341</v>
      </c>
      <c r="F8258" s="310">
        <v>340</v>
      </c>
      <c r="G8258" s="311">
        <v>1979</v>
      </c>
      <c r="H8258" s="467" t="s">
        <v>1149</v>
      </c>
      <c r="I8258" s="313">
        <v>897</v>
      </c>
      <c r="J8258" s="314">
        <v>503.71199999999999</v>
      </c>
      <c r="K8258" s="314">
        <v>266.30099999999999</v>
      </c>
      <c r="L8258" s="350">
        <f t="shared" si="111"/>
        <v>237.411</v>
      </c>
      <c r="M8258" s="337"/>
    </row>
    <row r="8259" spans="1:13" s="71" customFormat="1" ht="26.4" customHeight="1">
      <c r="A8259" s="282">
        <v>58</v>
      </c>
      <c r="B8259" s="537"/>
      <c r="C8259" s="307" t="s">
        <v>28</v>
      </c>
      <c r="D8259" s="307" t="s">
        <v>10342</v>
      </c>
      <c r="E8259" s="260" t="s">
        <v>10343</v>
      </c>
      <c r="F8259" s="310">
        <v>341</v>
      </c>
      <c r="G8259" s="311">
        <v>1979</v>
      </c>
      <c r="H8259" s="467" t="s">
        <v>1149</v>
      </c>
      <c r="I8259" s="313">
        <v>897</v>
      </c>
      <c r="J8259" s="314">
        <v>96.984999999999999</v>
      </c>
      <c r="K8259" s="314">
        <v>75.959999999999994</v>
      </c>
      <c r="L8259" s="350">
        <f t="shared" si="111"/>
        <v>21.025000000000006</v>
      </c>
      <c r="M8259" s="337"/>
    </row>
    <row r="8260" spans="1:13" s="71" customFormat="1" ht="26.4" customHeight="1">
      <c r="A8260" s="282">
        <v>59</v>
      </c>
      <c r="B8260" s="537"/>
      <c r="C8260" s="307" t="s">
        <v>28</v>
      </c>
      <c r="D8260" s="307" t="s">
        <v>10342</v>
      </c>
      <c r="E8260" s="260" t="s">
        <v>10344</v>
      </c>
      <c r="F8260" s="310">
        <v>345</v>
      </c>
      <c r="G8260" s="311">
        <v>1979</v>
      </c>
      <c r="H8260" s="467" t="s">
        <v>1149</v>
      </c>
      <c r="I8260" s="313">
        <v>42.1</v>
      </c>
      <c r="J8260" s="314">
        <v>10.76</v>
      </c>
      <c r="K8260" s="314">
        <v>8.7880000000000003</v>
      </c>
      <c r="L8260" s="350">
        <f t="shared" si="111"/>
        <v>1.9719999999999995</v>
      </c>
      <c r="M8260" s="337"/>
    </row>
    <row r="8261" spans="1:13" s="71" customFormat="1" ht="26.4" customHeight="1">
      <c r="A8261" s="282">
        <v>60</v>
      </c>
      <c r="B8261" s="537"/>
      <c r="C8261" s="307" t="s">
        <v>28</v>
      </c>
      <c r="D8261" s="307" t="s">
        <v>10342</v>
      </c>
      <c r="E8261" s="260" t="s">
        <v>10345</v>
      </c>
      <c r="F8261" s="310">
        <v>346</v>
      </c>
      <c r="G8261" s="311">
        <v>1979</v>
      </c>
      <c r="H8261" s="467" t="s">
        <v>1149</v>
      </c>
      <c r="I8261" s="313">
        <v>28.4</v>
      </c>
      <c r="J8261" s="314">
        <v>5.7850000000000001</v>
      </c>
      <c r="K8261" s="314">
        <v>4.9020000000000001</v>
      </c>
      <c r="L8261" s="350">
        <f t="shared" si="111"/>
        <v>0.88300000000000001</v>
      </c>
      <c r="M8261" s="337"/>
    </row>
    <row r="8262" spans="1:13" s="71" customFormat="1" ht="26.4" customHeight="1">
      <c r="A8262" s="282">
        <v>61</v>
      </c>
      <c r="B8262" s="537"/>
      <c r="C8262" s="307" t="s">
        <v>28</v>
      </c>
      <c r="D8262" s="307" t="s">
        <v>10342</v>
      </c>
      <c r="E8262" s="260" t="s">
        <v>10346</v>
      </c>
      <c r="F8262" s="310">
        <v>1321</v>
      </c>
      <c r="G8262" s="311">
        <v>2013</v>
      </c>
      <c r="H8262" s="467" t="s">
        <v>1149</v>
      </c>
      <c r="I8262" s="313">
        <v>4</v>
      </c>
      <c r="J8262" s="314">
        <v>3.5</v>
      </c>
      <c r="K8262" s="314">
        <v>1.05</v>
      </c>
      <c r="L8262" s="350">
        <f t="shared" si="111"/>
        <v>2.4500000000000002</v>
      </c>
      <c r="M8262" s="337"/>
    </row>
    <row r="8263" spans="1:13" s="71" customFormat="1" ht="26.4" customHeight="1">
      <c r="A8263" s="282">
        <v>62</v>
      </c>
      <c r="B8263" s="537"/>
      <c r="C8263" s="307" t="s">
        <v>10347</v>
      </c>
      <c r="D8263" s="307" t="s">
        <v>10348</v>
      </c>
      <c r="E8263" s="260" t="s">
        <v>10349</v>
      </c>
      <c r="F8263" s="310">
        <v>401</v>
      </c>
      <c r="G8263" s="311">
        <v>1972</v>
      </c>
      <c r="H8263" s="467" t="s">
        <v>1149</v>
      </c>
      <c r="I8263" s="313">
        <v>144</v>
      </c>
      <c r="J8263" s="314">
        <v>38.924999999999997</v>
      </c>
      <c r="K8263" s="314">
        <v>28.323</v>
      </c>
      <c r="L8263" s="350">
        <f t="shared" si="111"/>
        <v>10.601999999999997</v>
      </c>
      <c r="M8263" s="337"/>
    </row>
    <row r="8264" spans="1:13" s="71" customFormat="1" ht="26.4" customHeight="1">
      <c r="A8264" s="282">
        <v>63</v>
      </c>
      <c r="B8264" s="537"/>
      <c r="C8264" s="307" t="s">
        <v>10347</v>
      </c>
      <c r="D8264" s="307" t="s">
        <v>10348</v>
      </c>
      <c r="E8264" s="260" t="s">
        <v>10350</v>
      </c>
      <c r="F8264" s="310">
        <v>403</v>
      </c>
      <c r="G8264" s="311">
        <v>1976</v>
      </c>
      <c r="H8264" s="467" t="s">
        <v>1149</v>
      </c>
      <c r="I8264" s="313">
        <v>144</v>
      </c>
      <c r="J8264" s="314">
        <v>44.268999999999998</v>
      </c>
      <c r="K8264" s="314">
        <v>37.277999999999999</v>
      </c>
      <c r="L8264" s="350">
        <f t="shared" si="111"/>
        <v>6.9909999999999997</v>
      </c>
      <c r="M8264" s="337"/>
    </row>
    <row r="8265" spans="1:13" s="71" customFormat="1" ht="26.4" customHeight="1">
      <c r="A8265" s="282">
        <v>64</v>
      </c>
      <c r="B8265" s="537"/>
      <c r="C8265" s="307" t="s">
        <v>10347</v>
      </c>
      <c r="D8265" s="307" t="s">
        <v>10348</v>
      </c>
      <c r="E8265" s="260" t="s">
        <v>10351</v>
      </c>
      <c r="F8265" s="310">
        <v>404</v>
      </c>
      <c r="G8265" s="311">
        <v>1976</v>
      </c>
      <c r="H8265" s="467" t="s">
        <v>1149</v>
      </c>
      <c r="I8265" s="313">
        <v>117</v>
      </c>
      <c r="J8265" s="314">
        <v>51.112000000000002</v>
      </c>
      <c r="K8265" s="314">
        <v>42.109000000000002</v>
      </c>
      <c r="L8265" s="350">
        <f t="shared" si="111"/>
        <v>9.0030000000000001</v>
      </c>
      <c r="M8265" s="337"/>
    </row>
    <row r="8266" spans="1:13" s="71" customFormat="1" ht="26.4" customHeight="1">
      <c r="A8266" s="282">
        <v>65</v>
      </c>
      <c r="B8266" s="537"/>
      <c r="C8266" s="307" t="s">
        <v>10347</v>
      </c>
      <c r="D8266" s="307" t="s">
        <v>10348</v>
      </c>
      <c r="E8266" s="260" t="s">
        <v>10352</v>
      </c>
      <c r="F8266" s="310">
        <v>405</v>
      </c>
      <c r="G8266" s="311">
        <v>1976</v>
      </c>
      <c r="H8266" s="467" t="s">
        <v>1149</v>
      </c>
      <c r="I8266" s="313">
        <v>864</v>
      </c>
      <c r="J8266" s="314">
        <v>194.5</v>
      </c>
      <c r="K8266" s="314">
        <v>136.59</v>
      </c>
      <c r="L8266" s="350">
        <f t="shared" ref="L8266:L8329" si="112">J8266-K8266</f>
        <v>57.91</v>
      </c>
      <c r="M8266" s="337"/>
    </row>
    <row r="8267" spans="1:13" s="71" customFormat="1" ht="26.4" customHeight="1">
      <c r="A8267" s="282">
        <v>66</v>
      </c>
      <c r="B8267" s="537"/>
      <c r="C8267" s="307" t="s">
        <v>10347</v>
      </c>
      <c r="D8267" s="307" t="s">
        <v>10348</v>
      </c>
      <c r="E8267" s="260" t="s">
        <v>10353</v>
      </c>
      <c r="F8267" s="310">
        <v>414</v>
      </c>
      <c r="G8267" s="311">
        <v>1972</v>
      </c>
      <c r="H8267" s="467" t="s">
        <v>1149</v>
      </c>
      <c r="I8267" s="313">
        <v>3.14</v>
      </c>
      <c r="J8267" s="314">
        <v>24.439</v>
      </c>
      <c r="K8267" s="314">
        <v>21.766999999999999</v>
      </c>
      <c r="L8267" s="350">
        <f t="shared" si="112"/>
        <v>2.6720000000000006</v>
      </c>
      <c r="M8267" s="337"/>
    </row>
    <row r="8268" spans="1:13" s="71" customFormat="1" ht="26.4" customHeight="1">
      <c r="A8268" s="282">
        <v>67</v>
      </c>
      <c r="B8268" s="537"/>
      <c r="C8268" s="307" t="s">
        <v>10347</v>
      </c>
      <c r="D8268" s="307" t="s">
        <v>10348</v>
      </c>
      <c r="E8268" s="260" t="s">
        <v>10353</v>
      </c>
      <c r="F8268" s="310">
        <v>415</v>
      </c>
      <c r="G8268" s="311">
        <v>1972</v>
      </c>
      <c r="H8268" s="467" t="s">
        <v>1149</v>
      </c>
      <c r="I8268" s="313">
        <v>3.14</v>
      </c>
      <c r="J8268" s="314">
        <v>27.695</v>
      </c>
      <c r="K8268" s="314">
        <v>24.442</v>
      </c>
      <c r="L8268" s="350">
        <f t="shared" si="112"/>
        <v>3.2530000000000001</v>
      </c>
      <c r="M8268" s="337"/>
    </row>
    <row r="8269" spans="1:13" s="71" customFormat="1" ht="26.4" customHeight="1">
      <c r="A8269" s="282">
        <v>68</v>
      </c>
      <c r="B8269" s="537"/>
      <c r="C8269" s="307" t="s">
        <v>10347</v>
      </c>
      <c r="D8269" s="307" t="s">
        <v>10348</v>
      </c>
      <c r="E8269" s="260" t="s">
        <v>10353</v>
      </c>
      <c r="F8269" s="310">
        <v>416</v>
      </c>
      <c r="G8269" s="311">
        <v>1972</v>
      </c>
      <c r="H8269" s="467" t="s">
        <v>1149</v>
      </c>
      <c r="I8269" s="313">
        <v>3.14</v>
      </c>
      <c r="J8269" s="314">
        <v>26.225000000000001</v>
      </c>
      <c r="K8269" s="314">
        <v>23.14</v>
      </c>
      <c r="L8269" s="350">
        <f t="shared" si="112"/>
        <v>3.0850000000000009</v>
      </c>
      <c r="M8269" s="337"/>
    </row>
    <row r="8270" spans="1:13" s="71" customFormat="1" ht="26.4" customHeight="1">
      <c r="A8270" s="282">
        <v>69</v>
      </c>
      <c r="B8270" s="537"/>
      <c r="C8270" s="307" t="s">
        <v>10347</v>
      </c>
      <c r="D8270" s="307" t="s">
        <v>10348</v>
      </c>
      <c r="E8270" s="260" t="s">
        <v>10353</v>
      </c>
      <c r="F8270" s="310">
        <v>417</v>
      </c>
      <c r="G8270" s="311">
        <v>1972</v>
      </c>
      <c r="H8270" s="467" t="s">
        <v>1149</v>
      </c>
      <c r="I8270" s="313">
        <v>3.14</v>
      </c>
      <c r="J8270" s="314">
        <v>26.603000000000002</v>
      </c>
      <c r="K8270" s="314">
        <v>23.478000000000002</v>
      </c>
      <c r="L8270" s="350">
        <f t="shared" si="112"/>
        <v>3.125</v>
      </c>
      <c r="M8270" s="337"/>
    </row>
    <row r="8271" spans="1:13" s="71" customFormat="1" ht="26.4" customHeight="1">
      <c r="A8271" s="282">
        <v>70</v>
      </c>
      <c r="B8271" s="537"/>
      <c r="C8271" s="307" t="s">
        <v>10347</v>
      </c>
      <c r="D8271" s="307" t="s">
        <v>10348</v>
      </c>
      <c r="E8271" s="260" t="s">
        <v>10353</v>
      </c>
      <c r="F8271" s="310">
        <v>418</v>
      </c>
      <c r="G8271" s="311">
        <v>1972</v>
      </c>
      <c r="H8271" s="467" t="s">
        <v>1149</v>
      </c>
      <c r="I8271" s="313">
        <v>3.14</v>
      </c>
      <c r="J8271" s="314">
        <v>26.760999999999999</v>
      </c>
      <c r="K8271" s="314">
        <v>23.617000000000001</v>
      </c>
      <c r="L8271" s="350">
        <f t="shared" si="112"/>
        <v>3.1439999999999984</v>
      </c>
      <c r="M8271" s="337"/>
    </row>
    <row r="8272" spans="1:13" s="71" customFormat="1" ht="26.4" customHeight="1">
      <c r="A8272" s="282">
        <v>71</v>
      </c>
      <c r="B8272" s="537"/>
      <c r="C8272" s="307" t="s">
        <v>10347</v>
      </c>
      <c r="D8272" s="307" t="s">
        <v>10348</v>
      </c>
      <c r="E8272" s="260" t="s">
        <v>10353</v>
      </c>
      <c r="F8272" s="310">
        <v>419</v>
      </c>
      <c r="G8272" s="311">
        <v>1972</v>
      </c>
      <c r="H8272" s="467" t="s">
        <v>1149</v>
      </c>
      <c r="I8272" s="313">
        <v>3.14</v>
      </c>
      <c r="J8272" s="314">
        <v>25.966999999999999</v>
      </c>
      <c r="K8272" s="314">
        <v>22.917000000000002</v>
      </c>
      <c r="L8272" s="350">
        <f t="shared" si="112"/>
        <v>3.0499999999999972</v>
      </c>
      <c r="M8272" s="337"/>
    </row>
    <row r="8273" spans="1:13" s="71" customFormat="1" ht="26.4" customHeight="1">
      <c r="A8273" s="282">
        <v>72</v>
      </c>
      <c r="B8273" s="537"/>
      <c r="C8273" s="307" t="s">
        <v>10347</v>
      </c>
      <c r="D8273" s="307" t="s">
        <v>10348</v>
      </c>
      <c r="E8273" s="260" t="s">
        <v>10353</v>
      </c>
      <c r="F8273" s="310">
        <v>420</v>
      </c>
      <c r="G8273" s="311">
        <v>1972</v>
      </c>
      <c r="H8273" s="467" t="s">
        <v>1149</v>
      </c>
      <c r="I8273" s="313">
        <v>3.14</v>
      </c>
      <c r="J8273" s="314">
        <v>26.523</v>
      </c>
      <c r="K8273" s="314">
        <v>23.408000000000001</v>
      </c>
      <c r="L8273" s="350">
        <f t="shared" si="112"/>
        <v>3.1149999999999984</v>
      </c>
      <c r="M8273" s="337"/>
    </row>
    <row r="8274" spans="1:13" s="71" customFormat="1" ht="26.4" customHeight="1">
      <c r="A8274" s="282">
        <v>73</v>
      </c>
      <c r="B8274" s="537"/>
      <c r="C8274" s="307" t="s">
        <v>10347</v>
      </c>
      <c r="D8274" s="307" t="s">
        <v>10348</v>
      </c>
      <c r="E8274" s="260" t="s">
        <v>10354</v>
      </c>
      <c r="F8274" s="310">
        <v>421</v>
      </c>
      <c r="G8274" s="311">
        <v>1972</v>
      </c>
      <c r="H8274" s="467" t="s">
        <v>1149</v>
      </c>
      <c r="I8274" s="313">
        <v>150</v>
      </c>
      <c r="J8274" s="314">
        <v>31.268000000000001</v>
      </c>
      <c r="K8274" s="314">
        <v>24.837</v>
      </c>
      <c r="L8274" s="350">
        <f t="shared" si="112"/>
        <v>6.4310000000000009</v>
      </c>
      <c r="M8274" s="337"/>
    </row>
    <row r="8275" spans="1:13" s="71" customFormat="1" ht="26.4" customHeight="1">
      <c r="A8275" s="282">
        <v>74</v>
      </c>
      <c r="B8275" s="537"/>
      <c r="C8275" s="307" t="s">
        <v>10347</v>
      </c>
      <c r="D8275" s="307" t="s">
        <v>10348</v>
      </c>
      <c r="E8275" s="260" t="s">
        <v>10355</v>
      </c>
      <c r="F8275" s="310">
        <v>1177</v>
      </c>
      <c r="G8275" s="311">
        <v>2008</v>
      </c>
      <c r="H8275" s="467" t="s">
        <v>1149</v>
      </c>
      <c r="I8275" s="313">
        <v>24</v>
      </c>
      <c r="J8275" s="314">
        <v>5</v>
      </c>
      <c r="K8275" s="314">
        <v>4.5839999999999996</v>
      </c>
      <c r="L8275" s="350">
        <f t="shared" si="112"/>
        <v>0.41600000000000037</v>
      </c>
      <c r="M8275" s="337"/>
    </row>
    <row r="8276" spans="1:13" s="71" customFormat="1" ht="26.4" customHeight="1">
      <c r="A8276" s="282">
        <v>75</v>
      </c>
      <c r="B8276" s="537"/>
      <c r="C8276" s="307" t="s">
        <v>28</v>
      </c>
      <c r="D8276" s="307" t="s">
        <v>10356</v>
      </c>
      <c r="E8276" s="260" t="s">
        <v>10357</v>
      </c>
      <c r="F8276" s="310">
        <v>780</v>
      </c>
      <c r="G8276" s="311">
        <v>1986</v>
      </c>
      <c r="H8276" s="467" t="s">
        <v>1149</v>
      </c>
      <c r="I8276" s="313">
        <v>130</v>
      </c>
      <c r="J8276" s="314">
        <v>202.49799999999999</v>
      </c>
      <c r="K8276" s="314">
        <v>158.726</v>
      </c>
      <c r="L8276" s="350">
        <f t="shared" si="112"/>
        <v>43.771999999999991</v>
      </c>
      <c r="M8276" s="337"/>
    </row>
    <row r="8277" spans="1:13" s="71" customFormat="1" ht="26.4" customHeight="1">
      <c r="A8277" s="282">
        <v>76</v>
      </c>
      <c r="B8277" s="537"/>
      <c r="C8277" s="307" t="s">
        <v>10324</v>
      </c>
      <c r="D8277" s="307" t="s">
        <v>10358</v>
      </c>
      <c r="E8277" s="260" t="s">
        <v>10359</v>
      </c>
      <c r="F8277" s="310">
        <v>781</v>
      </c>
      <c r="G8277" s="311">
        <v>1986</v>
      </c>
      <c r="H8277" s="467" t="s">
        <v>1149</v>
      </c>
      <c r="I8277" s="313">
        <v>57.3</v>
      </c>
      <c r="J8277" s="314">
        <v>156.227</v>
      </c>
      <c r="K8277" s="314">
        <v>120.717</v>
      </c>
      <c r="L8277" s="350">
        <f t="shared" si="112"/>
        <v>35.510000000000005</v>
      </c>
      <c r="M8277" s="337"/>
    </row>
    <row r="8278" spans="1:13" s="71" customFormat="1" ht="26.4" customHeight="1">
      <c r="A8278" s="282">
        <v>77</v>
      </c>
      <c r="B8278" s="537"/>
      <c r="C8278" s="307" t="s">
        <v>28</v>
      </c>
      <c r="D8278" s="307" t="s">
        <v>10360</v>
      </c>
      <c r="E8278" s="260" t="s">
        <v>10361</v>
      </c>
      <c r="F8278" s="310">
        <v>782</v>
      </c>
      <c r="G8278" s="311">
        <v>1986</v>
      </c>
      <c r="H8278" s="467" t="s">
        <v>1149</v>
      </c>
      <c r="I8278" s="313">
        <v>32.5</v>
      </c>
      <c r="J8278" s="314">
        <v>61.201000000000001</v>
      </c>
      <c r="K8278" s="314">
        <v>46.262</v>
      </c>
      <c r="L8278" s="350">
        <f t="shared" si="112"/>
        <v>14.939</v>
      </c>
      <c r="M8278" s="337"/>
    </row>
    <row r="8279" spans="1:13" s="71" customFormat="1" ht="26.4" customHeight="1">
      <c r="A8279" s="282">
        <v>78</v>
      </c>
      <c r="B8279" s="537"/>
      <c r="C8279" s="307" t="s">
        <v>28</v>
      </c>
      <c r="D8279" s="307" t="s">
        <v>10307</v>
      </c>
      <c r="E8279" s="260" t="s">
        <v>10362</v>
      </c>
      <c r="F8279" s="310" t="s">
        <v>10363</v>
      </c>
      <c r="G8279" s="311">
        <v>1971</v>
      </c>
      <c r="H8279" s="467" t="s">
        <v>1149</v>
      </c>
      <c r="I8279" s="313">
        <v>19</v>
      </c>
      <c r="J8279" s="314">
        <v>11.733000000000001</v>
      </c>
      <c r="K8279" s="314">
        <v>10.914999999999999</v>
      </c>
      <c r="L8279" s="350">
        <f t="shared" si="112"/>
        <v>0.81800000000000139</v>
      </c>
      <c r="M8279" s="337"/>
    </row>
    <row r="8280" spans="1:13" s="71" customFormat="1" ht="26.4">
      <c r="A8280" s="282">
        <v>79</v>
      </c>
      <c r="B8280" s="537"/>
      <c r="C8280" s="307" t="s">
        <v>10347</v>
      </c>
      <c r="D8280" s="307" t="s">
        <v>10348</v>
      </c>
      <c r="E8280" s="260" t="s">
        <v>10364</v>
      </c>
      <c r="F8280" s="310">
        <v>422</v>
      </c>
      <c r="G8280" s="311">
        <v>1976</v>
      </c>
      <c r="H8280" s="467" t="s">
        <v>3</v>
      </c>
      <c r="I8280" s="313" t="s">
        <v>13231</v>
      </c>
      <c r="J8280" s="314">
        <v>31.446000000000002</v>
      </c>
      <c r="K8280" s="314">
        <v>30.184999999999999</v>
      </c>
      <c r="L8280" s="350">
        <f t="shared" si="112"/>
        <v>1.2610000000000028</v>
      </c>
      <c r="M8280" s="337"/>
    </row>
    <row r="8281" spans="1:13" s="71" customFormat="1" ht="26.4" customHeight="1">
      <c r="A8281" s="282">
        <v>80</v>
      </c>
      <c r="B8281" s="537"/>
      <c r="C8281" s="307" t="s">
        <v>28</v>
      </c>
      <c r="D8281" s="307" t="s">
        <v>10365</v>
      </c>
      <c r="E8281" s="260" t="s">
        <v>10366</v>
      </c>
      <c r="F8281" s="310">
        <v>342</v>
      </c>
      <c r="G8281" s="311">
        <v>1979</v>
      </c>
      <c r="H8281" s="340" t="s">
        <v>3</v>
      </c>
      <c r="I8281" s="313" t="s">
        <v>10367</v>
      </c>
      <c r="J8281" s="314">
        <v>51.396000000000001</v>
      </c>
      <c r="K8281" s="314">
        <v>46.313000000000002</v>
      </c>
      <c r="L8281" s="350">
        <f t="shared" si="112"/>
        <v>5.0829999999999984</v>
      </c>
      <c r="M8281" s="337"/>
    </row>
    <row r="8282" spans="1:13" s="71" customFormat="1" ht="26.4" customHeight="1">
      <c r="A8282" s="282">
        <v>81</v>
      </c>
      <c r="B8282" s="537"/>
      <c r="C8282" s="307" t="s">
        <v>28</v>
      </c>
      <c r="D8282" s="307" t="s">
        <v>10368</v>
      </c>
      <c r="E8282" s="260" t="s">
        <v>10369</v>
      </c>
      <c r="F8282" s="310">
        <v>523</v>
      </c>
      <c r="G8282" s="311">
        <v>1971</v>
      </c>
      <c r="H8282" s="340" t="s">
        <v>3</v>
      </c>
      <c r="I8282" s="313" t="s">
        <v>10370</v>
      </c>
      <c r="J8282" s="314">
        <v>196.27</v>
      </c>
      <c r="K8282" s="314">
        <v>171.37</v>
      </c>
      <c r="L8282" s="350">
        <f t="shared" si="112"/>
        <v>24.900000000000006</v>
      </c>
      <c r="M8282" s="337"/>
    </row>
    <row r="8283" spans="1:13" s="71" customFormat="1" ht="39.6">
      <c r="A8283" s="282">
        <v>82</v>
      </c>
      <c r="B8283" s="537"/>
      <c r="C8283" s="307" t="s">
        <v>10324</v>
      </c>
      <c r="D8283" s="307" t="s">
        <v>10371</v>
      </c>
      <c r="E8283" s="260" t="s">
        <v>10372</v>
      </c>
      <c r="F8283" s="310">
        <v>1320</v>
      </c>
      <c r="G8283" s="311">
        <v>2013</v>
      </c>
      <c r="H8283" s="340" t="s">
        <v>3</v>
      </c>
      <c r="I8283" s="313" t="s">
        <v>10373</v>
      </c>
      <c r="J8283" s="314">
        <v>15.68</v>
      </c>
      <c r="K8283" s="314">
        <v>4.7039999999999997</v>
      </c>
      <c r="L8283" s="350">
        <f t="shared" si="112"/>
        <v>10.975999999999999</v>
      </c>
      <c r="M8283" s="337"/>
    </row>
    <row r="8284" spans="1:13" s="71" customFormat="1" ht="26.4" customHeight="1">
      <c r="A8284" s="282">
        <v>83</v>
      </c>
      <c r="B8284" s="537"/>
      <c r="C8284" s="307" t="s">
        <v>28</v>
      </c>
      <c r="D8284" s="307" t="s">
        <v>10318</v>
      </c>
      <c r="E8284" s="260" t="s">
        <v>10374</v>
      </c>
      <c r="F8284" s="310">
        <v>425</v>
      </c>
      <c r="G8284" s="311">
        <v>1981</v>
      </c>
      <c r="H8284" s="340" t="s">
        <v>3</v>
      </c>
      <c r="I8284" s="313" t="s">
        <v>10375</v>
      </c>
      <c r="J8284" s="314">
        <v>42.429000000000002</v>
      </c>
      <c r="K8284" s="314">
        <v>35.822000000000003</v>
      </c>
      <c r="L8284" s="350">
        <f t="shared" si="112"/>
        <v>6.6069999999999993</v>
      </c>
      <c r="M8284" s="337"/>
    </row>
    <row r="8285" spans="1:13" s="71" customFormat="1" ht="26.4" customHeight="1">
      <c r="A8285" s="282">
        <v>84</v>
      </c>
      <c r="B8285" s="537"/>
      <c r="C8285" s="307" t="s">
        <v>28</v>
      </c>
      <c r="D8285" s="307" t="s">
        <v>10318</v>
      </c>
      <c r="E8285" s="260" t="s">
        <v>10376</v>
      </c>
      <c r="F8285" s="310">
        <v>426</v>
      </c>
      <c r="G8285" s="311">
        <v>1981</v>
      </c>
      <c r="H8285" s="340" t="s">
        <v>3</v>
      </c>
      <c r="I8285" s="313" t="s">
        <v>10377</v>
      </c>
      <c r="J8285" s="314">
        <v>35.277999999999999</v>
      </c>
      <c r="K8285" s="314">
        <v>30.62</v>
      </c>
      <c r="L8285" s="350">
        <f t="shared" si="112"/>
        <v>4.6579999999999977</v>
      </c>
      <c r="M8285" s="337"/>
    </row>
    <row r="8286" spans="1:13" s="71" customFormat="1" ht="26.4" customHeight="1">
      <c r="A8286" s="282">
        <v>85</v>
      </c>
      <c r="B8286" s="537"/>
      <c r="C8286" s="307" t="s">
        <v>28</v>
      </c>
      <c r="D8286" s="307" t="s">
        <v>10378</v>
      </c>
      <c r="E8286" s="260" t="s">
        <v>10379</v>
      </c>
      <c r="F8286" s="310">
        <v>1</v>
      </c>
      <c r="G8286" s="311">
        <v>1954</v>
      </c>
      <c r="H8286" s="340" t="s">
        <v>3</v>
      </c>
      <c r="I8286" s="313" t="s">
        <v>10380</v>
      </c>
      <c r="J8286" s="314">
        <v>24.384</v>
      </c>
      <c r="K8286" s="314">
        <v>24.009</v>
      </c>
      <c r="L8286" s="350">
        <f t="shared" si="112"/>
        <v>0.375</v>
      </c>
      <c r="M8286" s="337"/>
    </row>
    <row r="8287" spans="1:13" s="71" customFormat="1" ht="26.4" customHeight="1">
      <c r="A8287" s="282">
        <v>86</v>
      </c>
      <c r="B8287" s="537"/>
      <c r="C8287" s="307" t="s">
        <v>28</v>
      </c>
      <c r="D8287" s="307" t="s">
        <v>10381</v>
      </c>
      <c r="E8287" s="260" t="s">
        <v>10382</v>
      </c>
      <c r="F8287" s="310">
        <v>2</v>
      </c>
      <c r="G8287" s="311">
        <v>1954</v>
      </c>
      <c r="H8287" s="340" t="s">
        <v>3</v>
      </c>
      <c r="I8287" s="313" t="s">
        <v>10383</v>
      </c>
      <c r="J8287" s="314">
        <v>25.175000000000001</v>
      </c>
      <c r="K8287" s="314">
        <v>24.495999999999999</v>
      </c>
      <c r="L8287" s="350">
        <f t="shared" si="112"/>
        <v>0.67900000000000205</v>
      </c>
      <c r="M8287" s="337"/>
    </row>
    <row r="8288" spans="1:13" s="71" customFormat="1" ht="26.4" customHeight="1">
      <c r="A8288" s="282">
        <v>87</v>
      </c>
      <c r="B8288" s="537"/>
      <c r="C8288" s="307" t="s">
        <v>28</v>
      </c>
      <c r="D8288" s="307" t="s">
        <v>10384</v>
      </c>
      <c r="E8288" s="260" t="s">
        <v>10385</v>
      </c>
      <c r="F8288" s="310">
        <v>3</v>
      </c>
      <c r="G8288" s="311">
        <v>1951</v>
      </c>
      <c r="H8288" s="340" t="s">
        <v>3</v>
      </c>
      <c r="I8288" s="313" t="s">
        <v>10386</v>
      </c>
      <c r="J8288" s="314">
        <v>13.157999999999999</v>
      </c>
      <c r="K8288" s="314">
        <v>12.835000000000001</v>
      </c>
      <c r="L8288" s="350">
        <f t="shared" si="112"/>
        <v>0.32299999999999862</v>
      </c>
      <c r="M8288" s="337"/>
    </row>
    <row r="8289" spans="1:13" s="71" customFormat="1" ht="26.4" customHeight="1">
      <c r="A8289" s="282">
        <v>88</v>
      </c>
      <c r="B8289" s="537"/>
      <c r="C8289" s="307" t="s">
        <v>28</v>
      </c>
      <c r="D8289" s="307" t="s">
        <v>10387</v>
      </c>
      <c r="E8289" s="260" t="s">
        <v>13189</v>
      </c>
      <c r="F8289" s="310">
        <v>4</v>
      </c>
      <c r="G8289" s="311">
        <v>1951</v>
      </c>
      <c r="H8289" s="340" t="s">
        <v>3</v>
      </c>
      <c r="I8289" s="313" t="s">
        <v>10388</v>
      </c>
      <c r="J8289" s="314">
        <v>63.561999999999998</v>
      </c>
      <c r="K8289" s="314">
        <v>63.384999999999998</v>
      </c>
      <c r="L8289" s="350">
        <f t="shared" si="112"/>
        <v>0.1769999999999996</v>
      </c>
      <c r="M8289" s="337"/>
    </row>
    <row r="8290" spans="1:13" s="71" customFormat="1" ht="26.4" customHeight="1">
      <c r="A8290" s="282">
        <v>89</v>
      </c>
      <c r="B8290" s="537"/>
      <c r="C8290" s="307" t="s">
        <v>28</v>
      </c>
      <c r="D8290" s="307" t="s">
        <v>10389</v>
      </c>
      <c r="E8290" s="260" t="s">
        <v>4934</v>
      </c>
      <c r="F8290" s="310">
        <v>5</v>
      </c>
      <c r="G8290" s="311">
        <v>1955</v>
      </c>
      <c r="H8290" s="340" t="s">
        <v>3</v>
      </c>
      <c r="I8290" s="313" t="s">
        <v>10390</v>
      </c>
      <c r="J8290" s="314">
        <v>10.978</v>
      </c>
      <c r="K8290" s="314">
        <v>7.3</v>
      </c>
      <c r="L8290" s="350">
        <f t="shared" si="112"/>
        <v>3.6779999999999999</v>
      </c>
      <c r="M8290" s="337"/>
    </row>
    <row r="8291" spans="1:13" s="71" customFormat="1" ht="26.4" customHeight="1">
      <c r="A8291" s="282">
        <v>90</v>
      </c>
      <c r="B8291" s="537"/>
      <c r="C8291" s="307" t="s">
        <v>28</v>
      </c>
      <c r="D8291" s="307" t="s">
        <v>10391</v>
      </c>
      <c r="E8291" s="260" t="s">
        <v>10392</v>
      </c>
      <c r="F8291" s="310">
        <v>6</v>
      </c>
      <c r="G8291" s="311">
        <v>1955</v>
      </c>
      <c r="H8291" s="340" t="s">
        <v>3</v>
      </c>
      <c r="I8291" s="313" t="s">
        <v>10393</v>
      </c>
      <c r="J8291" s="314">
        <v>11.273</v>
      </c>
      <c r="K8291" s="314">
        <v>10.423</v>
      </c>
      <c r="L8291" s="350">
        <f t="shared" si="112"/>
        <v>0.84999999999999964</v>
      </c>
      <c r="M8291" s="337"/>
    </row>
    <row r="8292" spans="1:13" s="71" customFormat="1" ht="26.4" customHeight="1">
      <c r="A8292" s="282">
        <v>91</v>
      </c>
      <c r="B8292" s="537"/>
      <c r="C8292" s="307" t="s">
        <v>28</v>
      </c>
      <c r="D8292" s="307" t="s">
        <v>10394</v>
      </c>
      <c r="E8292" s="260" t="s">
        <v>10395</v>
      </c>
      <c r="F8292" s="310">
        <v>7</v>
      </c>
      <c r="G8292" s="311">
        <v>1955</v>
      </c>
      <c r="H8292" s="340" t="s">
        <v>3</v>
      </c>
      <c r="I8292" s="313" t="s">
        <v>10396</v>
      </c>
      <c r="J8292" s="314">
        <v>10.491</v>
      </c>
      <c r="K8292" s="314">
        <v>9.6850000000000005</v>
      </c>
      <c r="L8292" s="350">
        <f t="shared" si="112"/>
        <v>0.80599999999999916</v>
      </c>
      <c r="M8292" s="337"/>
    </row>
    <row r="8293" spans="1:13" s="71" customFormat="1" ht="26.4" customHeight="1">
      <c r="A8293" s="282">
        <v>92</v>
      </c>
      <c r="B8293" s="537"/>
      <c r="C8293" s="307" t="s">
        <v>28</v>
      </c>
      <c r="D8293" s="307" t="s">
        <v>10397</v>
      </c>
      <c r="E8293" s="260" t="s">
        <v>10398</v>
      </c>
      <c r="F8293" s="310">
        <v>8</v>
      </c>
      <c r="G8293" s="311">
        <v>1955</v>
      </c>
      <c r="H8293" s="340" t="s">
        <v>3</v>
      </c>
      <c r="I8293" s="313" t="s">
        <v>10399</v>
      </c>
      <c r="J8293" s="314">
        <v>21.872</v>
      </c>
      <c r="K8293" s="314">
        <v>21.497</v>
      </c>
      <c r="L8293" s="350">
        <f t="shared" si="112"/>
        <v>0.375</v>
      </c>
      <c r="M8293" s="337"/>
    </row>
    <row r="8294" spans="1:13" s="71" customFormat="1" ht="26.4" customHeight="1">
      <c r="A8294" s="282">
        <v>93</v>
      </c>
      <c r="B8294" s="537"/>
      <c r="C8294" s="307" t="s">
        <v>28</v>
      </c>
      <c r="D8294" s="307" t="s">
        <v>10400</v>
      </c>
      <c r="E8294" s="260" t="s">
        <v>10401</v>
      </c>
      <c r="F8294" s="310">
        <v>9</v>
      </c>
      <c r="G8294" s="311">
        <v>1955</v>
      </c>
      <c r="H8294" s="340" t="s">
        <v>3</v>
      </c>
      <c r="I8294" s="313" t="s">
        <v>10402</v>
      </c>
      <c r="J8294" s="314">
        <v>38.258000000000003</v>
      </c>
      <c r="K8294" s="314">
        <v>36.363</v>
      </c>
      <c r="L8294" s="350">
        <f t="shared" si="112"/>
        <v>1.8950000000000031</v>
      </c>
      <c r="M8294" s="337"/>
    </row>
    <row r="8295" spans="1:13" s="71" customFormat="1" ht="26.4" customHeight="1">
      <c r="A8295" s="282">
        <v>94</v>
      </c>
      <c r="B8295" s="537"/>
      <c r="C8295" s="307" t="s">
        <v>28</v>
      </c>
      <c r="D8295" s="307" t="s">
        <v>10403</v>
      </c>
      <c r="E8295" s="260" t="s">
        <v>10404</v>
      </c>
      <c r="F8295" s="310">
        <v>10</v>
      </c>
      <c r="G8295" s="311">
        <v>1956</v>
      </c>
      <c r="H8295" s="340" t="s">
        <v>3</v>
      </c>
      <c r="I8295" s="313" t="s">
        <v>10405</v>
      </c>
      <c r="J8295" s="314">
        <v>32.378</v>
      </c>
      <c r="K8295" s="314">
        <v>32.003999999999998</v>
      </c>
      <c r="L8295" s="350">
        <f t="shared" si="112"/>
        <v>0.37400000000000233</v>
      </c>
      <c r="M8295" s="337"/>
    </row>
    <row r="8296" spans="1:13" s="71" customFormat="1" ht="26.4" customHeight="1">
      <c r="A8296" s="282">
        <v>95</v>
      </c>
      <c r="B8296" s="537"/>
      <c r="C8296" s="307" t="s">
        <v>28</v>
      </c>
      <c r="D8296" s="307" t="s">
        <v>10406</v>
      </c>
      <c r="E8296" s="260" t="s">
        <v>10407</v>
      </c>
      <c r="F8296" s="310">
        <v>11</v>
      </c>
      <c r="G8296" s="311">
        <v>1956</v>
      </c>
      <c r="H8296" s="340" t="s">
        <v>3</v>
      </c>
      <c r="I8296" s="313" t="s">
        <v>10408</v>
      </c>
      <c r="J8296" s="314">
        <v>9.4290000000000003</v>
      </c>
      <c r="K8296" s="314">
        <v>9.42</v>
      </c>
      <c r="L8296" s="350">
        <f t="shared" si="112"/>
        <v>9.0000000000003411E-3</v>
      </c>
      <c r="M8296" s="337"/>
    </row>
    <row r="8297" spans="1:13" s="71" customFormat="1" ht="26.4" customHeight="1">
      <c r="A8297" s="282">
        <v>96</v>
      </c>
      <c r="B8297" s="537"/>
      <c r="C8297" s="307" t="s">
        <v>28</v>
      </c>
      <c r="D8297" s="307" t="s">
        <v>10409</v>
      </c>
      <c r="E8297" s="260" t="s">
        <v>10410</v>
      </c>
      <c r="F8297" s="310">
        <v>12</v>
      </c>
      <c r="G8297" s="311">
        <v>1956</v>
      </c>
      <c r="H8297" s="340" t="s">
        <v>3</v>
      </c>
      <c r="I8297" s="313" t="s">
        <v>10411</v>
      </c>
      <c r="J8297" s="314">
        <v>12.595000000000001</v>
      </c>
      <c r="K8297" s="314">
        <v>12.587</v>
      </c>
      <c r="L8297" s="350">
        <f t="shared" si="112"/>
        <v>8.0000000000008953E-3</v>
      </c>
      <c r="M8297" s="337"/>
    </row>
    <row r="8298" spans="1:13" s="71" customFormat="1" ht="26.4" customHeight="1">
      <c r="A8298" s="282">
        <v>97</v>
      </c>
      <c r="B8298" s="537"/>
      <c r="C8298" s="307" t="s">
        <v>28</v>
      </c>
      <c r="D8298" s="307" t="s">
        <v>10412</v>
      </c>
      <c r="E8298" s="260" t="s">
        <v>10413</v>
      </c>
      <c r="F8298" s="310">
        <v>13</v>
      </c>
      <c r="G8298" s="311">
        <v>1956</v>
      </c>
      <c r="H8298" s="340" t="s">
        <v>3</v>
      </c>
      <c r="I8298" s="313" t="s">
        <v>10414</v>
      </c>
      <c r="J8298" s="314">
        <v>13.253</v>
      </c>
      <c r="K8298" s="314">
        <v>12.404</v>
      </c>
      <c r="L8298" s="350">
        <f t="shared" si="112"/>
        <v>0.8490000000000002</v>
      </c>
      <c r="M8298" s="337"/>
    </row>
    <row r="8299" spans="1:13" s="71" customFormat="1" ht="26.4" customHeight="1">
      <c r="A8299" s="282">
        <v>98</v>
      </c>
      <c r="B8299" s="537"/>
      <c r="C8299" s="307" t="s">
        <v>28</v>
      </c>
      <c r="D8299" s="307" t="s">
        <v>10415</v>
      </c>
      <c r="E8299" s="260" t="s">
        <v>10416</v>
      </c>
      <c r="F8299" s="310">
        <v>14</v>
      </c>
      <c r="G8299" s="311">
        <v>1956</v>
      </c>
      <c r="H8299" s="340" t="s">
        <v>3</v>
      </c>
      <c r="I8299" s="313" t="s">
        <v>10417</v>
      </c>
      <c r="J8299" s="314">
        <v>45.042999999999999</v>
      </c>
      <c r="K8299" s="314">
        <v>15.115</v>
      </c>
      <c r="L8299" s="350">
        <f t="shared" si="112"/>
        <v>29.927999999999997</v>
      </c>
      <c r="M8299" s="337"/>
    </row>
    <row r="8300" spans="1:13" s="71" customFormat="1" ht="26.4" customHeight="1">
      <c r="A8300" s="282">
        <v>99</v>
      </c>
      <c r="B8300" s="537"/>
      <c r="C8300" s="307" t="s">
        <v>28</v>
      </c>
      <c r="D8300" s="307" t="s">
        <v>10418</v>
      </c>
      <c r="E8300" s="260" t="s">
        <v>10419</v>
      </c>
      <c r="F8300" s="310">
        <v>15</v>
      </c>
      <c r="G8300" s="311">
        <v>1956</v>
      </c>
      <c r="H8300" s="340" t="s">
        <v>3</v>
      </c>
      <c r="I8300" s="313" t="s">
        <v>10420</v>
      </c>
      <c r="J8300" s="314">
        <v>20.442</v>
      </c>
      <c r="K8300" s="314">
        <v>20.442</v>
      </c>
      <c r="L8300" s="350">
        <f t="shared" si="112"/>
        <v>0</v>
      </c>
      <c r="M8300" s="337"/>
    </row>
    <row r="8301" spans="1:13" s="71" customFormat="1" ht="26.4" customHeight="1">
      <c r="A8301" s="282">
        <v>100</v>
      </c>
      <c r="B8301" s="537"/>
      <c r="C8301" s="307" t="s">
        <v>28</v>
      </c>
      <c r="D8301" s="307" t="s">
        <v>10421</v>
      </c>
      <c r="E8301" s="260" t="s">
        <v>10422</v>
      </c>
      <c r="F8301" s="310">
        <v>16</v>
      </c>
      <c r="G8301" s="311">
        <v>1956</v>
      </c>
      <c r="H8301" s="340" t="s">
        <v>3</v>
      </c>
      <c r="I8301" s="313" t="s">
        <v>10423</v>
      </c>
      <c r="J8301" s="314">
        <v>6.7009999999999996</v>
      </c>
      <c r="K8301" s="314">
        <v>6.2290000000000001</v>
      </c>
      <c r="L8301" s="350">
        <f t="shared" si="112"/>
        <v>0.47199999999999953</v>
      </c>
      <c r="M8301" s="337"/>
    </row>
    <row r="8302" spans="1:13" s="71" customFormat="1" ht="26.4" customHeight="1">
      <c r="A8302" s="282">
        <v>101</v>
      </c>
      <c r="B8302" s="537"/>
      <c r="C8302" s="307" t="s">
        <v>28</v>
      </c>
      <c r="D8302" s="307" t="s">
        <v>10424</v>
      </c>
      <c r="E8302" s="260" t="s">
        <v>10425</v>
      </c>
      <c r="F8302" s="310">
        <v>17</v>
      </c>
      <c r="G8302" s="311">
        <v>1956</v>
      </c>
      <c r="H8302" s="340" t="s">
        <v>3</v>
      </c>
      <c r="I8302" s="313" t="s">
        <v>10426</v>
      </c>
      <c r="J8302" s="314">
        <v>21.995000000000001</v>
      </c>
      <c r="K8302" s="314">
        <v>21.683</v>
      </c>
      <c r="L8302" s="350">
        <f t="shared" si="112"/>
        <v>0.31200000000000117</v>
      </c>
      <c r="M8302" s="337"/>
    </row>
    <row r="8303" spans="1:13" s="71" customFormat="1" ht="26.4" customHeight="1">
      <c r="A8303" s="282">
        <v>102</v>
      </c>
      <c r="B8303" s="537"/>
      <c r="C8303" s="307" t="s">
        <v>28</v>
      </c>
      <c r="D8303" s="307" t="s">
        <v>10427</v>
      </c>
      <c r="E8303" s="260" t="s">
        <v>10428</v>
      </c>
      <c r="F8303" s="310">
        <v>18</v>
      </c>
      <c r="G8303" s="311">
        <v>1956</v>
      </c>
      <c r="H8303" s="340" t="s">
        <v>3</v>
      </c>
      <c r="I8303" s="313" t="s">
        <v>10429</v>
      </c>
      <c r="J8303" s="314">
        <v>21.696999999999999</v>
      </c>
      <c r="K8303" s="314">
        <v>21.384</v>
      </c>
      <c r="L8303" s="350">
        <f t="shared" si="112"/>
        <v>0.31299999999999883</v>
      </c>
      <c r="M8303" s="337"/>
    </row>
    <row r="8304" spans="1:13" s="71" customFormat="1" ht="26.4" customHeight="1">
      <c r="A8304" s="282">
        <v>103</v>
      </c>
      <c r="B8304" s="537"/>
      <c r="C8304" s="307" t="s">
        <v>28</v>
      </c>
      <c r="D8304" s="307" t="s">
        <v>10430</v>
      </c>
      <c r="E8304" s="260" t="s">
        <v>4754</v>
      </c>
      <c r="F8304" s="310">
        <v>19</v>
      </c>
      <c r="G8304" s="311">
        <v>1956</v>
      </c>
      <c r="H8304" s="340" t="s">
        <v>3</v>
      </c>
      <c r="I8304" s="313" t="s">
        <v>10431</v>
      </c>
      <c r="J8304" s="314">
        <v>10.753</v>
      </c>
      <c r="K8304" s="314">
        <v>10.186999999999999</v>
      </c>
      <c r="L8304" s="350">
        <f t="shared" si="112"/>
        <v>0.56600000000000072</v>
      </c>
      <c r="M8304" s="337"/>
    </row>
    <row r="8305" spans="1:13" s="71" customFormat="1" ht="26.4" customHeight="1">
      <c r="A8305" s="282">
        <v>104</v>
      </c>
      <c r="B8305" s="537"/>
      <c r="C8305" s="307" t="s">
        <v>28</v>
      </c>
      <c r="D8305" s="307" t="s">
        <v>10432</v>
      </c>
      <c r="E8305" s="260" t="s">
        <v>10433</v>
      </c>
      <c r="F8305" s="310">
        <v>20</v>
      </c>
      <c r="G8305" s="311">
        <v>1956</v>
      </c>
      <c r="H8305" s="340" t="s">
        <v>3</v>
      </c>
      <c r="I8305" s="313" t="s">
        <v>10434</v>
      </c>
      <c r="J8305" s="314">
        <v>16.861000000000001</v>
      </c>
      <c r="K8305" s="314">
        <v>11.725</v>
      </c>
      <c r="L8305" s="350">
        <f t="shared" si="112"/>
        <v>5.136000000000001</v>
      </c>
      <c r="M8305" s="337"/>
    </row>
    <row r="8306" spans="1:13" s="71" customFormat="1" ht="26.4" customHeight="1">
      <c r="A8306" s="282">
        <v>105</v>
      </c>
      <c r="B8306" s="537"/>
      <c r="C8306" s="307" t="s">
        <v>28</v>
      </c>
      <c r="D8306" s="307" t="s">
        <v>10435</v>
      </c>
      <c r="E8306" s="260" t="s">
        <v>10436</v>
      </c>
      <c r="F8306" s="310">
        <v>21</v>
      </c>
      <c r="G8306" s="311">
        <v>1956</v>
      </c>
      <c r="H8306" s="340" t="s">
        <v>3</v>
      </c>
      <c r="I8306" s="313" t="s">
        <v>10437</v>
      </c>
      <c r="J8306" s="314">
        <v>90.066000000000003</v>
      </c>
      <c r="K8306" s="314">
        <v>89.691000000000003</v>
      </c>
      <c r="L8306" s="350">
        <f t="shared" si="112"/>
        <v>0.375</v>
      </c>
      <c r="M8306" s="337"/>
    </row>
    <row r="8307" spans="1:13" s="71" customFormat="1" ht="26.4" customHeight="1">
      <c r="A8307" s="282">
        <v>106</v>
      </c>
      <c r="B8307" s="537"/>
      <c r="C8307" s="307" t="s">
        <v>28</v>
      </c>
      <c r="D8307" s="307" t="s">
        <v>10438</v>
      </c>
      <c r="E8307" s="260" t="s">
        <v>10439</v>
      </c>
      <c r="F8307" s="310">
        <v>22</v>
      </c>
      <c r="G8307" s="311">
        <v>1956</v>
      </c>
      <c r="H8307" s="340" t="s">
        <v>3</v>
      </c>
      <c r="I8307" s="313" t="s">
        <v>10440</v>
      </c>
      <c r="J8307" s="314">
        <v>4.8319999999999999</v>
      </c>
      <c r="K8307" s="314">
        <v>4.6239999999999997</v>
      </c>
      <c r="L8307" s="350">
        <f t="shared" si="112"/>
        <v>0.20800000000000018</v>
      </c>
      <c r="M8307" s="337"/>
    </row>
    <row r="8308" spans="1:13" s="71" customFormat="1" ht="26.4" customHeight="1">
      <c r="A8308" s="282">
        <v>107</v>
      </c>
      <c r="B8308" s="537"/>
      <c r="C8308" s="307" t="s">
        <v>28</v>
      </c>
      <c r="D8308" s="307" t="s">
        <v>10441</v>
      </c>
      <c r="E8308" s="260" t="s">
        <v>10442</v>
      </c>
      <c r="F8308" s="310">
        <v>23</v>
      </c>
      <c r="G8308" s="311">
        <v>1956</v>
      </c>
      <c r="H8308" s="340" t="s">
        <v>3</v>
      </c>
      <c r="I8308" s="313" t="s">
        <v>10443</v>
      </c>
      <c r="J8308" s="314">
        <v>43.887999999999998</v>
      </c>
      <c r="K8308" s="314">
        <v>16.347999999999999</v>
      </c>
      <c r="L8308" s="350">
        <f t="shared" si="112"/>
        <v>27.54</v>
      </c>
      <c r="M8308" s="337"/>
    </row>
    <row r="8309" spans="1:13" s="71" customFormat="1" ht="26.4" customHeight="1">
      <c r="A8309" s="282">
        <v>108</v>
      </c>
      <c r="B8309" s="537"/>
      <c r="C8309" s="307" t="s">
        <v>28</v>
      </c>
      <c r="D8309" s="307" t="s">
        <v>10444</v>
      </c>
      <c r="E8309" s="260" t="s">
        <v>10445</v>
      </c>
      <c r="F8309" s="310">
        <v>24</v>
      </c>
      <c r="G8309" s="311">
        <v>1956</v>
      </c>
      <c r="H8309" s="340" t="s">
        <v>3</v>
      </c>
      <c r="I8309" s="313" t="s">
        <v>10446</v>
      </c>
      <c r="J8309" s="314">
        <v>13.614000000000001</v>
      </c>
      <c r="K8309" s="314">
        <v>13.048</v>
      </c>
      <c r="L8309" s="350">
        <f t="shared" si="112"/>
        <v>0.56600000000000072</v>
      </c>
      <c r="M8309" s="337"/>
    </row>
    <row r="8310" spans="1:13" s="71" customFormat="1" ht="26.4" customHeight="1">
      <c r="A8310" s="282">
        <v>109</v>
      </c>
      <c r="B8310" s="537"/>
      <c r="C8310" s="307" t="s">
        <v>28</v>
      </c>
      <c r="D8310" s="307" t="s">
        <v>10447</v>
      </c>
      <c r="E8310" s="260" t="s">
        <v>10448</v>
      </c>
      <c r="F8310" s="310">
        <v>25</v>
      </c>
      <c r="G8310" s="311">
        <v>1956</v>
      </c>
      <c r="H8310" s="340" t="s">
        <v>3</v>
      </c>
      <c r="I8310" s="313" t="s">
        <v>10449</v>
      </c>
      <c r="J8310" s="314">
        <v>11.827999999999999</v>
      </c>
      <c r="K8310" s="314">
        <v>11.262</v>
      </c>
      <c r="L8310" s="350">
        <f t="shared" si="112"/>
        <v>0.56599999999999895</v>
      </c>
      <c r="M8310" s="337"/>
    </row>
    <row r="8311" spans="1:13" s="71" customFormat="1" ht="26.4" customHeight="1">
      <c r="A8311" s="282">
        <v>110</v>
      </c>
      <c r="B8311" s="537"/>
      <c r="C8311" s="307" t="s">
        <v>28</v>
      </c>
      <c r="D8311" s="307" t="s">
        <v>10450</v>
      </c>
      <c r="E8311" s="260" t="s">
        <v>10451</v>
      </c>
      <c r="F8311" s="310">
        <v>26</v>
      </c>
      <c r="G8311" s="311">
        <v>1958</v>
      </c>
      <c r="H8311" s="340" t="s">
        <v>3</v>
      </c>
      <c r="I8311" s="313" t="s">
        <v>10452</v>
      </c>
      <c r="J8311" s="314">
        <v>11.712999999999999</v>
      </c>
      <c r="K8311" s="314">
        <v>11.4</v>
      </c>
      <c r="L8311" s="350">
        <f t="shared" si="112"/>
        <v>0.31299999999999883</v>
      </c>
      <c r="M8311" s="337"/>
    </row>
    <row r="8312" spans="1:13" s="71" customFormat="1" ht="26.4" customHeight="1">
      <c r="A8312" s="282">
        <v>111</v>
      </c>
      <c r="B8312" s="537"/>
      <c r="C8312" s="307" t="s">
        <v>28</v>
      </c>
      <c r="D8312" s="307" t="s">
        <v>10453</v>
      </c>
      <c r="E8312" s="260" t="s">
        <v>10454</v>
      </c>
      <c r="F8312" s="310">
        <v>27</v>
      </c>
      <c r="G8312" s="311">
        <v>1958</v>
      </c>
      <c r="H8312" s="340" t="s">
        <v>3</v>
      </c>
      <c r="I8312" s="313" t="s">
        <v>10455</v>
      </c>
      <c r="J8312" s="314">
        <v>40.667999999999999</v>
      </c>
      <c r="K8312" s="314">
        <v>39.959000000000003</v>
      </c>
      <c r="L8312" s="350">
        <f t="shared" si="112"/>
        <v>0.70899999999999608</v>
      </c>
      <c r="M8312" s="337"/>
    </row>
    <row r="8313" spans="1:13" s="71" customFormat="1" ht="26.4" customHeight="1">
      <c r="A8313" s="282">
        <v>112</v>
      </c>
      <c r="B8313" s="537"/>
      <c r="C8313" s="307" t="s">
        <v>28</v>
      </c>
      <c r="D8313" s="307" t="s">
        <v>10456</v>
      </c>
      <c r="E8313" s="260" t="s">
        <v>10457</v>
      </c>
      <c r="F8313" s="310">
        <v>28</v>
      </c>
      <c r="G8313" s="311">
        <v>1958</v>
      </c>
      <c r="H8313" s="340" t="s">
        <v>3</v>
      </c>
      <c r="I8313" s="313" t="s">
        <v>10458</v>
      </c>
      <c r="J8313" s="314">
        <v>31.254000000000001</v>
      </c>
      <c r="K8313" s="314">
        <v>30.986999999999998</v>
      </c>
      <c r="L8313" s="350">
        <f t="shared" si="112"/>
        <v>0.26700000000000301</v>
      </c>
      <c r="M8313" s="337"/>
    </row>
    <row r="8314" spans="1:13" s="71" customFormat="1" ht="26.4" customHeight="1">
      <c r="A8314" s="282">
        <v>113</v>
      </c>
      <c r="B8314" s="537"/>
      <c r="C8314" s="307" t="s">
        <v>28</v>
      </c>
      <c r="D8314" s="307" t="s">
        <v>10459</v>
      </c>
      <c r="E8314" s="260" t="s">
        <v>10460</v>
      </c>
      <c r="F8314" s="310">
        <v>29</v>
      </c>
      <c r="G8314" s="311">
        <v>1958</v>
      </c>
      <c r="H8314" s="340" t="s">
        <v>3</v>
      </c>
      <c r="I8314" s="313" t="s">
        <v>10461</v>
      </c>
      <c r="J8314" s="314">
        <v>14.047000000000001</v>
      </c>
      <c r="K8314" s="314">
        <v>13.839</v>
      </c>
      <c r="L8314" s="350">
        <f t="shared" si="112"/>
        <v>0.20800000000000018</v>
      </c>
      <c r="M8314" s="337"/>
    </row>
    <row r="8315" spans="1:13" s="71" customFormat="1" ht="26.4" customHeight="1">
      <c r="A8315" s="282">
        <v>114</v>
      </c>
      <c r="B8315" s="537"/>
      <c r="C8315" s="307" t="s">
        <v>28</v>
      </c>
      <c r="D8315" s="307" t="s">
        <v>10462</v>
      </c>
      <c r="E8315" s="260" t="s">
        <v>10463</v>
      </c>
      <c r="F8315" s="310">
        <v>30</v>
      </c>
      <c r="G8315" s="311">
        <v>1959</v>
      </c>
      <c r="H8315" s="340" t="s">
        <v>3</v>
      </c>
      <c r="I8315" s="313" t="s">
        <v>10461</v>
      </c>
      <c r="J8315" s="314">
        <v>14.188000000000001</v>
      </c>
      <c r="K8315" s="314">
        <v>14</v>
      </c>
      <c r="L8315" s="350">
        <f t="shared" si="112"/>
        <v>0.18800000000000061</v>
      </c>
      <c r="M8315" s="337"/>
    </row>
    <row r="8316" spans="1:13" s="71" customFormat="1" ht="26.4" customHeight="1">
      <c r="A8316" s="282">
        <v>115</v>
      </c>
      <c r="B8316" s="537"/>
      <c r="C8316" s="307" t="s">
        <v>28</v>
      </c>
      <c r="D8316" s="307" t="s">
        <v>10464</v>
      </c>
      <c r="E8316" s="260" t="s">
        <v>10465</v>
      </c>
      <c r="F8316" s="310">
        <v>31</v>
      </c>
      <c r="G8316" s="311">
        <v>1959</v>
      </c>
      <c r="H8316" s="340" t="s">
        <v>3</v>
      </c>
      <c r="I8316" s="313" t="s">
        <v>10466</v>
      </c>
      <c r="J8316" s="314">
        <v>11.093</v>
      </c>
      <c r="K8316" s="314">
        <v>10.843</v>
      </c>
      <c r="L8316" s="350">
        <f t="shared" si="112"/>
        <v>0.25</v>
      </c>
      <c r="M8316" s="337"/>
    </row>
    <row r="8317" spans="1:13" s="71" customFormat="1" ht="26.4" customHeight="1">
      <c r="A8317" s="282">
        <v>116</v>
      </c>
      <c r="B8317" s="537"/>
      <c r="C8317" s="307" t="s">
        <v>28</v>
      </c>
      <c r="D8317" s="307" t="s">
        <v>10467</v>
      </c>
      <c r="E8317" s="260" t="s">
        <v>10468</v>
      </c>
      <c r="F8317" s="310">
        <v>32</v>
      </c>
      <c r="G8317" s="311">
        <v>1959</v>
      </c>
      <c r="H8317" s="340" t="s">
        <v>3</v>
      </c>
      <c r="I8317" s="313" t="s">
        <v>10469</v>
      </c>
      <c r="J8317" s="314">
        <v>6.6859999999999999</v>
      </c>
      <c r="K8317" s="314">
        <v>6.4779999999999998</v>
      </c>
      <c r="L8317" s="350">
        <f t="shared" si="112"/>
        <v>0.20800000000000018</v>
      </c>
      <c r="M8317" s="337"/>
    </row>
    <row r="8318" spans="1:13" s="71" customFormat="1" ht="26.4" customHeight="1">
      <c r="A8318" s="282">
        <v>117</v>
      </c>
      <c r="B8318" s="537"/>
      <c r="C8318" s="307" t="s">
        <v>28</v>
      </c>
      <c r="D8318" s="307" t="s">
        <v>10470</v>
      </c>
      <c r="E8318" s="260" t="s">
        <v>10471</v>
      </c>
      <c r="F8318" s="310">
        <v>33</v>
      </c>
      <c r="G8318" s="311">
        <v>1961</v>
      </c>
      <c r="H8318" s="340" t="s">
        <v>3</v>
      </c>
      <c r="I8318" s="313" t="s">
        <v>10472</v>
      </c>
      <c r="J8318" s="314">
        <v>5.7069999999999999</v>
      </c>
      <c r="K8318" s="314">
        <v>5.54</v>
      </c>
      <c r="L8318" s="350">
        <f t="shared" si="112"/>
        <v>0.16699999999999982</v>
      </c>
      <c r="M8318" s="337"/>
    </row>
    <row r="8319" spans="1:13" s="71" customFormat="1" ht="26.4" customHeight="1">
      <c r="A8319" s="282">
        <v>118</v>
      </c>
      <c r="B8319" s="537"/>
      <c r="C8319" s="307" t="s">
        <v>28</v>
      </c>
      <c r="D8319" s="307" t="s">
        <v>10473</v>
      </c>
      <c r="E8319" s="260" t="s">
        <v>10474</v>
      </c>
      <c r="F8319" s="310">
        <v>34</v>
      </c>
      <c r="G8319" s="311">
        <v>1961</v>
      </c>
      <c r="H8319" s="340" t="s">
        <v>3</v>
      </c>
      <c r="I8319" s="313" t="s">
        <v>10475</v>
      </c>
      <c r="J8319" s="314">
        <v>19.259</v>
      </c>
      <c r="K8319" s="314">
        <v>15.532</v>
      </c>
      <c r="L8319" s="350">
        <f t="shared" si="112"/>
        <v>3.7270000000000003</v>
      </c>
      <c r="M8319" s="337"/>
    </row>
    <row r="8320" spans="1:13" s="71" customFormat="1" ht="39.6">
      <c r="A8320" s="282">
        <v>119</v>
      </c>
      <c r="B8320" s="537"/>
      <c r="C8320" s="307" t="s">
        <v>28</v>
      </c>
      <c r="D8320" s="307" t="s">
        <v>10476</v>
      </c>
      <c r="E8320" s="260" t="s">
        <v>10477</v>
      </c>
      <c r="F8320" s="310">
        <v>35</v>
      </c>
      <c r="G8320" s="445">
        <v>1962</v>
      </c>
      <c r="H8320" s="340" t="s">
        <v>3</v>
      </c>
      <c r="I8320" s="313" t="s">
        <v>10478</v>
      </c>
      <c r="J8320" s="314">
        <v>27.588000000000001</v>
      </c>
      <c r="K8320" s="314">
        <v>25.864000000000001</v>
      </c>
      <c r="L8320" s="350">
        <f t="shared" si="112"/>
        <v>1.7240000000000002</v>
      </c>
      <c r="M8320" s="337"/>
    </row>
    <row r="8321" spans="1:13" s="71" customFormat="1" ht="26.4" customHeight="1">
      <c r="A8321" s="282">
        <v>120</v>
      </c>
      <c r="B8321" s="537"/>
      <c r="C8321" s="307" t="s">
        <v>28</v>
      </c>
      <c r="D8321" s="307" t="s">
        <v>10479</v>
      </c>
      <c r="E8321" s="260" t="s">
        <v>10480</v>
      </c>
      <c r="F8321" s="310">
        <v>36</v>
      </c>
      <c r="G8321" s="311">
        <v>1963</v>
      </c>
      <c r="H8321" s="340" t="s">
        <v>3</v>
      </c>
      <c r="I8321" s="313" t="s">
        <v>10481</v>
      </c>
      <c r="J8321" s="314">
        <v>3.8079999999999998</v>
      </c>
      <c r="K8321" s="314">
        <v>3.746</v>
      </c>
      <c r="L8321" s="350">
        <f t="shared" si="112"/>
        <v>6.1999999999999833E-2</v>
      </c>
      <c r="M8321" s="337"/>
    </row>
    <row r="8322" spans="1:13" s="71" customFormat="1" ht="26.4" customHeight="1">
      <c r="A8322" s="282">
        <v>121</v>
      </c>
      <c r="B8322" s="537"/>
      <c r="C8322" s="307" t="s">
        <v>28</v>
      </c>
      <c r="D8322" s="307" t="s">
        <v>10482</v>
      </c>
      <c r="E8322" s="260" t="s">
        <v>10483</v>
      </c>
      <c r="F8322" s="310">
        <v>37</v>
      </c>
      <c r="G8322" s="311">
        <v>1963</v>
      </c>
      <c r="H8322" s="340" t="s">
        <v>3</v>
      </c>
      <c r="I8322" s="313" t="s">
        <v>10484</v>
      </c>
      <c r="J8322" s="314">
        <v>181.62700000000001</v>
      </c>
      <c r="K8322" s="314">
        <v>157.244</v>
      </c>
      <c r="L8322" s="350">
        <f t="shared" si="112"/>
        <v>24.38300000000001</v>
      </c>
      <c r="M8322" s="337"/>
    </row>
    <row r="8323" spans="1:13" s="71" customFormat="1" ht="52.8">
      <c r="A8323" s="282">
        <v>122</v>
      </c>
      <c r="B8323" s="537"/>
      <c r="C8323" s="307" t="s">
        <v>28</v>
      </c>
      <c r="D8323" s="307" t="s">
        <v>12892</v>
      </c>
      <c r="E8323" s="260" t="s">
        <v>10485</v>
      </c>
      <c r="F8323" s="310">
        <v>38</v>
      </c>
      <c r="G8323" s="311">
        <v>1963</v>
      </c>
      <c r="H8323" s="340" t="s">
        <v>3</v>
      </c>
      <c r="I8323" s="313" t="s">
        <v>10486</v>
      </c>
      <c r="J8323" s="314">
        <v>201.90100000000001</v>
      </c>
      <c r="K8323" s="314">
        <v>187.49600000000001</v>
      </c>
      <c r="L8323" s="350">
        <f t="shared" si="112"/>
        <v>14.405000000000001</v>
      </c>
      <c r="M8323" s="337"/>
    </row>
    <row r="8324" spans="1:13" s="71" customFormat="1" ht="26.4" customHeight="1">
      <c r="A8324" s="282">
        <v>123</v>
      </c>
      <c r="B8324" s="537"/>
      <c r="C8324" s="307" t="s">
        <v>28</v>
      </c>
      <c r="D8324" s="307" t="s">
        <v>10487</v>
      </c>
      <c r="E8324" s="260" t="s">
        <v>10488</v>
      </c>
      <c r="F8324" s="310">
        <v>39</v>
      </c>
      <c r="G8324" s="311">
        <v>1964</v>
      </c>
      <c r="H8324" s="340" t="s">
        <v>3</v>
      </c>
      <c r="I8324" s="313" t="s">
        <v>10489</v>
      </c>
      <c r="J8324" s="314">
        <v>24.584</v>
      </c>
      <c r="K8324" s="314">
        <v>21.1</v>
      </c>
      <c r="L8324" s="350">
        <f t="shared" si="112"/>
        <v>3.4839999999999982</v>
      </c>
      <c r="M8324" s="337"/>
    </row>
    <row r="8325" spans="1:13" s="71" customFormat="1" ht="26.4" customHeight="1">
      <c r="A8325" s="282">
        <v>124</v>
      </c>
      <c r="B8325" s="537"/>
      <c r="C8325" s="307" t="s">
        <v>28</v>
      </c>
      <c r="D8325" s="307" t="s">
        <v>10490</v>
      </c>
      <c r="E8325" s="260" t="s">
        <v>10491</v>
      </c>
      <c r="F8325" s="310">
        <v>40</v>
      </c>
      <c r="G8325" s="311">
        <v>1964</v>
      </c>
      <c r="H8325" s="340" t="s">
        <v>3</v>
      </c>
      <c r="I8325" s="313" t="s">
        <v>10492</v>
      </c>
      <c r="J8325" s="314">
        <v>14.587</v>
      </c>
      <c r="K8325" s="314">
        <v>14.587</v>
      </c>
      <c r="L8325" s="350">
        <f t="shared" si="112"/>
        <v>0</v>
      </c>
      <c r="M8325" s="337"/>
    </row>
    <row r="8326" spans="1:13" s="71" customFormat="1" ht="26.4" customHeight="1">
      <c r="A8326" s="282">
        <v>125</v>
      </c>
      <c r="B8326" s="537"/>
      <c r="C8326" s="307" t="s">
        <v>28</v>
      </c>
      <c r="D8326" s="307" t="s">
        <v>10493</v>
      </c>
      <c r="E8326" s="260" t="s">
        <v>10494</v>
      </c>
      <c r="F8326" s="310">
        <v>41</v>
      </c>
      <c r="G8326" s="311">
        <v>1964</v>
      </c>
      <c r="H8326" s="340" t="s">
        <v>3</v>
      </c>
      <c r="I8326" s="313" t="s">
        <v>10495</v>
      </c>
      <c r="J8326" s="314">
        <v>4.2629999999999999</v>
      </c>
      <c r="K8326" s="314">
        <v>4.0209999999999999</v>
      </c>
      <c r="L8326" s="350">
        <f t="shared" si="112"/>
        <v>0.24199999999999999</v>
      </c>
      <c r="M8326" s="337"/>
    </row>
    <row r="8327" spans="1:13" s="71" customFormat="1" ht="26.4" customHeight="1">
      <c r="A8327" s="282">
        <v>126</v>
      </c>
      <c r="B8327" s="537"/>
      <c r="C8327" s="307" t="s">
        <v>28</v>
      </c>
      <c r="D8327" s="307" t="s">
        <v>10496</v>
      </c>
      <c r="E8327" s="260" t="s">
        <v>10497</v>
      </c>
      <c r="F8327" s="310">
        <v>42</v>
      </c>
      <c r="G8327" s="311">
        <v>1964</v>
      </c>
      <c r="H8327" s="340" t="s">
        <v>3</v>
      </c>
      <c r="I8327" s="313" t="s">
        <v>10498</v>
      </c>
      <c r="J8327" s="314">
        <v>11.622999999999999</v>
      </c>
      <c r="K8327" s="314">
        <v>11.247999999999999</v>
      </c>
      <c r="L8327" s="350">
        <f t="shared" si="112"/>
        <v>0.375</v>
      </c>
      <c r="M8327" s="337"/>
    </row>
    <row r="8328" spans="1:13" s="71" customFormat="1" ht="26.4" customHeight="1">
      <c r="A8328" s="282">
        <v>127</v>
      </c>
      <c r="B8328" s="537"/>
      <c r="C8328" s="307" t="s">
        <v>28</v>
      </c>
      <c r="D8328" s="307" t="s">
        <v>10499</v>
      </c>
      <c r="E8328" s="260" t="s">
        <v>10500</v>
      </c>
      <c r="F8328" s="310">
        <v>43</v>
      </c>
      <c r="G8328" s="311">
        <v>1964</v>
      </c>
      <c r="H8328" s="340" t="s">
        <v>3</v>
      </c>
      <c r="I8328" s="313" t="s">
        <v>10501</v>
      </c>
      <c r="J8328" s="314">
        <v>34.841000000000001</v>
      </c>
      <c r="K8328" s="314">
        <v>28.038</v>
      </c>
      <c r="L8328" s="350">
        <f t="shared" si="112"/>
        <v>6.8030000000000008</v>
      </c>
      <c r="M8328" s="337"/>
    </row>
    <row r="8329" spans="1:13" s="71" customFormat="1" ht="26.4" customHeight="1">
      <c r="A8329" s="282">
        <v>128</v>
      </c>
      <c r="B8329" s="537"/>
      <c r="C8329" s="307" t="s">
        <v>28</v>
      </c>
      <c r="D8329" s="307" t="s">
        <v>10502</v>
      </c>
      <c r="E8329" s="260" t="s">
        <v>10503</v>
      </c>
      <c r="F8329" s="310">
        <v>44</v>
      </c>
      <c r="G8329" s="311">
        <v>1965</v>
      </c>
      <c r="H8329" s="340" t="s">
        <v>3</v>
      </c>
      <c r="I8329" s="313" t="s">
        <v>10504</v>
      </c>
      <c r="J8329" s="314">
        <v>12.417</v>
      </c>
      <c r="K8329" s="314">
        <v>12.167</v>
      </c>
      <c r="L8329" s="350">
        <f t="shared" si="112"/>
        <v>0.25</v>
      </c>
      <c r="M8329" s="337"/>
    </row>
    <row r="8330" spans="1:13" s="71" customFormat="1" ht="26.4" customHeight="1">
      <c r="A8330" s="282">
        <v>129</v>
      </c>
      <c r="B8330" s="537"/>
      <c r="C8330" s="307" t="s">
        <v>28</v>
      </c>
      <c r="D8330" s="307" t="s">
        <v>10505</v>
      </c>
      <c r="E8330" s="260" t="s">
        <v>10506</v>
      </c>
      <c r="F8330" s="310">
        <v>45</v>
      </c>
      <c r="G8330" s="311">
        <v>1965</v>
      </c>
      <c r="H8330" s="340" t="s">
        <v>3</v>
      </c>
      <c r="I8330" s="313" t="s">
        <v>10507</v>
      </c>
      <c r="J8330" s="314">
        <v>8.6359999999999992</v>
      </c>
      <c r="K8330" s="314">
        <v>8.4480000000000004</v>
      </c>
      <c r="L8330" s="350">
        <f t="shared" ref="L8330:L8393" si="113">J8330-K8330</f>
        <v>0.18799999999999883</v>
      </c>
      <c r="M8330" s="337"/>
    </row>
    <row r="8331" spans="1:13" s="71" customFormat="1" ht="26.4" customHeight="1">
      <c r="A8331" s="282">
        <v>130</v>
      </c>
      <c r="B8331" s="537"/>
      <c r="C8331" s="307" t="s">
        <v>28</v>
      </c>
      <c r="D8331" s="307" t="s">
        <v>10508</v>
      </c>
      <c r="E8331" s="260" t="s">
        <v>10509</v>
      </c>
      <c r="F8331" s="310">
        <v>46</v>
      </c>
      <c r="G8331" s="311">
        <v>1965</v>
      </c>
      <c r="H8331" s="340" t="s">
        <v>3</v>
      </c>
      <c r="I8331" s="313" t="s">
        <v>10510</v>
      </c>
      <c r="J8331" s="314">
        <v>29.378</v>
      </c>
      <c r="K8331" s="314">
        <v>26.844999999999999</v>
      </c>
      <c r="L8331" s="350">
        <f t="shared" si="113"/>
        <v>2.5330000000000013</v>
      </c>
      <c r="M8331" s="337"/>
    </row>
    <row r="8332" spans="1:13" s="71" customFormat="1" ht="26.4" customHeight="1">
      <c r="A8332" s="282">
        <v>131</v>
      </c>
      <c r="B8332" s="537"/>
      <c r="C8332" s="307" t="s">
        <v>28</v>
      </c>
      <c r="D8332" s="307" t="s">
        <v>10511</v>
      </c>
      <c r="E8332" s="260" t="s">
        <v>10512</v>
      </c>
      <c r="F8332" s="310">
        <v>47</v>
      </c>
      <c r="G8332" s="311">
        <v>1965</v>
      </c>
      <c r="H8332" s="340" t="s">
        <v>3</v>
      </c>
      <c r="I8332" s="313" t="s">
        <v>10513</v>
      </c>
      <c r="J8332" s="314">
        <v>27.184000000000001</v>
      </c>
      <c r="K8332" s="314">
        <v>20.817</v>
      </c>
      <c r="L8332" s="350">
        <f t="shared" si="113"/>
        <v>6.3670000000000009</v>
      </c>
      <c r="M8332" s="337"/>
    </row>
    <row r="8333" spans="1:13" s="71" customFormat="1" ht="26.4" customHeight="1">
      <c r="A8333" s="282">
        <v>132</v>
      </c>
      <c r="B8333" s="537"/>
      <c r="C8333" s="307" t="s">
        <v>28</v>
      </c>
      <c r="D8333" s="307" t="s">
        <v>10514</v>
      </c>
      <c r="E8333" s="260" t="s">
        <v>10515</v>
      </c>
      <c r="F8333" s="310">
        <v>48</v>
      </c>
      <c r="G8333" s="311">
        <v>1965</v>
      </c>
      <c r="H8333" s="340" t="s">
        <v>3</v>
      </c>
      <c r="I8333" s="313" t="s">
        <v>10516</v>
      </c>
      <c r="J8333" s="314">
        <v>39.549999999999997</v>
      </c>
      <c r="K8333" s="314">
        <v>36.140999999999998</v>
      </c>
      <c r="L8333" s="350">
        <f t="shared" si="113"/>
        <v>3.4089999999999989</v>
      </c>
      <c r="M8333" s="337"/>
    </row>
    <row r="8334" spans="1:13" s="71" customFormat="1" ht="26.4" customHeight="1">
      <c r="A8334" s="282">
        <v>133</v>
      </c>
      <c r="B8334" s="537"/>
      <c r="C8334" s="307" t="s">
        <v>28</v>
      </c>
      <c r="D8334" s="307" t="s">
        <v>10517</v>
      </c>
      <c r="E8334" s="260" t="s">
        <v>10518</v>
      </c>
      <c r="F8334" s="310">
        <v>49</v>
      </c>
      <c r="G8334" s="311">
        <v>1965</v>
      </c>
      <c r="H8334" s="340" t="s">
        <v>3</v>
      </c>
      <c r="I8334" s="313" t="s">
        <v>10519</v>
      </c>
      <c r="J8334" s="314">
        <v>11.472</v>
      </c>
      <c r="K8334" s="314">
        <v>10.483000000000001</v>
      </c>
      <c r="L8334" s="350">
        <f t="shared" si="113"/>
        <v>0.98899999999999899</v>
      </c>
      <c r="M8334" s="337"/>
    </row>
    <row r="8335" spans="1:13" s="71" customFormat="1" ht="26.4" customHeight="1">
      <c r="A8335" s="282">
        <v>134</v>
      </c>
      <c r="B8335" s="537"/>
      <c r="C8335" s="307" t="s">
        <v>28</v>
      </c>
      <c r="D8335" s="307" t="s">
        <v>10520</v>
      </c>
      <c r="E8335" s="260" t="s">
        <v>10521</v>
      </c>
      <c r="F8335" s="310">
        <v>50</v>
      </c>
      <c r="G8335" s="311">
        <v>1965</v>
      </c>
      <c r="H8335" s="340" t="s">
        <v>3</v>
      </c>
      <c r="I8335" s="313" t="s">
        <v>10522</v>
      </c>
      <c r="J8335" s="314">
        <v>14.644</v>
      </c>
      <c r="K8335" s="314">
        <v>13.381</v>
      </c>
      <c r="L8335" s="350">
        <f t="shared" si="113"/>
        <v>1.2629999999999999</v>
      </c>
      <c r="M8335" s="337"/>
    </row>
    <row r="8336" spans="1:13" s="71" customFormat="1" ht="26.4" customHeight="1">
      <c r="A8336" s="282">
        <v>135</v>
      </c>
      <c r="B8336" s="537"/>
      <c r="C8336" s="307" t="s">
        <v>28</v>
      </c>
      <c r="D8336" s="307" t="s">
        <v>10523</v>
      </c>
      <c r="E8336" s="260" t="s">
        <v>10524</v>
      </c>
      <c r="F8336" s="310">
        <v>51</v>
      </c>
      <c r="G8336" s="311">
        <v>1967</v>
      </c>
      <c r="H8336" s="340" t="s">
        <v>3</v>
      </c>
      <c r="I8336" s="313" t="s">
        <v>10525</v>
      </c>
      <c r="J8336" s="314">
        <v>15.327999999999999</v>
      </c>
      <c r="K8336" s="314">
        <v>13.779</v>
      </c>
      <c r="L8336" s="350">
        <f t="shared" si="113"/>
        <v>1.5489999999999995</v>
      </c>
      <c r="M8336" s="337"/>
    </row>
    <row r="8337" spans="1:13" s="71" customFormat="1" ht="26.4" customHeight="1">
      <c r="A8337" s="282">
        <v>136</v>
      </c>
      <c r="B8337" s="537"/>
      <c r="C8337" s="307" t="s">
        <v>28</v>
      </c>
      <c r="D8337" s="307" t="s">
        <v>10526</v>
      </c>
      <c r="E8337" s="260" t="s">
        <v>10527</v>
      </c>
      <c r="F8337" s="310">
        <v>52</v>
      </c>
      <c r="G8337" s="311">
        <v>1967</v>
      </c>
      <c r="H8337" s="340" t="s">
        <v>3</v>
      </c>
      <c r="I8337" s="313" t="s">
        <v>10528</v>
      </c>
      <c r="J8337" s="314">
        <v>8.1</v>
      </c>
      <c r="K8337" s="314">
        <v>4.2809999999999997</v>
      </c>
      <c r="L8337" s="350">
        <f t="shared" si="113"/>
        <v>3.819</v>
      </c>
      <c r="M8337" s="337"/>
    </row>
    <row r="8338" spans="1:13" s="71" customFormat="1" ht="26.4" customHeight="1">
      <c r="A8338" s="282">
        <v>137</v>
      </c>
      <c r="B8338" s="537"/>
      <c r="C8338" s="307" t="s">
        <v>28</v>
      </c>
      <c r="D8338" s="307" t="s">
        <v>10529</v>
      </c>
      <c r="E8338" s="260" t="s">
        <v>10530</v>
      </c>
      <c r="F8338" s="310">
        <v>53</v>
      </c>
      <c r="G8338" s="311">
        <v>1967</v>
      </c>
      <c r="H8338" s="340" t="s">
        <v>3</v>
      </c>
      <c r="I8338" s="313" t="s">
        <v>10531</v>
      </c>
      <c r="J8338" s="314">
        <v>12.904999999999999</v>
      </c>
      <c r="K8338" s="314">
        <v>11.6</v>
      </c>
      <c r="L8338" s="350">
        <f t="shared" si="113"/>
        <v>1.3049999999999997</v>
      </c>
      <c r="M8338" s="337"/>
    </row>
    <row r="8339" spans="1:13" s="71" customFormat="1" ht="26.4" customHeight="1">
      <c r="A8339" s="282">
        <v>138</v>
      </c>
      <c r="B8339" s="537"/>
      <c r="C8339" s="307" t="s">
        <v>28</v>
      </c>
      <c r="D8339" s="307" t="s">
        <v>10532</v>
      </c>
      <c r="E8339" s="260" t="s">
        <v>10533</v>
      </c>
      <c r="F8339" s="310">
        <v>54</v>
      </c>
      <c r="G8339" s="311">
        <v>1967</v>
      </c>
      <c r="H8339" s="340" t="s">
        <v>3</v>
      </c>
      <c r="I8339" s="313" t="s">
        <v>10534</v>
      </c>
      <c r="J8339" s="314">
        <v>8.4039999999999999</v>
      </c>
      <c r="K8339" s="314">
        <v>7.5540000000000003</v>
      </c>
      <c r="L8339" s="350">
        <f t="shared" si="113"/>
        <v>0.84999999999999964</v>
      </c>
      <c r="M8339" s="337"/>
    </row>
    <row r="8340" spans="1:13" s="71" customFormat="1" ht="26.4" customHeight="1">
      <c r="A8340" s="282">
        <v>139</v>
      </c>
      <c r="B8340" s="537"/>
      <c r="C8340" s="307" t="s">
        <v>28</v>
      </c>
      <c r="D8340" s="307" t="s">
        <v>10535</v>
      </c>
      <c r="E8340" s="260" t="s">
        <v>10536</v>
      </c>
      <c r="F8340" s="310">
        <v>55</v>
      </c>
      <c r="G8340" s="311">
        <v>1967</v>
      </c>
      <c r="H8340" s="340" t="s">
        <v>3</v>
      </c>
      <c r="I8340" s="313" t="s">
        <v>10452</v>
      </c>
      <c r="J8340" s="314">
        <v>13.94</v>
      </c>
      <c r="K8340" s="314">
        <v>12.532999999999999</v>
      </c>
      <c r="L8340" s="350">
        <f t="shared" si="113"/>
        <v>1.407</v>
      </c>
      <c r="M8340" s="337"/>
    </row>
    <row r="8341" spans="1:13" s="71" customFormat="1" ht="26.4" customHeight="1">
      <c r="A8341" s="282">
        <v>140</v>
      </c>
      <c r="B8341" s="537"/>
      <c r="C8341" s="307" t="s">
        <v>28</v>
      </c>
      <c r="D8341" s="307" t="s">
        <v>10537</v>
      </c>
      <c r="E8341" s="260" t="s">
        <v>10538</v>
      </c>
      <c r="F8341" s="310">
        <v>56</v>
      </c>
      <c r="G8341" s="311">
        <v>1967</v>
      </c>
      <c r="H8341" s="340" t="s">
        <v>3</v>
      </c>
      <c r="I8341" s="313" t="s">
        <v>10539</v>
      </c>
      <c r="J8341" s="314">
        <v>19.577999999999999</v>
      </c>
      <c r="K8341" s="314">
        <v>17.597999999999999</v>
      </c>
      <c r="L8341" s="350">
        <f t="shared" si="113"/>
        <v>1.9800000000000004</v>
      </c>
      <c r="M8341" s="337"/>
    </row>
    <row r="8342" spans="1:13" s="71" customFormat="1" ht="26.4" customHeight="1">
      <c r="A8342" s="282">
        <v>141</v>
      </c>
      <c r="B8342" s="537"/>
      <c r="C8342" s="307" t="s">
        <v>28</v>
      </c>
      <c r="D8342" s="307" t="s">
        <v>10540</v>
      </c>
      <c r="E8342" s="260" t="s">
        <v>10541</v>
      </c>
      <c r="F8342" s="310">
        <v>57</v>
      </c>
      <c r="G8342" s="311">
        <v>1967</v>
      </c>
      <c r="H8342" s="340" t="s">
        <v>3</v>
      </c>
      <c r="I8342" s="313" t="s">
        <v>10542</v>
      </c>
      <c r="J8342" s="314">
        <v>20.318000000000001</v>
      </c>
      <c r="K8342" s="314">
        <v>18.263999999999999</v>
      </c>
      <c r="L8342" s="350">
        <f t="shared" si="113"/>
        <v>2.054000000000002</v>
      </c>
      <c r="M8342" s="337"/>
    </row>
    <row r="8343" spans="1:13" s="71" customFormat="1" ht="26.4" customHeight="1">
      <c r="A8343" s="282">
        <v>142</v>
      </c>
      <c r="B8343" s="537"/>
      <c r="C8343" s="307" t="s">
        <v>28</v>
      </c>
      <c r="D8343" s="307" t="s">
        <v>10543</v>
      </c>
      <c r="E8343" s="260" t="s">
        <v>10544</v>
      </c>
      <c r="F8343" s="310">
        <v>58</v>
      </c>
      <c r="G8343" s="311">
        <v>1967</v>
      </c>
      <c r="H8343" s="340" t="s">
        <v>3</v>
      </c>
      <c r="I8343" s="313" t="s">
        <v>10545</v>
      </c>
      <c r="J8343" s="314">
        <v>64.061999999999998</v>
      </c>
      <c r="K8343" s="314">
        <v>57.584000000000003</v>
      </c>
      <c r="L8343" s="350">
        <f t="shared" si="113"/>
        <v>6.4779999999999944</v>
      </c>
      <c r="M8343" s="337"/>
    </row>
    <row r="8344" spans="1:13" s="71" customFormat="1" ht="26.4" customHeight="1">
      <c r="A8344" s="282">
        <v>143</v>
      </c>
      <c r="B8344" s="537"/>
      <c r="C8344" s="307" t="s">
        <v>28</v>
      </c>
      <c r="D8344" s="307" t="s">
        <v>10546</v>
      </c>
      <c r="E8344" s="260" t="s">
        <v>10547</v>
      </c>
      <c r="F8344" s="310">
        <v>59</v>
      </c>
      <c r="G8344" s="311">
        <v>1968</v>
      </c>
      <c r="H8344" s="340" t="s">
        <v>3</v>
      </c>
      <c r="I8344" s="313" t="s">
        <v>10548</v>
      </c>
      <c r="J8344" s="314">
        <v>86.031999999999996</v>
      </c>
      <c r="K8344" s="314">
        <v>56.326999999999998</v>
      </c>
      <c r="L8344" s="350">
        <f t="shared" si="113"/>
        <v>29.704999999999998</v>
      </c>
      <c r="M8344" s="337"/>
    </row>
    <row r="8345" spans="1:13" s="71" customFormat="1" ht="26.4" customHeight="1">
      <c r="A8345" s="282">
        <v>144</v>
      </c>
      <c r="B8345" s="537"/>
      <c r="C8345" s="307" t="s">
        <v>28</v>
      </c>
      <c r="D8345" s="307" t="s">
        <v>10549</v>
      </c>
      <c r="E8345" s="260" t="s">
        <v>10550</v>
      </c>
      <c r="F8345" s="310">
        <v>60</v>
      </c>
      <c r="G8345" s="311">
        <v>1968</v>
      </c>
      <c r="H8345" s="340" t="s">
        <v>3</v>
      </c>
      <c r="I8345" s="313" t="s">
        <v>10551</v>
      </c>
      <c r="J8345" s="314">
        <v>12.01</v>
      </c>
      <c r="K8345" s="314">
        <v>10.706</v>
      </c>
      <c r="L8345" s="350">
        <f t="shared" si="113"/>
        <v>1.3040000000000003</v>
      </c>
      <c r="M8345" s="337"/>
    </row>
    <row r="8346" spans="1:13" s="71" customFormat="1" ht="26.4" customHeight="1">
      <c r="A8346" s="282">
        <v>145</v>
      </c>
      <c r="B8346" s="537"/>
      <c r="C8346" s="307" t="s">
        <v>28</v>
      </c>
      <c r="D8346" s="307" t="s">
        <v>10552</v>
      </c>
      <c r="E8346" s="260" t="s">
        <v>10553</v>
      </c>
      <c r="F8346" s="310">
        <v>61</v>
      </c>
      <c r="G8346" s="311">
        <v>1968</v>
      </c>
      <c r="H8346" s="340" t="s">
        <v>3</v>
      </c>
      <c r="I8346" s="313" t="s">
        <v>10554</v>
      </c>
      <c r="J8346" s="314">
        <v>19.071999999999999</v>
      </c>
      <c r="K8346" s="314">
        <v>13.212</v>
      </c>
      <c r="L8346" s="350">
        <f t="shared" si="113"/>
        <v>5.8599999999999994</v>
      </c>
      <c r="M8346" s="337"/>
    </row>
    <row r="8347" spans="1:13" s="71" customFormat="1" ht="26.4" customHeight="1">
      <c r="A8347" s="282">
        <v>146</v>
      </c>
      <c r="B8347" s="537"/>
      <c r="C8347" s="307" t="s">
        <v>28</v>
      </c>
      <c r="D8347" s="307" t="s">
        <v>10555</v>
      </c>
      <c r="E8347" s="260" t="s">
        <v>10556</v>
      </c>
      <c r="F8347" s="310">
        <v>62</v>
      </c>
      <c r="G8347" s="311">
        <v>1968</v>
      </c>
      <c r="H8347" s="340" t="s">
        <v>3</v>
      </c>
      <c r="I8347" s="313" t="s">
        <v>10557</v>
      </c>
      <c r="J8347" s="314">
        <v>9.7409999999999997</v>
      </c>
      <c r="K8347" s="314">
        <v>8.6829999999999998</v>
      </c>
      <c r="L8347" s="350">
        <f t="shared" si="113"/>
        <v>1.0579999999999998</v>
      </c>
      <c r="M8347" s="337"/>
    </row>
    <row r="8348" spans="1:13" s="71" customFormat="1" ht="26.4" customHeight="1">
      <c r="A8348" s="282">
        <v>147</v>
      </c>
      <c r="B8348" s="537"/>
      <c r="C8348" s="307" t="s">
        <v>28</v>
      </c>
      <c r="D8348" s="307" t="s">
        <v>10558</v>
      </c>
      <c r="E8348" s="260" t="s">
        <v>10559</v>
      </c>
      <c r="F8348" s="310">
        <v>63</v>
      </c>
      <c r="G8348" s="311">
        <v>1968</v>
      </c>
      <c r="H8348" s="340" t="s">
        <v>3</v>
      </c>
      <c r="I8348" s="313" t="s">
        <v>10560</v>
      </c>
      <c r="J8348" s="314">
        <v>15.571999999999999</v>
      </c>
      <c r="K8348" s="314">
        <v>13.86</v>
      </c>
      <c r="L8348" s="350">
        <f t="shared" si="113"/>
        <v>1.7119999999999997</v>
      </c>
      <c r="M8348" s="337"/>
    </row>
    <row r="8349" spans="1:13" s="71" customFormat="1" ht="26.4" customHeight="1">
      <c r="A8349" s="282">
        <v>148</v>
      </c>
      <c r="B8349" s="537"/>
      <c r="C8349" s="307" t="s">
        <v>28</v>
      </c>
      <c r="D8349" s="307" t="s">
        <v>10561</v>
      </c>
      <c r="E8349" s="260" t="s">
        <v>10562</v>
      </c>
      <c r="F8349" s="310">
        <v>64</v>
      </c>
      <c r="G8349" s="311">
        <v>1968</v>
      </c>
      <c r="H8349" s="340" t="s">
        <v>3</v>
      </c>
      <c r="I8349" s="313" t="s">
        <v>10563</v>
      </c>
      <c r="J8349" s="314">
        <v>10.624000000000001</v>
      </c>
      <c r="K8349" s="314">
        <v>9.4710000000000001</v>
      </c>
      <c r="L8349" s="350">
        <f t="shared" si="113"/>
        <v>1.1530000000000005</v>
      </c>
      <c r="M8349" s="337"/>
    </row>
    <row r="8350" spans="1:13" s="71" customFormat="1" ht="26.4" customHeight="1">
      <c r="A8350" s="282">
        <v>149</v>
      </c>
      <c r="B8350" s="537"/>
      <c r="C8350" s="307" t="s">
        <v>28</v>
      </c>
      <c r="D8350" s="307" t="s">
        <v>10564</v>
      </c>
      <c r="E8350" s="260" t="s">
        <v>10565</v>
      </c>
      <c r="F8350" s="310">
        <v>65</v>
      </c>
      <c r="G8350" s="311">
        <v>1968</v>
      </c>
      <c r="H8350" s="340" t="s">
        <v>3</v>
      </c>
      <c r="I8350" s="313" t="s">
        <v>10420</v>
      </c>
      <c r="J8350" s="314">
        <v>14.433999999999999</v>
      </c>
      <c r="K8350" s="314">
        <v>12.867000000000001</v>
      </c>
      <c r="L8350" s="350">
        <f t="shared" si="113"/>
        <v>1.5669999999999984</v>
      </c>
      <c r="M8350" s="337"/>
    </row>
    <row r="8351" spans="1:13" s="71" customFormat="1" ht="26.4" customHeight="1">
      <c r="A8351" s="282">
        <v>150</v>
      </c>
      <c r="B8351" s="537"/>
      <c r="C8351" s="307" t="s">
        <v>28</v>
      </c>
      <c r="D8351" s="307" t="s">
        <v>10566</v>
      </c>
      <c r="E8351" s="260" t="s">
        <v>10567</v>
      </c>
      <c r="F8351" s="310">
        <v>66</v>
      </c>
      <c r="G8351" s="311">
        <v>1968</v>
      </c>
      <c r="H8351" s="340" t="s">
        <v>3</v>
      </c>
      <c r="I8351" s="313" t="s">
        <v>10568</v>
      </c>
      <c r="J8351" s="314">
        <v>9.1449999999999996</v>
      </c>
      <c r="K8351" s="314">
        <v>8.1519999999999992</v>
      </c>
      <c r="L8351" s="350">
        <f t="shared" si="113"/>
        <v>0.99300000000000033</v>
      </c>
      <c r="M8351" s="337"/>
    </row>
    <row r="8352" spans="1:13" s="71" customFormat="1" ht="26.4" customHeight="1">
      <c r="A8352" s="282">
        <v>151</v>
      </c>
      <c r="B8352" s="537"/>
      <c r="C8352" s="307" t="s">
        <v>28</v>
      </c>
      <c r="D8352" s="307" t="s">
        <v>10569</v>
      </c>
      <c r="E8352" s="260" t="s">
        <v>10570</v>
      </c>
      <c r="F8352" s="310">
        <v>67</v>
      </c>
      <c r="G8352" s="311">
        <v>1969</v>
      </c>
      <c r="H8352" s="340" t="s">
        <v>3</v>
      </c>
      <c r="I8352" s="313" t="s">
        <v>10571</v>
      </c>
      <c r="J8352" s="314">
        <v>36.686999999999998</v>
      </c>
      <c r="K8352" s="314">
        <v>24.68</v>
      </c>
      <c r="L8352" s="350">
        <f t="shared" si="113"/>
        <v>12.006999999999998</v>
      </c>
      <c r="M8352" s="337"/>
    </row>
    <row r="8353" spans="1:13" s="71" customFormat="1" ht="26.4" customHeight="1">
      <c r="A8353" s="282">
        <v>152</v>
      </c>
      <c r="B8353" s="537"/>
      <c r="C8353" s="307" t="s">
        <v>28</v>
      </c>
      <c r="D8353" s="307" t="s">
        <v>10572</v>
      </c>
      <c r="E8353" s="260" t="s">
        <v>10573</v>
      </c>
      <c r="F8353" s="310">
        <v>68</v>
      </c>
      <c r="G8353" s="311">
        <v>1969</v>
      </c>
      <c r="H8353" s="340" t="s">
        <v>3</v>
      </c>
      <c r="I8353" s="313" t="s">
        <v>10574</v>
      </c>
      <c r="J8353" s="314">
        <v>9.8360000000000003</v>
      </c>
      <c r="K8353" s="314">
        <v>8.6950000000000003</v>
      </c>
      <c r="L8353" s="350">
        <f t="shared" si="113"/>
        <v>1.141</v>
      </c>
      <c r="M8353" s="337"/>
    </row>
    <row r="8354" spans="1:13" s="71" customFormat="1" ht="26.4" customHeight="1">
      <c r="A8354" s="282">
        <v>153</v>
      </c>
      <c r="B8354" s="537"/>
      <c r="C8354" s="307" t="s">
        <v>28</v>
      </c>
      <c r="D8354" s="307" t="s">
        <v>10575</v>
      </c>
      <c r="E8354" s="260" t="s">
        <v>10576</v>
      </c>
      <c r="F8354" s="310">
        <v>69</v>
      </c>
      <c r="G8354" s="311">
        <v>1969</v>
      </c>
      <c r="H8354" s="340" t="s">
        <v>3</v>
      </c>
      <c r="I8354" s="313" t="s">
        <v>10577</v>
      </c>
      <c r="J8354" s="314">
        <v>5.59</v>
      </c>
      <c r="K8354" s="314">
        <v>5.3070000000000004</v>
      </c>
      <c r="L8354" s="350">
        <f t="shared" si="113"/>
        <v>0.28299999999999947</v>
      </c>
      <c r="M8354" s="337"/>
    </row>
    <row r="8355" spans="1:13" s="71" customFormat="1" ht="26.4" customHeight="1">
      <c r="A8355" s="282">
        <v>154</v>
      </c>
      <c r="B8355" s="537"/>
      <c r="C8355" s="307" t="s">
        <v>28</v>
      </c>
      <c r="D8355" s="307" t="s">
        <v>10578</v>
      </c>
      <c r="E8355" s="260" t="s">
        <v>10579</v>
      </c>
      <c r="F8355" s="310">
        <v>70</v>
      </c>
      <c r="G8355" s="311">
        <v>1970</v>
      </c>
      <c r="H8355" s="340" t="s">
        <v>3</v>
      </c>
      <c r="I8355" s="313" t="s">
        <v>10580</v>
      </c>
      <c r="J8355" s="314">
        <v>8.4039999999999999</v>
      </c>
      <c r="K8355" s="314">
        <v>7.37</v>
      </c>
      <c r="L8355" s="350">
        <f t="shared" si="113"/>
        <v>1.0339999999999998</v>
      </c>
      <c r="M8355" s="337"/>
    </row>
    <row r="8356" spans="1:13" s="71" customFormat="1" ht="26.4" customHeight="1">
      <c r="A8356" s="282">
        <v>155</v>
      </c>
      <c r="B8356" s="537"/>
      <c r="C8356" s="307" t="s">
        <v>28</v>
      </c>
      <c r="D8356" s="307" t="s">
        <v>10581</v>
      </c>
      <c r="E8356" s="260" t="s">
        <v>10582</v>
      </c>
      <c r="F8356" s="310">
        <v>71</v>
      </c>
      <c r="G8356" s="311">
        <v>1970</v>
      </c>
      <c r="H8356" s="340" t="s">
        <v>3</v>
      </c>
      <c r="I8356" s="313" t="s">
        <v>10411</v>
      </c>
      <c r="J8356" s="314">
        <v>11.866</v>
      </c>
      <c r="K8356" s="314">
        <v>10.401</v>
      </c>
      <c r="L8356" s="350">
        <f t="shared" si="113"/>
        <v>1.4649999999999999</v>
      </c>
      <c r="M8356" s="337"/>
    </row>
    <row r="8357" spans="1:13" s="71" customFormat="1" ht="26.4" customHeight="1">
      <c r="A8357" s="282">
        <v>156</v>
      </c>
      <c r="B8357" s="537"/>
      <c r="C8357" s="307" t="s">
        <v>28</v>
      </c>
      <c r="D8357" s="307" t="s">
        <v>10583</v>
      </c>
      <c r="E8357" s="260" t="s">
        <v>10584</v>
      </c>
      <c r="F8357" s="310">
        <v>72</v>
      </c>
      <c r="G8357" s="311">
        <v>1970</v>
      </c>
      <c r="H8357" s="340" t="s">
        <v>3</v>
      </c>
      <c r="I8357" s="313" t="s">
        <v>10585</v>
      </c>
      <c r="J8357" s="314">
        <v>39.293999999999997</v>
      </c>
      <c r="K8357" s="314">
        <v>33.003999999999998</v>
      </c>
      <c r="L8357" s="350">
        <f t="shared" si="113"/>
        <v>6.2899999999999991</v>
      </c>
      <c r="M8357" s="337"/>
    </row>
    <row r="8358" spans="1:13" s="71" customFormat="1" ht="26.4" customHeight="1">
      <c r="A8358" s="282">
        <v>157</v>
      </c>
      <c r="B8358" s="537"/>
      <c r="C8358" s="307" t="s">
        <v>28</v>
      </c>
      <c r="D8358" s="307" t="s">
        <v>10583</v>
      </c>
      <c r="E8358" s="260" t="s">
        <v>10584</v>
      </c>
      <c r="F8358" s="310">
        <v>73</v>
      </c>
      <c r="G8358" s="311">
        <v>1970</v>
      </c>
      <c r="H8358" s="340" t="s">
        <v>3</v>
      </c>
      <c r="I8358" s="313" t="s">
        <v>10586</v>
      </c>
      <c r="J8358" s="314">
        <v>35.500999999999998</v>
      </c>
      <c r="K8358" s="314">
        <v>31.119</v>
      </c>
      <c r="L8358" s="350">
        <f t="shared" si="113"/>
        <v>4.3819999999999979</v>
      </c>
      <c r="M8358" s="337"/>
    </row>
    <row r="8359" spans="1:13" s="71" customFormat="1" ht="26.4" customHeight="1">
      <c r="A8359" s="282">
        <v>158</v>
      </c>
      <c r="B8359" s="537"/>
      <c r="C8359" s="307" t="s">
        <v>10587</v>
      </c>
      <c r="D8359" s="307" t="s">
        <v>10588</v>
      </c>
      <c r="E8359" s="260" t="s">
        <v>10589</v>
      </c>
      <c r="F8359" s="310">
        <v>74</v>
      </c>
      <c r="G8359" s="311">
        <v>1971</v>
      </c>
      <c r="H8359" s="340" t="s">
        <v>3</v>
      </c>
      <c r="I8359" s="313" t="s">
        <v>10590</v>
      </c>
      <c r="J8359" s="314">
        <v>2.2629999999999999</v>
      </c>
      <c r="K8359" s="314">
        <v>2.2549999999999999</v>
      </c>
      <c r="L8359" s="350">
        <f t="shared" si="113"/>
        <v>8.0000000000000071E-3</v>
      </c>
      <c r="M8359" s="337"/>
    </row>
    <row r="8360" spans="1:13" s="71" customFormat="1" ht="26.4" customHeight="1">
      <c r="A8360" s="282">
        <v>159</v>
      </c>
      <c r="B8360" s="537"/>
      <c r="C8360" s="307" t="s">
        <v>28</v>
      </c>
      <c r="D8360" s="307" t="s">
        <v>10591</v>
      </c>
      <c r="E8360" s="260" t="s">
        <v>10592</v>
      </c>
      <c r="F8360" s="310">
        <v>75</v>
      </c>
      <c r="G8360" s="311">
        <v>1971</v>
      </c>
      <c r="H8360" s="340" t="s">
        <v>3</v>
      </c>
      <c r="I8360" s="313" t="s">
        <v>10593</v>
      </c>
      <c r="J8360" s="314">
        <v>20.268000000000001</v>
      </c>
      <c r="K8360" s="314">
        <v>17.614999999999998</v>
      </c>
      <c r="L8360" s="350">
        <f t="shared" si="113"/>
        <v>2.6530000000000022</v>
      </c>
      <c r="M8360" s="337"/>
    </row>
    <row r="8361" spans="1:13" s="71" customFormat="1" ht="26.4" customHeight="1">
      <c r="A8361" s="282">
        <v>160</v>
      </c>
      <c r="B8361" s="537"/>
      <c r="C8361" s="307" t="s">
        <v>28</v>
      </c>
      <c r="D8361" s="307" t="s">
        <v>10594</v>
      </c>
      <c r="E8361" s="260" t="s">
        <v>10595</v>
      </c>
      <c r="F8361" s="310">
        <v>76</v>
      </c>
      <c r="G8361" s="311">
        <v>1971</v>
      </c>
      <c r="H8361" s="340" t="s">
        <v>3</v>
      </c>
      <c r="I8361" s="313" t="s">
        <v>10596</v>
      </c>
      <c r="J8361" s="314">
        <v>5.1529999999999996</v>
      </c>
      <c r="K8361" s="314">
        <v>4.3849999999999998</v>
      </c>
      <c r="L8361" s="350">
        <f t="shared" si="113"/>
        <v>0.76799999999999979</v>
      </c>
      <c r="M8361" s="337"/>
    </row>
    <row r="8362" spans="1:13" s="71" customFormat="1" ht="26.4" customHeight="1">
      <c r="A8362" s="282">
        <v>161</v>
      </c>
      <c r="B8362" s="537"/>
      <c r="C8362" s="307" t="s">
        <v>28</v>
      </c>
      <c r="D8362" s="307" t="s">
        <v>10597</v>
      </c>
      <c r="E8362" s="260" t="s">
        <v>10598</v>
      </c>
      <c r="F8362" s="310">
        <v>77</v>
      </c>
      <c r="G8362" s="311">
        <v>1971</v>
      </c>
      <c r="H8362" s="340" t="s">
        <v>3</v>
      </c>
      <c r="I8362" s="313" t="s">
        <v>10599</v>
      </c>
      <c r="J8362" s="314">
        <v>3.411</v>
      </c>
      <c r="K8362" s="314">
        <v>3.198</v>
      </c>
      <c r="L8362" s="350">
        <f t="shared" si="113"/>
        <v>0.21300000000000008</v>
      </c>
      <c r="M8362" s="337"/>
    </row>
    <row r="8363" spans="1:13" s="71" customFormat="1" ht="26.4" customHeight="1">
      <c r="A8363" s="282">
        <v>162</v>
      </c>
      <c r="B8363" s="537"/>
      <c r="C8363" s="307" t="s">
        <v>28</v>
      </c>
      <c r="D8363" s="307" t="s">
        <v>10600</v>
      </c>
      <c r="E8363" s="260" t="s">
        <v>10601</v>
      </c>
      <c r="F8363" s="310">
        <v>78</v>
      </c>
      <c r="G8363" s="311">
        <v>1956</v>
      </c>
      <c r="H8363" s="340" t="s">
        <v>3</v>
      </c>
      <c r="I8363" s="313" t="s">
        <v>10602</v>
      </c>
      <c r="J8363" s="314">
        <v>86.748999999999995</v>
      </c>
      <c r="K8363" s="314">
        <v>85.081999999999994</v>
      </c>
      <c r="L8363" s="350">
        <f t="shared" si="113"/>
        <v>1.6670000000000016</v>
      </c>
      <c r="M8363" s="337"/>
    </row>
    <row r="8364" spans="1:13" s="71" customFormat="1" ht="39" customHeight="1">
      <c r="A8364" s="282">
        <v>163</v>
      </c>
      <c r="B8364" s="537"/>
      <c r="C8364" s="307" t="s">
        <v>28</v>
      </c>
      <c r="D8364" s="307" t="s">
        <v>12831</v>
      </c>
      <c r="E8364" s="260" t="s">
        <v>10603</v>
      </c>
      <c r="F8364" s="310">
        <v>79</v>
      </c>
      <c r="G8364" s="311">
        <v>1972</v>
      </c>
      <c r="H8364" s="340" t="s">
        <v>3</v>
      </c>
      <c r="I8364" s="313" t="s">
        <v>10604</v>
      </c>
      <c r="J8364" s="314">
        <v>11.529</v>
      </c>
      <c r="K8364" s="314">
        <v>9.9269999999999996</v>
      </c>
      <c r="L8364" s="350">
        <f t="shared" si="113"/>
        <v>1.6020000000000003</v>
      </c>
      <c r="M8364" s="337"/>
    </row>
    <row r="8365" spans="1:13" s="71" customFormat="1" ht="39" customHeight="1">
      <c r="A8365" s="282">
        <v>164</v>
      </c>
      <c r="B8365" s="537"/>
      <c r="C8365" s="307" t="s">
        <v>28</v>
      </c>
      <c r="D8365" s="307" t="s">
        <v>12831</v>
      </c>
      <c r="E8365" s="260" t="s">
        <v>10605</v>
      </c>
      <c r="F8365" s="310">
        <v>80</v>
      </c>
      <c r="G8365" s="311">
        <v>1973</v>
      </c>
      <c r="H8365" s="340" t="s">
        <v>3</v>
      </c>
      <c r="I8365" s="313" t="s">
        <v>10606</v>
      </c>
      <c r="J8365" s="314">
        <v>11.435</v>
      </c>
      <c r="K8365" s="314">
        <v>9.7680000000000007</v>
      </c>
      <c r="L8365" s="350">
        <f t="shared" si="113"/>
        <v>1.6669999999999998</v>
      </c>
      <c r="M8365" s="337"/>
    </row>
    <row r="8366" spans="1:13" s="71" customFormat="1" ht="39.6">
      <c r="A8366" s="282">
        <v>165</v>
      </c>
      <c r="B8366" s="537"/>
      <c r="C8366" s="307" t="s">
        <v>28</v>
      </c>
      <c r="D8366" s="307" t="s">
        <v>12985</v>
      </c>
      <c r="E8366" s="260" t="s">
        <v>10607</v>
      </c>
      <c r="F8366" s="310">
        <v>81</v>
      </c>
      <c r="G8366" s="311">
        <v>1973</v>
      </c>
      <c r="H8366" s="340" t="s">
        <v>3</v>
      </c>
      <c r="I8366" s="313" t="s">
        <v>10608</v>
      </c>
      <c r="J8366" s="314">
        <v>15.385999999999999</v>
      </c>
      <c r="K8366" s="314">
        <v>9.2279999999999998</v>
      </c>
      <c r="L8366" s="350">
        <f t="shared" si="113"/>
        <v>6.1579999999999995</v>
      </c>
      <c r="M8366" s="337"/>
    </row>
    <row r="8367" spans="1:13" s="71" customFormat="1" ht="26.4" customHeight="1">
      <c r="A8367" s="282">
        <v>166</v>
      </c>
      <c r="B8367" s="537"/>
      <c r="C8367" s="307" t="s">
        <v>28</v>
      </c>
      <c r="D8367" s="307" t="s">
        <v>10609</v>
      </c>
      <c r="E8367" s="260" t="s">
        <v>10584</v>
      </c>
      <c r="F8367" s="310">
        <v>82</v>
      </c>
      <c r="G8367" s="311">
        <v>1973</v>
      </c>
      <c r="H8367" s="340" t="s">
        <v>3</v>
      </c>
      <c r="I8367" s="313" t="s">
        <v>10610</v>
      </c>
      <c r="J8367" s="314">
        <v>208.49100000000001</v>
      </c>
      <c r="K8367" s="314">
        <v>177.28700000000001</v>
      </c>
      <c r="L8367" s="350">
        <f t="shared" si="113"/>
        <v>31.204000000000008</v>
      </c>
      <c r="M8367" s="337"/>
    </row>
    <row r="8368" spans="1:13" s="71" customFormat="1" ht="26.4" customHeight="1">
      <c r="A8368" s="282">
        <v>167</v>
      </c>
      <c r="B8368" s="537"/>
      <c r="C8368" s="307" t="s">
        <v>28</v>
      </c>
      <c r="D8368" s="307" t="s">
        <v>10611</v>
      </c>
      <c r="E8368" s="260" t="s">
        <v>10612</v>
      </c>
      <c r="F8368" s="310">
        <v>83</v>
      </c>
      <c r="G8368" s="311">
        <v>1971</v>
      </c>
      <c r="H8368" s="340" t="s">
        <v>3</v>
      </c>
      <c r="I8368" s="313" t="s">
        <v>10613</v>
      </c>
      <c r="J8368" s="314">
        <v>8.0990000000000002</v>
      </c>
      <c r="K8368" s="314">
        <v>8.0909999999999993</v>
      </c>
      <c r="L8368" s="350">
        <f t="shared" si="113"/>
        <v>8.0000000000008953E-3</v>
      </c>
      <c r="M8368" s="337"/>
    </row>
    <row r="8369" spans="1:13" s="71" customFormat="1" ht="26.4" customHeight="1">
      <c r="A8369" s="282">
        <v>168</v>
      </c>
      <c r="B8369" s="537"/>
      <c r="C8369" s="307" t="s">
        <v>28</v>
      </c>
      <c r="D8369" s="307" t="s">
        <v>10614</v>
      </c>
      <c r="E8369" s="260" t="s">
        <v>10615</v>
      </c>
      <c r="F8369" s="310">
        <v>84</v>
      </c>
      <c r="G8369" s="311">
        <v>1974</v>
      </c>
      <c r="H8369" s="340" t="s">
        <v>3</v>
      </c>
      <c r="I8369" s="313" t="s">
        <v>10420</v>
      </c>
      <c r="J8369" s="314">
        <v>11.167</v>
      </c>
      <c r="K8369" s="314">
        <v>9.4559999999999995</v>
      </c>
      <c r="L8369" s="350">
        <f t="shared" si="113"/>
        <v>1.7110000000000003</v>
      </c>
      <c r="M8369" s="337"/>
    </row>
    <row r="8370" spans="1:13" s="71" customFormat="1" ht="26.4" customHeight="1">
      <c r="A8370" s="282">
        <v>169</v>
      </c>
      <c r="B8370" s="537"/>
      <c r="C8370" s="307" t="s">
        <v>28</v>
      </c>
      <c r="D8370" s="307" t="s">
        <v>10616</v>
      </c>
      <c r="E8370" s="260" t="s">
        <v>10617</v>
      </c>
      <c r="F8370" s="310">
        <v>85</v>
      </c>
      <c r="G8370" s="311">
        <v>1975</v>
      </c>
      <c r="H8370" s="340" t="s">
        <v>3</v>
      </c>
      <c r="I8370" s="313" t="s">
        <v>10618</v>
      </c>
      <c r="J8370" s="314">
        <v>25.827000000000002</v>
      </c>
      <c r="K8370" s="314">
        <v>22.635999999999999</v>
      </c>
      <c r="L8370" s="350">
        <f t="shared" si="113"/>
        <v>3.1910000000000025</v>
      </c>
      <c r="M8370" s="337"/>
    </row>
    <row r="8371" spans="1:13" s="71" customFormat="1" ht="26.4" customHeight="1">
      <c r="A8371" s="282">
        <v>170</v>
      </c>
      <c r="B8371" s="537"/>
      <c r="C8371" s="307" t="s">
        <v>28</v>
      </c>
      <c r="D8371" s="307" t="s">
        <v>10619</v>
      </c>
      <c r="E8371" s="260" t="s">
        <v>10488</v>
      </c>
      <c r="F8371" s="310">
        <v>86</v>
      </c>
      <c r="G8371" s="311">
        <v>1975</v>
      </c>
      <c r="H8371" s="340" t="s">
        <v>3</v>
      </c>
      <c r="I8371" s="313" t="s">
        <v>10620</v>
      </c>
      <c r="J8371" s="314">
        <v>10.414999999999999</v>
      </c>
      <c r="K8371" s="314">
        <v>8.7409999999999997</v>
      </c>
      <c r="L8371" s="350">
        <f t="shared" si="113"/>
        <v>1.6739999999999995</v>
      </c>
      <c r="M8371" s="337"/>
    </row>
    <row r="8372" spans="1:13" s="71" customFormat="1" ht="26.4" customHeight="1">
      <c r="A8372" s="282">
        <v>171</v>
      </c>
      <c r="B8372" s="537"/>
      <c r="C8372" s="307" t="s">
        <v>28</v>
      </c>
      <c r="D8372" s="307" t="s">
        <v>10621</v>
      </c>
      <c r="E8372" s="260" t="s">
        <v>10622</v>
      </c>
      <c r="F8372" s="310">
        <v>87</v>
      </c>
      <c r="G8372" s="311">
        <v>1975</v>
      </c>
      <c r="H8372" s="340" t="s">
        <v>3</v>
      </c>
      <c r="I8372" s="313" t="s">
        <v>10623</v>
      </c>
      <c r="J8372" s="314">
        <v>5.9790000000000001</v>
      </c>
      <c r="K8372" s="314">
        <v>5.12</v>
      </c>
      <c r="L8372" s="350">
        <f t="shared" si="113"/>
        <v>0.85899999999999999</v>
      </c>
      <c r="M8372" s="337"/>
    </row>
    <row r="8373" spans="1:13" s="71" customFormat="1" ht="26.4" customHeight="1">
      <c r="A8373" s="282">
        <v>172</v>
      </c>
      <c r="B8373" s="537"/>
      <c r="C8373" s="307" t="s">
        <v>28</v>
      </c>
      <c r="D8373" s="307" t="s">
        <v>10624</v>
      </c>
      <c r="E8373" s="260" t="s">
        <v>10625</v>
      </c>
      <c r="F8373" s="310">
        <v>88</v>
      </c>
      <c r="G8373" s="311">
        <v>1976</v>
      </c>
      <c r="H8373" s="340" t="s">
        <v>3</v>
      </c>
      <c r="I8373" s="313" t="s">
        <v>10626</v>
      </c>
      <c r="J8373" s="314">
        <v>0.626</v>
      </c>
      <c r="K8373" s="314">
        <v>0.61799999999999999</v>
      </c>
      <c r="L8373" s="350">
        <f t="shared" si="113"/>
        <v>8.0000000000000071E-3</v>
      </c>
      <c r="M8373" s="337"/>
    </row>
    <row r="8374" spans="1:13" s="71" customFormat="1" ht="26.4" customHeight="1">
      <c r="A8374" s="282">
        <v>173</v>
      </c>
      <c r="B8374" s="537"/>
      <c r="C8374" s="307" t="s">
        <v>28</v>
      </c>
      <c r="D8374" s="307" t="s">
        <v>10627</v>
      </c>
      <c r="E8374" s="260" t="s">
        <v>10628</v>
      </c>
      <c r="F8374" s="310">
        <v>89</v>
      </c>
      <c r="G8374" s="311">
        <v>1976</v>
      </c>
      <c r="H8374" s="340" t="s">
        <v>3</v>
      </c>
      <c r="I8374" s="313" t="s">
        <v>10629</v>
      </c>
      <c r="J8374" s="314">
        <v>7.9320000000000004</v>
      </c>
      <c r="K8374" s="314">
        <v>7.75</v>
      </c>
      <c r="L8374" s="350">
        <f t="shared" si="113"/>
        <v>0.18200000000000038</v>
      </c>
      <c r="M8374" s="337"/>
    </row>
    <row r="8375" spans="1:13" s="71" customFormat="1" ht="39.6">
      <c r="A8375" s="282">
        <v>174</v>
      </c>
      <c r="B8375" s="537"/>
      <c r="C8375" s="307" t="s">
        <v>28</v>
      </c>
      <c r="D8375" s="307" t="s">
        <v>10630</v>
      </c>
      <c r="E8375" s="260" t="s">
        <v>10631</v>
      </c>
      <c r="F8375" s="310">
        <v>90</v>
      </c>
      <c r="G8375" s="311">
        <v>1976</v>
      </c>
      <c r="H8375" s="340" t="s">
        <v>3</v>
      </c>
      <c r="I8375" s="313" t="s">
        <v>10632</v>
      </c>
      <c r="J8375" s="314">
        <v>17.626000000000001</v>
      </c>
      <c r="K8375" s="314">
        <v>14.662000000000001</v>
      </c>
      <c r="L8375" s="350">
        <f t="shared" si="113"/>
        <v>2.9640000000000004</v>
      </c>
      <c r="M8375" s="337"/>
    </row>
    <row r="8376" spans="1:13" s="71" customFormat="1" ht="26.4" customHeight="1">
      <c r="A8376" s="282">
        <v>175</v>
      </c>
      <c r="B8376" s="537"/>
      <c r="C8376" s="307" t="s">
        <v>28</v>
      </c>
      <c r="D8376" s="307" t="s">
        <v>10633</v>
      </c>
      <c r="E8376" s="260" t="s">
        <v>10634</v>
      </c>
      <c r="F8376" s="310">
        <v>91</v>
      </c>
      <c r="G8376" s="311">
        <v>1977</v>
      </c>
      <c r="H8376" s="340" t="s">
        <v>3</v>
      </c>
      <c r="I8376" s="313" t="s">
        <v>10635</v>
      </c>
      <c r="J8376" s="314">
        <v>21.861999999999998</v>
      </c>
      <c r="K8376" s="314">
        <v>18.023</v>
      </c>
      <c r="L8376" s="350">
        <f t="shared" si="113"/>
        <v>3.8389999999999986</v>
      </c>
      <c r="M8376" s="337"/>
    </row>
    <row r="8377" spans="1:13" s="71" customFormat="1" ht="26.4" customHeight="1">
      <c r="A8377" s="282">
        <v>176</v>
      </c>
      <c r="B8377" s="537"/>
      <c r="C8377" s="307" t="s">
        <v>28</v>
      </c>
      <c r="D8377" s="307" t="s">
        <v>10636</v>
      </c>
      <c r="E8377" s="260" t="s">
        <v>10637</v>
      </c>
      <c r="F8377" s="310">
        <v>92</v>
      </c>
      <c r="G8377" s="311">
        <v>1977</v>
      </c>
      <c r="H8377" s="340" t="s">
        <v>3</v>
      </c>
      <c r="I8377" s="313" t="s">
        <v>10638</v>
      </c>
      <c r="J8377" s="314">
        <v>5.6219999999999999</v>
      </c>
      <c r="K8377" s="314">
        <v>4.55</v>
      </c>
      <c r="L8377" s="350">
        <f t="shared" si="113"/>
        <v>1.0720000000000001</v>
      </c>
      <c r="M8377" s="337"/>
    </row>
    <row r="8378" spans="1:13" s="71" customFormat="1" ht="26.4">
      <c r="A8378" s="282">
        <v>177</v>
      </c>
      <c r="B8378" s="537"/>
      <c r="C8378" s="307" t="s">
        <v>28</v>
      </c>
      <c r="D8378" s="307" t="s">
        <v>10639</v>
      </c>
      <c r="E8378" s="260" t="s">
        <v>10640</v>
      </c>
      <c r="F8378" s="310">
        <v>93</v>
      </c>
      <c r="G8378" s="311">
        <v>1977</v>
      </c>
      <c r="H8378" s="340" t="s">
        <v>3</v>
      </c>
      <c r="I8378" s="313" t="s">
        <v>10641</v>
      </c>
      <c r="J8378" s="314">
        <v>12.039</v>
      </c>
      <c r="K8378" s="314">
        <v>10.45</v>
      </c>
      <c r="L8378" s="350">
        <f t="shared" si="113"/>
        <v>1.5890000000000004</v>
      </c>
      <c r="M8378" s="337"/>
    </row>
    <row r="8379" spans="1:13" s="71" customFormat="1" ht="26.4" customHeight="1">
      <c r="A8379" s="282">
        <v>178</v>
      </c>
      <c r="B8379" s="537"/>
      <c r="C8379" s="307" t="s">
        <v>28</v>
      </c>
      <c r="D8379" s="307" t="s">
        <v>10642</v>
      </c>
      <c r="E8379" s="260" t="s">
        <v>10643</v>
      </c>
      <c r="F8379" s="310">
        <v>94</v>
      </c>
      <c r="G8379" s="311">
        <v>1978</v>
      </c>
      <c r="H8379" s="340" t="s">
        <v>3</v>
      </c>
      <c r="I8379" s="313" t="s">
        <v>10644</v>
      </c>
      <c r="J8379" s="314">
        <v>7.5490000000000004</v>
      </c>
      <c r="K8379" s="314">
        <v>6.2510000000000003</v>
      </c>
      <c r="L8379" s="350">
        <f t="shared" si="113"/>
        <v>1.298</v>
      </c>
      <c r="M8379" s="337"/>
    </row>
    <row r="8380" spans="1:13" s="71" customFormat="1" ht="26.4" customHeight="1">
      <c r="A8380" s="282">
        <v>179</v>
      </c>
      <c r="B8380" s="537"/>
      <c r="C8380" s="307" t="s">
        <v>28</v>
      </c>
      <c r="D8380" s="307" t="s">
        <v>10645</v>
      </c>
      <c r="E8380" s="260" t="s">
        <v>10646</v>
      </c>
      <c r="F8380" s="310">
        <v>95</v>
      </c>
      <c r="G8380" s="311">
        <v>1978</v>
      </c>
      <c r="H8380" s="340" t="s">
        <v>3</v>
      </c>
      <c r="I8380" s="313" t="s">
        <v>10647</v>
      </c>
      <c r="J8380" s="314">
        <v>3.3439999999999999</v>
      </c>
      <c r="K8380" s="314">
        <v>2.919</v>
      </c>
      <c r="L8380" s="350">
        <f t="shared" si="113"/>
        <v>0.42499999999999982</v>
      </c>
      <c r="M8380" s="337"/>
    </row>
    <row r="8381" spans="1:13" s="71" customFormat="1" ht="26.4" customHeight="1">
      <c r="A8381" s="282">
        <v>180</v>
      </c>
      <c r="B8381" s="537"/>
      <c r="C8381" s="307" t="s">
        <v>28</v>
      </c>
      <c r="D8381" s="307" t="s">
        <v>10648</v>
      </c>
      <c r="E8381" s="260" t="s">
        <v>10649</v>
      </c>
      <c r="F8381" s="310">
        <v>96</v>
      </c>
      <c r="G8381" s="311">
        <v>1978</v>
      </c>
      <c r="H8381" s="340" t="s">
        <v>3</v>
      </c>
      <c r="I8381" s="313" t="s">
        <v>10650</v>
      </c>
      <c r="J8381" s="314">
        <v>1.8859999999999999</v>
      </c>
      <c r="K8381" s="314">
        <v>1.8580000000000001</v>
      </c>
      <c r="L8381" s="350">
        <f t="shared" si="113"/>
        <v>2.7999999999999803E-2</v>
      </c>
      <c r="M8381" s="337"/>
    </row>
    <row r="8382" spans="1:13" s="71" customFormat="1" ht="26.4" customHeight="1">
      <c r="A8382" s="282">
        <v>181</v>
      </c>
      <c r="B8382" s="537"/>
      <c r="C8382" s="307" t="s">
        <v>28</v>
      </c>
      <c r="D8382" s="307" t="s">
        <v>10651</v>
      </c>
      <c r="E8382" s="260" t="s">
        <v>10652</v>
      </c>
      <c r="F8382" s="310">
        <v>97</v>
      </c>
      <c r="G8382" s="311">
        <v>1978</v>
      </c>
      <c r="H8382" s="340" t="s">
        <v>3</v>
      </c>
      <c r="I8382" s="313" t="s">
        <v>10653</v>
      </c>
      <c r="J8382" s="314">
        <v>1.1870000000000001</v>
      </c>
      <c r="K8382" s="314">
        <v>1.17</v>
      </c>
      <c r="L8382" s="350">
        <f t="shared" si="113"/>
        <v>1.7000000000000126E-2</v>
      </c>
      <c r="M8382" s="337"/>
    </row>
    <row r="8383" spans="1:13" s="71" customFormat="1" ht="26.4" customHeight="1">
      <c r="A8383" s="282">
        <v>182</v>
      </c>
      <c r="B8383" s="537"/>
      <c r="C8383" s="307" t="s">
        <v>28</v>
      </c>
      <c r="D8383" s="307" t="s">
        <v>10654</v>
      </c>
      <c r="E8383" s="260" t="s">
        <v>10655</v>
      </c>
      <c r="F8383" s="310">
        <v>98</v>
      </c>
      <c r="G8383" s="311">
        <v>1978</v>
      </c>
      <c r="H8383" s="340" t="s">
        <v>3</v>
      </c>
      <c r="I8383" s="313" t="s">
        <v>10656</v>
      </c>
      <c r="J8383" s="314">
        <v>49.962000000000003</v>
      </c>
      <c r="K8383" s="314">
        <v>45.44</v>
      </c>
      <c r="L8383" s="350">
        <f t="shared" si="113"/>
        <v>4.5220000000000056</v>
      </c>
      <c r="M8383" s="337"/>
    </row>
    <row r="8384" spans="1:13" s="71" customFormat="1" ht="26.4" customHeight="1">
      <c r="A8384" s="282">
        <v>183</v>
      </c>
      <c r="B8384" s="537"/>
      <c r="C8384" s="307" t="s">
        <v>28</v>
      </c>
      <c r="D8384" s="307" t="s">
        <v>10657</v>
      </c>
      <c r="E8384" s="260" t="s">
        <v>10658</v>
      </c>
      <c r="F8384" s="310">
        <v>99</v>
      </c>
      <c r="G8384" s="311">
        <v>1979</v>
      </c>
      <c r="H8384" s="340" t="s">
        <v>3</v>
      </c>
      <c r="I8384" s="313" t="s">
        <v>10659</v>
      </c>
      <c r="J8384" s="314">
        <v>5.891</v>
      </c>
      <c r="K8384" s="314">
        <v>4.923</v>
      </c>
      <c r="L8384" s="350">
        <f t="shared" si="113"/>
        <v>0.96799999999999997</v>
      </c>
      <c r="M8384" s="337"/>
    </row>
    <row r="8385" spans="1:13" s="71" customFormat="1" ht="26.4" customHeight="1">
      <c r="A8385" s="282">
        <v>184</v>
      </c>
      <c r="B8385" s="537"/>
      <c r="C8385" s="307" t="s">
        <v>28</v>
      </c>
      <c r="D8385" s="307" t="s">
        <v>10660</v>
      </c>
      <c r="E8385" s="260" t="s">
        <v>13441</v>
      </c>
      <c r="F8385" s="310">
        <v>100</v>
      </c>
      <c r="G8385" s="311">
        <v>1979</v>
      </c>
      <c r="H8385" s="340" t="s">
        <v>3</v>
      </c>
      <c r="I8385" s="313" t="s">
        <v>10661</v>
      </c>
      <c r="J8385" s="314">
        <v>5.718</v>
      </c>
      <c r="K8385" s="314">
        <v>4.78</v>
      </c>
      <c r="L8385" s="350">
        <f t="shared" si="113"/>
        <v>0.93799999999999972</v>
      </c>
      <c r="M8385" s="337"/>
    </row>
    <row r="8386" spans="1:13" s="71" customFormat="1" ht="26.4" customHeight="1">
      <c r="A8386" s="282">
        <v>185</v>
      </c>
      <c r="B8386" s="537"/>
      <c r="C8386" s="307" t="s">
        <v>28</v>
      </c>
      <c r="D8386" s="307" t="s">
        <v>10662</v>
      </c>
      <c r="E8386" s="260" t="s">
        <v>10663</v>
      </c>
      <c r="F8386" s="310">
        <v>101</v>
      </c>
      <c r="G8386" s="311">
        <v>1979</v>
      </c>
      <c r="H8386" s="340" t="s">
        <v>3</v>
      </c>
      <c r="I8386" s="313" t="s">
        <v>10664</v>
      </c>
      <c r="J8386" s="314">
        <v>12.552</v>
      </c>
      <c r="K8386" s="314">
        <v>10.394</v>
      </c>
      <c r="L8386" s="350">
        <f t="shared" si="113"/>
        <v>2.1579999999999995</v>
      </c>
      <c r="M8386" s="337"/>
    </row>
    <row r="8387" spans="1:13" s="71" customFormat="1" ht="26.4" customHeight="1">
      <c r="A8387" s="282">
        <v>186</v>
      </c>
      <c r="B8387" s="537"/>
      <c r="C8387" s="307" t="s">
        <v>28</v>
      </c>
      <c r="D8387" s="307" t="s">
        <v>10665</v>
      </c>
      <c r="E8387" s="260" t="s">
        <v>13442</v>
      </c>
      <c r="F8387" s="310">
        <v>102</v>
      </c>
      <c r="G8387" s="311">
        <v>1979</v>
      </c>
      <c r="H8387" s="340" t="s">
        <v>3</v>
      </c>
      <c r="I8387" s="313" t="s">
        <v>10666</v>
      </c>
      <c r="J8387" s="314">
        <v>2.2989999999999999</v>
      </c>
      <c r="K8387" s="314">
        <v>2.016</v>
      </c>
      <c r="L8387" s="350">
        <f t="shared" si="113"/>
        <v>0.28299999999999992</v>
      </c>
      <c r="M8387" s="337"/>
    </row>
    <row r="8388" spans="1:13" s="71" customFormat="1" ht="26.4" customHeight="1">
      <c r="A8388" s="282">
        <v>187</v>
      </c>
      <c r="B8388" s="537"/>
      <c r="C8388" s="307" t="s">
        <v>28</v>
      </c>
      <c r="D8388" s="307" t="s">
        <v>10667</v>
      </c>
      <c r="E8388" s="260" t="s">
        <v>10668</v>
      </c>
      <c r="F8388" s="310">
        <v>103</v>
      </c>
      <c r="G8388" s="311">
        <v>1979</v>
      </c>
      <c r="H8388" s="340" t="s">
        <v>3</v>
      </c>
      <c r="I8388" s="313" t="s">
        <v>10669</v>
      </c>
      <c r="J8388" s="314">
        <v>1.8879999999999999</v>
      </c>
      <c r="K8388" s="314">
        <v>1.6459999999999999</v>
      </c>
      <c r="L8388" s="350">
        <f t="shared" si="113"/>
        <v>0.24199999999999999</v>
      </c>
      <c r="M8388" s="337"/>
    </row>
    <row r="8389" spans="1:13" s="71" customFormat="1" ht="26.25" customHeight="1">
      <c r="A8389" s="282">
        <v>188</v>
      </c>
      <c r="B8389" s="537"/>
      <c r="C8389" s="307" t="s">
        <v>28</v>
      </c>
      <c r="D8389" s="307" t="s">
        <v>10670</v>
      </c>
      <c r="E8389" s="260" t="s">
        <v>10671</v>
      </c>
      <c r="F8389" s="310">
        <v>104</v>
      </c>
      <c r="G8389" s="311">
        <v>1979</v>
      </c>
      <c r="H8389" s="340" t="s">
        <v>3</v>
      </c>
      <c r="I8389" s="313" t="s">
        <v>10672</v>
      </c>
      <c r="J8389" s="314">
        <v>0.85499999999999998</v>
      </c>
      <c r="K8389" s="314">
        <v>0.78</v>
      </c>
      <c r="L8389" s="350">
        <f t="shared" si="113"/>
        <v>7.4999999999999956E-2</v>
      </c>
      <c r="M8389" s="337"/>
    </row>
    <row r="8390" spans="1:13" s="71" customFormat="1" ht="163.5" customHeight="1">
      <c r="A8390" s="282">
        <v>189</v>
      </c>
      <c r="B8390" s="537"/>
      <c r="C8390" s="307" t="s">
        <v>28</v>
      </c>
      <c r="D8390" s="313" t="s">
        <v>12986</v>
      </c>
      <c r="E8390" s="260" t="s">
        <v>10673</v>
      </c>
      <c r="F8390" s="310">
        <v>1048</v>
      </c>
      <c r="G8390" s="311">
        <v>2002</v>
      </c>
      <c r="H8390" s="340" t="s">
        <v>3</v>
      </c>
      <c r="I8390" s="313" t="s">
        <v>10674</v>
      </c>
      <c r="J8390" s="314">
        <v>312.39600000000002</v>
      </c>
      <c r="K8390" s="314">
        <v>312.38799999999998</v>
      </c>
      <c r="L8390" s="350">
        <f t="shared" si="113"/>
        <v>8.0000000000381988E-3</v>
      </c>
      <c r="M8390" s="337"/>
    </row>
    <row r="8391" spans="1:13" s="71" customFormat="1" ht="26.4" customHeight="1">
      <c r="A8391" s="282">
        <v>190</v>
      </c>
      <c r="B8391" s="537"/>
      <c r="C8391" s="307" t="s">
        <v>214</v>
      </c>
      <c r="D8391" s="307" t="s">
        <v>10675</v>
      </c>
      <c r="E8391" s="260" t="s">
        <v>10676</v>
      </c>
      <c r="F8391" s="310">
        <v>1049</v>
      </c>
      <c r="G8391" s="311">
        <v>2002</v>
      </c>
      <c r="H8391" s="340" t="s">
        <v>3</v>
      </c>
      <c r="I8391" s="313" t="s">
        <v>10677</v>
      </c>
      <c r="J8391" s="314">
        <v>1305.4100000000001</v>
      </c>
      <c r="K8391" s="314">
        <v>992.14</v>
      </c>
      <c r="L8391" s="350">
        <f t="shared" si="113"/>
        <v>313.2700000000001</v>
      </c>
      <c r="M8391" s="337"/>
    </row>
    <row r="8392" spans="1:13" s="71" customFormat="1" ht="26.4" customHeight="1">
      <c r="A8392" s="282">
        <v>191</v>
      </c>
      <c r="B8392" s="537"/>
      <c r="C8392" s="307" t="s">
        <v>28</v>
      </c>
      <c r="D8392" s="307" t="s">
        <v>10678</v>
      </c>
      <c r="E8392" s="260" t="s">
        <v>10679</v>
      </c>
      <c r="F8392" s="310">
        <v>105</v>
      </c>
      <c r="G8392" s="311">
        <v>1979</v>
      </c>
      <c r="H8392" s="340" t="s">
        <v>3</v>
      </c>
      <c r="I8392" s="313" t="s">
        <v>10680</v>
      </c>
      <c r="J8392" s="314">
        <v>63.496000000000002</v>
      </c>
      <c r="K8392" s="314">
        <v>62.484000000000002</v>
      </c>
      <c r="L8392" s="350">
        <f t="shared" si="113"/>
        <v>1.0120000000000005</v>
      </c>
      <c r="M8392" s="337"/>
    </row>
    <row r="8393" spans="1:13" s="71" customFormat="1" ht="132">
      <c r="A8393" s="282">
        <v>192</v>
      </c>
      <c r="B8393" s="537"/>
      <c r="C8393" s="307" t="s">
        <v>28</v>
      </c>
      <c r="D8393" s="313" t="s">
        <v>10681</v>
      </c>
      <c r="E8393" s="260" t="s">
        <v>10682</v>
      </c>
      <c r="F8393" s="310">
        <v>1050</v>
      </c>
      <c r="G8393" s="311">
        <v>2002</v>
      </c>
      <c r="H8393" s="340" t="s">
        <v>3</v>
      </c>
      <c r="I8393" s="313" t="s">
        <v>10683</v>
      </c>
      <c r="J8393" s="314">
        <v>20.04</v>
      </c>
      <c r="K8393" s="314">
        <v>19.199000000000002</v>
      </c>
      <c r="L8393" s="350">
        <f t="shared" si="113"/>
        <v>0.84099999999999753</v>
      </c>
      <c r="M8393" s="337"/>
    </row>
    <row r="8394" spans="1:13" s="71" customFormat="1" ht="132">
      <c r="A8394" s="282">
        <v>193</v>
      </c>
      <c r="B8394" s="537"/>
      <c r="C8394" s="307" t="s">
        <v>28</v>
      </c>
      <c r="D8394" s="313" t="s">
        <v>10684</v>
      </c>
      <c r="E8394" s="260" t="s">
        <v>10685</v>
      </c>
      <c r="F8394" s="310">
        <v>1051</v>
      </c>
      <c r="G8394" s="311">
        <v>2002</v>
      </c>
      <c r="H8394" s="340" t="s">
        <v>3</v>
      </c>
      <c r="I8394" s="313" t="s">
        <v>10686</v>
      </c>
      <c r="J8394" s="314">
        <v>27.814</v>
      </c>
      <c r="K8394" s="314">
        <v>25.018999999999998</v>
      </c>
      <c r="L8394" s="350">
        <f t="shared" ref="L8394:L8457" si="114">J8394-K8394</f>
        <v>2.7950000000000017</v>
      </c>
      <c r="M8394" s="337"/>
    </row>
    <row r="8395" spans="1:13" s="71" customFormat="1" ht="39.6">
      <c r="A8395" s="282">
        <v>194</v>
      </c>
      <c r="B8395" s="537"/>
      <c r="C8395" s="307" t="s">
        <v>10687</v>
      </c>
      <c r="D8395" s="307" t="s">
        <v>12832</v>
      </c>
      <c r="E8395" s="260" t="s">
        <v>10688</v>
      </c>
      <c r="F8395" s="310">
        <v>1059</v>
      </c>
      <c r="G8395" s="311">
        <v>2002</v>
      </c>
      <c r="H8395" s="340" t="s">
        <v>3</v>
      </c>
      <c r="I8395" s="313" t="s">
        <v>10689</v>
      </c>
      <c r="J8395" s="314">
        <v>22.617999999999999</v>
      </c>
      <c r="K8395" s="314">
        <v>14.478</v>
      </c>
      <c r="L8395" s="350">
        <f t="shared" si="114"/>
        <v>8.1399999999999988</v>
      </c>
      <c r="M8395" s="337"/>
    </row>
    <row r="8396" spans="1:13" s="71" customFormat="1" ht="26.4" customHeight="1">
      <c r="A8396" s="282">
        <v>195</v>
      </c>
      <c r="B8396" s="537"/>
      <c r="C8396" s="307" t="s">
        <v>28</v>
      </c>
      <c r="D8396" s="307" t="s">
        <v>10690</v>
      </c>
      <c r="E8396" s="260" t="s">
        <v>10691</v>
      </c>
      <c r="F8396" s="310">
        <v>106</v>
      </c>
      <c r="G8396" s="311">
        <v>1980</v>
      </c>
      <c r="H8396" s="340" t="s">
        <v>3</v>
      </c>
      <c r="I8396" s="313" t="s">
        <v>10692</v>
      </c>
      <c r="J8396" s="314">
        <v>11.596</v>
      </c>
      <c r="K8396" s="314">
        <v>9.2140000000000004</v>
      </c>
      <c r="L8396" s="350">
        <f t="shared" si="114"/>
        <v>2.3819999999999997</v>
      </c>
      <c r="M8396" s="337"/>
    </row>
    <row r="8397" spans="1:13" s="71" customFormat="1" ht="52.8">
      <c r="A8397" s="282">
        <v>196</v>
      </c>
      <c r="B8397" s="537"/>
      <c r="C8397" s="307" t="s">
        <v>10324</v>
      </c>
      <c r="D8397" s="307" t="s">
        <v>10693</v>
      </c>
      <c r="E8397" s="260" t="s">
        <v>10694</v>
      </c>
      <c r="F8397" s="310">
        <v>1060</v>
      </c>
      <c r="G8397" s="311">
        <v>2002</v>
      </c>
      <c r="H8397" s="340" t="s">
        <v>3</v>
      </c>
      <c r="I8397" s="313" t="s">
        <v>10695</v>
      </c>
      <c r="J8397" s="314">
        <v>25.274999999999999</v>
      </c>
      <c r="K8397" s="314">
        <v>21.184999999999999</v>
      </c>
      <c r="L8397" s="350">
        <f t="shared" si="114"/>
        <v>4.09</v>
      </c>
      <c r="M8397" s="337"/>
    </row>
    <row r="8398" spans="1:13" s="71" customFormat="1" ht="52.8">
      <c r="A8398" s="282">
        <v>197</v>
      </c>
      <c r="B8398" s="537"/>
      <c r="C8398" s="307" t="s">
        <v>10324</v>
      </c>
      <c r="D8398" s="307" t="s">
        <v>12833</v>
      </c>
      <c r="E8398" s="260" t="s">
        <v>10696</v>
      </c>
      <c r="F8398" s="310">
        <v>1061</v>
      </c>
      <c r="G8398" s="311">
        <v>2002</v>
      </c>
      <c r="H8398" s="340" t="s">
        <v>3</v>
      </c>
      <c r="I8398" s="313" t="s">
        <v>10697</v>
      </c>
      <c r="J8398" s="314">
        <v>140.535</v>
      </c>
      <c r="K8398" s="314">
        <v>139.13399999999999</v>
      </c>
      <c r="L8398" s="350">
        <f t="shared" si="114"/>
        <v>1.4010000000000105</v>
      </c>
      <c r="M8398" s="337"/>
    </row>
    <row r="8399" spans="1:13" s="71" customFormat="1" ht="26.4" customHeight="1">
      <c r="A8399" s="282">
        <v>198</v>
      </c>
      <c r="B8399" s="537"/>
      <c r="C8399" s="307" t="s">
        <v>28</v>
      </c>
      <c r="D8399" s="307" t="s">
        <v>10698</v>
      </c>
      <c r="E8399" s="260" t="s">
        <v>10699</v>
      </c>
      <c r="F8399" s="310">
        <v>107</v>
      </c>
      <c r="G8399" s="311">
        <v>1980</v>
      </c>
      <c r="H8399" s="340" t="s">
        <v>3</v>
      </c>
      <c r="I8399" s="313" t="s">
        <v>10700</v>
      </c>
      <c r="J8399" s="314">
        <v>3.5630000000000002</v>
      </c>
      <c r="K8399" s="314">
        <v>2.552</v>
      </c>
      <c r="L8399" s="350">
        <f t="shared" si="114"/>
        <v>1.0110000000000001</v>
      </c>
      <c r="M8399" s="337"/>
    </row>
    <row r="8400" spans="1:13" s="71" customFormat="1" ht="26.4" customHeight="1">
      <c r="A8400" s="282">
        <v>199</v>
      </c>
      <c r="B8400" s="537"/>
      <c r="C8400" s="307" t="s">
        <v>28</v>
      </c>
      <c r="D8400" s="307" t="s">
        <v>10701</v>
      </c>
      <c r="E8400" s="260" t="s">
        <v>10702</v>
      </c>
      <c r="F8400" s="310">
        <v>108</v>
      </c>
      <c r="G8400" s="311">
        <v>1981</v>
      </c>
      <c r="H8400" s="340" t="s">
        <v>3</v>
      </c>
      <c r="I8400" s="313" t="s">
        <v>10703</v>
      </c>
      <c r="J8400" s="314">
        <v>2.4</v>
      </c>
      <c r="K8400" s="314">
        <v>2.3210000000000002</v>
      </c>
      <c r="L8400" s="350">
        <f t="shared" si="114"/>
        <v>7.8999999999999737E-2</v>
      </c>
      <c r="M8400" s="337"/>
    </row>
    <row r="8401" spans="1:13" s="71" customFormat="1" ht="39.6">
      <c r="A8401" s="282">
        <v>200</v>
      </c>
      <c r="B8401" s="537"/>
      <c r="C8401" s="307" t="s">
        <v>214</v>
      </c>
      <c r="D8401" s="307" t="s">
        <v>10271</v>
      </c>
      <c r="E8401" s="260" t="s">
        <v>10704</v>
      </c>
      <c r="F8401" s="310">
        <v>1080</v>
      </c>
      <c r="G8401" s="311">
        <v>2002</v>
      </c>
      <c r="H8401" s="340" t="s">
        <v>3</v>
      </c>
      <c r="I8401" s="313" t="s">
        <v>10705</v>
      </c>
      <c r="J8401" s="314">
        <v>293.541</v>
      </c>
      <c r="K8401" s="314">
        <v>293.399</v>
      </c>
      <c r="L8401" s="350">
        <f t="shared" si="114"/>
        <v>0.14199999999999591</v>
      </c>
      <c r="M8401" s="337"/>
    </row>
    <row r="8402" spans="1:13" s="71" customFormat="1" ht="26.4" customHeight="1">
      <c r="A8402" s="282">
        <v>201</v>
      </c>
      <c r="B8402" s="537"/>
      <c r="C8402" s="307" t="s">
        <v>28</v>
      </c>
      <c r="D8402" s="307" t="s">
        <v>10706</v>
      </c>
      <c r="E8402" s="260" t="s">
        <v>10707</v>
      </c>
      <c r="F8402" s="310">
        <v>109</v>
      </c>
      <c r="G8402" s="311">
        <v>1981</v>
      </c>
      <c r="H8402" s="340" t="s">
        <v>3</v>
      </c>
      <c r="I8402" s="313" t="s">
        <v>10708</v>
      </c>
      <c r="J8402" s="314">
        <v>12.866</v>
      </c>
      <c r="K8402" s="314">
        <v>5.0419999999999998</v>
      </c>
      <c r="L8402" s="350">
        <f t="shared" si="114"/>
        <v>7.8239999999999998</v>
      </c>
      <c r="M8402" s="337"/>
    </row>
    <row r="8403" spans="1:13" s="71" customFormat="1" ht="26.4" customHeight="1">
      <c r="A8403" s="282">
        <v>202</v>
      </c>
      <c r="B8403" s="537"/>
      <c r="C8403" s="307" t="s">
        <v>28</v>
      </c>
      <c r="D8403" s="307" t="s">
        <v>10709</v>
      </c>
      <c r="E8403" s="260" t="s">
        <v>10710</v>
      </c>
      <c r="F8403" s="310">
        <v>110</v>
      </c>
      <c r="G8403" s="311">
        <v>1981</v>
      </c>
      <c r="H8403" s="340" t="s">
        <v>3</v>
      </c>
      <c r="I8403" s="313" t="s">
        <v>10711</v>
      </c>
      <c r="J8403" s="314">
        <v>14.45</v>
      </c>
      <c r="K8403" s="314">
        <v>6.57</v>
      </c>
      <c r="L8403" s="350">
        <f t="shared" si="114"/>
        <v>7.879999999999999</v>
      </c>
      <c r="M8403" s="337"/>
    </row>
    <row r="8404" spans="1:13" s="71" customFormat="1" ht="26.4" customHeight="1">
      <c r="A8404" s="282">
        <v>203</v>
      </c>
      <c r="B8404" s="537"/>
      <c r="C8404" s="307" t="s">
        <v>10712</v>
      </c>
      <c r="D8404" s="307" t="s">
        <v>10713</v>
      </c>
      <c r="E8404" s="260" t="s">
        <v>10714</v>
      </c>
      <c r="F8404" s="310">
        <v>1105</v>
      </c>
      <c r="G8404" s="311">
        <v>2004</v>
      </c>
      <c r="H8404" s="340" t="s">
        <v>3</v>
      </c>
      <c r="I8404" s="313" t="s">
        <v>10715</v>
      </c>
      <c r="J8404" s="314">
        <v>4.41</v>
      </c>
      <c r="K8404" s="314">
        <v>4.4020000000000001</v>
      </c>
      <c r="L8404" s="350">
        <f t="shared" si="114"/>
        <v>8.0000000000000071E-3</v>
      </c>
      <c r="M8404" s="337"/>
    </row>
    <row r="8405" spans="1:13" s="71" customFormat="1" ht="26.4" customHeight="1">
      <c r="A8405" s="282">
        <v>204</v>
      </c>
      <c r="B8405" s="537"/>
      <c r="C8405" s="307" t="s">
        <v>10716</v>
      </c>
      <c r="D8405" s="307" t="s">
        <v>10717</v>
      </c>
      <c r="E8405" s="260" t="s">
        <v>10718</v>
      </c>
      <c r="F8405" s="310">
        <v>1107</v>
      </c>
      <c r="G8405" s="311">
        <v>2004</v>
      </c>
      <c r="H8405" s="340" t="s">
        <v>3</v>
      </c>
      <c r="I8405" s="313" t="s">
        <v>10719</v>
      </c>
      <c r="J8405" s="314">
        <v>1.163</v>
      </c>
      <c r="K8405" s="314">
        <v>1.08</v>
      </c>
      <c r="L8405" s="350">
        <f t="shared" si="114"/>
        <v>8.2999999999999963E-2</v>
      </c>
      <c r="M8405" s="337"/>
    </row>
    <row r="8406" spans="1:13" s="71" customFormat="1" ht="26.4" customHeight="1">
      <c r="A8406" s="282">
        <v>205</v>
      </c>
      <c r="B8406" s="537"/>
      <c r="C8406" s="307" t="s">
        <v>10716</v>
      </c>
      <c r="D8406" s="307" t="s">
        <v>10720</v>
      </c>
      <c r="E8406" s="260" t="s">
        <v>10721</v>
      </c>
      <c r="F8406" s="310">
        <v>1108</v>
      </c>
      <c r="G8406" s="311">
        <v>2004</v>
      </c>
      <c r="H8406" s="340" t="s">
        <v>3</v>
      </c>
      <c r="I8406" s="313" t="s">
        <v>10722</v>
      </c>
      <c r="J8406" s="314">
        <v>33.770000000000003</v>
      </c>
      <c r="K8406" s="314">
        <v>33.395000000000003</v>
      </c>
      <c r="L8406" s="350">
        <f t="shared" si="114"/>
        <v>0.375</v>
      </c>
      <c r="M8406" s="337"/>
    </row>
    <row r="8407" spans="1:13" s="71" customFormat="1" ht="26.4" customHeight="1">
      <c r="A8407" s="282">
        <v>206</v>
      </c>
      <c r="B8407" s="537"/>
      <c r="C8407" s="307" t="s">
        <v>10716</v>
      </c>
      <c r="D8407" s="307" t="s">
        <v>10723</v>
      </c>
      <c r="E8407" s="260" t="s">
        <v>10724</v>
      </c>
      <c r="F8407" s="310">
        <v>1109</v>
      </c>
      <c r="G8407" s="311">
        <v>2004</v>
      </c>
      <c r="H8407" s="340" t="s">
        <v>3</v>
      </c>
      <c r="I8407" s="313" t="s">
        <v>10725</v>
      </c>
      <c r="J8407" s="314">
        <v>4.2939999999999996</v>
      </c>
      <c r="K8407" s="314">
        <v>4.0439999999999996</v>
      </c>
      <c r="L8407" s="350">
        <f t="shared" si="114"/>
        <v>0.25</v>
      </c>
      <c r="M8407" s="337"/>
    </row>
    <row r="8408" spans="1:13" s="71" customFormat="1" ht="26.4" customHeight="1">
      <c r="A8408" s="282">
        <v>207</v>
      </c>
      <c r="B8408" s="537"/>
      <c r="C8408" s="307" t="s">
        <v>28</v>
      </c>
      <c r="D8408" s="307" t="s">
        <v>10726</v>
      </c>
      <c r="E8408" s="260" t="s">
        <v>10727</v>
      </c>
      <c r="F8408" s="310">
        <v>111</v>
      </c>
      <c r="G8408" s="311">
        <v>1981</v>
      </c>
      <c r="H8408" s="340" t="s">
        <v>3</v>
      </c>
      <c r="I8408" s="313" t="s">
        <v>10728</v>
      </c>
      <c r="J8408" s="314">
        <v>1.268</v>
      </c>
      <c r="K8408" s="314">
        <v>1.226</v>
      </c>
      <c r="L8408" s="350">
        <f t="shared" si="114"/>
        <v>4.2000000000000037E-2</v>
      </c>
      <c r="M8408" s="337"/>
    </row>
    <row r="8409" spans="1:13" s="71" customFormat="1" ht="26.4" customHeight="1">
      <c r="A8409" s="282">
        <v>208</v>
      </c>
      <c r="B8409" s="537"/>
      <c r="C8409" s="307" t="s">
        <v>10716</v>
      </c>
      <c r="D8409" s="307" t="s">
        <v>10729</v>
      </c>
      <c r="E8409" s="260" t="s">
        <v>12834</v>
      </c>
      <c r="F8409" s="310">
        <v>1110</v>
      </c>
      <c r="G8409" s="311">
        <v>2004</v>
      </c>
      <c r="H8409" s="340" t="s">
        <v>3</v>
      </c>
      <c r="I8409" s="313" t="s">
        <v>10730</v>
      </c>
      <c r="J8409" s="314">
        <v>24.31</v>
      </c>
      <c r="K8409" s="314">
        <v>23.934999999999999</v>
      </c>
      <c r="L8409" s="350">
        <f t="shared" si="114"/>
        <v>0.375</v>
      </c>
      <c r="M8409" s="337"/>
    </row>
    <row r="8410" spans="1:13" s="71" customFormat="1" ht="26.4" customHeight="1">
      <c r="A8410" s="282">
        <v>209</v>
      </c>
      <c r="B8410" s="537"/>
      <c r="C8410" s="307" t="s">
        <v>10716</v>
      </c>
      <c r="D8410" s="307" t="s">
        <v>10731</v>
      </c>
      <c r="E8410" s="260" t="s">
        <v>10732</v>
      </c>
      <c r="F8410" s="310">
        <v>1111</v>
      </c>
      <c r="G8410" s="311">
        <v>2004</v>
      </c>
      <c r="H8410" s="340" t="s">
        <v>3</v>
      </c>
      <c r="I8410" s="313" t="s">
        <v>10733</v>
      </c>
      <c r="J8410" s="314">
        <v>49.508000000000003</v>
      </c>
      <c r="K8410" s="314">
        <v>48.871000000000002</v>
      </c>
      <c r="L8410" s="350">
        <f t="shared" si="114"/>
        <v>0.63700000000000045</v>
      </c>
      <c r="M8410" s="337"/>
    </row>
    <row r="8411" spans="1:13" s="71" customFormat="1" ht="39.6">
      <c r="A8411" s="282">
        <v>210</v>
      </c>
      <c r="B8411" s="537"/>
      <c r="C8411" s="307" t="s">
        <v>10734</v>
      </c>
      <c r="D8411" s="307" t="s">
        <v>12893</v>
      </c>
      <c r="E8411" s="260" t="s">
        <v>10735</v>
      </c>
      <c r="F8411" s="310">
        <v>1112</v>
      </c>
      <c r="G8411" s="311">
        <v>2004</v>
      </c>
      <c r="H8411" s="340" t="s">
        <v>3</v>
      </c>
      <c r="I8411" s="313" t="s">
        <v>13232</v>
      </c>
      <c r="J8411" s="314">
        <v>91</v>
      </c>
      <c r="K8411" s="314">
        <v>61.548000000000002</v>
      </c>
      <c r="L8411" s="350">
        <f t="shared" si="114"/>
        <v>29.451999999999998</v>
      </c>
      <c r="M8411" s="337"/>
    </row>
    <row r="8412" spans="1:13" s="71" customFormat="1" ht="26.4" customHeight="1">
      <c r="A8412" s="282">
        <v>211</v>
      </c>
      <c r="B8412" s="537"/>
      <c r="C8412" s="307" t="s">
        <v>10332</v>
      </c>
      <c r="D8412" s="307" t="s">
        <v>10736</v>
      </c>
      <c r="E8412" s="260" t="s">
        <v>10737</v>
      </c>
      <c r="F8412" s="310">
        <v>1114</v>
      </c>
      <c r="G8412" s="311">
        <v>2004</v>
      </c>
      <c r="H8412" s="340" t="s">
        <v>3</v>
      </c>
      <c r="I8412" s="313" t="s">
        <v>10738</v>
      </c>
      <c r="J8412" s="314">
        <v>95.108999999999995</v>
      </c>
      <c r="K8412" s="314">
        <v>94.968000000000004</v>
      </c>
      <c r="L8412" s="350">
        <f t="shared" si="114"/>
        <v>0.14099999999999113</v>
      </c>
      <c r="M8412" s="337"/>
    </row>
    <row r="8413" spans="1:13" s="71" customFormat="1" ht="26.4" customHeight="1">
      <c r="A8413" s="282">
        <v>212</v>
      </c>
      <c r="B8413" s="537"/>
      <c r="C8413" s="307" t="s">
        <v>10332</v>
      </c>
      <c r="D8413" s="307" t="s">
        <v>10739</v>
      </c>
      <c r="E8413" s="260" t="s">
        <v>10740</v>
      </c>
      <c r="F8413" s="310">
        <v>1115</v>
      </c>
      <c r="G8413" s="311">
        <v>2004</v>
      </c>
      <c r="H8413" s="340" t="s">
        <v>3</v>
      </c>
      <c r="I8413" s="313" t="s">
        <v>10741</v>
      </c>
      <c r="J8413" s="314">
        <v>101.931</v>
      </c>
      <c r="K8413" s="314">
        <v>80.819000000000003</v>
      </c>
      <c r="L8413" s="350">
        <f t="shared" si="114"/>
        <v>21.111999999999995</v>
      </c>
      <c r="M8413" s="337"/>
    </row>
    <row r="8414" spans="1:13" s="71" customFormat="1" ht="26.4" customHeight="1">
      <c r="A8414" s="282">
        <v>213</v>
      </c>
      <c r="B8414" s="537"/>
      <c r="C8414" s="307" t="s">
        <v>28</v>
      </c>
      <c r="D8414" s="307" t="s">
        <v>10742</v>
      </c>
      <c r="E8414" s="260" t="s">
        <v>10743</v>
      </c>
      <c r="F8414" s="310">
        <v>112</v>
      </c>
      <c r="G8414" s="311">
        <v>1981</v>
      </c>
      <c r="H8414" s="340" t="s">
        <v>3</v>
      </c>
      <c r="I8414" s="313" t="s">
        <v>10744</v>
      </c>
      <c r="J8414" s="314">
        <v>3.702</v>
      </c>
      <c r="K8414" s="314">
        <v>2.9</v>
      </c>
      <c r="L8414" s="350">
        <f t="shared" si="114"/>
        <v>0.80200000000000005</v>
      </c>
      <c r="M8414" s="337"/>
    </row>
    <row r="8415" spans="1:13" s="71" customFormat="1" ht="26.4" customHeight="1">
      <c r="A8415" s="282">
        <v>214</v>
      </c>
      <c r="B8415" s="537"/>
      <c r="C8415" s="307" t="s">
        <v>28</v>
      </c>
      <c r="D8415" s="307" t="s">
        <v>10745</v>
      </c>
      <c r="E8415" s="260" t="s">
        <v>10746</v>
      </c>
      <c r="F8415" s="310">
        <v>113</v>
      </c>
      <c r="G8415" s="311">
        <v>1981</v>
      </c>
      <c r="H8415" s="340" t="s">
        <v>3</v>
      </c>
      <c r="I8415" s="313" t="s">
        <v>10747</v>
      </c>
      <c r="J8415" s="314">
        <v>4.298</v>
      </c>
      <c r="K8415" s="314">
        <v>3.7309999999999999</v>
      </c>
      <c r="L8415" s="350">
        <f t="shared" si="114"/>
        <v>0.56700000000000017</v>
      </c>
      <c r="M8415" s="337"/>
    </row>
    <row r="8416" spans="1:13" s="71" customFormat="1" ht="26.4" customHeight="1">
      <c r="A8416" s="282">
        <v>215</v>
      </c>
      <c r="B8416" s="537"/>
      <c r="C8416" s="307" t="s">
        <v>28</v>
      </c>
      <c r="D8416" s="307" t="s">
        <v>10748</v>
      </c>
      <c r="E8416" s="260" t="s">
        <v>10749</v>
      </c>
      <c r="F8416" s="310">
        <v>114</v>
      </c>
      <c r="G8416" s="311">
        <v>1981</v>
      </c>
      <c r="H8416" s="340" t="s">
        <v>3</v>
      </c>
      <c r="I8416" s="313" t="s">
        <v>10750</v>
      </c>
      <c r="J8416" s="314">
        <v>1.7509999999999999</v>
      </c>
      <c r="K8416" s="314">
        <v>1.6259999999999999</v>
      </c>
      <c r="L8416" s="350">
        <f t="shared" si="114"/>
        <v>0.125</v>
      </c>
      <c r="M8416" s="337"/>
    </row>
    <row r="8417" spans="1:13" s="71" customFormat="1" ht="26.4" customHeight="1">
      <c r="A8417" s="282">
        <v>216</v>
      </c>
      <c r="B8417" s="537"/>
      <c r="C8417" s="307" t="s">
        <v>28</v>
      </c>
      <c r="D8417" s="307" t="s">
        <v>10751</v>
      </c>
      <c r="E8417" s="260" t="s">
        <v>10752</v>
      </c>
      <c r="F8417" s="310">
        <v>115</v>
      </c>
      <c r="G8417" s="311">
        <v>1982</v>
      </c>
      <c r="H8417" s="340" t="s">
        <v>3</v>
      </c>
      <c r="I8417" s="313" t="s">
        <v>10753</v>
      </c>
      <c r="J8417" s="314">
        <v>1.5189999999999999</v>
      </c>
      <c r="K8417" s="314">
        <v>1.4350000000000001</v>
      </c>
      <c r="L8417" s="350">
        <f t="shared" si="114"/>
        <v>8.3999999999999853E-2</v>
      </c>
      <c r="M8417" s="337"/>
    </row>
    <row r="8418" spans="1:13" s="71" customFormat="1" ht="26.4" customHeight="1">
      <c r="A8418" s="282">
        <v>217</v>
      </c>
      <c r="B8418" s="537"/>
      <c r="C8418" s="307" t="s">
        <v>28</v>
      </c>
      <c r="D8418" s="307" t="s">
        <v>10754</v>
      </c>
      <c r="E8418" s="260" t="s">
        <v>10755</v>
      </c>
      <c r="F8418" s="310">
        <v>116</v>
      </c>
      <c r="G8418" s="311">
        <v>1982</v>
      </c>
      <c r="H8418" s="340" t="s">
        <v>3</v>
      </c>
      <c r="I8418" s="313" t="s">
        <v>10756</v>
      </c>
      <c r="J8418" s="314">
        <v>2.206</v>
      </c>
      <c r="K8418" s="314">
        <v>2.113</v>
      </c>
      <c r="L8418" s="350">
        <f t="shared" si="114"/>
        <v>9.2999999999999972E-2</v>
      </c>
      <c r="M8418" s="337"/>
    </row>
    <row r="8419" spans="1:13" s="71" customFormat="1" ht="26.4" customHeight="1">
      <c r="A8419" s="282">
        <v>218</v>
      </c>
      <c r="B8419" s="537"/>
      <c r="C8419" s="307" t="s">
        <v>28</v>
      </c>
      <c r="D8419" s="307" t="s">
        <v>10757</v>
      </c>
      <c r="E8419" s="260" t="s">
        <v>10758</v>
      </c>
      <c r="F8419" s="310">
        <v>117</v>
      </c>
      <c r="G8419" s="311">
        <v>1982</v>
      </c>
      <c r="H8419" s="340" t="s">
        <v>3</v>
      </c>
      <c r="I8419" s="313" t="s">
        <v>10759</v>
      </c>
      <c r="J8419" s="314">
        <v>1.4179999999999999</v>
      </c>
      <c r="K8419" s="314">
        <v>1.3759999999999999</v>
      </c>
      <c r="L8419" s="350">
        <f t="shared" si="114"/>
        <v>4.2000000000000037E-2</v>
      </c>
      <c r="M8419" s="337"/>
    </row>
    <row r="8420" spans="1:13" s="71" customFormat="1" ht="26.4" customHeight="1">
      <c r="A8420" s="282">
        <v>219</v>
      </c>
      <c r="B8420" s="537"/>
      <c r="C8420" s="307" t="s">
        <v>28</v>
      </c>
      <c r="D8420" s="307" t="s">
        <v>10760</v>
      </c>
      <c r="E8420" s="260" t="s">
        <v>10761</v>
      </c>
      <c r="F8420" s="310">
        <v>118</v>
      </c>
      <c r="G8420" s="311">
        <v>1982</v>
      </c>
      <c r="H8420" s="340" t="s">
        <v>3</v>
      </c>
      <c r="I8420" s="313" t="s">
        <v>10762</v>
      </c>
      <c r="J8420" s="314">
        <v>4.5979999999999999</v>
      </c>
      <c r="K8420" s="314">
        <v>3.4319999999999999</v>
      </c>
      <c r="L8420" s="350">
        <f t="shared" si="114"/>
        <v>1.1659999999999999</v>
      </c>
      <c r="M8420" s="337"/>
    </row>
    <row r="8421" spans="1:13" s="71" customFormat="1" ht="26.4" customHeight="1">
      <c r="A8421" s="282">
        <v>220</v>
      </c>
      <c r="B8421" s="537"/>
      <c r="C8421" s="307" t="s">
        <v>28</v>
      </c>
      <c r="D8421" s="307" t="s">
        <v>10763</v>
      </c>
      <c r="E8421" s="260" t="s">
        <v>10764</v>
      </c>
      <c r="F8421" s="310">
        <v>119</v>
      </c>
      <c r="G8421" s="311">
        <v>1982</v>
      </c>
      <c r="H8421" s="340" t="s">
        <v>3</v>
      </c>
      <c r="I8421" s="313" t="s">
        <v>10765</v>
      </c>
      <c r="J8421" s="314">
        <v>2.5</v>
      </c>
      <c r="K8421" s="314">
        <v>2.492</v>
      </c>
      <c r="L8421" s="350">
        <f t="shared" si="114"/>
        <v>8.0000000000000071E-3</v>
      </c>
      <c r="M8421" s="337"/>
    </row>
    <row r="8422" spans="1:13" s="71" customFormat="1" ht="26.4" customHeight="1">
      <c r="A8422" s="282">
        <v>221</v>
      </c>
      <c r="B8422" s="537"/>
      <c r="C8422" s="307" t="s">
        <v>28</v>
      </c>
      <c r="D8422" s="307" t="s">
        <v>10766</v>
      </c>
      <c r="E8422" s="260" t="s">
        <v>10767</v>
      </c>
      <c r="F8422" s="310">
        <v>120</v>
      </c>
      <c r="G8422" s="311">
        <v>1982</v>
      </c>
      <c r="H8422" s="340" t="s">
        <v>3</v>
      </c>
      <c r="I8422" s="313" t="s">
        <v>10728</v>
      </c>
      <c r="J8422" s="314">
        <v>6.6159999999999997</v>
      </c>
      <c r="K8422" s="314">
        <v>1.5629999999999999</v>
      </c>
      <c r="L8422" s="350">
        <f t="shared" si="114"/>
        <v>5.0529999999999999</v>
      </c>
      <c r="M8422" s="337"/>
    </row>
    <row r="8423" spans="1:13" s="71" customFormat="1" ht="26.4" customHeight="1">
      <c r="A8423" s="282">
        <v>222</v>
      </c>
      <c r="B8423" s="537"/>
      <c r="C8423" s="307" t="s">
        <v>28</v>
      </c>
      <c r="D8423" s="307" t="s">
        <v>10768</v>
      </c>
      <c r="E8423" s="260" t="s">
        <v>10769</v>
      </c>
      <c r="F8423" s="310">
        <v>121</v>
      </c>
      <c r="G8423" s="311">
        <v>1982</v>
      </c>
      <c r="H8423" s="340" t="s">
        <v>3</v>
      </c>
      <c r="I8423" s="313" t="s">
        <v>10770</v>
      </c>
      <c r="J8423" s="314">
        <v>2.2989999999999999</v>
      </c>
      <c r="K8423" s="314">
        <v>2.016</v>
      </c>
      <c r="L8423" s="350">
        <f t="shared" si="114"/>
        <v>0.28299999999999992</v>
      </c>
      <c r="M8423" s="337"/>
    </row>
    <row r="8424" spans="1:13" s="71" customFormat="1" ht="26.4" customHeight="1">
      <c r="A8424" s="282">
        <v>223</v>
      </c>
      <c r="B8424" s="537"/>
      <c r="C8424" s="307" t="s">
        <v>28</v>
      </c>
      <c r="D8424" s="307" t="s">
        <v>10771</v>
      </c>
      <c r="E8424" s="260" t="s">
        <v>10772</v>
      </c>
      <c r="F8424" s="310">
        <v>122</v>
      </c>
      <c r="G8424" s="311">
        <v>1982</v>
      </c>
      <c r="H8424" s="340" t="s">
        <v>3</v>
      </c>
      <c r="I8424" s="313" t="s">
        <v>10773</v>
      </c>
      <c r="J8424" s="314">
        <v>3.2160000000000002</v>
      </c>
      <c r="K8424" s="314">
        <v>2.4830000000000001</v>
      </c>
      <c r="L8424" s="350">
        <f t="shared" si="114"/>
        <v>0.7330000000000001</v>
      </c>
      <c r="M8424" s="337"/>
    </row>
    <row r="8425" spans="1:13" s="71" customFormat="1" ht="39.6">
      <c r="A8425" s="282">
        <v>224</v>
      </c>
      <c r="B8425" s="537"/>
      <c r="C8425" s="307" t="s">
        <v>28</v>
      </c>
      <c r="D8425" s="307" t="s">
        <v>10774</v>
      </c>
      <c r="E8425" s="260" t="s">
        <v>10775</v>
      </c>
      <c r="F8425" s="310">
        <v>123</v>
      </c>
      <c r="G8425" s="311">
        <v>1983</v>
      </c>
      <c r="H8425" s="340" t="s">
        <v>3</v>
      </c>
      <c r="I8425" s="313" t="s">
        <v>10776</v>
      </c>
      <c r="J8425" s="314">
        <v>26.843</v>
      </c>
      <c r="K8425" s="314">
        <v>20.946999999999999</v>
      </c>
      <c r="L8425" s="350">
        <f t="shared" si="114"/>
        <v>5.8960000000000008</v>
      </c>
      <c r="M8425" s="337"/>
    </row>
    <row r="8426" spans="1:13" s="71" customFormat="1" ht="26.4" customHeight="1">
      <c r="A8426" s="282">
        <v>225</v>
      </c>
      <c r="B8426" s="537"/>
      <c r="C8426" s="307" t="s">
        <v>28</v>
      </c>
      <c r="D8426" s="307" t="s">
        <v>10777</v>
      </c>
      <c r="E8426" s="260" t="s">
        <v>10778</v>
      </c>
      <c r="F8426" s="310">
        <v>124</v>
      </c>
      <c r="G8426" s="311">
        <v>1984</v>
      </c>
      <c r="H8426" s="340" t="s">
        <v>3</v>
      </c>
      <c r="I8426" s="313" t="s">
        <v>10779</v>
      </c>
      <c r="J8426" s="314">
        <v>2.5550000000000002</v>
      </c>
      <c r="K8426" s="314">
        <v>2.3780000000000001</v>
      </c>
      <c r="L8426" s="350">
        <f t="shared" si="114"/>
        <v>0.17700000000000005</v>
      </c>
      <c r="M8426" s="337"/>
    </row>
    <row r="8427" spans="1:13" s="71" customFormat="1" ht="26.4" customHeight="1">
      <c r="A8427" s="282">
        <v>226</v>
      </c>
      <c r="B8427" s="537"/>
      <c r="C8427" s="307" t="s">
        <v>28</v>
      </c>
      <c r="D8427" s="307" t="s">
        <v>10780</v>
      </c>
      <c r="E8427" s="260" t="s">
        <v>10781</v>
      </c>
      <c r="F8427" s="310">
        <v>125</v>
      </c>
      <c r="G8427" s="311">
        <v>1984</v>
      </c>
      <c r="H8427" s="340" t="s">
        <v>3</v>
      </c>
      <c r="I8427" s="313" t="s">
        <v>10708</v>
      </c>
      <c r="J8427" s="314">
        <v>8.6080000000000005</v>
      </c>
      <c r="K8427" s="314">
        <v>8.5079999999999991</v>
      </c>
      <c r="L8427" s="350">
        <f t="shared" si="114"/>
        <v>0.10000000000000142</v>
      </c>
      <c r="M8427" s="337"/>
    </row>
    <row r="8428" spans="1:13" s="71" customFormat="1" ht="26.4" customHeight="1">
      <c r="A8428" s="282">
        <v>227</v>
      </c>
      <c r="B8428" s="537"/>
      <c r="C8428" s="307" t="s">
        <v>28</v>
      </c>
      <c r="D8428" s="307" t="s">
        <v>10782</v>
      </c>
      <c r="E8428" s="260" t="s">
        <v>10783</v>
      </c>
      <c r="F8428" s="310">
        <v>126</v>
      </c>
      <c r="G8428" s="311">
        <v>1984</v>
      </c>
      <c r="H8428" s="340" t="s">
        <v>3</v>
      </c>
      <c r="I8428" s="313" t="s">
        <v>10784</v>
      </c>
      <c r="J8428" s="314">
        <v>5.5229999999999997</v>
      </c>
      <c r="K8428" s="314">
        <v>2.2989999999999999</v>
      </c>
      <c r="L8428" s="350">
        <f t="shared" si="114"/>
        <v>3.2239999999999998</v>
      </c>
      <c r="M8428" s="337"/>
    </row>
    <row r="8429" spans="1:13" s="71" customFormat="1" ht="26.4" customHeight="1">
      <c r="A8429" s="282">
        <v>228</v>
      </c>
      <c r="B8429" s="537"/>
      <c r="C8429" s="307" t="s">
        <v>28</v>
      </c>
      <c r="D8429" s="307" t="s">
        <v>10785</v>
      </c>
      <c r="E8429" s="260" t="s">
        <v>10786</v>
      </c>
      <c r="F8429" s="310">
        <v>127</v>
      </c>
      <c r="G8429" s="311">
        <v>1984</v>
      </c>
      <c r="H8429" s="340" t="s">
        <v>3</v>
      </c>
      <c r="I8429" s="313" t="s">
        <v>10787</v>
      </c>
      <c r="J8429" s="314">
        <v>3.7519999999999998</v>
      </c>
      <c r="K8429" s="314">
        <v>2.8969999999999998</v>
      </c>
      <c r="L8429" s="350">
        <f t="shared" si="114"/>
        <v>0.85499999999999998</v>
      </c>
      <c r="M8429" s="337"/>
    </row>
    <row r="8430" spans="1:13" s="71" customFormat="1" ht="26.4" customHeight="1">
      <c r="A8430" s="282">
        <v>229</v>
      </c>
      <c r="B8430" s="537"/>
      <c r="C8430" s="307" t="s">
        <v>28</v>
      </c>
      <c r="D8430" s="307" t="s">
        <v>10788</v>
      </c>
      <c r="E8430" s="260" t="s">
        <v>13209</v>
      </c>
      <c r="F8430" s="310">
        <v>128</v>
      </c>
      <c r="G8430" s="311">
        <v>1984</v>
      </c>
      <c r="H8430" s="340" t="s">
        <v>3</v>
      </c>
      <c r="I8430" s="313" t="s">
        <v>10789</v>
      </c>
      <c r="J8430" s="314">
        <v>3.35</v>
      </c>
      <c r="K8430" s="314">
        <v>2.5870000000000002</v>
      </c>
      <c r="L8430" s="350">
        <f t="shared" si="114"/>
        <v>0.7629999999999999</v>
      </c>
      <c r="M8430" s="337"/>
    </row>
    <row r="8431" spans="1:13" s="71" customFormat="1" ht="26.4" customHeight="1">
      <c r="A8431" s="282">
        <v>230</v>
      </c>
      <c r="B8431" s="537"/>
      <c r="C8431" s="307" t="s">
        <v>28</v>
      </c>
      <c r="D8431" s="307" t="s">
        <v>10790</v>
      </c>
      <c r="E8431" s="260" t="s">
        <v>10791</v>
      </c>
      <c r="F8431" s="310">
        <v>129</v>
      </c>
      <c r="G8431" s="311">
        <v>1984</v>
      </c>
      <c r="H8431" s="340" t="s">
        <v>3</v>
      </c>
      <c r="I8431" s="313" t="s">
        <v>10792</v>
      </c>
      <c r="J8431" s="314">
        <v>0.83</v>
      </c>
      <c r="K8431" s="314">
        <v>0.82199999999999995</v>
      </c>
      <c r="L8431" s="350">
        <f t="shared" si="114"/>
        <v>8.0000000000000071E-3</v>
      </c>
      <c r="M8431" s="337"/>
    </row>
    <row r="8432" spans="1:13" s="71" customFormat="1" ht="26.4" customHeight="1">
      <c r="A8432" s="282">
        <v>231</v>
      </c>
      <c r="B8432" s="537"/>
      <c r="C8432" s="307" t="s">
        <v>28</v>
      </c>
      <c r="D8432" s="307" t="s">
        <v>10793</v>
      </c>
      <c r="E8432" s="260" t="s">
        <v>10794</v>
      </c>
      <c r="F8432" s="310">
        <v>130</v>
      </c>
      <c r="G8432" s="311">
        <v>1984</v>
      </c>
      <c r="H8432" s="340" t="s">
        <v>3</v>
      </c>
      <c r="I8432" s="313" t="s">
        <v>10795</v>
      </c>
      <c r="J8432" s="314">
        <v>3.6640000000000001</v>
      </c>
      <c r="K8432" s="314">
        <v>1.681</v>
      </c>
      <c r="L8432" s="350">
        <f t="shared" si="114"/>
        <v>1.9830000000000001</v>
      </c>
      <c r="M8432" s="337"/>
    </row>
    <row r="8433" spans="1:13" s="71" customFormat="1" ht="26.4" customHeight="1">
      <c r="A8433" s="282">
        <v>232</v>
      </c>
      <c r="B8433" s="537"/>
      <c r="C8433" s="307" t="s">
        <v>28</v>
      </c>
      <c r="D8433" s="307" t="s">
        <v>10796</v>
      </c>
      <c r="E8433" s="260" t="s">
        <v>10797</v>
      </c>
      <c r="F8433" s="310">
        <v>131</v>
      </c>
      <c r="G8433" s="311">
        <v>1984</v>
      </c>
      <c r="H8433" s="340" t="s">
        <v>3</v>
      </c>
      <c r="I8433" s="313" t="s">
        <v>10770</v>
      </c>
      <c r="J8433" s="314">
        <v>1.9730000000000001</v>
      </c>
      <c r="K8433" s="314">
        <v>1.89</v>
      </c>
      <c r="L8433" s="350">
        <f t="shared" si="114"/>
        <v>8.3000000000000185E-2</v>
      </c>
      <c r="M8433" s="337"/>
    </row>
    <row r="8434" spans="1:13" s="71" customFormat="1" ht="26.4" customHeight="1">
      <c r="A8434" s="282">
        <v>233</v>
      </c>
      <c r="B8434" s="537"/>
      <c r="C8434" s="307" t="s">
        <v>28</v>
      </c>
      <c r="D8434" s="307" t="s">
        <v>10798</v>
      </c>
      <c r="E8434" s="260" t="s">
        <v>10799</v>
      </c>
      <c r="F8434" s="310">
        <v>132</v>
      </c>
      <c r="G8434" s="311">
        <v>1984</v>
      </c>
      <c r="H8434" s="340" t="s">
        <v>3</v>
      </c>
      <c r="I8434" s="313" t="s">
        <v>10800</v>
      </c>
      <c r="J8434" s="314">
        <v>1.042</v>
      </c>
      <c r="K8434" s="314">
        <v>0.97099999999999997</v>
      </c>
      <c r="L8434" s="350">
        <f t="shared" si="114"/>
        <v>7.1000000000000063E-2</v>
      </c>
      <c r="M8434" s="337"/>
    </row>
    <row r="8435" spans="1:13" s="71" customFormat="1" ht="26.4" customHeight="1">
      <c r="A8435" s="282">
        <v>234</v>
      </c>
      <c r="B8435" s="537"/>
      <c r="C8435" s="307" t="s">
        <v>28</v>
      </c>
      <c r="D8435" s="307" t="s">
        <v>10801</v>
      </c>
      <c r="E8435" s="260" t="s">
        <v>10802</v>
      </c>
      <c r="F8435" s="310">
        <v>133</v>
      </c>
      <c r="G8435" s="311">
        <v>1984</v>
      </c>
      <c r="H8435" s="340" t="s">
        <v>3</v>
      </c>
      <c r="I8435" s="313" t="s">
        <v>10803</v>
      </c>
      <c r="J8435" s="314">
        <v>1.3129999999999999</v>
      </c>
      <c r="K8435" s="314">
        <v>1.304</v>
      </c>
      <c r="L8435" s="350">
        <f t="shared" si="114"/>
        <v>8.999999999999897E-3</v>
      </c>
      <c r="M8435" s="337"/>
    </row>
    <row r="8436" spans="1:13" s="71" customFormat="1" ht="26.4" customHeight="1">
      <c r="A8436" s="282">
        <v>235</v>
      </c>
      <c r="B8436" s="537"/>
      <c r="C8436" s="307" t="s">
        <v>28</v>
      </c>
      <c r="D8436" s="307" t="s">
        <v>10804</v>
      </c>
      <c r="E8436" s="260" t="s">
        <v>10805</v>
      </c>
      <c r="F8436" s="310">
        <v>134</v>
      </c>
      <c r="G8436" s="311">
        <v>1984</v>
      </c>
      <c r="H8436" s="340" t="s">
        <v>3</v>
      </c>
      <c r="I8436" s="313" t="s">
        <v>10806</v>
      </c>
      <c r="J8436" s="314">
        <v>1.59</v>
      </c>
      <c r="K8436" s="314">
        <v>1.5820000000000001</v>
      </c>
      <c r="L8436" s="350">
        <f t="shared" si="114"/>
        <v>8.0000000000000071E-3</v>
      </c>
      <c r="M8436" s="337"/>
    </row>
    <row r="8437" spans="1:13" s="71" customFormat="1" ht="26.4" customHeight="1">
      <c r="A8437" s="282">
        <v>236</v>
      </c>
      <c r="B8437" s="537"/>
      <c r="C8437" s="307" t="s">
        <v>28</v>
      </c>
      <c r="D8437" s="307" t="s">
        <v>10807</v>
      </c>
      <c r="E8437" s="260" t="s">
        <v>10808</v>
      </c>
      <c r="F8437" s="310">
        <v>135</v>
      </c>
      <c r="G8437" s="311">
        <v>1984</v>
      </c>
      <c r="H8437" s="340" t="s">
        <v>3</v>
      </c>
      <c r="I8437" s="313" t="s">
        <v>10809</v>
      </c>
      <c r="J8437" s="314">
        <v>5.8920000000000003</v>
      </c>
      <c r="K8437" s="314">
        <v>2.6680000000000001</v>
      </c>
      <c r="L8437" s="350">
        <f t="shared" si="114"/>
        <v>3.2240000000000002</v>
      </c>
      <c r="M8437" s="337"/>
    </row>
    <row r="8438" spans="1:13" s="71" customFormat="1" ht="26.4" customHeight="1">
      <c r="A8438" s="282">
        <v>237</v>
      </c>
      <c r="B8438" s="537"/>
      <c r="C8438" s="307" t="s">
        <v>28</v>
      </c>
      <c r="D8438" s="307" t="s">
        <v>10810</v>
      </c>
      <c r="E8438" s="260" t="s">
        <v>10811</v>
      </c>
      <c r="F8438" s="310">
        <v>136</v>
      </c>
      <c r="G8438" s="311">
        <v>1984</v>
      </c>
      <c r="H8438" s="340" t="s">
        <v>3</v>
      </c>
      <c r="I8438" s="313" t="s">
        <v>10812</v>
      </c>
      <c r="J8438" s="314">
        <v>2.8620000000000001</v>
      </c>
      <c r="K8438" s="314">
        <v>2.4369999999999998</v>
      </c>
      <c r="L8438" s="350">
        <f t="shared" si="114"/>
        <v>0.42500000000000027</v>
      </c>
      <c r="M8438" s="337"/>
    </row>
    <row r="8439" spans="1:13" s="71" customFormat="1" ht="26.4" customHeight="1">
      <c r="A8439" s="282">
        <v>238</v>
      </c>
      <c r="B8439" s="537"/>
      <c r="C8439" s="307" t="s">
        <v>28</v>
      </c>
      <c r="D8439" s="307" t="s">
        <v>10813</v>
      </c>
      <c r="E8439" s="260" t="s">
        <v>10814</v>
      </c>
      <c r="F8439" s="310">
        <v>137</v>
      </c>
      <c r="G8439" s="311">
        <v>1984</v>
      </c>
      <c r="H8439" s="340" t="s">
        <v>3</v>
      </c>
      <c r="I8439" s="313" t="s">
        <v>10815</v>
      </c>
      <c r="J8439" s="314">
        <v>3.35</v>
      </c>
      <c r="K8439" s="314">
        <v>2.5680000000000001</v>
      </c>
      <c r="L8439" s="350">
        <f t="shared" si="114"/>
        <v>0.78200000000000003</v>
      </c>
      <c r="M8439" s="337"/>
    </row>
    <row r="8440" spans="1:13" s="71" customFormat="1" ht="26.4" customHeight="1">
      <c r="A8440" s="282">
        <v>239</v>
      </c>
      <c r="B8440" s="537"/>
      <c r="C8440" s="307" t="s">
        <v>28</v>
      </c>
      <c r="D8440" s="307" t="s">
        <v>10816</v>
      </c>
      <c r="E8440" s="260" t="s">
        <v>10817</v>
      </c>
      <c r="F8440" s="310">
        <v>138</v>
      </c>
      <c r="G8440" s="311">
        <v>1985</v>
      </c>
      <c r="H8440" s="340" t="s">
        <v>3</v>
      </c>
      <c r="I8440" s="313" t="s">
        <v>10770</v>
      </c>
      <c r="J8440" s="314">
        <v>7.17</v>
      </c>
      <c r="K8440" s="314">
        <v>3.9390000000000001</v>
      </c>
      <c r="L8440" s="350">
        <f t="shared" si="114"/>
        <v>3.2309999999999999</v>
      </c>
      <c r="M8440" s="337"/>
    </row>
    <row r="8441" spans="1:13" s="71" customFormat="1" ht="26.4" customHeight="1">
      <c r="A8441" s="282">
        <v>240</v>
      </c>
      <c r="B8441" s="537"/>
      <c r="C8441" s="307" t="s">
        <v>28</v>
      </c>
      <c r="D8441" s="307" t="s">
        <v>10818</v>
      </c>
      <c r="E8441" s="260" t="s">
        <v>10819</v>
      </c>
      <c r="F8441" s="310">
        <v>139</v>
      </c>
      <c r="G8441" s="311">
        <v>1985</v>
      </c>
      <c r="H8441" s="340" t="s">
        <v>3</v>
      </c>
      <c r="I8441" s="313" t="s">
        <v>10820</v>
      </c>
      <c r="J8441" s="314">
        <v>6.2270000000000003</v>
      </c>
      <c r="K8441" s="314">
        <v>3</v>
      </c>
      <c r="L8441" s="350">
        <f t="shared" si="114"/>
        <v>3.2270000000000003</v>
      </c>
      <c r="M8441" s="337"/>
    </row>
    <row r="8442" spans="1:13" s="71" customFormat="1" ht="26.4" customHeight="1">
      <c r="A8442" s="282">
        <v>241</v>
      </c>
      <c r="B8442" s="537"/>
      <c r="C8442" s="307" t="s">
        <v>28</v>
      </c>
      <c r="D8442" s="307" t="s">
        <v>10821</v>
      </c>
      <c r="E8442" s="260" t="s">
        <v>10822</v>
      </c>
      <c r="F8442" s="310">
        <v>140</v>
      </c>
      <c r="G8442" s="311">
        <v>1985</v>
      </c>
      <c r="H8442" s="340" t="s">
        <v>3</v>
      </c>
      <c r="I8442" s="313" t="s">
        <v>10823</v>
      </c>
      <c r="J8442" s="314">
        <v>5.7290000000000001</v>
      </c>
      <c r="K8442" s="314">
        <v>4.3819999999999997</v>
      </c>
      <c r="L8442" s="350">
        <f t="shared" si="114"/>
        <v>1.3470000000000004</v>
      </c>
      <c r="M8442" s="337"/>
    </row>
    <row r="8443" spans="1:13" s="71" customFormat="1" ht="26.4" customHeight="1">
      <c r="A8443" s="282">
        <v>242</v>
      </c>
      <c r="B8443" s="537"/>
      <c r="C8443" s="307" t="s">
        <v>28</v>
      </c>
      <c r="D8443" s="307" t="s">
        <v>10824</v>
      </c>
      <c r="E8443" s="260" t="s">
        <v>10825</v>
      </c>
      <c r="F8443" s="310">
        <v>141</v>
      </c>
      <c r="G8443" s="311">
        <v>1986</v>
      </c>
      <c r="H8443" s="340" t="s">
        <v>3</v>
      </c>
      <c r="I8443" s="313" t="s">
        <v>10753</v>
      </c>
      <c r="J8443" s="314">
        <v>3.3719999999999999</v>
      </c>
      <c r="K8443" s="314">
        <v>3.31</v>
      </c>
      <c r="L8443" s="350">
        <f t="shared" si="114"/>
        <v>6.1999999999999833E-2</v>
      </c>
      <c r="M8443" s="337"/>
    </row>
    <row r="8444" spans="1:13" s="71" customFormat="1" ht="26.4" customHeight="1">
      <c r="A8444" s="282">
        <v>243</v>
      </c>
      <c r="B8444" s="537"/>
      <c r="C8444" s="307" t="s">
        <v>28</v>
      </c>
      <c r="D8444" s="307" t="s">
        <v>10826</v>
      </c>
      <c r="E8444" s="260" t="s">
        <v>10827</v>
      </c>
      <c r="F8444" s="310">
        <v>142</v>
      </c>
      <c r="G8444" s="311">
        <v>1986</v>
      </c>
      <c r="H8444" s="340" t="s">
        <v>3</v>
      </c>
      <c r="I8444" s="313" t="s">
        <v>10828</v>
      </c>
      <c r="J8444" s="314">
        <v>7.3029999999999999</v>
      </c>
      <c r="K8444" s="314">
        <v>5.109</v>
      </c>
      <c r="L8444" s="350">
        <f t="shared" si="114"/>
        <v>2.194</v>
      </c>
      <c r="M8444" s="337"/>
    </row>
    <row r="8445" spans="1:13" s="71" customFormat="1" ht="26.4" customHeight="1">
      <c r="A8445" s="282">
        <v>244</v>
      </c>
      <c r="B8445" s="537"/>
      <c r="C8445" s="307" t="s">
        <v>28</v>
      </c>
      <c r="D8445" s="307" t="s">
        <v>10829</v>
      </c>
      <c r="E8445" s="260" t="s">
        <v>13210</v>
      </c>
      <c r="F8445" s="310">
        <v>143</v>
      </c>
      <c r="G8445" s="311">
        <v>1986</v>
      </c>
      <c r="H8445" s="340" t="s">
        <v>3</v>
      </c>
      <c r="I8445" s="313" t="s">
        <v>10830</v>
      </c>
      <c r="J8445" s="314">
        <v>5.6289999999999996</v>
      </c>
      <c r="K8445" s="314">
        <v>3.512</v>
      </c>
      <c r="L8445" s="350">
        <f t="shared" si="114"/>
        <v>2.1169999999999995</v>
      </c>
      <c r="M8445" s="337"/>
    </row>
    <row r="8446" spans="1:13" s="71" customFormat="1" ht="26.4" customHeight="1">
      <c r="A8446" s="282">
        <v>245</v>
      </c>
      <c r="B8446" s="537"/>
      <c r="C8446" s="307" t="s">
        <v>28</v>
      </c>
      <c r="D8446" s="307" t="s">
        <v>10831</v>
      </c>
      <c r="E8446" s="260" t="s">
        <v>10832</v>
      </c>
      <c r="F8446" s="310">
        <v>144</v>
      </c>
      <c r="G8446" s="311">
        <v>1987</v>
      </c>
      <c r="H8446" s="340" t="s">
        <v>3</v>
      </c>
      <c r="I8446" s="313" t="s">
        <v>10833</v>
      </c>
      <c r="J8446" s="314">
        <v>4.5209999999999999</v>
      </c>
      <c r="K8446" s="314">
        <v>3.02</v>
      </c>
      <c r="L8446" s="350">
        <f t="shared" si="114"/>
        <v>1.5009999999999999</v>
      </c>
      <c r="M8446" s="337"/>
    </row>
    <row r="8447" spans="1:13" s="71" customFormat="1" ht="26.4" customHeight="1">
      <c r="A8447" s="282">
        <v>246</v>
      </c>
      <c r="B8447" s="537"/>
      <c r="C8447" s="307" t="s">
        <v>28</v>
      </c>
      <c r="D8447" s="307" t="s">
        <v>10834</v>
      </c>
      <c r="E8447" s="260" t="s">
        <v>10835</v>
      </c>
      <c r="F8447" s="310">
        <v>145</v>
      </c>
      <c r="G8447" s="311">
        <v>1987</v>
      </c>
      <c r="H8447" s="340" t="s">
        <v>3</v>
      </c>
      <c r="I8447" s="313" t="s">
        <v>10836</v>
      </c>
      <c r="J8447" s="314">
        <v>1.726</v>
      </c>
      <c r="K8447" s="314">
        <v>1.718</v>
      </c>
      <c r="L8447" s="350">
        <f t="shared" si="114"/>
        <v>8.0000000000000071E-3</v>
      </c>
      <c r="M8447" s="337"/>
    </row>
    <row r="8448" spans="1:13" s="71" customFormat="1" ht="26.4" customHeight="1">
      <c r="A8448" s="282">
        <v>247</v>
      </c>
      <c r="B8448" s="537"/>
      <c r="C8448" s="307" t="s">
        <v>28</v>
      </c>
      <c r="D8448" s="307" t="s">
        <v>10837</v>
      </c>
      <c r="E8448" s="260" t="s">
        <v>10838</v>
      </c>
      <c r="F8448" s="310">
        <v>146</v>
      </c>
      <c r="G8448" s="311">
        <v>1987</v>
      </c>
      <c r="H8448" s="340" t="s">
        <v>3</v>
      </c>
      <c r="I8448" s="313" t="s">
        <v>10836</v>
      </c>
      <c r="J8448" s="314">
        <v>0.77200000000000002</v>
      </c>
      <c r="K8448" s="314">
        <v>0.70099999999999996</v>
      </c>
      <c r="L8448" s="350">
        <f t="shared" si="114"/>
        <v>7.1000000000000063E-2</v>
      </c>
      <c r="M8448" s="337"/>
    </row>
    <row r="8449" spans="1:13" s="71" customFormat="1" ht="26.4" customHeight="1">
      <c r="A8449" s="282">
        <v>248</v>
      </c>
      <c r="B8449" s="537"/>
      <c r="C8449" s="307" t="s">
        <v>28</v>
      </c>
      <c r="D8449" s="307" t="s">
        <v>10839</v>
      </c>
      <c r="E8449" s="260" t="s">
        <v>13211</v>
      </c>
      <c r="F8449" s="310">
        <v>147</v>
      </c>
      <c r="G8449" s="311">
        <v>1987</v>
      </c>
      <c r="H8449" s="340" t="s">
        <v>3</v>
      </c>
      <c r="I8449" s="313" t="s">
        <v>10840</v>
      </c>
      <c r="J8449" s="314">
        <v>1.6339999999999999</v>
      </c>
      <c r="K8449" s="314">
        <v>1.3919999999999999</v>
      </c>
      <c r="L8449" s="350">
        <f t="shared" si="114"/>
        <v>0.24199999999999999</v>
      </c>
      <c r="M8449" s="337"/>
    </row>
    <row r="8450" spans="1:13" s="71" customFormat="1" ht="26.4" customHeight="1">
      <c r="A8450" s="282">
        <v>249</v>
      </c>
      <c r="B8450" s="537"/>
      <c r="C8450" s="307" t="s">
        <v>28</v>
      </c>
      <c r="D8450" s="307" t="s">
        <v>10841</v>
      </c>
      <c r="E8450" s="260" t="s">
        <v>10842</v>
      </c>
      <c r="F8450" s="310">
        <v>148</v>
      </c>
      <c r="G8450" s="311">
        <v>1987</v>
      </c>
      <c r="H8450" s="340" t="s">
        <v>3</v>
      </c>
      <c r="I8450" s="313" t="s">
        <v>10770</v>
      </c>
      <c r="J8450" s="314">
        <v>3.69</v>
      </c>
      <c r="K8450" s="314">
        <v>2.7749999999999999</v>
      </c>
      <c r="L8450" s="350">
        <f t="shared" si="114"/>
        <v>0.91500000000000004</v>
      </c>
      <c r="M8450" s="337"/>
    </row>
    <row r="8451" spans="1:13" s="71" customFormat="1" ht="26.4" customHeight="1">
      <c r="A8451" s="282">
        <v>250</v>
      </c>
      <c r="B8451" s="537"/>
      <c r="C8451" s="307" t="s">
        <v>28</v>
      </c>
      <c r="D8451" s="307" t="s">
        <v>10843</v>
      </c>
      <c r="E8451" s="260" t="s">
        <v>13212</v>
      </c>
      <c r="F8451" s="310">
        <v>149</v>
      </c>
      <c r="G8451" s="311">
        <v>1987</v>
      </c>
      <c r="H8451" s="340" t="s">
        <v>3</v>
      </c>
      <c r="I8451" s="313" t="s">
        <v>10844</v>
      </c>
      <c r="J8451" s="314">
        <v>1.756</v>
      </c>
      <c r="K8451" s="314">
        <v>1.64</v>
      </c>
      <c r="L8451" s="350">
        <f t="shared" si="114"/>
        <v>0.1160000000000001</v>
      </c>
      <c r="M8451" s="337"/>
    </row>
    <row r="8452" spans="1:13" s="71" customFormat="1" ht="26.4" customHeight="1">
      <c r="A8452" s="282">
        <v>251</v>
      </c>
      <c r="B8452" s="537"/>
      <c r="C8452" s="307" t="s">
        <v>28</v>
      </c>
      <c r="D8452" s="307" t="s">
        <v>10845</v>
      </c>
      <c r="E8452" s="260" t="s">
        <v>10846</v>
      </c>
      <c r="F8452" s="310">
        <v>150</v>
      </c>
      <c r="G8452" s="311">
        <v>1987</v>
      </c>
      <c r="H8452" s="340" t="s">
        <v>3</v>
      </c>
      <c r="I8452" s="313" t="s">
        <v>10847</v>
      </c>
      <c r="J8452" s="314">
        <v>6.7469999999999999</v>
      </c>
      <c r="K8452" s="314">
        <v>1.4339999999999999</v>
      </c>
      <c r="L8452" s="350">
        <f t="shared" si="114"/>
        <v>5.3129999999999997</v>
      </c>
      <c r="M8452" s="337"/>
    </row>
    <row r="8453" spans="1:13" s="71" customFormat="1" ht="26.4" customHeight="1">
      <c r="A8453" s="282">
        <v>252</v>
      </c>
      <c r="B8453" s="537"/>
      <c r="C8453" s="307" t="s">
        <v>28</v>
      </c>
      <c r="D8453" s="307" t="s">
        <v>10848</v>
      </c>
      <c r="E8453" s="260" t="s">
        <v>10849</v>
      </c>
      <c r="F8453" s="310">
        <v>151</v>
      </c>
      <c r="G8453" s="311">
        <v>1987</v>
      </c>
      <c r="H8453" s="340" t="s">
        <v>3</v>
      </c>
      <c r="I8453" s="313" t="s">
        <v>10850</v>
      </c>
      <c r="J8453" s="314">
        <v>2.5190000000000001</v>
      </c>
      <c r="K8453" s="314">
        <v>2.2360000000000002</v>
      </c>
      <c r="L8453" s="350">
        <f t="shared" si="114"/>
        <v>0.28299999999999992</v>
      </c>
      <c r="M8453" s="337"/>
    </row>
    <row r="8454" spans="1:13" s="71" customFormat="1" ht="26.4" customHeight="1">
      <c r="A8454" s="282">
        <v>253</v>
      </c>
      <c r="B8454" s="537"/>
      <c r="C8454" s="307" t="s">
        <v>28</v>
      </c>
      <c r="D8454" s="307" t="s">
        <v>10851</v>
      </c>
      <c r="E8454" s="260" t="s">
        <v>10852</v>
      </c>
      <c r="F8454" s="310">
        <v>152</v>
      </c>
      <c r="G8454" s="311">
        <v>1987</v>
      </c>
      <c r="H8454" s="340" t="s">
        <v>3</v>
      </c>
      <c r="I8454" s="313" t="s">
        <v>10853</v>
      </c>
      <c r="J8454" s="314">
        <v>1.538</v>
      </c>
      <c r="K8454" s="314">
        <v>1.476</v>
      </c>
      <c r="L8454" s="350">
        <f t="shared" si="114"/>
        <v>6.2000000000000055E-2</v>
      </c>
      <c r="M8454" s="337"/>
    </row>
    <row r="8455" spans="1:13" s="71" customFormat="1" ht="26.4" customHeight="1">
      <c r="A8455" s="282">
        <v>254</v>
      </c>
      <c r="B8455" s="537"/>
      <c r="C8455" s="307" t="s">
        <v>28</v>
      </c>
      <c r="D8455" s="307" t="s">
        <v>10854</v>
      </c>
      <c r="E8455" s="260" t="s">
        <v>10855</v>
      </c>
      <c r="F8455" s="310">
        <v>153</v>
      </c>
      <c r="G8455" s="311">
        <v>1987</v>
      </c>
      <c r="H8455" s="340" t="s">
        <v>3</v>
      </c>
      <c r="I8455" s="313" t="s">
        <v>10856</v>
      </c>
      <c r="J8455" s="314">
        <v>7.359</v>
      </c>
      <c r="K8455" s="314">
        <v>5.44</v>
      </c>
      <c r="L8455" s="350">
        <f t="shared" si="114"/>
        <v>1.9189999999999996</v>
      </c>
      <c r="M8455" s="337"/>
    </row>
    <row r="8456" spans="1:13" s="71" customFormat="1" ht="26.4" customHeight="1">
      <c r="A8456" s="282">
        <v>255</v>
      </c>
      <c r="B8456" s="537"/>
      <c r="C8456" s="307" t="s">
        <v>28</v>
      </c>
      <c r="D8456" s="307" t="s">
        <v>10857</v>
      </c>
      <c r="E8456" s="260" t="s">
        <v>10858</v>
      </c>
      <c r="F8456" s="310">
        <v>154</v>
      </c>
      <c r="G8456" s="311">
        <v>1988</v>
      </c>
      <c r="H8456" s="340" t="s">
        <v>3</v>
      </c>
      <c r="I8456" s="313" t="s">
        <v>10859</v>
      </c>
      <c r="J8456" s="314">
        <v>5.0590000000000002</v>
      </c>
      <c r="K8456" s="314">
        <v>3.7519999999999998</v>
      </c>
      <c r="L8456" s="350">
        <f t="shared" si="114"/>
        <v>1.3070000000000004</v>
      </c>
      <c r="M8456" s="337"/>
    </row>
    <row r="8457" spans="1:13" s="71" customFormat="1" ht="39.6">
      <c r="A8457" s="282">
        <v>256</v>
      </c>
      <c r="B8457" s="537"/>
      <c r="C8457" s="307" t="s">
        <v>28</v>
      </c>
      <c r="D8457" s="307" t="s">
        <v>10860</v>
      </c>
      <c r="E8457" s="260" t="s">
        <v>10861</v>
      </c>
      <c r="F8457" s="310">
        <v>155</v>
      </c>
      <c r="G8457" s="311">
        <v>1988</v>
      </c>
      <c r="H8457" s="340" t="s">
        <v>3</v>
      </c>
      <c r="I8457" s="313" t="s">
        <v>10862</v>
      </c>
      <c r="J8457" s="314">
        <v>16.515999999999998</v>
      </c>
      <c r="K8457" s="314">
        <v>12.138999999999999</v>
      </c>
      <c r="L8457" s="350">
        <f t="shared" si="114"/>
        <v>4.3769999999999989</v>
      </c>
      <c r="M8457" s="337"/>
    </row>
    <row r="8458" spans="1:13" s="71" customFormat="1" ht="26.4" customHeight="1">
      <c r="A8458" s="282">
        <v>257</v>
      </c>
      <c r="B8458" s="537"/>
      <c r="C8458" s="307" t="s">
        <v>28</v>
      </c>
      <c r="D8458" s="307" t="s">
        <v>10863</v>
      </c>
      <c r="E8458" s="260" t="s">
        <v>10864</v>
      </c>
      <c r="F8458" s="310">
        <v>156</v>
      </c>
      <c r="G8458" s="311">
        <v>1989</v>
      </c>
      <c r="H8458" s="340" t="s">
        <v>3</v>
      </c>
      <c r="I8458" s="313" t="s">
        <v>10865</v>
      </c>
      <c r="J8458" s="314">
        <v>5.36</v>
      </c>
      <c r="K8458" s="314">
        <v>3.9289999999999998</v>
      </c>
      <c r="L8458" s="350">
        <f t="shared" ref="L8458:L8521" si="115">J8458-K8458</f>
        <v>1.4310000000000005</v>
      </c>
      <c r="M8458" s="337"/>
    </row>
    <row r="8459" spans="1:13" s="71" customFormat="1" ht="26.4" customHeight="1">
      <c r="A8459" s="282">
        <v>258</v>
      </c>
      <c r="B8459" s="537"/>
      <c r="C8459" s="307" t="s">
        <v>28</v>
      </c>
      <c r="D8459" s="307" t="s">
        <v>10866</v>
      </c>
      <c r="E8459" s="260" t="s">
        <v>10867</v>
      </c>
      <c r="F8459" s="310">
        <v>157</v>
      </c>
      <c r="G8459" s="311">
        <v>1989</v>
      </c>
      <c r="H8459" s="340" t="s">
        <v>3</v>
      </c>
      <c r="I8459" s="313" t="s">
        <v>10868</v>
      </c>
      <c r="J8459" s="314">
        <v>1.647</v>
      </c>
      <c r="K8459" s="314">
        <v>1.58</v>
      </c>
      <c r="L8459" s="350">
        <f t="shared" si="115"/>
        <v>6.6999999999999948E-2</v>
      </c>
      <c r="M8459" s="337"/>
    </row>
    <row r="8460" spans="1:13" s="71" customFormat="1" ht="26.4" customHeight="1">
      <c r="A8460" s="282">
        <v>259</v>
      </c>
      <c r="B8460" s="537"/>
      <c r="C8460" s="307" t="s">
        <v>28</v>
      </c>
      <c r="D8460" s="307" t="s">
        <v>10869</v>
      </c>
      <c r="E8460" s="260" t="s">
        <v>10870</v>
      </c>
      <c r="F8460" s="310">
        <v>158</v>
      </c>
      <c r="G8460" s="311">
        <v>1989</v>
      </c>
      <c r="H8460" s="340" t="s">
        <v>3</v>
      </c>
      <c r="I8460" s="313" t="s">
        <v>10871</v>
      </c>
      <c r="J8460" s="314">
        <v>3.7410000000000001</v>
      </c>
      <c r="K8460" s="314">
        <v>2.7429999999999999</v>
      </c>
      <c r="L8460" s="350">
        <f t="shared" si="115"/>
        <v>0.99800000000000022</v>
      </c>
      <c r="M8460" s="337"/>
    </row>
    <row r="8461" spans="1:13" s="71" customFormat="1" ht="26.4" customHeight="1">
      <c r="A8461" s="282">
        <v>260</v>
      </c>
      <c r="B8461" s="537"/>
      <c r="C8461" s="307" t="s">
        <v>28</v>
      </c>
      <c r="D8461" s="307" t="s">
        <v>10872</v>
      </c>
      <c r="E8461" s="260" t="s">
        <v>10873</v>
      </c>
      <c r="F8461" s="310">
        <v>159</v>
      </c>
      <c r="G8461" s="311">
        <v>1989</v>
      </c>
      <c r="H8461" s="340" t="s">
        <v>3</v>
      </c>
      <c r="I8461" s="313" t="s">
        <v>10874</v>
      </c>
      <c r="J8461" s="314">
        <v>7.2030000000000003</v>
      </c>
      <c r="K8461" s="314">
        <v>5.258</v>
      </c>
      <c r="L8461" s="350">
        <f t="shared" si="115"/>
        <v>1.9450000000000003</v>
      </c>
      <c r="M8461" s="337"/>
    </row>
    <row r="8462" spans="1:13" s="71" customFormat="1" ht="26.4" customHeight="1">
      <c r="A8462" s="282">
        <v>261</v>
      </c>
      <c r="B8462" s="537"/>
      <c r="C8462" s="307" t="s">
        <v>28</v>
      </c>
      <c r="D8462" s="307" t="s">
        <v>10875</v>
      </c>
      <c r="E8462" s="260" t="s">
        <v>10876</v>
      </c>
      <c r="F8462" s="310">
        <v>160</v>
      </c>
      <c r="G8462" s="311">
        <v>1990</v>
      </c>
      <c r="H8462" s="340" t="s">
        <v>3</v>
      </c>
      <c r="I8462" s="313" t="s">
        <v>10877</v>
      </c>
      <c r="J8462" s="314">
        <v>4.835</v>
      </c>
      <c r="K8462" s="314">
        <v>3.512</v>
      </c>
      <c r="L8462" s="350">
        <f t="shared" si="115"/>
        <v>1.323</v>
      </c>
      <c r="M8462" s="337"/>
    </row>
    <row r="8463" spans="1:13" s="71" customFormat="1" ht="26.4" customHeight="1">
      <c r="A8463" s="282">
        <v>262</v>
      </c>
      <c r="B8463" s="537"/>
      <c r="C8463" s="307" t="s">
        <v>28</v>
      </c>
      <c r="D8463" s="307" t="s">
        <v>10878</v>
      </c>
      <c r="E8463" s="260" t="s">
        <v>10879</v>
      </c>
      <c r="F8463" s="310">
        <v>161</v>
      </c>
      <c r="G8463" s="311">
        <v>1990</v>
      </c>
      <c r="H8463" s="340" t="s">
        <v>3</v>
      </c>
      <c r="I8463" s="313" t="s">
        <v>10880</v>
      </c>
      <c r="J8463" s="314">
        <v>3.4510000000000001</v>
      </c>
      <c r="K8463" s="314">
        <v>2.5070000000000001</v>
      </c>
      <c r="L8463" s="350">
        <f t="shared" si="115"/>
        <v>0.94399999999999995</v>
      </c>
      <c r="M8463" s="337"/>
    </row>
    <row r="8464" spans="1:13" s="71" customFormat="1" ht="26.4" customHeight="1">
      <c r="A8464" s="282">
        <v>263</v>
      </c>
      <c r="B8464" s="537"/>
      <c r="C8464" s="307" t="s">
        <v>28</v>
      </c>
      <c r="D8464" s="307" t="s">
        <v>10881</v>
      </c>
      <c r="E8464" s="260" t="s">
        <v>10882</v>
      </c>
      <c r="F8464" s="310">
        <v>162</v>
      </c>
      <c r="G8464" s="311">
        <v>1990</v>
      </c>
      <c r="H8464" s="340" t="s">
        <v>3</v>
      </c>
      <c r="I8464" s="313" t="s">
        <v>10883</v>
      </c>
      <c r="J8464" s="314">
        <v>3.73</v>
      </c>
      <c r="K8464" s="314">
        <v>2.7069999999999999</v>
      </c>
      <c r="L8464" s="350">
        <f t="shared" si="115"/>
        <v>1.0230000000000001</v>
      </c>
      <c r="M8464" s="337"/>
    </row>
    <row r="8465" spans="1:13" s="71" customFormat="1" ht="26.4" customHeight="1">
      <c r="A8465" s="282">
        <v>264</v>
      </c>
      <c r="B8465" s="537"/>
      <c r="C8465" s="307" t="s">
        <v>28</v>
      </c>
      <c r="D8465" s="307" t="s">
        <v>10884</v>
      </c>
      <c r="E8465" s="260" t="s">
        <v>10885</v>
      </c>
      <c r="F8465" s="310">
        <v>163</v>
      </c>
      <c r="G8465" s="311">
        <v>1991</v>
      </c>
      <c r="H8465" s="340" t="s">
        <v>3</v>
      </c>
      <c r="I8465" s="313" t="s">
        <v>10886</v>
      </c>
      <c r="J8465" s="314">
        <v>3.339</v>
      </c>
      <c r="K8465" s="314">
        <v>2.399</v>
      </c>
      <c r="L8465" s="350">
        <f t="shared" si="115"/>
        <v>0.94</v>
      </c>
      <c r="M8465" s="337"/>
    </row>
    <row r="8466" spans="1:13" s="71" customFormat="1" ht="26.4" customHeight="1">
      <c r="A8466" s="282">
        <v>265</v>
      </c>
      <c r="B8466" s="537"/>
      <c r="C8466" s="307" t="s">
        <v>28</v>
      </c>
      <c r="D8466" s="307" t="s">
        <v>10887</v>
      </c>
      <c r="E8466" s="260" t="s">
        <v>10888</v>
      </c>
      <c r="F8466" s="310">
        <v>164</v>
      </c>
      <c r="G8466" s="311">
        <v>1991</v>
      </c>
      <c r="H8466" s="340" t="s">
        <v>3</v>
      </c>
      <c r="I8466" s="313" t="s">
        <v>10889</v>
      </c>
      <c r="J8466" s="314">
        <v>10.654</v>
      </c>
      <c r="K8466" s="314">
        <v>7.6550000000000002</v>
      </c>
      <c r="L8466" s="350">
        <f t="shared" si="115"/>
        <v>2.9989999999999997</v>
      </c>
      <c r="M8466" s="337"/>
    </row>
    <row r="8467" spans="1:13" s="71" customFormat="1" ht="26.4" customHeight="1">
      <c r="A8467" s="282">
        <v>266</v>
      </c>
      <c r="B8467" s="537"/>
      <c r="C8467" s="307" t="s">
        <v>28</v>
      </c>
      <c r="D8467" s="307" t="s">
        <v>10890</v>
      </c>
      <c r="E8467" s="260" t="s">
        <v>10891</v>
      </c>
      <c r="F8467" s="310">
        <v>165</v>
      </c>
      <c r="G8467" s="311">
        <v>1991</v>
      </c>
      <c r="H8467" s="340" t="s">
        <v>3</v>
      </c>
      <c r="I8467" s="313" t="s">
        <v>10892</v>
      </c>
      <c r="J8467" s="314">
        <v>3.2570000000000001</v>
      </c>
      <c r="K8467" s="314">
        <v>2.915</v>
      </c>
      <c r="L8467" s="350">
        <f t="shared" si="115"/>
        <v>0.34200000000000008</v>
      </c>
      <c r="M8467" s="337"/>
    </row>
    <row r="8468" spans="1:13" s="71" customFormat="1" ht="26.4" customHeight="1">
      <c r="A8468" s="282">
        <v>267</v>
      </c>
      <c r="B8468" s="537"/>
      <c r="C8468" s="307" t="s">
        <v>28</v>
      </c>
      <c r="D8468" s="307" t="s">
        <v>10893</v>
      </c>
      <c r="E8468" s="260" t="s">
        <v>10894</v>
      </c>
      <c r="F8468" s="310">
        <v>166</v>
      </c>
      <c r="G8468" s="311">
        <v>1992</v>
      </c>
      <c r="H8468" s="340" t="s">
        <v>3</v>
      </c>
      <c r="I8468" s="313" t="s">
        <v>10895</v>
      </c>
      <c r="J8468" s="314">
        <v>6.41</v>
      </c>
      <c r="K8468" s="314">
        <v>4.6059999999999999</v>
      </c>
      <c r="L8468" s="350">
        <f t="shared" si="115"/>
        <v>1.8040000000000003</v>
      </c>
      <c r="M8468" s="337"/>
    </row>
    <row r="8469" spans="1:13" s="71" customFormat="1" ht="26.4" customHeight="1">
      <c r="A8469" s="282">
        <v>268</v>
      </c>
      <c r="B8469" s="537"/>
      <c r="C8469" s="307" t="s">
        <v>28</v>
      </c>
      <c r="D8469" s="307" t="s">
        <v>10896</v>
      </c>
      <c r="E8469" s="260" t="s">
        <v>10897</v>
      </c>
      <c r="F8469" s="310">
        <v>167</v>
      </c>
      <c r="G8469" s="311">
        <v>1992</v>
      </c>
      <c r="H8469" s="340" t="s">
        <v>3</v>
      </c>
      <c r="I8469" s="313" t="s">
        <v>10898</v>
      </c>
      <c r="J8469" s="314">
        <v>10.404999999999999</v>
      </c>
      <c r="K8469" s="314">
        <v>7.3840000000000003</v>
      </c>
      <c r="L8469" s="350">
        <f t="shared" si="115"/>
        <v>3.020999999999999</v>
      </c>
      <c r="M8469" s="337"/>
    </row>
    <row r="8470" spans="1:13" s="71" customFormat="1" ht="26.4" customHeight="1">
      <c r="A8470" s="282">
        <v>269</v>
      </c>
      <c r="B8470" s="537"/>
      <c r="C8470" s="307" t="s">
        <v>28</v>
      </c>
      <c r="D8470" s="307" t="s">
        <v>10899</v>
      </c>
      <c r="E8470" s="260" t="s">
        <v>10900</v>
      </c>
      <c r="F8470" s="310">
        <v>168</v>
      </c>
      <c r="G8470" s="311">
        <v>1993</v>
      </c>
      <c r="H8470" s="340" t="s">
        <v>3</v>
      </c>
      <c r="I8470" s="313" t="s">
        <v>10901</v>
      </c>
      <c r="J8470" s="314">
        <v>37.619</v>
      </c>
      <c r="K8470" s="314">
        <v>26.69</v>
      </c>
      <c r="L8470" s="350">
        <f t="shared" si="115"/>
        <v>10.928999999999998</v>
      </c>
      <c r="M8470" s="337"/>
    </row>
    <row r="8471" spans="1:13" s="71" customFormat="1" ht="26.4" customHeight="1">
      <c r="A8471" s="282">
        <v>270</v>
      </c>
      <c r="B8471" s="537"/>
      <c r="C8471" s="307" t="s">
        <v>28</v>
      </c>
      <c r="D8471" s="307" t="s">
        <v>10902</v>
      </c>
      <c r="E8471" s="260" t="s">
        <v>10903</v>
      </c>
      <c r="F8471" s="310">
        <v>169</v>
      </c>
      <c r="G8471" s="311">
        <v>1993</v>
      </c>
      <c r="H8471" s="340" t="s">
        <v>3</v>
      </c>
      <c r="I8471" s="313" t="s">
        <v>10904</v>
      </c>
      <c r="J8471" s="314">
        <v>0.65800000000000003</v>
      </c>
      <c r="K8471" s="314">
        <v>0.65</v>
      </c>
      <c r="L8471" s="350">
        <f t="shared" si="115"/>
        <v>8.0000000000000071E-3</v>
      </c>
      <c r="M8471" s="337"/>
    </row>
    <row r="8472" spans="1:13" s="71" customFormat="1" ht="26.4" customHeight="1">
      <c r="A8472" s="282">
        <v>271</v>
      </c>
      <c r="B8472" s="537"/>
      <c r="C8472" s="307" t="s">
        <v>28</v>
      </c>
      <c r="D8472" s="307" t="s">
        <v>10905</v>
      </c>
      <c r="E8472" s="260" t="s">
        <v>10906</v>
      </c>
      <c r="F8472" s="310">
        <v>170</v>
      </c>
      <c r="G8472" s="311">
        <v>1993</v>
      </c>
      <c r="H8472" s="340" t="s">
        <v>3</v>
      </c>
      <c r="I8472" s="313" t="s">
        <v>10907</v>
      </c>
      <c r="J8472" s="314">
        <v>1.6519999999999999</v>
      </c>
      <c r="K8472" s="314">
        <v>1.5269999999999999</v>
      </c>
      <c r="L8472" s="350">
        <f t="shared" si="115"/>
        <v>0.125</v>
      </c>
      <c r="M8472" s="337"/>
    </row>
    <row r="8473" spans="1:13" s="71" customFormat="1" ht="26.4" customHeight="1">
      <c r="A8473" s="282">
        <v>272</v>
      </c>
      <c r="B8473" s="537"/>
      <c r="C8473" s="307" t="s">
        <v>28</v>
      </c>
      <c r="D8473" s="307" t="s">
        <v>10908</v>
      </c>
      <c r="E8473" s="260" t="s">
        <v>10909</v>
      </c>
      <c r="F8473" s="310">
        <v>171</v>
      </c>
      <c r="G8473" s="311">
        <v>1993</v>
      </c>
      <c r="H8473" s="340" t="s">
        <v>3</v>
      </c>
      <c r="I8473" s="313" t="s">
        <v>10910</v>
      </c>
      <c r="J8473" s="314">
        <v>1.365</v>
      </c>
      <c r="K8473" s="314">
        <v>1.357</v>
      </c>
      <c r="L8473" s="350">
        <f t="shared" si="115"/>
        <v>8.0000000000000071E-3</v>
      </c>
      <c r="M8473" s="337"/>
    </row>
    <row r="8474" spans="1:13" s="71" customFormat="1" ht="26.4" customHeight="1">
      <c r="A8474" s="282">
        <v>273</v>
      </c>
      <c r="B8474" s="537"/>
      <c r="C8474" s="307" t="s">
        <v>28</v>
      </c>
      <c r="D8474" s="307" t="s">
        <v>10911</v>
      </c>
      <c r="E8474" s="260" t="s">
        <v>10912</v>
      </c>
      <c r="F8474" s="310">
        <v>172</v>
      </c>
      <c r="G8474" s="311">
        <v>1993</v>
      </c>
      <c r="H8474" s="340" t="s">
        <v>3</v>
      </c>
      <c r="I8474" s="313" t="s">
        <v>10913</v>
      </c>
      <c r="J8474" s="314">
        <v>2.6760000000000002</v>
      </c>
      <c r="K8474" s="314">
        <v>1.4039999999999999</v>
      </c>
      <c r="L8474" s="350">
        <f t="shared" si="115"/>
        <v>1.2720000000000002</v>
      </c>
      <c r="M8474" s="337"/>
    </row>
    <row r="8475" spans="1:13" s="71" customFormat="1" ht="26.4" customHeight="1">
      <c r="A8475" s="282">
        <v>274</v>
      </c>
      <c r="B8475" s="537"/>
      <c r="C8475" s="307" t="s">
        <v>28</v>
      </c>
      <c r="D8475" s="307" t="s">
        <v>10914</v>
      </c>
      <c r="E8475" s="260" t="s">
        <v>10915</v>
      </c>
      <c r="F8475" s="310">
        <v>174</v>
      </c>
      <c r="G8475" s="311">
        <v>1995</v>
      </c>
      <c r="H8475" s="340" t="s">
        <v>3</v>
      </c>
      <c r="I8475" s="313" t="s">
        <v>10916</v>
      </c>
      <c r="J8475" s="314">
        <v>3.206</v>
      </c>
      <c r="K8475" s="314">
        <v>2.2490000000000001</v>
      </c>
      <c r="L8475" s="350">
        <f t="shared" si="115"/>
        <v>0.95699999999999985</v>
      </c>
      <c r="M8475" s="337"/>
    </row>
    <row r="8476" spans="1:13" s="71" customFormat="1" ht="26.4" customHeight="1">
      <c r="A8476" s="282">
        <v>275</v>
      </c>
      <c r="B8476" s="537"/>
      <c r="C8476" s="307" t="s">
        <v>28</v>
      </c>
      <c r="D8476" s="307" t="s">
        <v>10917</v>
      </c>
      <c r="E8476" s="260" t="s">
        <v>10918</v>
      </c>
      <c r="F8476" s="310">
        <v>175</v>
      </c>
      <c r="G8476" s="311">
        <v>1995</v>
      </c>
      <c r="H8476" s="340" t="s">
        <v>3</v>
      </c>
      <c r="I8476" s="313" t="s">
        <v>10919</v>
      </c>
      <c r="J8476" s="314">
        <v>1.3260000000000001</v>
      </c>
      <c r="K8476" s="314">
        <v>1.222</v>
      </c>
      <c r="L8476" s="350">
        <f t="shared" si="115"/>
        <v>0.10400000000000009</v>
      </c>
      <c r="M8476" s="337"/>
    </row>
    <row r="8477" spans="1:13" s="71" customFormat="1" ht="26.4" customHeight="1">
      <c r="A8477" s="282">
        <v>276</v>
      </c>
      <c r="B8477" s="537"/>
      <c r="C8477" s="307" t="s">
        <v>28</v>
      </c>
      <c r="D8477" s="307" t="s">
        <v>10920</v>
      </c>
      <c r="E8477" s="260" t="s">
        <v>10921</v>
      </c>
      <c r="F8477" s="310">
        <v>176</v>
      </c>
      <c r="G8477" s="311">
        <v>1995</v>
      </c>
      <c r="H8477" s="340" t="s">
        <v>3</v>
      </c>
      <c r="I8477" s="313" t="s">
        <v>10922</v>
      </c>
      <c r="J8477" s="314">
        <v>3.1840000000000002</v>
      </c>
      <c r="K8477" s="314">
        <v>2.2400000000000002</v>
      </c>
      <c r="L8477" s="350">
        <f t="shared" si="115"/>
        <v>0.94399999999999995</v>
      </c>
      <c r="M8477" s="337"/>
    </row>
    <row r="8478" spans="1:13" s="71" customFormat="1" ht="39.6">
      <c r="A8478" s="282">
        <v>277</v>
      </c>
      <c r="B8478" s="537"/>
      <c r="C8478" s="307" t="s">
        <v>28</v>
      </c>
      <c r="D8478" s="307" t="s">
        <v>10923</v>
      </c>
      <c r="E8478" s="260" t="s">
        <v>10924</v>
      </c>
      <c r="F8478" s="310">
        <v>234</v>
      </c>
      <c r="G8478" s="311">
        <v>1963</v>
      </c>
      <c r="H8478" s="340" t="s">
        <v>3</v>
      </c>
      <c r="I8478" s="313" t="s">
        <v>10925</v>
      </c>
      <c r="J8478" s="314">
        <v>89.643000000000001</v>
      </c>
      <c r="K8478" s="314">
        <v>88.262</v>
      </c>
      <c r="L8478" s="350">
        <f t="shared" si="115"/>
        <v>1.3810000000000002</v>
      </c>
      <c r="M8478" s="337"/>
    </row>
    <row r="8479" spans="1:13" s="71" customFormat="1" ht="26.4" customHeight="1">
      <c r="A8479" s="282">
        <v>278</v>
      </c>
      <c r="B8479" s="537"/>
      <c r="C8479" s="307" t="s">
        <v>28</v>
      </c>
      <c r="D8479" s="307" t="s">
        <v>10926</v>
      </c>
      <c r="E8479" s="260" t="s">
        <v>10927</v>
      </c>
      <c r="F8479" s="310">
        <v>235</v>
      </c>
      <c r="G8479" s="311">
        <v>1964</v>
      </c>
      <c r="H8479" s="340" t="s">
        <v>3</v>
      </c>
      <c r="I8479" s="313" t="s">
        <v>10928</v>
      </c>
      <c r="J8479" s="314">
        <v>125.86199999999999</v>
      </c>
      <c r="K8479" s="314">
        <v>124.283</v>
      </c>
      <c r="L8479" s="350">
        <f t="shared" si="115"/>
        <v>1.5789999999999935</v>
      </c>
      <c r="M8479" s="337"/>
    </row>
    <row r="8480" spans="1:13" s="71" customFormat="1" ht="38.25" customHeight="1">
      <c r="A8480" s="282">
        <v>279</v>
      </c>
      <c r="B8480" s="537"/>
      <c r="C8480" s="307" t="s">
        <v>28</v>
      </c>
      <c r="D8480" s="307" t="s">
        <v>12894</v>
      </c>
      <c r="E8480" s="260" t="s">
        <v>10929</v>
      </c>
      <c r="F8480" s="310">
        <v>236</v>
      </c>
      <c r="G8480" s="311">
        <v>1972</v>
      </c>
      <c r="H8480" s="340" t="s">
        <v>3</v>
      </c>
      <c r="I8480" s="313" t="s">
        <v>10930</v>
      </c>
      <c r="J8480" s="314">
        <v>26.768000000000001</v>
      </c>
      <c r="K8480" s="314">
        <v>24.66</v>
      </c>
      <c r="L8480" s="350">
        <f t="shared" si="115"/>
        <v>2.1080000000000005</v>
      </c>
      <c r="M8480" s="337"/>
    </row>
    <row r="8481" spans="1:13" s="71" customFormat="1" ht="26.4" customHeight="1">
      <c r="A8481" s="282">
        <v>280</v>
      </c>
      <c r="B8481" s="537"/>
      <c r="C8481" s="307" t="s">
        <v>28</v>
      </c>
      <c r="D8481" s="307" t="s">
        <v>10931</v>
      </c>
      <c r="E8481" s="260" t="s">
        <v>10932</v>
      </c>
      <c r="F8481" s="310">
        <v>237</v>
      </c>
      <c r="G8481" s="311">
        <v>1973</v>
      </c>
      <c r="H8481" s="340" t="s">
        <v>3</v>
      </c>
      <c r="I8481" s="313" t="s">
        <v>10933</v>
      </c>
      <c r="J8481" s="314">
        <v>11.835000000000001</v>
      </c>
      <c r="K8481" s="314">
        <v>10.385</v>
      </c>
      <c r="L8481" s="350">
        <f t="shared" si="115"/>
        <v>1.4500000000000011</v>
      </c>
      <c r="M8481" s="337"/>
    </row>
    <row r="8482" spans="1:13" s="71" customFormat="1" ht="26.4" customHeight="1">
      <c r="A8482" s="282">
        <v>281</v>
      </c>
      <c r="B8482" s="537"/>
      <c r="C8482" s="307" t="s">
        <v>28</v>
      </c>
      <c r="D8482" s="307" t="s">
        <v>10934</v>
      </c>
      <c r="E8482" s="260" t="s">
        <v>10935</v>
      </c>
      <c r="F8482" s="310">
        <v>238</v>
      </c>
      <c r="G8482" s="311">
        <v>1973</v>
      </c>
      <c r="H8482" s="340" t="s">
        <v>3</v>
      </c>
      <c r="I8482" s="313" t="s">
        <v>10936</v>
      </c>
      <c r="J8482" s="314">
        <v>8.6430000000000007</v>
      </c>
      <c r="K8482" s="314">
        <v>7.1929999999999996</v>
      </c>
      <c r="L8482" s="350">
        <f t="shared" si="115"/>
        <v>1.4500000000000011</v>
      </c>
      <c r="M8482" s="337"/>
    </row>
    <row r="8483" spans="1:13" s="71" customFormat="1" ht="39.6">
      <c r="A8483" s="282">
        <v>282</v>
      </c>
      <c r="B8483" s="537"/>
      <c r="C8483" s="307" t="s">
        <v>28</v>
      </c>
      <c r="D8483" s="307" t="s">
        <v>10937</v>
      </c>
      <c r="E8483" s="260" t="s">
        <v>10938</v>
      </c>
      <c r="F8483" s="310">
        <v>239</v>
      </c>
      <c r="G8483" s="311">
        <v>1973</v>
      </c>
      <c r="H8483" s="340" t="s">
        <v>3</v>
      </c>
      <c r="I8483" s="313" t="s">
        <v>10939</v>
      </c>
      <c r="J8483" s="314">
        <v>9.8130000000000006</v>
      </c>
      <c r="K8483" s="314">
        <v>8.9280000000000008</v>
      </c>
      <c r="L8483" s="350">
        <f t="shared" si="115"/>
        <v>0.88499999999999979</v>
      </c>
      <c r="M8483" s="337"/>
    </row>
    <row r="8484" spans="1:13" s="71" customFormat="1" ht="26.4" customHeight="1">
      <c r="A8484" s="282">
        <v>283</v>
      </c>
      <c r="B8484" s="537"/>
      <c r="C8484" s="307" t="s">
        <v>28</v>
      </c>
      <c r="D8484" s="307" t="s">
        <v>10940</v>
      </c>
      <c r="E8484" s="260" t="s">
        <v>10941</v>
      </c>
      <c r="F8484" s="310">
        <v>240</v>
      </c>
      <c r="G8484" s="311">
        <v>1974</v>
      </c>
      <c r="H8484" s="340" t="s">
        <v>3</v>
      </c>
      <c r="I8484" s="313" t="s">
        <v>10942</v>
      </c>
      <c r="J8484" s="314">
        <v>17.405999999999999</v>
      </c>
      <c r="K8484" s="314">
        <v>17.239000000000001</v>
      </c>
      <c r="L8484" s="350">
        <f t="shared" si="115"/>
        <v>0.16699999999999804</v>
      </c>
      <c r="M8484" s="337"/>
    </row>
    <row r="8485" spans="1:13" s="71" customFormat="1" ht="26.4" customHeight="1">
      <c r="A8485" s="282">
        <v>284</v>
      </c>
      <c r="B8485" s="537"/>
      <c r="C8485" s="307" t="s">
        <v>28</v>
      </c>
      <c r="D8485" s="307" t="s">
        <v>10943</v>
      </c>
      <c r="E8485" s="260" t="s">
        <v>10944</v>
      </c>
      <c r="F8485" s="310">
        <v>241</v>
      </c>
      <c r="G8485" s="311">
        <v>1975</v>
      </c>
      <c r="H8485" s="340" t="s">
        <v>3</v>
      </c>
      <c r="I8485" s="313" t="s">
        <v>10945</v>
      </c>
      <c r="J8485" s="314">
        <v>30.010999999999999</v>
      </c>
      <c r="K8485" s="314">
        <v>26.896999999999998</v>
      </c>
      <c r="L8485" s="350">
        <f t="shared" si="115"/>
        <v>3.1140000000000008</v>
      </c>
      <c r="M8485" s="337"/>
    </row>
    <row r="8486" spans="1:13" s="71" customFormat="1" ht="39.6">
      <c r="A8486" s="282">
        <v>285</v>
      </c>
      <c r="B8486" s="537"/>
      <c r="C8486" s="307" t="s">
        <v>28</v>
      </c>
      <c r="D8486" s="307" t="s">
        <v>10946</v>
      </c>
      <c r="E8486" s="260" t="s">
        <v>10947</v>
      </c>
      <c r="F8486" s="310">
        <v>242</v>
      </c>
      <c r="G8486" s="311">
        <v>1975</v>
      </c>
      <c r="H8486" s="340" t="s">
        <v>3</v>
      </c>
      <c r="I8486" s="313" t="s">
        <v>10948</v>
      </c>
      <c r="J8486" s="314">
        <v>8.5879999999999992</v>
      </c>
      <c r="K8486" s="314">
        <v>7.6269999999999998</v>
      </c>
      <c r="L8486" s="350">
        <f t="shared" si="115"/>
        <v>0.96099999999999941</v>
      </c>
      <c r="M8486" s="337"/>
    </row>
    <row r="8487" spans="1:13" s="71" customFormat="1" ht="26.4" customHeight="1">
      <c r="A8487" s="282">
        <v>286</v>
      </c>
      <c r="B8487" s="537"/>
      <c r="C8487" s="307" t="s">
        <v>28</v>
      </c>
      <c r="D8487" s="307" t="s">
        <v>10949</v>
      </c>
      <c r="E8487" s="260" t="s">
        <v>10950</v>
      </c>
      <c r="F8487" s="310">
        <v>243</v>
      </c>
      <c r="G8487" s="311">
        <v>1976</v>
      </c>
      <c r="H8487" s="340" t="s">
        <v>3</v>
      </c>
      <c r="I8487" s="313" t="s">
        <v>10951</v>
      </c>
      <c r="J8487" s="314">
        <v>2.1779999999999999</v>
      </c>
      <c r="K8487" s="314">
        <v>2.16</v>
      </c>
      <c r="L8487" s="350">
        <f t="shared" si="115"/>
        <v>1.7999999999999794E-2</v>
      </c>
      <c r="M8487" s="337"/>
    </row>
    <row r="8488" spans="1:13" s="71" customFormat="1" ht="26.4" customHeight="1">
      <c r="A8488" s="282">
        <v>287</v>
      </c>
      <c r="B8488" s="537"/>
      <c r="C8488" s="307" t="s">
        <v>28</v>
      </c>
      <c r="D8488" s="307" t="s">
        <v>10624</v>
      </c>
      <c r="E8488" s="260" t="s">
        <v>638</v>
      </c>
      <c r="F8488" s="310">
        <v>244</v>
      </c>
      <c r="G8488" s="311">
        <v>1976</v>
      </c>
      <c r="H8488" s="340" t="s">
        <v>3</v>
      </c>
      <c r="I8488" s="313" t="s">
        <v>10952</v>
      </c>
      <c r="J8488" s="314">
        <v>13.717000000000001</v>
      </c>
      <c r="K8488" s="314">
        <v>11.382999999999999</v>
      </c>
      <c r="L8488" s="350">
        <f t="shared" si="115"/>
        <v>2.3340000000000014</v>
      </c>
      <c r="M8488" s="337"/>
    </row>
    <row r="8489" spans="1:13" s="71" customFormat="1" ht="39.6">
      <c r="A8489" s="282">
        <v>288</v>
      </c>
      <c r="B8489" s="537"/>
      <c r="C8489" s="307" t="s">
        <v>28</v>
      </c>
      <c r="D8489" s="307" t="s">
        <v>10953</v>
      </c>
      <c r="E8489" s="260" t="s">
        <v>10954</v>
      </c>
      <c r="F8489" s="310">
        <v>245</v>
      </c>
      <c r="G8489" s="311">
        <v>1976</v>
      </c>
      <c r="H8489" s="340" t="s">
        <v>3</v>
      </c>
      <c r="I8489" s="313" t="s">
        <v>10955</v>
      </c>
      <c r="J8489" s="314">
        <v>4.8940000000000001</v>
      </c>
      <c r="K8489" s="314">
        <v>4.0609999999999999</v>
      </c>
      <c r="L8489" s="350">
        <f t="shared" si="115"/>
        <v>0.83300000000000018</v>
      </c>
      <c r="M8489" s="337"/>
    </row>
    <row r="8490" spans="1:13" s="71" customFormat="1" ht="39.6">
      <c r="A8490" s="282">
        <v>289</v>
      </c>
      <c r="B8490" s="537"/>
      <c r="C8490" s="307" t="s">
        <v>28</v>
      </c>
      <c r="D8490" s="307" t="s">
        <v>10956</v>
      </c>
      <c r="E8490" s="260" t="s">
        <v>10957</v>
      </c>
      <c r="F8490" s="310">
        <v>246</v>
      </c>
      <c r="G8490" s="311">
        <v>1977</v>
      </c>
      <c r="H8490" s="340" t="s">
        <v>3</v>
      </c>
      <c r="I8490" s="313" t="s">
        <v>10958</v>
      </c>
      <c r="J8490" s="314">
        <v>24.873000000000001</v>
      </c>
      <c r="K8490" s="314">
        <v>21.811</v>
      </c>
      <c r="L8490" s="350">
        <f t="shared" si="115"/>
        <v>3.0620000000000012</v>
      </c>
      <c r="M8490" s="337"/>
    </row>
    <row r="8491" spans="1:13" s="71" customFormat="1" ht="26.4" customHeight="1">
      <c r="A8491" s="282">
        <v>290</v>
      </c>
      <c r="B8491" s="537"/>
      <c r="C8491" s="307" t="s">
        <v>28</v>
      </c>
      <c r="D8491" s="307" t="s">
        <v>10959</v>
      </c>
      <c r="E8491" s="260" t="s">
        <v>10960</v>
      </c>
      <c r="F8491" s="310">
        <v>247</v>
      </c>
      <c r="G8491" s="311">
        <v>1977</v>
      </c>
      <c r="H8491" s="340" t="s">
        <v>3</v>
      </c>
      <c r="I8491" s="313" t="s">
        <v>10961</v>
      </c>
      <c r="J8491" s="314">
        <v>7.6680000000000001</v>
      </c>
      <c r="K8491" s="314">
        <v>6.7240000000000002</v>
      </c>
      <c r="L8491" s="350">
        <f t="shared" si="115"/>
        <v>0.94399999999999995</v>
      </c>
      <c r="M8491" s="337"/>
    </row>
    <row r="8492" spans="1:13" s="71" customFormat="1" ht="26.4" customHeight="1">
      <c r="A8492" s="282">
        <v>291</v>
      </c>
      <c r="B8492" s="537"/>
      <c r="C8492" s="307" t="s">
        <v>28</v>
      </c>
      <c r="D8492" s="307" t="s">
        <v>10962</v>
      </c>
      <c r="E8492" s="260" t="s">
        <v>10963</v>
      </c>
      <c r="F8492" s="310">
        <v>248</v>
      </c>
      <c r="G8492" s="311">
        <v>1977</v>
      </c>
      <c r="H8492" s="340" t="s">
        <v>3</v>
      </c>
      <c r="I8492" s="313" t="s">
        <v>10964</v>
      </c>
      <c r="J8492" s="314">
        <v>6.2779999999999996</v>
      </c>
      <c r="K8492" s="314">
        <v>5.5060000000000002</v>
      </c>
      <c r="L8492" s="350">
        <f t="shared" si="115"/>
        <v>0.77199999999999935</v>
      </c>
      <c r="M8492" s="337"/>
    </row>
    <row r="8493" spans="1:13" s="71" customFormat="1" ht="39.6">
      <c r="A8493" s="282">
        <v>292</v>
      </c>
      <c r="B8493" s="537"/>
      <c r="C8493" s="307" t="s">
        <v>28</v>
      </c>
      <c r="D8493" s="307" t="s">
        <v>10965</v>
      </c>
      <c r="E8493" s="260" t="s">
        <v>10966</v>
      </c>
      <c r="F8493" s="310">
        <v>249</v>
      </c>
      <c r="G8493" s="311">
        <v>1977</v>
      </c>
      <c r="H8493" s="340" t="s">
        <v>3</v>
      </c>
      <c r="I8493" s="313" t="s">
        <v>10967</v>
      </c>
      <c r="J8493" s="314">
        <v>10.37</v>
      </c>
      <c r="K8493" s="314">
        <v>8.9870000000000001</v>
      </c>
      <c r="L8493" s="350">
        <f t="shared" si="115"/>
        <v>1.3829999999999991</v>
      </c>
      <c r="M8493" s="337"/>
    </row>
    <row r="8494" spans="1:13" s="71" customFormat="1" ht="39.6">
      <c r="A8494" s="282">
        <v>293</v>
      </c>
      <c r="B8494" s="537"/>
      <c r="C8494" s="307" t="s">
        <v>28</v>
      </c>
      <c r="D8494" s="307" t="s">
        <v>10968</v>
      </c>
      <c r="E8494" s="260" t="s">
        <v>10969</v>
      </c>
      <c r="F8494" s="310">
        <v>250</v>
      </c>
      <c r="G8494" s="311">
        <v>1977</v>
      </c>
      <c r="H8494" s="340" t="s">
        <v>3</v>
      </c>
      <c r="I8494" s="313" t="s">
        <v>10970</v>
      </c>
      <c r="J8494" s="314">
        <v>1.474</v>
      </c>
      <c r="K8494" s="314">
        <v>1.4550000000000001</v>
      </c>
      <c r="L8494" s="350">
        <f t="shared" si="115"/>
        <v>1.8999999999999906E-2</v>
      </c>
      <c r="M8494" s="337"/>
    </row>
    <row r="8495" spans="1:13" s="71" customFormat="1" ht="51.75" customHeight="1">
      <c r="A8495" s="282">
        <v>294</v>
      </c>
      <c r="B8495" s="537"/>
      <c r="C8495" s="307" t="s">
        <v>28</v>
      </c>
      <c r="D8495" s="307" t="s">
        <v>13443</v>
      </c>
      <c r="E8495" s="260" t="s">
        <v>10971</v>
      </c>
      <c r="F8495" s="310">
        <v>251</v>
      </c>
      <c r="G8495" s="311">
        <v>1978</v>
      </c>
      <c r="H8495" s="340" t="s">
        <v>3</v>
      </c>
      <c r="I8495" s="313" t="s">
        <v>10972</v>
      </c>
      <c r="J8495" s="314">
        <v>14.724</v>
      </c>
      <c r="K8495" s="314">
        <v>12.609</v>
      </c>
      <c r="L8495" s="350">
        <f t="shared" si="115"/>
        <v>2.1150000000000002</v>
      </c>
      <c r="M8495" s="337"/>
    </row>
    <row r="8496" spans="1:13" s="71" customFormat="1" ht="26.4" customHeight="1">
      <c r="A8496" s="282">
        <v>295</v>
      </c>
      <c r="B8496" s="537"/>
      <c r="C8496" s="307" t="s">
        <v>28</v>
      </c>
      <c r="D8496" s="307" t="s">
        <v>1426</v>
      </c>
      <c r="E8496" s="260" t="s">
        <v>10973</v>
      </c>
      <c r="F8496" s="310">
        <v>252</v>
      </c>
      <c r="G8496" s="311">
        <v>1978</v>
      </c>
      <c r="H8496" s="340" t="s">
        <v>3</v>
      </c>
      <c r="I8496" s="313" t="s">
        <v>10974</v>
      </c>
      <c r="J8496" s="314">
        <v>6.4320000000000004</v>
      </c>
      <c r="K8496" s="314">
        <v>5.508</v>
      </c>
      <c r="L8496" s="350">
        <f t="shared" si="115"/>
        <v>0.92400000000000038</v>
      </c>
      <c r="M8496" s="337"/>
    </row>
    <row r="8497" spans="1:13" s="71" customFormat="1" ht="26.4" customHeight="1">
      <c r="A8497" s="282">
        <v>296</v>
      </c>
      <c r="B8497" s="537"/>
      <c r="C8497" s="307" t="s">
        <v>28</v>
      </c>
      <c r="D8497" s="307" t="s">
        <v>10975</v>
      </c>
      <c r="E8497" s="260" t="s">
        <v>10976</v>
      </c>
      <c r="F8497" s="310">
        <v>253</v>
      </c>
      <c r="G8497" s="311">
        <v>1978</v>
      </c>
      <c r="H8497" s="340" t="s">
        <v>3</v>
      </c>
      <c r="I8497" s="313" t="s">
        <v>10977</v>
      </c>
      <c r="J8497" s="314">
        <v>2.6739999999999999</v>
      </c>
      <c r="K8497" s="314">
        <v>2.6560000000000001</v>
      </c>
      <c r="L8497" s="350">
        <f t="shared" si="115"/>
        <v>1.7999999999999794E-2</v>
      </c>
      <c r="M8497" s="337"/>
    </row>
    <row r="8498" spans="1:13" s="71" customFormat="1" ht="26.4" customHeight="1">
      <c r="A8498" s="282">
        <v>297</v>
      </c>
      <c r="B8498" s="537"/>
      <c r="C8498" s="307" t="s">
        <v>28</v>
      </c>
      <c r="D8498" s="307" t="s">
        <v>10978</v>
      </c>
      <c r="E8498" s="260" t="s">
        <v>10979</v>
      </c>
      <c r="F8498" s="310">
        <v>254</v>
      </c>
      <c r="G8498" s="311">
        <v>1978</v>
      </c>
      <c r="H8498" s="340" t="s">
        <v>3</v>
      </c>
      <c r="I8498" s="313" t="s">
        <v>10980</v>
      </c>
      <c r="J8498" s="314">
        <v>4.7460000000000004</v>
      </c>
      <c r="K8498" s="314">
        <v>4.4009999999999998</v>
      </c>
      <c r="L8498" s="350">
        <f t="shared" si="115"/>
        <v>0.34500000000000064</v>
      </c>
      <c r="M8498" s="337"/>
    </row>
    <row r="8499" spans="1:13" s="71" customFormat="1" ht="39.75" customHeight="1">
      <c r="A8499" s="282">
        <v>298</v>
      </c>
      <c r="B8499" s="537"/>
      <c r="C8499" s="307" t="s">
        <v>28</v>
      </c>
      <c r="D8499" s="307" t="s">
        <v>10981</v>
      </c>
      <c r="E8499" s="260" t="s">
        <v>10982</v>
      </c>
      <c r="F8499" s="310">
        <v>255</v>
      </c>
      <c r="G8499" s="311">
        <v>1978</v>
      </c>
      <c r="H8499" s="340" t="s">
        <v>3</v>
      </c>
      <c r="I8499" s="313" t="s">
        <v>10983</v>
      </c>
      <c r="J8499" s="314">
        <v>4.048</v>
      </c>
      <c r="K8499" s="314">
        <v>4.03</v>
      </c>
      <c r="L8499" s="350">
        <f t="shared" si="115"/>
        <v>1.7999999999999794E-2</v>
      </c>
      <c r="M8499" s="337"/>
    </row>
    <row r="8500" spans="1:13" s="71" customFormat="1" ht="26.4" customHeight="1">
      <c r="A8500" s="282">
        <v>299</v>
      </c>
      <c r="B8500" s="537"/>
      <c r="C8500" s="307" t="s">
        <v>28</v>
      </c>
      <c r="D8500" s="307" t="s">
        <v>10984</v>
      </c>
      <c r="E8500" s="260" t="s">
        <v>10985</v>
      </c>
      <c r="F8500" s="310">
        <v>256</v>
      </c>
      <c r="G8500" s="311">
        <v>1978</v>
      </c>
      <c r="H8500" s="340" t="s">
        <v>3</v>
      </c>
      <c r="I8500" s="313" t="s">
        <v>10986</v>
      </c>
      <c r="J8500" s="314">
        <v>6.093</v>
      </c>
      <c r="K8500" s="314">
        <v>5.218</v>
      </c>
      <c r="L8500" s="350">
        <f t="shared" si="115"/>
        <v>0.875</v>
      </c>
      <c r="M8500" s="337"/>
    </row>
    <row r="8501" spans="1:13" s="71" customFormat="1" ht="26.4" customHeight="1">
      <c r="A8501" s="282">
        <v>300</v>
      </c>
      <c r="B8501" s="537"/>
      <c r="C8501" s="307" t="s">
        <v>28</v>
      </c>
      <c r="D8501" s="307" t="s">
        <v>10987</v>
      </c>
      <c r="E8501" s="260" t="s">
        <v>10988</v>
      </c>
      <c r="F8501" s="310">
        <v>257</v>
      </c>
      <c r="G8501" s="311">
        <v>1979</v>
      </c>
      <c r="H8501" s="340" t="s">
        <v>3</v>
      </c>
      <c r="I8501" s="313" t="s">
        <v>10989</v>
      </c>
      <c r="J8501" s="314">
        <v>7.3490000000000002</v>
      </c>
      <c r="K8501" s="314">
        <v>5.899</v>
      </c>
      <c r="L8501" s="350">
        <f t="shared" si="115"/>
        <v>1.4500000000000002</v>
      </c>
      <c r="M8501" s="337"/>
    </row>
    <row r="8502" spans="1:13" s="71" customFormat="1" ht="26.4" customHeight="1">
      <c r="A8502" s="282">
        <v>301</v>
      </c>
      <c r="B8502" s="537"/>
      <c r="C8502" s="307" t="s">
        <v>28</v>
      </c>
      <c r="D8502" s="307" t="s">
        <v>10990</v>
      </c>
      <c r="E8502" s="260" t="s">
        <v>10991</v>
      </c>
      <c r="F8502" s="310">
        <v>258</v>
      </c>
      <c r="G8502" s="311">
        <v>1979</v>
      </c>
      <c r="H8502" s="340" t="s">
        <v>3</v>
      </c>
      <c r="I8502" s="313" t="s">
        <v>10992</v>
      </c>
      <c r="J8502" s="314">
        <v>2.972</v>
      </c>
      <c r="K8502" s="314">
        <v>2.7360000000000002</v>
      </c>
      <c r="L8502" s="350">
        <f t="shared" si="115"/>
        <v>0.23599999999999977</v>
      </c>
      <c r="M8502" s="337"/>
    </row>
    <row r="8503" spans="1:13" s="71" customFormat="1" ht="26.4" customHeight="1">
      <c r="A8503" s="282">
        <v>302</v>
      </c>
      <c r="B8503" s="537"/>
      <c r="C8503" s="307" t="s">
        <v>28</v>
      </c>
      <c r="D8503" s="307" t="s">
        <v>10993</v>
      </c>
      <c r="E8503" s="260" t="s">
        <v>10994</v>
      </c>
      <c r="F8503" s="310">
        <v>259</v>
      </c>
      <c r="G8503" s="311">
        <v>1979</v>
      </c>
      <c r="H8503" s="340" t="s">
        <v>3</v>
      </c>
      <c r="I8503" s="313" t="s">
        <v>10995</v>
      </c>
      <c r="J8503" s="314">
        <v>5.5549999999999997</v>
      </c>
      <c r="K8503" s="314">
        <v>4.6050000000000004</v>
      </c>
      <c r="L8503" s="350">
        <f t="shared" si="115"/>
        <v>0.94999999999999929</v>
      </c>
      <c r="M8503" s="337"/>
    </row>
    <row r="8504" spans="1:13" s="71" customFormat="1" ht="26.4" customHeight="1">
      <c r="A8504" s="282">
        <v>303</v>
      </c>
      <c r="B8504" s="537"/>
      <c r="C8504" s="307" t="s">
        <v>28</v>
      </c>
      <c r="D8504" s="307" t="s">
        <v>10996</v>
      </c>
      <c r="E8504" s="260" t="s">
        <v>10997</v>
      </c>
      <c r="F8504" s="310">
        <v>260</v>
      </c>
      <c r="G8504" s="311">
        <v>1979</v>
      </c>
      <c r="H8504" s="340" t="s">
        <v>3</v>
      </c>
      <c r="I8504" s="313" t="s">
        <v>10998</v>
      </c>
      <c r="J8504" s="314">
        <v>2.3439999999999999</v>
      </c>
      <c r="K8504" s="314">
        <v>2.3260000000000001</v>
      </c>
      <c r="L8504" s="350">
        <f t="shared" si="115"/>
        <v>1.7999999999999794E-2</v>
      </c>
      <c r="M8504" s="337"/>
    </row>
    <row r="8505" spans="1:13" s="71" customFormat="1" ht="26.4" customHeight="1">
      <c r="A8505" s="282">
        <v>304</v>
      </c>
      <c r="B8505" s="537"/>
      <c r="C8505" s="307" t="s">
        <v>28</v>
      </c>
      <c r="D8505" s="307" t="s">
        <v>10999</v>
      </c>
      <c r="E8505" s="260" t="s">
        <v>11000</v>
      </c>
      <c r="F8505" s="310">
        <v>261</v>
      </c>
      <c r="G8505" s="311">
        <v>1980</v>
      </c>
      <c r="H8505" s="340" t="s">
        <v>3</v>
      </c>
      <c r="I8505" s="313" t="s">
        <v>11001</v>
      </c>
      <c r="J8505" s="314">
        <v>104.298</v>
      </c>
      <c r="K8505" s="314">
        <v>80.355000000000004</v>
      </c>
      <c r="L8505" s="350">
        <f t="shared" si="115"/>
        <v>23.942999999999998</v>
      </c>
      <c r="M8505" s="337"/>
    </row>
    <row r="8506" spans="1:13" s="71" customFormat="1" ht="39" customHeight="1">
      <c r="A8506" s="282">
        <v>305</v>
      </c>
      <c r="B8506" s="537"/>
      <c r="C8506" s="307" t="s">
        <v>28</v>
      </c>
      <c r="D8506" s="307" t="s">
        <v>12895</v>
      </c>
      <c r="E8506" s="260" t="s">
        <v>11002</v>
      </c>
      <c r="F8506" s="310">
        <v>262</v>
      </c>
      <c r="G8506" s="311">
        <v>1980</v>
      </c>
      <c r="H8506" s="340" t="s">
        <v>3</v>
      </c>
      <c r="I8506" s="313" t="s">
        <v>11003</v>
      </c>
      <c r="J8506" s="314">
        <v>33.859000000000002</v>
      </c>
      <c r="K8506" s="314">
        <v>28.335000000000001</v>
      </c>
      <c r="L8506" s="350">
        <f t="shared" si="115"/>
        <v>5.5240000000000009</v>
      </c>
      <c r="M8506" s="337"/>
    </row>
    <row r="8507" spans="1:13" s="71" customFormat="1" ht="26.4" customHeight="1">
      <c r="A8507" s="282">
        <v>306</v>
      </c>
      <c r="B8507" s="537"/>
      <c r="C8507" s="307" t="s">
        <v>28</v>
      </c>
      <c r="D8507" s="307" t="s">
        <v>11004</v>
      </c>
      <c r="E8507" s="260" t="s">
        <v>13213</v>
      </c>
      <c r="F8507" s="310">
        <v>263</v>
      </c>
      <c r="G8507" s="311">
        <v>1980</v>
      </c>
      <c r="H8507" s="340" t="s">
        <v>3</v>
      </c>
      <c r="I8507" s="313" t="s">
        <v>11005</v>
      </c>
      <c r="J8507" s="314">
        <v>7.3810000000000002</v>
      </c>
      <c r="K8507" s="314">
        <v>5.931</v>
      </c>
      <c r="L8507" s="350">
        <f t="shared" si="115"/>
        <v>1.4500000000000002</v>
      </c>
      <c r="M8507" s="337"/>
    </row>
    <row r="8508" spans="1:13" s="71" customFormat="1" ht="26.4" customHeight="1">
      <c r="A8508" s="282">
        <v>307</v>
      </c>
      <c r="B8508" s="537"/>
      <c r="C8508" s="307" t="s">
        <v>28</v>
      </c>
      <c r="D8508" s="307" t="s">
        <v>11006</v>
      </c>
      <c r="E8508" s="260" t="s">
        <v>13214</v>
      </c>
      <c r="F8508" s="310">
        <v>264</v>
      </c>
      <c r="G8508" s="311">
        <v>1981</v>
      </c>
      <c r="H8508" s="340" t="s">
        <v>3</v>
      </c>
      <c r="I8508" s="313" t="s">
        <v>11007</v>
      </c>
      <c r="J8508" s="314">
        <v>5.9740000000000002</v>
      </c>
      <c r="K8508" s="314">
        <v>4.524</v>
      </c>
      <c r="L8508" s="350">
        <f t="shared" si="115"/>
        <v>1.4500000000000002</v>
      </c>
      <c r="M8508" s="337"/>
    </row>
    <row r="8509" spans="1:13" s="71" customFormat="1" ht="26.4" customHeight="1">
      <c r="A8509" s="282">
        <v>308</v>
      </c>
      <c r="B8509" s="537"/>
      <c r="C8509" s="307" t="s">
        <v>28</v>
      </c>
      <c r="D8509" s="307" t="s">
        <v>11008</v>
      </c>
      <c r="E8509" s="260" t="s">
        <v>13215</v>
      </c>
      <c r="F8509" s="310">
        <v>265</v>
      </c>
      <c r="G8509" s="311">
        <v>1981</v>
      </c>
      <c r="H8509" s="340" t="s">
        <v>3</v>
      </c>
      <c r="I8509" s="313" t="s">
        <v>11009</v>
      </c>
      <c r="J8509" s="314">
        <v>4.4489999999999998</v>
      </c>
      <c r="K8509" s="314">
        <v>3.702</v>
      </c>
      <c r="L8509" s="350">
        <f t="shared" si="115"/>
        <v>0.74699999999999989</v>
      </c>
      <c r="M8509" s="337"/>
    </row>
    <row r="8510" spans="1:13" s="71" customFormat="1" ht="37.5" customHeight="1">
      <c r="A8510" s="282">
        <v>309</v>
      </c>
      <c r="B8510" s="537"/>
      <c r="C8510" s="307" t="s">
        <v>28</v>
      </c>
      <c r="D8510" s="307" t="s">
        <v>11010</v>
      </c>
      <c r="E8510" s="260" t="s">
        <v>11011</v>
      </c>
      <c r="F8510" s="310">
        <v>266</v>
      </c>
      <c r="G8510" s="311">
        <v>1981</v>
      </c>
      <c r="H8510" s="340" t="s">
        <v>3</v>
      </c>
      <c r="I8510" s="313" t="s">
        <v>11012</v>
      </c>
      <c r="J8510" s="314">
        <v>8.3979999999999997</v>
      </c>
      <c r="K8510" s="314">
        <v>6.9889999999999999</v>
      </c>
      <c r="L8510" s="350">
        <f t="shared" si="115"/>
        <v>1.4089999999999998</v>
      </c>
      <c r="M8510" s="337"/>
    </row>
    <row r="8511" spans="1:13" s="71" customFormat="1" ht="26.4" customHeight="1">
      <c r="A8511" s="282">
        <v>310</v>
      </c>
      <c r="B8511" s="537"/>
      <c r="C8511" s="307" t="s">
        <v>28</v>
      </c>
      <c r="D8511" s="307" t="s">
        <v>11013</v>
      </c>
      <c r="E8511" s="260" t="s">
        <v>11014</v>
      </c>
      <c r="F8511" s="310">
        <v>267</v>
      </c>
      <c r="G8511" s="311">
        <v>1981</v>
      </c>
      <c r="H8511" s="340" t="s">
        <v>3</v>
      </c>
      <c r="I8511" s="313" t="s">
        <v>11015</v>
      </c>
      <c r="J8511" s="314">
        <v>3.3929999999999998</v>
      </c>
      <c r="K8511" s="314">
        <v>3.3740000000000001</v>
      </c>
      <c r="L8511" s="350">
        <f t="shared" si="115"/>
        <v>1.8999999999999684E-2</v>
      </c>
      <c r="M8511" s="337"/>
    </row>
    <row r="8512" spans="1:13" s="71" customFormat="1" ht="26.4" customHeight="1">
      <c r="A8512" s="282">
        <v>311</v>
      </c>
      <c r="B8512" s="537"/>
      <c r="C8512" s="307" t="s">
        <v>28</v>
      </c>
      <c r="D8512" s="307" t="s">
        <v>11016</v>
      </c>
      <c r="E8512" s="260" t="s">
        <v>11017</v>
      </c>
      <c r="F8512" s="310">
        <v>268</v>
      </c>
      <c r="G8512" s="311">
        <v>1981</v>
      </c>
      <c r="H8512" s="340" t="s">
        <v>3</v>
      </c>
      <c r="I8512" s="313" t="s">
        <v>11018</v>
      </c>
      <c r="J8512" s="314">
        <v>6.343</v>
      </c>
      <c r="K8512" s="314">
        <v>5.2779999999999996</v>
      </c>
      <c r="L8512" s="350">
        <f t="shared" si="115"/>
        <v>1.0650000000000004</v>
      </c>
      <c r="M8512" s="337"/>
    </row>
    <row r="8513" spans="1:13" s="71" customFormat="1" ht="26.4" customHeight="1">
      <c r="A8513" s="282">
        <v>312</v>
      </c>
      <c r="B8513" s="537"/>
      <c r="C8513" s="307" t="s">
        <v>28</v>
      </c>
      <c r="D8513" s="307" t="s">
        <v>11019</v>
      </c>
      <c r="E8513" s="260" t="s">
        <v>11020</v>
      </c>
      <c r="F8513" s="310">
        <v>269</v>
      </c>
      <c r="G8513" s="311">
        <v>1981</v>
      </c>
      <c r="H8513" s="340" t="s">
        <v>3</v>
      </c>
      <c r="I8513" s="313" t="s">
        <v>11021</v>
      </c>
      <c r="J8513" s="314">
        <v>6.2240000000000002</v>
      </c>
      <c r="K8513" s="314">
        <v>5.4189999999999996</v>
      </c>
      <c r="L8513" s="350">
        <f t="shared" si="115"/>
        <v>0.8050000000000006</v>
      </c>
      <c r="M8513" s="337"/>
    </row>
    <row r="8514" spans="1:13" s="71" customFormat="1" ht="26.4" customHeight="1">
      <c r="A8514" s="282">
        <v>313</v>
      </c>
      <c r="B8514" s="537"/>
      <c r="C8514" s="307" t="s">
        <v>28</v>
      </c>
      <c r="D8514" s="307" t="s">
        <v>11022</v>
      </c>
      <c r="E8514" s="260" t="s">
        <v>11023</v>
      </c>
      <c r="F8514" s="310">
        <v>270</v>
      </c>
      <c r="G8514" s="311">
        <v>1981</v>
      </c>
      <c r="H8514" s="340" t="s">
        <v>3</v>
      </c>
      <c r="I8514" s="313" t="s">
        <v>11024</v>
      </c>
      <c r="J8514" s="314">
        <v>6.4210000000000003</v>
      </c>
      <c r="K8514" s="314">
        <v>6.0069999999999997</v>
      </c>
      <c r="L8514" s="350">
        <f t="shared" si="115"/>
        <v>0.41400000000000059</v>
      </c>
      <c r="M8514" s="337"/>
    </row>
    <row r="8515" spans="1:13" s="71" customFormat="1" ht="26.4" customHeight="1">
      <c r="A8515" s="282">
        <v>314</v>
      </c>
      <c r="B8515" s="537"/>
      <c r="C8515" s="307" t="s">
        <v>28</v>
      </c>
      <c r="D8515" s="307" t="s">
        <v>11025</v>
      </c>
      <c r="E8515" s="260" t="s">
        <v>11026</v>
      </c>
      <c r="F8515" s="310">
        <v>271</v>
      </c>
      <c r="G8515" s="311">
        <v>1982</v>
      </c>
      <c r="H8515" s="340" t="s">
        <v>3</v>
      </c>
      <c r="I8515" s="313" t="s">
        <v>11027</v>
      </c>
      <c r="J8515" s="314">
        <v>5.0670000000000002</v>
      </c>
      <c r="K8515" s="314">
        <v>5.048</v>
      </c>
      <c r="L8515" s="350">
        <f t="shared" si="115"/>
        <v>1.9000000000000128E-2</v>
      </c>
      <c r="M8515" s="337"/>
    </row>
    <row r="8516" spans="1:13" s="71" customFormat="1" ht="26.4" customHeight="1">
      <c r="A8516" s="282">
        <v>315</v>
      </c>
      <c r="B8516" s="537"/>
      <c r="C8516" s="307" t="s">
        <v>28</v>
      </c>
      <c r="D8516" s="307" t="s">
        <v>10751</v>
      </c>
      <c r="E8516" s="260" t="s">
        <v>11028</v>
      </c>
      <c r="F8516" s="310">
        <v>272</v>
      </c>
      <c r="G8516" s="311">
        <v>1982</v>
      </c>
      <c r="H8516" s="340" t="s">
        <v>3</v>
      </c>
      <c r="I8516" s="313" t="s">
        <v>11029</v>
      </c>
      <c r="J8516" s="314">
        <v>7.22</v>
      </c>
      <c r="K8516" s="314">
        <v>5.77</v>
      </c>
      <c r="L8516" s="350">
        <f t="shared" si="115"/>
        <v>1.4500000000000002</v>
      </c>
      <c r="M8516" s="337"/>
    </row>
    <row r="8517" spans="1:13" s="71" customFormat="1" ht="26.4" customHeight="1">
      <c r="A8517" s="282">
        <v>316</v>
      </c>
      <c r="B8517" s="537"/>
      <c r="C8517" s="307" t="s">
        <v>28</v>
      </c>
      <c r="D8517" s="307" t="s">
        <v>11030</v>
      </c>
      <c r="E8517" s="260" t="s">
        <v>11031</v>
      </c>
      <c r="F8517" s="310">
        <v>273</v>
      </c>
      <c r="G8517" s="311">
        <v>1982</v>
      </c>
      <c r="H8517" s="340" t="s">
        <v>3</v>
      </c>
      <c r="I8517" s="313" t="s">
        <v>11032</v>
      </c>
      <c r="J8517" s="314">
        <v>7.1079999999999997</v>
      </c>
      <c r="K8517" s="314">
        <v>5.827</v>
      </c>
      <c r="L8517" s="350">
        <f t="shared" si="115"/>
        <v>1.2809999999999997</v>
      </c>
      <c r="M8517" s="337"/>
    </row>
    <row r="8518" spans="1:13" s="71" customFormat="1" ht="26.4" customHeight="1">
      <c r="A8518" s="282">
        <v>317</v>
      </c>
      <c r="B8518" s="537"/>
      <c r="C8518" s="307" t="s">
        <v>28</v>
      </c>
      <c r="D8518" s="307" t="s">
        <v>11033</v>
      </c>
      <c r="E8518" s="260" t="s">
        <v>11034</v>
      </c>
      <c r="F8518" s="310">
        <v>274</v>
      </c>
      <c r="G8518" s="311">
        <v>1982</v>
      </c>
      <c r="H8518" s="340" t="s">
        <v>3</v>
      </c>
      <c r="I8518" s="313" t="s">
        <v>11035</v>
      </c>
      <c r="J8518" s="314">
        <v>5.6390000000000002</v>
      </c>
      <c r="K8518" s="314">
        <v>5.556</v>
      </c>
      <c r="L8518" s="350">
        <f t="shared" si="115"/>
        <v>8.3000000000000185E-2</v>
      </c>
      <c r="M8518" s="337"/>
    </row>
    <row r="8519" spans="1:13" s="71" customFormat="1" ht="26.4" customHeight="1">
      <c r="A8519" s="282">
        <v>318</v>
      </c>
      <c r="B8519" s="537"/>
      <c r="C8519" s="307" t="s">
        <v>28</v>
      </c>
      <c r="D8519" s="307" t="s">
        <v>11036</v>
      </c>
      <c r="E8519" s="260" t="s">
        <v>11037</v>
      </c>
      <c r="F8519" s="310">
        <v>275</v>
      </c>
      <c r="G8519" s="311">
        <v>1982</v>
      </c>
      <c r="H8519" s="340" t="s">
        <v>3</v>
      </c>
      <c r="I8519" s="313" t="s">
        <v>11038</v>
      </c>
      <c r="J8519" s="314">
        <v>3.9359999999999999</v>
      </c>
      <c r="K8519" s="314">
        <v>3.8530000000000002</v>
      </c>
      <c r="L8519" s="350">
        <f t="shared" si="115"/>
        <v>8.2999999999999741E-2</v>
      </c>
      <c r="M8519" s="337"/>
    </row>
    <row r="8520" spans="1:13" s="71" customFormat="1" ht="26.4" customHeight="1">
      <c r="A8520" s="282">
        <v>319</v>
      </c>
      <c r="B8520" s="537"/>
      <c r="C8520" s="307" t="s">
        <v>28</v>
      </c>
      <c r="D8520" s="307" t="s">
        <v>11039</v>
      </c>
      <c r="E8520" s="260" t="s">
        <v>11040</v>
      </c>
      <c r="F8520" s="310">
        <v>276</v>
      </c>
      <c r="G8520" s="311">
        <v>1982</v>
      </c>
      <c r="H8520" s="340" t="s">
        <v>3</v>
      </c>
      <c r="I8520" s="313" t="s">
        <v>11041</v>
      </c>
      <c r="J8520" s="314">
        <v>4.6849999999999996</v>
      </c>
      <c r="K8520" s="314">
        <v>3.8410000000000002</v>
      </c>
      <c r="L8520" s="350">
        <f t="shared" si="115"/>
        <v>0.84399999999999942</v>
      </c>
      <c r="M8520" s="337"/>
    </row>
    <row r="8521" spans="1:13" s="71" customFormat="1" ht="26.4" customHeight="1">
      <c r="A8521" s="282">
        <v>320</v>
      </c>
      <c r="B8521" s="537"/>
      <c r="C8521" s="307" t="s">
        <v>28</v>
      </c>
      <c r="D8521" s="307" t="s">
        <v>11042</v>
      </c>
      <c r="E8521" s="260" t="s">
        <v>11043</v>
      </c>
      <c r="F8521" s="310">
        <v>277</v>
      </c>
      <c r="G8521" s="311">
        <v>1982</v>
      </c>
      <c r="H8521" s="340" t="s">
        <v>3</v>
      </c>
      <c r="I8521" s="313" t="s">
        <v>11044</v>
      </c>
      <c r="J8521" s="314">
        <v>13.548999999999999</v>
      </c>
      <c r="K8521" s="314">
        <v>11.106999999999999</v>
      </c>
      <c r="L8521" s="350">
        <f t="shared" si="115"/>
        <v>2.4420000000000002</v>
      </c>
      <c r="M8521" s="337"/>
    </row>
    <row r="8522" spans="1:13" s="71" customFormat="1" ht="26.4" customHeight="1">
      <c r="A8522" s="282">
        <v>321</v>
      </c>
      <c r="B8522" s="537"/>
      <c r="C8522" s="307" t="s">
        <v>28</v>
      </c>
      <c r="D8522" s="307" t="s">
        <v>11045</v>
      </c>
      <c r="E8522" s="260" t="s">
        <v>11046</v>
      </c>
      <c r="F8522" s="310">
        <v>278</v>
      </c>
      <c r="G8522" s="311">
        <v>1982</v>
      </c>
      <c r="H8522" s="340" t="s">
        <v>3</v>
      </c>
      <c r="I8522" s="313" t="s">
        <v>11038</v>
      </c>
      <c r="J8522" s="314">
        <v>2.601</v>
      </c>
      <c r="K8522" s="314">
        <v>2.2389999999999999</v>
      </c>
      <c r="L8522" s="350">
        <f t="shared" ref="L8522:L8585" si="116">J8522-K8522</f>
        <v>0.3620000000000001</v>
      </c>
      <c r="M8522" s="337"/>
    </row>
    <row r="8523" spans="1:13" s="71" customFormat="1" ht="26.4" customHeight="1">
      <c r="A8523" s="282">
        <v>322</v>
      </c>
      <c r="B8523" s="537"/>
      <c r="C8523" s="307" t="s">
        <v>28</v>
      </c>
      <c r="D8523" s="307" t="s">
        <v>11047</v>
      </c>
      <c r="E8523" s="260" t="s">
        <v>11048</v>
      </c>
      <c r="F8523" s="310">
        <v>279</v>
      </c>
      <c r="G8523" s="311">
        <v>1982</v>
      </c>
      <c r="H8523" s="340" t="s">
        <v>3</v>
      </c>
      <c r="I8523" s="313" t="s">
        <v>11049</v>
      </c>
      <c r="J8523" s="314">
        <v>5.3140000000000001</v>
      </c>
      <c r="K8523" s="314">
        <v>4.3339999999999996</v>
      </c>
      <c r="L8523" s="350">
        <f t="shared" si="116"/>
        <v>0.98000000000000043</v>
      </c>
      <c r="M8523" s="337"/>
    </row>
    <row r="8524" spans="1:13" s="71" customFormat="1" ht="26.4" customHeight="1">
      <c r="A8524" s="282">
        <v>323</v>
      </c>
      <c r="B8524" s="537"/>
      <c r="C8524" s="307" t="s">
        <v>28</v>
      </c>
      <c r="D8524" s="307" t="s">
        <v>11050</v>
      </c>
      <c r="E8524" s="260" t="s">
        <v>11051</v>
      </c>
      <c r="F8524" s="310">
        <v>280</v>
      </c>
      <c r="G8524" s="311">
        <v>1982</v>
      </c>
      <c r="H8524" s="340" t="s">
        <v>3</v>
      </c>
      <c r="I8524" s="313" t="s">
        <v>11052</v>
      </c>
      <c r="J8524" s="314">
        <v>4.2549999999999999</v>
      </c>
      <c r="K8524" s="314">
        <v>3.47</v>
      </c>
      <c r="L8524" s="350">
        <f t="shared" si="116"/>
        <v>0.7849999999999997</v>
      </c>
      <c r="M8524" s="337"/>
    </row>
    <row r="8525" spans="1:13" s="71" customFormat="1" ht="26.4" customHeight="1">
      <c r="A8525" s="282">
        <v>324</v>
      </c>
      <c r="B8525" s="537"/>
      <c r="C8525" s="307" t="s">
        <v>28</v>
      </c>
      <c r="D8525" s="307" t="s">
        <v>11053</v>
      </c>
      <c r="E8525" s="260" t="s">
        <v>11054</v>
      </c>
      <c r="F8525" s="310">
        <v>281</v>
      </c>
      <c r="G8525" s="311">
        <v>1984</v>
      </c>
      <c r="H8525" s="340" t="s">
        <v>3</v>
      </c>
      <c r="I8525" s="313" t="s">
        <v>11055</v>
      </c>
      <c r="J8525" s="314">
        <v>5.5049999999999999</v>
      </c>
      <c r="K8525" s="314">
        <v>4.0549999999999997</v>
      </c>
      <c r="L8525" s="350">
        <f t="shared" si="116"/>
        <v>1.4500000000000002</v>
      </c>
      <c r="M8525" s="337"/>
    </row>
    <row r="8526" spans="1:13" s="71" customFormat="1" ht="26.4" customHeight="1">
      <c r="A8526" s="282">
        <v>325</v>
      </c>
      <c r="B8526" s="537"/>
      <c r="C8526" s="307" t="s">
        <v>28</v>
      </c>
      <c r="D8526" s="307" t="s">
        <v>11056</v>
      </c>
      <c r="E8526" s="260" t="s">
        <v>11057</v>
      </c>
      <c r="F8526" s="310">
        <v>282</v>
      </c>
      <c r="G8526" s="311">
        <v>1984</v>
      </c>
      <c r="H8526" s="340" t="s">
        <v>3</v>
      </c>
      <c r="I8526" s="313" t="s">
        <v>11058</v>
      </c>
      <c r="J8526" s="314">
        <v>5.2759999999999998</v>
      </c>
      <c r="K8526" s="314">
        <v>3.8260000000000001</v>
      </c>
      <c r="L8526" s="350">
        <f t="shared" si="116"/>
        <v>1.4499999999999997</v>
      </c>
      <c r="M8526" s="337"/>
    </row>
    <row r="8527" spans="1:13" s="71" customFormat="1" ht="26.4" customHeight="1">
      <c r="A8527" s="282">
        <v>326</v>
      </c>
      <c r="B8527" s="537"/>
      <c r="C8527" s="307" t="s">
        <v>28</v>
      </c>
      <c r="D8527" s="307" t="s">
        <v>11059</v>
      </c>
      <c r="E8527" s="260" t="s">
        <v>11060</v>
      </c>
      <c r="F8527" s="310">
        <v>283</v>
      </c>
      <c r="G8527" s="311">
        <v>1984</v>
      </c>
      <c r="H8527" s="340" t="s">
        <v>3</v>
      </c>
      <c r="I8527" s="313" t="s">
        <v>11061</v>
      </c>
      <c r="J8527" s="314">
        <v>5.97</v>
      </c>
      <c r="K8527" s="314">
        <v>4.5199999999999996</v>
      </c>
      <c r="L8527" s="350">
        <f t="shared" si="116"/>
        <v>1.4500000000000002</v>
      </c>
      <c r="M8527" s="337"/>
    </row>
    <row r="8528" spans="1:13" s="71" customFormat="1" ht="26.4" customHeight="1">
      <c r="A8528" s="282">
        <v>327</v>
      </c>
      <c r="B8528" s="537"/>
      <c r="C8528" s="307" t="s">
        <v>28</v>
      </c>
      <c r="D8528" s="307" t="s">
        <v>11062</v>
      </c>
      <c r="E8528" s="260" t="s">
        <v>11063</v>
      </c>
      <c r="F8528" s="310">
        <v>284</v>
      </c>
      <c r="G8528" s="311">
        <v>1984</v>
      </c>
      <c r="H8528" s="340" t="s">
        <v>3</v>
      </c>
      <c r="I8528" s="313" t="s">
        <v>11064</v>
      </c>
      <c r="J8528" s="314">
        <v>4.9290000000000003</v>
      </c>
      <c r="K8528" s="314">
        <v>3.476</v>
      </c>
      <c r="L8528" s="350">
        <f t="shared" si="116"/>
        <v>1.4530000000000003</v>
      </c>
      <c r="M8528" s="337"/>
    </row>
    <row r="8529" spans="1:13" s="71" customFormat="1" ht="26.4" customHeight="1">
      <c r="A8529" s="282">
        <v>328</v>
      </c>
      <c r="B8529" s="537"/>
      <c r="C8529" s="307" t="s">
        <v>28</v>
      </c>
      <c r="D8529" s="307" t="s">
        <v>10813</v>
      </c>
      <c r="E8529" s="260" t="s">
        <v>11065</v>
      </c>
      <c r="F8529" s="310">
        <v>285</v>
      </c>
      <c r="G8529" s="311">
        <v>1984</v>
      </c>
      <c r="H8529" s="340" t="s">
        <v>3</v>
      </c>
      <c r="I8529" s="313" t="s">
        <v>11066</v>
      </c>
      <c r="J8529" s="314">
        <v>2.093</v>
      </c>
      <c r="K8529" s="314">
        <v>1.8879999999999999</v>
      </c>
      <c r="L8529" s="350">
        <f t="shared" si="116"/>
        <v>0.20500000000000007</v>
      </c>
      <c r="M8529" s="337"/>
    </row>
    <row r="8530" spans="1:13" s="71" customFormat="1" ht="26.4" customHeight="1">
      <c r="A8530" s="282">
        <v>329</v>
      </c>
      <c r="B8530" s="537"/>
      <c r="C8530" s="307" t="s">
        <v>28</v>
      </c>
      <c r="D8530" s="307" t="s">
        <v>11067</v>
      </c>
      <c r="E8530" s="260" t="s">
        <v>11068</v>
      </c>
      <c r="F8530" s="310">
        <v>286</v>
      </c>
      <c r="G8530" s="311">
        <v>1984</v>
      </c>
      <c r="H8530" s="340" t="s">
        <v>3</v>
      </c>
      <c r="I8530" s="313" t="s">
        <v>11069</v>
      </c>
      <c r="J8530" s="314">
        <v>5.1150000000000002</v>
      </c>
      <c r="K8530" s="314">
        <v>4.1749999999999998</v>
      </c>
      <c r="L8530" s="350">
        <f t="shared" si="116"/>
        <v>0.94000000000000039</v>
      </c>
      <c r="M8530" s="337"/>
    </row>
    <row r="8531" spans="1:13" s="71" customFormat="1" ht="26.4" customHeight="1">
      <c r="A8531" s="282">
        <v>330</v>
      </c>
      <c r="B8531" s="537"/>
      <c r="C8531" s="307" t="s">
        <v>28</v>
      </c>
      <c r="D8531" s="307" t="s">
        <v>11070</v>
      </c>
      <c r="E8531" s="260" t="s">
        <v>11071</v>
      </c>
      <c r="F8531" s="310">
        <v>287</v>
      </c>
      <c r="G8531" s="311">
        <v>1984</v>
      </c>
      <c r="H8531" s="340" t="s">
        <v>3</v>
      </c>
      <c r="I8531" s="313" t="s">
        <v>11072</v>
      </c>
      <c r="J8531" s="314">
        <v>6.0780000000000003</v>
      </c>
      <c r="K8531" s="314">
        <v>4.6280000000000001</v>
      </c>
      <c r="L8531" s="350">
        <f t="shared" si="116"/>
        <v>1.4500000000000002</v>
      </c>
      <c r="M8531" s="337"/>
    </row>
    <row r="8532" spans="1:13" s="71" customFormat="1" ht="26.4" customHeight="1">
      <c r="A8532" s="282">
        <v>331</v>
      </c>
      <c r="B8532" s="537"/>
      <c r="C8532" s="307" t="s">
        <v>28</v>
      </c>
      <c r="D8532" s="307" t="s">
        <v>11073</v>
      </c>
      <c r="E8532" s="260" t="s">
        <v>11074</v>
      </c>
      <c r="F8532" s="310">
        <v>288</v>
      </c>
      <c r="G8532" s="311">
        <v>1984</v>
      </c>
      <c r="H8532" s="340" t="s">
        <v>3</v>
      </c>
      <c r="I8532" s="313" t="s">
        <v>11075</v>
      </c>
      <c r="J8532" s="314">
        <v>3.7970000000000002</v>
      </c>
      <c r="K8532" s="314">
        <v>2.9769999999999999</v>
      </c>
      <c r="L8532" s="350">
        <f t="shared" si="116"/>
        <v>0.82000000000000028</v>
      </c>
      <c r="M8532" s="337"/>
    </row>
    <row r="8533" spans="1:13" s="71" customFormat="1" ht="26.4" customHeight="1">
      <c r="A8533" s="282">
        <v>332</v>
      </c>
      <c r="B8533" s="537"/>
      <c r="C8533" s="307" t="s">
        <v>28</v>
      </c>
      <c r="D8533" s="307" t="s">
        <v>11076</v>
      </c>
      <c r="E8533" s="260" t="s">
        <v>11077</v>
      </c>
      <c r="F8533" s="310">
        <v>289</v>
      </c>
      <c r="G8533" s="311">
        <v>1984</v>
      </c>
      <c r="H8533" s="340" t="s">
        <v>3</v>
      </c>
      <c r="I8533" s="313" t="s">
        <v>11078</v>
      </c>
      <c r="J8533" s="314">
        <v>6.35</v>
      </c>
      <c r="K8533" s="314">
        <v>5.9960000000000004</v>
      </c>
      <c r="L8533" s="350">
        <f t="shared" si="116"/>
        <v>0.3539999999999992</v>
      </c>
      <c r="M8533" s="337"/>
    </row>
    <row r="8534" spans="1:13" s="71" customFormat="1" ht="26.4" customHeight="1">
      <c r="A8534" s="282">
        <v>333</v>
      </c>
      <c r="B8534" s="537"/>
      <c r="C8534" s="307" t="s">
        <v>28</v>
      </c>
      <c r="D8534" s="307" t="s">
        <v>11079</v>
      </c>
      <c r="E8534" s="260" t="s">
        <v>11080</v>
      </c>
      <c r="F8534" s="310">
        <v>290</v>
      </c>
      <c r="G8534" s="311">
        <v>1984</v>
      </c>
      <c r="H8534" s="340" t="s">
        <v>3</v>
      </c>
      <c r="I8534" s="313" t="s">
        <v>11081</v>
      </c>
      <c r="J8534" s="314">
        <v>4.0540000000000003</v>
      </c>
      <c r="K8534" s="314">
        <v>3.9710000000000001</v>
      </c>
      <c r="L8534" s="350">
        <f t="shared" si="116"/>
        <v>8.3000000000000185E-2</v>
      </c>
      <c r="M8534" s="337"/>
    </row>
    <row r="8535" spans="1:13" s="71" customFormat="1" ht="26.4" customHeight="1">
      <c r="A8535" s="282">
        <v>334</v>
      </c>
      <c r="B8535" s="537"/>
      <c r="C8535" s="307" t="s">
        <v>28</v>
      </c>
      <c r="D8535" s="307" t="s">
        <v>11082</v>
      </c>
      <c r="E8535" s="260" t="s">
        <v>11083</v>
      </c>
      <c r="F8535" s="310">
        <v>291</v>
      </c>
      <c r="G8535" s="311">
        <v>1984</v>
      </c>
      <c r="H8535" s="340" t="s">
        <v>3</v>
      </c>
      <c r="I8535" s="313" t="s">
        <v>11084</v>
      </c>
      <c r="J8535" s="314">
        <v>5.8070000000000004</v>
      </c>
      <c r="K8535" s="314">
        <v>4.5540000000000003</v>
      </c>
      <c r="L8535" s="350">
        <f t="shared" si="116"/>
        <v>1.2530000000000001</v>
      </c>
      <c r="M8535" s="337"/>
    </row>
    <row r="8536" spans="1:13" s="71" customFormat="1" ht="26.4" customHeight="1">
      <c r="A8536" s="282">
        <v>335</v>
      </c>
      <c r="B8536" s="537"/>
      <c r="C8536" s="307" t="s">
        <v>28</v>
      </c>
      <c r="D8536" s="307" t="s">
        <v>11085</v>
      </c>
      <c r="E8536" s="260" t="s">
        <v>11086</v>
      </c>
      <c r="F8536" s="310">
        <v>292</v>
      </c>
      <c r="G8536" s="311">
        <v>1984</v>
      </c>
      <c r="H8536" s="340" t="s">
        <v>3</v>
      </c>
      <c r="I8536" s="313" t="s">
        <v>11087</v>
      </c>
      <c r="J8536" s="314">
        <v>4.6909999999999998</v>
      </c>
      <c r="K8536" s="314">
        <v>4.6079999999999997</v>
      </c>
      <c r="L8536" s="350">
        <f t="shared" si="116"/>
        <v>8.3000000000000185E-2</v>
      </c>
      <c r="M8536" s="337"/>
    </row>
    <row r="8537" spans="1:13" s="71" customFormat="1" ht="26.4" customHeight="1">
      <c r="A8537" s="282">
        <v>336</v>
      </c>
      <c r="B8537" s="537"/>
      <c r="C8537" s="307" t="s">
        <v>28</v>
      </c>
      <c r="D8537" s="307" t="s">
        <v>10996</v>
      </c>
      <c r="E8537" s="260" t="s">
        <v>11088</v>
      </c>
      <c r="F8537" s="310">
        <v>293</v>
      </c>
      <c r="G8537" s="311">
        <v>1984</v>
      </c>
      <c r="H8537" s="340" t="s">
        <v>3</v>
      </c>
      <c r="I8537" s="313" t="s">
        <v>11089</v>
      </c>
      <c r="J8537" s="314">
        <v>2.4929999999999999</v>
      </c>
      <c r="K8537" s="314">
        <v>2.2170000000000001</v>
      </c>
      <c r="L8537" s="350">
        <f t="shared" si="116"/>
        <v>0.2759999999999998</v>
      </c>
      <c r="M8537" s="337"/>
    </row>
    <row r="8538" spans="1:13" s="71" customFormat="1" ht="26.4" customHeight="1">
      <c r="A8538" s="282">
        <v>337</v>
      </c>
      <c r="B8538" s="537"/>
      <c r="C8538" s="307" t="s">
        <v>28</v>
      </c>
      <c r="D8538" s="307" t="s">
        <v>11090</v>
      </c>
      <c r="E8538" s="260" t="s">
        <v>11091</v>
      </c>
      <c r="F8538" s="310">
        <v>294</v>
      </c>
      <c r="G8538" s="311">
        <v>1984</v>
      </c>
      <c r="H8538" s="340" t="s">
        <v>3</v>
      </c>
      <c r="I8538" s="313" t="s">
        <v>11092</v>
      </c>
      <c r="J8538" s="314">
        <v>5.7880000000000003</v>
      </c>
      <c r="K8538" s="314">
        <v>4.9020000000000001</v>
      </c>
      <c r="L8538" s="350">
        <f t="shared" si="116"/>
        <v>0.88600000000000012</v>
      </c>
      <c r="M8538" s="337"/>
    </row>
    <row r="8539" spans="1:13" s="71" customFormat="1" ht="26.4" customHeight="1">
      <c r="A8539" s="282">
        <v>338</v>
      </c>
      <c r="B8539" s="537"/>
      <c r="C8539" s="307" t="s">
        <v>28</v>
      </c>
      <c r="D8539" s="307" t="s">
        <v>11093</v>
      </c>
      <c r="E8539" s="260" t="s">
        <v>11094</v>
      </c>
      <c r="F8539" s="310">
        <v>295</v>
      </c>
      <c r="G8539" s="311">
        <v>1985</v>
      </c>
      <c r="H8539" s="340" t="s">
        <v>3</v>
      </c>
      <c r="I8539" s="313" t="s">
        <v>11095</v>
      </c>
      <c r="J8539" s="314">
        <v>7.2119999999999997</v>
      </c>
      <c r="K8539" s="314">
        <v>5.6210000000000004</v>
      </c>
      <c r="L8539" s="350">
        <f t="shared" si="116"/>
        <v>1.5909999999999993</v>
      </c>
      <c r="M8539" s="337"/>
    </row>
    <row r="8540" spans="1:13" s="71" customFormat="1" ht="26.4" customHeight="1">
      <c r="A8540" s="282">
        <v>339</v>
      </c>
      <c r="B8540" s="537"/>
      <c r="C8540" s="307" t="s">
        <v>28</v>
      </c>
      <c r="D8540" s="307" t="s">
        <v>11096</v>
      </c>
      <c r="E8540" s="260" t="s">
        <v>11097</v>
      </c>
      <c r="F8540" s="310">
        <v>296</v>
      </c>
      <c r="G8540" s="311">
        <v>1985</v>
      </c>
      <c r="H8540" s="340" t="s">
        <v>3</v>
      </c>
      <c r="I8540" s="313" t="s">
        <v>11098</v>
      </c>
      <c r="J8540" s="314">
        <v>3.395</v>
      </c>
      <c r="K8540" s="314">
        <v>3.05</v>
      </c>
      <c r="L8540" s="350">
        <f t="shared" si="116"/>
        <v>0.3450000000000002</v>
      </c>
      <c r="M8540" s="337"/>
    </row>
    <row r="8541" spans="1:13" s="71" customFormat="1" ht="26.4" customHeight="1">
      <c r="A8541" s="282">
        <v>340</v>
      </c>
      <c r="B8541" s="537"/>
      <c r="C8541" s="307" t="s">
        <v>28</v>
      </c>
      <c r="D8541" s="307" t="s">
        <v>11099</v>
      </c>
      <c r="E8541" s="260" t="s">
        <v>11100</v>
      </c>
      <c r="F8541" s="310">
        <v>297</v>
      </c>
      <c r="G8541" s="311">
        <v>1985</v>
      </c>
      <c r="H8541" s="340" t="s">
        <v>3</v>
      </c>
      <c r="I8541" s="313" t="s">
        <v>11101</v>
      </c>
      <c r="J8541" s="314">
        <v>3.0950000000000002</v>
      </c>
      <c r="K8541" s="314">
        <v>2.859</v>
      </c>
      <c r="L8541" s="350">
        <f t="shared" si="116"/>
        <v>0.23600000000000021</v>
      </c>
      <c r="M8541" s="337"/>
    </row>
    <row r="8542" spans="1:13" s="71" customFormat="1" ht="26.4" customHeight="1">
      <c r="A8542" s="282">
        <v>341</v>
      </c>
      <c r="B8542" s="537"/>
      <c r="C8542" s="307" t="s">
        <v>28</v>
      </c>
      <c r="D8542" s="307" t="s">
        <v>11102</v>
      </c>
      <c r="E8542" s="260" t="s">
        <v>11103</v>
      </c>
      <c r="F8542" s="310">
        <v>298</v>
      </c>
      <c r="G8542" s="311">
        <v>1986</v>
      </c>
      <c r="H8542" s="340" t="s">
        <v>3</v>
      </c>
      <c r="I8542" s="313" t="s">
        <v>11104</v>
      </c>
      <c r="J8542" s="314">
        <v>8.8109999999999999</v>
      </c>
      <c r="K8542" s="314">
        <v>6.9</v>
      </c>
      <c r="L8542" s="350">
        <f t="shared" si="116"/>
        <v>1.9109999999999996</v>
      </c>
      <c r="M8542" s="337"/>
    </row>
    <row r="8543" spans="1:13" s="71" customFormat="1" ht="26.4" customHeight="1">
      <c r="A8543" s="282">
        <v>342</v>
      </c>
      <c r="B8543" s="537"/>
      <c r="C8543" s="307" t="s">
        <v>28</v>
      </c>
      <c r="D8543" s="307" t="s">
        <v>10826</v>
      </c>
      <c r="E8543" s="260" t="s">
        <v>11105</v>
      </c>
      <c r="F8543" s="310">
        <v>299</v>
      </c>
      <c r="G8543" s="311">
        <v>1986</v>
      </c>
      <c r="H8543" s="340" t="s">
        <v>3</v>
      </c>
      <c r="I8543" s="313" t="s">
        <v>11106</v>
      </c>
      <c r="J8543" s="314">
        <v>6.44</v>
      </c>
      <c r="K8543" s="314">
        <v>5.0439999999999996</v>
      </c>
      <c r="L8543" s="350">
        <f t="shared" si="116"/>
        <v>1.3960000000000008</v>
      </c>
      <c r="M8543" s="337"/>
    </row>
    <row r="8544" spans="1:13" s="71" customFormat="1" ht="26.4" customHeight="1">
      <c r="A8544" s="282">
        <v>343</v>
      </c>
      <c r="B8544" s="537"/>
      <c r="C8544" s="307" t="s">
        <v>28</v>
      </c>
      <c r="D8544" s="307" t="s">
        <v>11107</v>
      </c>
      <c r="E8544" s="260" t="s">
        <v>11108</v>
      </c>
      <c r="F8544" s="310">
        <v>300</v>
      </c>
      <c r="G8544" s="311">
        <v>1986</v>
      </c>
      <c r="H8544" s="340" t="s">
        <v>3</v>
      </c>
      <c r="I8544" s="313" t="s">
        <v>11109</v>
      </c>
      <c r="J8544" s="314">
        <v>8.3979999999999997</v>
      </c>
      <c r="K8544" s="314">
        <v>6.577</v>
      </c>
      <c r="L8544" s="350">
        <f t="shared" si="116"/>
        <v>1.8209999999999997</v>
      </c>
      <c r="M8544" s="337"/>
    </row>
    <row r="8545" spans="1:13" s="71" customFormat="1" ht="26.4" customHeight="1">
      <c r="A8545" s="282">
        <v>344</v>
      </c>
      <c r="B8545" s="537"/>
      <c r="C8545" s="307" t="s">
        <v>28</v>
      </c>
      <c r="D8545" s="307" t="s">
        <v>11110</v>
      </c>
      <c r="E8545" s="260" t="s">
        <v>11111</v>
      </c>
      <c r="F8545" s="310">
        <v>301</v>
      </c>
      <c r="G8545" s="311">
        <v>1987</v>
      </c>
      <c r="H8545" s="340" t="s">
        <v>3</v>
      </c>
      <c r="I8545" s="313" t="s">
        <v>11112</v>
      </c>
      <c r="J8545" s="314">
        <v>3.0059999999999998</v>
      </c>
      <c r="K8545" s="314">
        <v>2.923</v>
      </c>
      <c r="L8545" s="350">
        <f t="shared" si="116"/>
        <v>8.2999999999999741E-2</v>
      </c>
      <c r="M8545" s="337"/>
    </row>
    <row r="8546" spans="1:13" s="71" customFormat="1" ht="26.4" customHeight="1">
      <c r="A8546" s="282">
        <v>345</v>
      </c>
      <c r="B8546" s="537"/>
      <c r="C8546" s="307" t="s">
        <v>28</v>
      </c>
      <c r="D8546" s="307" t="s">
        <v>11113</v>
      </c>
      <c r="E8546" s="260" t="s">
        <v>11114</v>
      </c>
      <c r="F8546" s="310">
        <v>302</v>
      </c>
      <c r="G8546" s="311">
        <v>1987</v>
      </c>
      <c r="H8546" s="340" t="s">
        <v>3</v>
      </c>
      <c r="I8546" s="313" t="s">
        <v>11115</v>
      </c>
      <c r="J8546" s="314">
        <v>2.8610000000000002</v>
      </c>
      <c r="K8546" s="314">
        <v>2.5499999999999998</v>
      </c>
      <c r="L8546" s="350">
        <f t="shared" si="116"/>
        <v>0.31100000000000039</v>
      </c>
      <c r="M8546" s="337"/>
    </row>
    <row r="8547" spans="1:13" s="71" customFormat="1" ht="26.4" customHeight="1">
      <c r="A8547" s="282">
        <v>346</v>
      </c>
      <c r="B8547" s="537"/>
      <c r="C8547" s="307" t="s">
        <v>28</v>
      </c>
      <c r="D8547" s="307" t="s">
        <v>11116</v>
      </c>
      <c r="E8547" s="260" t="s">
        <v>11117</v>
      </c>
      <c r="F8547" s="310">
        <v>303</v>
      </c>
      <c r="G8547" s="311">
        <v>1987</v>
      </c>
      <c r="H8547" s="340" t="s">
        <v>3</v>
      </c>
      <c r="I8547" s="313" t="s">
        <v>11118</v>
      </c>
      <c r="J8547" s="314">
        <v>3.8530000000000002</v>
      </c>
      <c r="K8547" s="314">
        <v>2.984</v>
      </c>
      <c r="L8547" s="350">
        <f t="shared" si="116"/>
        <v>0.86900000000000022</v>
      </c>
      <c r="M8547" s="337"/>
    </row>
    <row r="8548" spans="1:13" s="71" customFormat="1" ht="26.4" customHeight="1">
      <c r="A8548" s="282">
        <v>347</v>
      </c>
      <c r="B8548" s="537"/>
      <c r="C8548" s="307" t="s">
        <v>28</v>
      </c>
      <c r="D8548" s="307" t="s">
        <v>11119</v>
      </c>
      <c r="E8548" s="260" t="s">
        <v>11120</v>
      </c>
      <c r="F8548" s="310">
        <v>304</v>
      </c>
      <c r="G8548" s="311">
        <v>1987</v>
      </c>
      <c r="H8548" s="340" t="s">
        <v>3</v>
      </c>
      <c r="I8548" s="313" t="s">
        <v>11121</v>
      </c>
      <c r="J8548" s="314">
        <v>3.5249999999999999</v>
      </c>
      <c r="K8548" s="314">
        <v>2.9809999999999999</v>
      </c>
      <c r="L8548" s="350">
        <f t="shared" si="116"/>
        <v>0.54400000000000004</v>
      </c>
      <c r="M8548" s="337"/>
    </row>
    <row r="8549" spans="1:13" s="71" customFormat="1" ht="26.4" customHeight="1">
      <c r="A8549" s="282">
        <v>348</v>
      </c>
      <c r="B8549" s="537"/>
      <c r="C8549" s="307" t="s">
        <v>28</v>
      </c>
      <c r="D8549" s="307" t="s">
        <v>11122</v>
      </c>
      <c r="E8549" s="260" t="s">
        <v>11123</v>
      </c>
      <c r="F8549" s="310">
        <v>305</v>
      </c>
      <c r="G8549" s="311">
        <v>1987</v>
      </c>
      <c r="H8549" s="340" t="s">
        <v>3</v>
      </c>
      <c r="I8549" s="313" t="s">
        <v>11124</v>
      </c>
      <c r="J8549" s="314">
        <v>5.3879999999999999</v>
      </c>
      <c r="K8549" s="314">
        <v>4.3630000000000004</v>
      </c>
      <c r="L8549" s="350">
        <f t="shared" si="116"/>
        <v>1.0249999999999995</v>
      </c>
      <c r="M8549" s="337"/>
    </row>
    <row r="8550" spans="1:13" s="71" customFormat="1" ht="26.4" customHeight="1">
      <c r="A8550" s="282">
        <v>349</v>
      </c>
      <c r="B8550" s="537"/>
      <c r="C8550" s="307" t="s">
        <v>28</v>
      </c>
      <c r="D8550" s="307" t="s">
        <v>10824</v>
      </c>
      <c r="E8550" s="260" t="s">
        <v>11125</v>
      </c>
      <c r="F8550" s="310">
        <v>306</v>
      </c>
      <c r="G8550" s="311">
        <v>1987</v>
      </c>
      <c r="H8550" s="340" t="s">
        <v>3</v>
      </c>
      <c r="I8550" s="313" t="s">
        <v>11126</v>
      </c>
      <c r="J8550" s="314">
        <v>5.84</v>
      </c>
      <c r="K8550" s="314">
        <v>4.5229999999999997</v>
      </c>
      <c r="L8550" s="350">
        <f t="shared" si="116"/>
        <v>1.3170000000000002</v>
      </c>
      <c r="M8550" s="337"/>
    </row>
    <row r="8551" spans="1:13" s="71" customFormat="1" ht="26.4" customHeight="1">
      <c r="A8551" s="282">
        <v>350</v>
      </c>
      <c r="B8551" s="537"/>
      <c r="C8551" s="307" t="s">
        <v>28</v>
      </c>
      <c r="D8551" s="307" t="s">
        <v>11127</v>
      </c>
      <c r="E8551" s="260" t="s">
        <v>11128</v>
      </c>
      <c r="F8551" s="310">
        <v>307</v>
      </c>
      <c r="G8551" s="311">
        <v>1987</v>
      </c>
      <c r="H8551" s="340" t="s">
        <v>3</v>
      </c>
      <c r="I8551" s="313" t="s">
        <v>11129</v>
      </c>
      <c r="J8551" s="314">
        <v>13.266999999999999</v>
      </c>
      <c r="K8551" s="314">
        <v>10.275</v>
      </c>
      <c r="L8551" s="350">
        <f t="shared" si="116"/>
        <v>2.9919999999999991</v>
      </c>
      <c r="M8551" s="337"/>
    </row>
    <row r="8552" spans="1:13" s="71" customFormat="1" ht="26.4" customHeight="1">
      <c r="A8552" s="282">
        <v>351</v>
      </c>
      <c r="B8552" s="537"/>
      <c r="C8552" s="307" t="s">
        <v>28</v>
      </c>
      <c r="D8552" s="307" t="s">
        <v>10839</v>
      </c>
      <c r="E8552" s="260" t="s">
        <v>11130</v>
      </c>
      <c r="F8552" s="310">
        <v>308</v>
      </c>
      <c r="G8552" s="311">
        <v>1987</v>
      </c>
      <c r="H8552" s="340" t="s">
        <v>3</v>
      </c>
      <c r="I8552" s="313" t="s">
        <v>11131</v>
      </c>
      <c r="J8552" s="314">
        <v>3.7850000000000001</v>
      </c>
      <c r="K8552" s="314">
        <v>3.677</v>
      </c>
      <c r="L8552" s="350">
        <f t="shared" si="116"/>
        <v>0.1080000000000001</v>
      </c>
      <c r="M8552" s="337"/>
    </row>
    <row r="8553" spans="1:13" s="71" customFormat="1" ht="26.4" customHeight="1">
      <c r="A8553" s="282">
        <v>352</v>
      </c>
      <c r="B8553" s="537"/>
      <c r="C8553" s="307" t="s">
        <v>28</v>
      </c>
      <c r="D8553" s="307" t="s">
        <v>12835</v>
      </c>
      <c r="E8553" s="260" t="s">
        <v>11132</v>
      </c>
      <c r="F8553" s="310">
        <v>309</v>
      </c>
      <c r="G8553" s="311">
        <v>1987</v>
      </c>
      <c r="H8553" s="340" t="s">
        <v>3</v>
      </c>
      <c r="I8553" s="313" t="s">
        <v>11133</v>
      </c>
      <c r="J8553" s="314">
        <v>9.202</v>
      </c>
      <c r="K8553" s="314">
        <v>7.0810000000000004</v>
      </c>
      <c r="L8553" s="350">
        <f t="shared" si="116"/>
        <v>2.1209999999999996</v>
      </c>
      <c r="M8553" s="337"/>
    </row>
    <row r="8554" spans="1:13" s="71" customFormat="1" ht="26.4" customHeight="1">
      <c r="A8554" s="282">
        <v>353</v>
      </c>
      <c r="B8554" s="537"/>
      <c r="C8554" s="307" t="s">
        <v>28</v>
      </c>
      <c r="D8554" s="307" t="s">
        <v>11134</v>
      </c>
      <c r="E8554" s="260" t="s">
        <v>11135</v>
      </c>
      <c r="F8554" s="310">
        <v>310</v>
      </c>
      <c r="G8554" s="311">
        <v>1987</v>
      </c>
      <c r="H8554" s="340" t="s">
        <v>3</v>
      </c>
      <c r="I8554" s="313" t="s">
        <v>11136</v>
      </c>
      <c r="J8554" s="314">
        <v>5.36</v>
      </c>
      <c r="K8554" s="314">
        <v>4.1239999999999997</v>
      </c>
      <c r="L8554" s="350">
        <f t="shared" si="116"/>
        <v>1.2360000000000007</v>
      </c>
      <c r="M8554" s="337"/>
    </row>
    <row r="8555" spans="1:13" s="71" customFormat="1" ht="39" customHeight="1">
      <c r="A8555" s="282">
        <v>354</v>
      </c>
      <c r="B8555" s="537"/>
      <c r="C8555" s="307" t="s">
        <v>28</v>
      </c>
      <c r="D8555" s="307" t="s">
        <v>12896</v>
      </c>
      <c r="E8555" s="260" t="s">
        <v>11137</v>
      </c>
      <c r="F8555" s="310">
        <v>312</v>
      </c>
      <c r="G8555" s="311">
        <v>1988</v>
      </c>
      <c r="H8555" s="340" t="s">
        <v>3</v>
      </c>
      <c r="I8555" s="313" t="s">
        <v>11138</v>
      </c>
      <c r="J8555" s="314">
        <v>39.677</v>
      </c>
      <c r="K8555" s="314">
        <v>30.532</v>
      </c>
      <c r="L8555" s="350">
        <f t="shared" si="116"/>
        <v>9.1449999999999996</v>
      </c>
      <c r="M8555" s="337"/>
    </row>
    <row r="8556" spans="1:13" s="71" customFormat="1" ht="26.4" customHeight="1">
      <c r="A8556" s="282">
        <v>355</v>
      </c>
      <c r="B8556" s="537"/>
      <c r="C8556" s="307" t="s">
        <v>28</v>
      </c>
      <c r="D8556" s="307" t="s">
        <v>11139</v>
      </c>
      <c r="E8556" s="260" t="s">
        <v>11140</v>
      </c>
      <c r="F8556" s="310">
        <v>313</v>
      </c>
      <c r="G8556" s="311">
        <v>1989</v>
      </c>
      <c r="H8556" s="340" t="s">
        <v>3</v>
      </c>
      <c r="I8556" s="313" t="s">
        <v>11141</v>
      </c>
      <c r="J8556" s="314">
        <v>3.5059999999999998</v>
      </c>
      <c r="K8556" s="314">
        <v>2.6379999999999999</v>
      </c>
      <c r="L8556" s="350">
        <f t="shared" si="116"/>
        <v>0.86799999999999988</v>
      </c>
      <c r="M8556" s="337"/>
    </row>
    <row r="8557" spans="1:13" s="71" customFormat="1" ht="26.4" customHeight="1">
      <c r="A8557" s="282">
        <v>356</v>
      </c>
      <c r="B8557" s="537"/>
      <c r="C8557" s="307" t="s">
        <v>28</v>
      </c>
      <c r="D8557" s="307" t="s">
        <v>11085</v>
      </c>
      <c r="E8557" s="260" t="s">
        <v>11142</v>
      </c>
      <c r="F8557" s="310">
        <v>314</v>
      </c>
      <c r="G8557" s="311">
        <v>1989</v>
      </c>
      <c r="H8557" s="340" t="s">
        <v>3</v>
      </c>
      <c r="I8557" s="313" t="s">
        <v>11143</v>
      </c>
      <c r="J8557" s="314">
        <v>3.8639999999999999</v>
      </c>
      <c r="K8557" s="314">
        <v>2.9079999999999999</v>
      </c>
      <c r="L8557" s="350">
        <f t="shared" si="116"/>
        <v>0.95599999999999996</v>
      </c>
      <c r="M8557" s="337"/>
    </row>
    <row r="8558" spans="1:13" s="71" customFormat="1" ht="26.4" customHeight="1">
      <c r="A8558" s="282">
        <v>357</v>
      </c>
      <c r="B8558" s="537"/>
      <c r="C8558" s="307" t="s">
        <v>28</v>
      </c>
      <c r="D8558" s="307" t="s">
        <v>11144</v>
      </c>
      <c r="E8558" s="260" t="s">
        <v>11145</v>
      </c>
      <c r="F8558" s="310">
        <v>315</v>
      </c>
      <c r="G8558" s="311">
        <v>1989</v>
      </c>
      <c r="H8558" s="340" t="s">
        <v>3</v>
      </c>
      <c r="I8558" s="313" t="s">
        <v>11146</v>
      </c>
      <c r="J8558" s="314">
        <v>3.7410000000000001</v>
      </c>
      <c r="K8558" s="314">
        <v>2.81</v>
      </c>
      <c r="L8558" s="350">
        <f t="shared" si="116"/>
        <v>0.93100000000000005</v>
      </c>
      <c r="M8558" s="337"/>
    </row>
    <row r="8559" spans="1:13" s="71" customFormat="1" ht="26.4" customHeight="1">
      <c r="A8559" s="282">
        <v>358</v>
      </c>
      <c r="B8559" s="537"/>
      <c r="C8559" s="307" t="s">
        <v>28</v>
      </c>
      <c r="D8559" s="307" t="s">
        <v>11147</v>
      </c>
      <c r="E8559" s="260" t="s">
        <v>11148</v>
      </c>
      <c r="F8559" s="310">
        <v>316</v>
      </c>
      <c r="G8559" s="311">
        <v>1989</v>
      </c>
      <c r="H8559" s="340" t="s">
        <v>3</v>
      </c>
      <c r="I8559" s="313" t="s">
        <v>11149</v>
      </c>
      <c r="J8559" s="314">
        <v>184.91800000000001</v>
      </c>
      <c r="K8559" s="314">
        <v>132.31299999999999</v>
      </c>
      <c r="L8559" s="350">
        <f t="shared" si="116"/>
        <v>52.605000000000018</v>
      </c>
      <c r="M8559" s="337"/>
    </row>
    <row r="8560" spans="1:13" s="71" customFormat="1" ht="26.4" customHeight="1">
      <c r="A8560" s="282">
        <v>359</v>
      </c>
      <c r="B8560" s="537"/>
      <c r="C8560" s="307" t="s">
        <v>28</v>
      </c>
      <c r="D8560" s="307" t="s">
        <v>11150</v>
      </c>
      <c r="E8560" s="260" t="s">
        <v>11151</v>
      </c>
      <c r="F8560" s="310">
        <v>317</v>
      </c>
      <c r="G8560" s="311">
        <v>1990</v>
      </c>
      <c r="H8560" s="340" t="s">
        <v>3</v>
      </c>
      <c r="I8560" s="313" t="s">
        <v>11152</v>
      </c>
      <c r="J8560" s="314">
        <v>3.4390000000000001</v>
      </c>
      <c r="K8560" s="314">
        <v>2.5569999999999999</v>
      </c>
      <c r="L8560" s="350">
        <f t="shared" si="116"/>
        <v>0.88200000000000012</v>
      </c>
      <c r="M8560" s="337"/>
    </row>
    <row r="8561" spans="1:13" s="332" customFormat="1" ht="26.4" customHeight="1">
      <c r="A8561" s="445">
        <v>360</v>
      </c>
      <c r="B8561" s="537"/>
      <c r="C8561" s="313" t="s">
        <v>28</v>
      </c>
      <c r="D8561" s="313" t="s">
        <v>11153</v>
      </c>
      <c r="E8561" s="444" t="s">
        <v>11154</v>
      </c>
      <c r="F8561" s="310">
        <v>318</v>
      </c>
      <c r="G8561" s="311">
        <v>1990</v>
      </c>
      <c r="H8561" s="340" t="s">
        <v>3</v>
      </c>
      <c r="I8561" s="313" t="s">
        <v>11155</v>
      </c>
      <c r="J8561" s="314">
        <v>4.7460000000000004</v>
      </c>
      <c r="K8561" s="314">
        <v>3.53</v>
      </c>
      <c r="L8561" s="350">
        <f t="shared" si="116"/>
        <v>1.2160000000000006</v>
      </c>
      <c r="M8561" s="331"/>
    </row>
    <row r="8562" spans="1:13" s="71" customFormat="1" ht="26.4" customHeight="1">
      <c r="A8562" s="282">
        <v>361</v>
      </c>
      <c r="B8562" s="537"/>
      <c r="C8562" s="307" t="s">
        <v>28</v>
      </c>
      <c r="D8562" s="307" t="s">
        <v>11156</v>
      </c>
      <c r="E8562" s="260" t="s">
        <v>11157</v>
      </c>
      <c r="F8562" s="310">
        <v>319</v>
      </c>
      <c r="G8562" s="311">
        <v>1990</v>
      </c>
      <c r="H8562" s="340" t="s">
        <v>3</v>
      </c>
      <c r="I8562" s="313" t="s">
        <v>11158</v>
      </c>
      <c r="J8562" s="314">
        <v>9.2129999999999992</v>
      </c>
      <c r="K8562" s="314">
        <v>6.8209999999999997</v>
      </c>
      <c r="L8562" s="350">
        <f t="shared" si="116"/>
        <v>2.3919999999999995</v>
      </c>
      <c r="M8562" s="337"/>
    </row>
    <row r="8563" spans="1:13" s="71" customFormat="1" ht="26.4" customHeight="1">
      <c r="A8563" s="282">
        <v>362</v>
      </c>
      <c r="B8563" s="537"/>
      <c r="C8563" s="307" t="s">
        <v>28</v>
      </c>
      <c r="D8563" s="307" t="s">
        <v>11159</v>
      </c>
      <c r="E8563" s="260" t="s">
        <v>11160</v>
      </c>
      <c r="F8563" s="310">
        <v>320</v>
      </c>
      <c r="G8563" s="311">
        <v>1991</v>
      </c>
      <c r="H8563" s="340" t="s">
        <v>3</v>
      </c>
      <c r="I8563" s="313" t="s">
        <v>11161</v>
      </c>
      <c r="J8563" s="314">
        <v>6.2439999999999998</v>
      </c>
      <c r="K8563" s="314">
        <v>4.9630000000000001</v>
      </c>
      <c r="L8563" s="350">
        <f t="shared" si="116"/>
        <v>1.2809999999999997</v>
      </c>
      <c r="M8563" s="337"/>
    </row>
    <row r="8564" spans="1:13" s="71" customFormat="1" ht="26.4" customHeight="1">
      <c r="A8564" s="282">
        <v>363</v>
      </c>
      <c r="B8564" s="537"/>
      <c r="C8564" s="307" t="s">
        <v>28</v>
      </c>
      <c r="D8564" s="307" t="s">
        <v>11162</v>
      </c>
      <c r="E8564" s="260" t="s">
        <v>11163</v>
      </c>
      <c r="F8564" s="310">
        <v>321</v>
      </c>
      <c r="G8564" s="311">
        <v>1991</v>
      </c>
      <c r="H8564" s="340" t="s">
        <v>3</v>
      </c>
      <c r="I8564" s="313" t="s">
        <v>11164</v>
      </c>
      <c r="J8564" s="314">
        <v>15.88</v>
      </c>
      <c r="K8564" s="314">
        <v>11.757</v>
      </c>
      <c r="L8564" s="350">
        <f t="shared" si="116"/>
        <v>4.1230000000000011</v>
      </c>
      <c r="M8564" s="337"/>
    </row>
    <row r="8565" spans="1:13" s="71" customFormat="1" ht="26.4" customHeight="1">
      <c r="A8565" s="282">
        <v>364</v>
      </c>
      <c r="B8565" s="537"/>
      <c r="C8565" s="307" t="s">
        <v>28</v>
      </c>
      <c r="D8565" s="307" t="s">
        <v>11165</v>
      </c>
      <c r="E8565" s="260" t="s">
        <v>11166</v>
      </c>
      <c r="F8565" s="310">
        <v>322</v>
      </c>
      <c r="G8565" s="311">
        <v>1991</v>
      </c>
      <c r="H8565" s="340" t="s">
        <v>3</v>
      </c>
      <c r="I8565" s="313" t="s">
        <v>11167</v>
      </c>
      <c r="J8565" s="314">
        <v>1.4810000000000001</v>
      </c>
      <c r="K8565" s="314">
        <v>1.462</v>
      </c>
      <c r="L8565" s="350">
        <f t="shared" si="116"/>
        <v>1.9000000000000128E-2</v>
      </c>
      <c r="M8565" s="337"/>
    </row>
    <row r="8566" spans="1:13" s="71" customFormat="1" ht="26.4" customHeight="1">
      <c r="A8566" s="282">
        <v>365</v>
      </c>
      <c r="B8566" s="537"/>
      <c r="C8566" s="307" t="s">
        <v>28</v>
      </c>
      <c r="D8566" s="307" t="s">
        <v>10893</v>
      </c>
      <c r="E8566" s="260" t="s">
        <v>11168</v>
      </c>
      <c r="F8566" s="310">
        <v>323</v>
      </c>
      <c r="G8566" s="311">
        <v>1992</v>
      </c>
      <c r="H8566" s="340" t="s">
        <v>3</v>
      </c>
      <c r="I8566" s="313" t="s">
        <v>11169</v>
      </c>
      <c r="J8566" s="314">
        <v>5.1449999999999996</v>
      </c>
      <c r="K8566" s="314">
        <v>5.0199999999999996</v>
      </c>
      <c r="L8566" s="350">
        <f t="shared" si="116"/>
        <v>0.125</v>
      </c>
      <c r="M8566" s="337"/>
    </row>
    <row r="8567" spans="1:13" s="71" customFormat="1" ht="26.4" customHeight="1">
      <c r="A8567" s="282">
        <v>366</v>
      </c>
      <c r="B8567" s="537"/>
      <c r="C8567" s="307" t="s">
        <v>28</v>
      </c>
      <c r="D8567" s="307" t="s">
        <v>10899</v>
      </c>
      <c r="E8567" s="260" t="s">
        <v>11170</v>
      </c>
      <c r="F8567" s="310">
        <v>324</v>
      </c>
      <c r="G8567" s="311">
        <v>1992</v>
      </c>
      <c r="H8567" s="340" t="s">
        <v>3</v>
      </c>
      <c r="I8567" s="313" t="s">
        <v>11133</v>
      </c>
      <c r="J8567" s="314">
        <v>50.325000000000003</v>
      </c>
      <c r="K8567" s="314">
        <v>36.183</v>
      </c>
      <c r="L8567" s="350">
        <f t="shared" si="116"/>
        <v>14.142000000000003</v>
      </c>
      <c r="M8567" s="337"/>
    </row>
    <row r="8568" spans="1:13" s="71" customFormat="1" ht="26.4" customHeight="1">
      <c r="A8568" s="282">
        <v>367</v>
      </c>
      <c r="B8568" s="537"/>
      <c r="C8568" s="307" t="s">
        <v>28</v>
      </c>
      <c r="D8568" s="307" t="s">
        <v>11171</v>
      </c>
      <c r="E8568" s="260" t="s">
        <v>11172</v>
      </c>
      <c r="F8568" s="310">
        <v>325</v>
      </c>
      <c r="G8568" s="311">
        <v>1992</v>
      </c>
      <c r="H8568" s="340" t="s">
        <v>3</v>
      </c>
      <c r="I8568" s="313" t="s">
        <v>11173</v>
      </c>
      <c r="J8568" s="314">
        <v>35.317999999999998</v>
      </c>
      <c r="K8568" s="314">
        <v>25.391999999999999</v>
      </c>
      <c r="L8568" s="350">
        <f t="shared" si="116"/>
        <v>9.9259999999999984</v>
      </c>
      <c r="M8568" s="337"/>
    </row>
    <row r="8569" spans="1:13" s="71" customFormat="1" ht="26.4" customHeight="1">
      <c r="A8569" s="282">
        <v>368</v>
      </c>
      <c r="B8569" s="537"/>
      <c r="C8569" s="307" t="s">
        <v>28</v>
      </c>
      <c r="D8569" s="307" t="s">
        <v>11134</v>
      </c>
      <c r="E8569" s="260" t="s">
        <v>11174</v>
      </c>
      <c r="F8569" s="310">
        <v>326</v>
      </c>
      <c r="G8569" s="311">
        <v>1993</v>
      </c>
      <c r="H8569" s="340" t="s">
        <v>3</v>
      </c>
      <c r="I8569" s="313" t="s">
        <v>11175</v>
      </c>
      <c r="J8569" s="314">
        <v>4.7190000000000003</v>
      </c>
      <c r="K8569" s="314">
        <v>3.2690000000000001</v>
      </c>
      <c r="L8569" s="350">
        <f t="shared" si="116"/>
        <v>1.4500000000000002</v>
      </c>
      <c r="M8569" s="337"/>
    </row>
    <row r="8570" spans="1:13" s="71" customFormat="1" ht="26.4" customHeight="1">
      <c r="A8570" s="282">
        <v>369</v>
      </c>
      <c r="B8570" s="537"/>
      <c r="C8570" s="307" t="s">
        <v>28</v>
      </c>
      <c r="D8570" s="307" t="s">
        <v>11176</v>
      </c>
      <c r="E8570" s="260" t="s">
        <v>11177</v>
      </c>
      <c r="F8570" s="310">
        <v>327</v>
      </c>
      <c r="G8570" s="311">
        <v>1993</v>
      </c>
      <c r="H8570" s="340" t="s">
        <v>3</v>
      </c>
      <c r="I8570" s="313" t="s">
        <v>11178</v>
      </c>
      <c r="J8570" s="314">
        <v>2.1560000000000001</v>
      </c>
      <c r="K8570" s="314">
        <v>1.794</v>
      </c>
      <c r="L8570" s="350">
        <f t="shared" si="116"/>
        <v>0.3620000000000001</v>
      </c>
      <c r="M8570" s="337"/>
    </row>
    <row r="8571" spans="1:13" s="71" customFormat="1" ht="26.4" customHeight="1">
      <c r="A8571" s="282">
        <v>370</v>
      </c>
      <c r="B8571" s="537"/>
      <c r="C8571" s="307" t="s">
        <v>28</v>
      </c>
      <c r="D8571" s="307" t="s">
        <v>11179</v>
      </c>
      <c r="E8571" s="260" t="s">
        <v>11180</v>
      </c>
      <c r="F8571" s="310">
        <v>328</v>
      </c>
      <c r="G8571" s="311">
        <v>1993</v>
      </c>
      <c r="H8571" s="340" t="s">
        <v>3</v>
      </c>
      <c r="I8571" s="313" t="s">
        <v>11181</v>
      </c>
      <c r="J8571" s="314">
        <v>3.5539999999999998</v>
      </c>
      <c r="K8571" s="314">
        <v>2.1040000000000001</v>
      </c>
      <c r="L8571" s="350">
        <f t="shared" si="116"/>
        <v>1.4499999999999997</v>
      </c>
      <c r="M8571" s="337"/>
    </row>
    <row r="8572" spans="1:13" s="71" customFormat="1" ht="26.4" customHeight="1">
      <c r="A8572" s="282">
        <v>371</v>
      </c>
      <c r="B8572" s="537"/>
      <c r="C8572" s="307" t="s">
        <v>28</v>
      </c>
      <c r="D8572" s="307" t="s">
        <v>10911</v>
      </c>
      <c r="E8572" s="260" t="s">
        <v>11182</v>
      </c>
      <c r="F8572" s="310">
        <v>329</v>
      </c>
      <c r="G8572" s="311">
        <v>1993</v>
      </c>
      <c r="H8572" s="340" t="s">
        <v>3</v>
      </c>
      <c r="I8572" s="313" t="s">
        <v>11183</v>
      </c>
      <c r="J8572" s="314">
        <v>4.37</v>
      </c>
      <c r="K8572" s="314">
        <v>2.92</v>
      </c>
      <c r="L8572" s="350">
        <f t="shared" si="116"/>
        <v>1.4500000000000002</v>
      </c>
      <c r="M8572" s="337"/>
    </row>
    <row r="8573" spans="1:13" s="71" customFormat="1" ht="26.4" customHeight="1">
      <c r="A8573" s="282">
        <v>372</v>
      </c>
      <c r="B8573" s="537"/>
      <c r="C8573" s="307" t="s">
        <v>28</v>
      </c>
      <c r="D8573" s="307" t="s">
        <v>11184</v>
      </c>
      <c r="E8573" s="260" t="s">
        <v>11185</v>
      </c>
      <c r="F8573" s="310">
        <v>330</v>
      </c>
      <c r="G8573" s="311">
        <v>1995</v>
      </c>
      <c r="H8573" s="340" t="s">
        <v>3</v>
      </c>
      <c r="I8573" s="313" t="s">
        <v>11186</v>
      </c>
      <c r="J8573" s="314">
        <v>4.734</v>
      </c>
      <c r="K8573" s="314">
        <v>3.294</v>
      </c>
      <c r="L8573" s="350">
        <f t="shared" si="116"/>
        <v>1.44</v>
      </c>
      <c r="M8573" s="337"/>
    </row>
    <row r="8574" spans="1:13" s="71" customFormat="1" ht="26.4" customHeight="1">
      <c r="A8574" s="282">
        <v>373</v>
      </c>
      <c r="B8574" s="537"/>
      <c r="C8574" s="307" t="s">
        <v>28</v>
      </c>
      <c r="D8574" s="307" t="s">
        <v>11187</v>
      </c>
      <c r="E8574" s="260" t="s">
        <v>11188</v>
      </c>
      <c r="F8574" s="310">
        <v>331</v>
      </c>
      <c r="G8574" s="311">
        <v>1995</v>
      </c>
      <c r="H8574" s="340" t="s">
        <v>3</v>
      </c>
      <c r="I8574" s="313" t="s">
        <v>11189</v>
      </c>
      <c r="J8574" s="314">
        <v>1.2829999999999999</v>
      </c>
      <c r="K8574" s="314">
        <v>1.2410000000000001</v>
      </c>
      <c r="L8574" s="350">
        <f t="shared" si="116"/>
        <v>4.1999999999999815E-2</v>
      </c>
      <c r="M8574" s="337"/>
    </row>
    <row r="8575" spans="1:13" s="71" customFormat="1" ht="26.4" customHeight="1">
      <c r="A8575" s="282">
        <v>374</v>
      </c>
      <c r="B8575" s="537"/>
      <c r="C8575" s="307" t="s">
        <v>28</v>
      </c>
      <c r="D8575" s="307" t="s">
        <v>10893</v>
      </c>
      <c r="E8575" s="260" t="s">
        <v>11190</v>
      </c>
      <c r="F8575" s="310">
        <v>332</v>
      </c>
      <c r="G8575" s="311">
        <v>1995</v>
      </c>
      <c r="H8575" s="340" t="s">
        <v>3</v>
      </c>
      <c r="I8575" s="313" t="s">
        <v>11191</v>
      </c>
      <c r="J8575" s="314">
        <v>3.6219999999999999</v>
      </c>
      <c r="K8575" s="314">
        <v>2.1720000000000002</v>
      </c>
      <c r="L8575" s="350">
        <f t="shared" si="116"/>
        <v>1.4499999999999997</v>
      </c>
      <c r="M8575" s="337"/>
    </row>
    <row r="8576" spans="1:13" s="71" customFormat="1" ht="26.4" customHeight="1">
      <c r="A8576" s="282">
        <v>375</v>
      </c>
      <c r="B8576" s="537"/>
      <c r="C8576" s="307" t="s">
        <v>28</v>
      </c>
      <c r="D8576" s="307" t="s">
        <v>11192</v>
      </c>
      <c r="E8576" s="260" t="s">
        <v>11193</v>
      </c>
      <c r="F8576" s="310">
        <v>333</v>
      </c>
      <c r="G8576" s="311">
        <v>1995</v>
      </c>
      <c r="H8576" s="340" t="s">
        <v>3</v>
      </c>
      <c r="I8576" s="313" t="s">
        <v>11194</v>
      </c>
      <c r="J8576" s="314">
        <v>4.4349999999999996</v>
      </c>
      <c r="K8576" s="314">
        <v>3.0979999999999999</v>
      </c>
      <c r="L8576" s="350">
        <f t="shared" si="116"/>
        <v>1.3369999999999997</v>
      </c>
      <c r="M8576" s="337"/>
    </row>
    <row r="8577" spans="1:13" s="71" customFormat="1" ht="26.4" customHeight="1">
      <c r="A8577" s="282">
        <v>376</v>
      </c>
      <c r="B8577" s="537"/>
      <c r="C8577" s="307" t="s">
        <v>10324</v>
      </c>
      <c r="D8577" s="307" t="s">
        <v>10731</v>
      </c>
      <c r="E8577" s="260" t="s">
        <v>11195</v>
      </c>
      <c r="F8577" s="310">
        <v>334</v>
      </c>
      <c r="G8577" s="311">
        <v>1975</v>
      </c>
      <c r="H8577" s="340" t="s">
        <v>3</v>
      </c>
      <c r="I8577" s="313" t="s">
        <v>11196</v>
      </c>
      <c r="J8577" s="314">
        <v>118.19</v>
      </c>
      <c r="K8577" s="314">
        <v>117.773</v>
      </c>
      <c r="L8577" s="350">
        <f t="shared" si="116"/>
        <v>0.41700000000000159</v>
      </c>
      <c r="M8577" s="337"/>
    </row>
    <row r="8578" spans="1:13" s="71" customFormat="1" ht="26.4" customHeight="1">
      <c r="A8578" s="282">
        <v>377</v>
      </c>
      <c r="B8578" s="537"/>
      <c r="C8578" s="307" t="s">
        <v>28</v>
      </c>
      <c r="D8578" s="307" t="s">
        <v>10731</v>
      </c>
      <c r="E8578" s="260" t="s">
        <v>11197</v>
      </c>
      <c r="F8578" s="310">
        <v>338</v>
      </c>
      <c r="G8578" s="311">
        <v>1975</v>
      </c>
      <c r="H8578" s="340" t="s">
        <v>3</v>
      </c>
      <c r="I8578" s="313" t="s">
        <v>11198</v>
      </c>
      <c r="J8578" s="314">
        <v>138.96899999999999</v>
      </c>
      <c r="K8578" s="314">
        <v>132.32</v>
      </c>
      <c r="L8578" s="350">
        <f t="shared" si="116"/>
        <v>6.6490000000000009</v>
      </c>
      <c r="M8578" s="337"/>
    </row>
    <row r="8579" spans="1:13" s="71" customFormat="1" ht="26.4" customHeight="1">
      <c r="A8579" s="282">
        <v>378</v>
      </c>
      <c r="B8579" s="537"/>
      <c r="C8579" s="307" t="s">
        <v>28</v>
      </c>
      <c r="D8579" s="307" t="s">
        <v>10731</v>
      </c>
      <c r="E8579" s="260" t="s">
        <v>11199</v>
      </c>
      <c r="F8579" s="310">
        <v>343</v>
      </c>
      <c r="G8579" s="311">
        <v>1979</v>
      </c>
      <c r="H8579" s="340" t="s">
        <v>3</v>
      </c>
      <c r="I8579" s="313" t="s">
        <v>11200</v>
      </c>
      <c r="J8579" s="314">
        <v>381.87099999999998</v>
      </c>
      <c r="K8579" s="314">
        <v>68.763999999999996</v>
      </c>
      <c r="L8579" s="350">
        <f t="shared" si="116"/>
        <v>313.10699999999997</v>
      </c>
      <c r="M8579" s="337"/>
    </row>
    <row r="8580" spans="1:13" s="71" customFormat="1" ht="26.4" customHeight="1">
      <c r="A8580" s="282">
        <v>379</v>
      </c>
      <c r="B8580" s="537"/>
      <c r="C8580" s="307" t="s">
        <v>28</v>
      </c>
      <c r="D8580" s="307" t="s">
        <v>10731</v>
      </c>
      <c r="E8580" s="260" t="s">
        <v>11201</v>
      </c>
      <c r="F8580" s="310">
        <v>344</v>
      </c>
      <c r="G8580" s="311">
        <v>1982</v>
      </c>
      <c r="H8580" s="340" t="s">
        <v>3</v>
      </c>
      <c r="I8580" s="313" t="s">
        <v>11202</v>
      </c>
      <c r="J8580" s="314">
        <v>52.61</v>
      </c>
      <c r="K8580" s="314">
        <v>45.07</v>
      </c>
      <c r="L8580" s="350">
        <f t="shared" si="116"/>
        <v>7.5399999999999991</v>
      </c>
      <c r="M8580" s="337"/>
    </row>
    <row r="8581" spans="1:13" s="71" customFormat="1" ht="26.4" customHeight="1">
      <c r="A8581" s="282">
        <v>380</v>
      </c>
      <c r="B8581" s="537"/>
      <c r="C8581" s="307" t="s">
        <v>28</v>
      </c>
      <c r="D8581" s="307" t="s">
        <v>11203</v>
      </c>
      <c r="E8581" s="260" t="s">
        <v>11204</v>
      </c>
      <c r="F8581" s="310">
        <v>350</v>
      </c>
      <c r="G8581" s="311">
        <v>1954</v>
      </c>
      <c r="H8581" s="340" t="s">
        <v>3</v>
      </c>
      <c r="I8581" s="313" t="s">
        <v>11205</v>
      </c>
      <c r="J8581" s="314">
        <v>20.806000000000001</v>
      </c>
      <c r="K8581" s="314">
        <v>20.431000000000001</v>
      </c>
      <c r="L8581" s="350">
        <f t="shared" si="116"/>
        <v>0.375</v>
      </c>
      <c r="M8581" s="337"/>
    </row>
    <row r="8582" spans="1:13" s="71" customFormat="1" ht="26.4" customHeight="1">
      <c r="A8582" s="282">
        <v>381</v>
      </c>
      <c r="B8582" s="537"/>
      <c r="C8582" s="307" t="s">
        <v>28</v>
      </c>
      <c r="D8582" s="307" t="s">
        <v>11206</v>
      </c>
      <c r="E8582" s="260" t="s">
        <v>11207</v>
      </c>
      <c r="F8582" s="310">
        <v>351</v>
      </c>
      <c r="G8582" s="311">
        <v>1955</v>
      </c>
      <c r="H8582" s="340" t="s">
        <v>3</v>
      </c>
      <c r="I8582" s="313" t="s">
        <v>11208</v>
      </c>
      <c r="J8582" s="314">
        <v>34.156999999999996</v>
      </c>
      <c r="K8582" s="314">
        <v>33.906999999999996</v>
      </c>
      <c r="L8582" s="350">
        <f t="shared" si="116"/>
        <v>0.25</v>
      </c>
      <c r="M8582" s="337"/>
    </row>
    <row r="8583" spans="1:13" s="71" customFormat="1" ht="26.4" customHeight="1">
      <c r="A8583" s="282">
        <v>382</v>
      </c>
      <c r="B8583" s="537"/>
      <c r="C8583" s="307" t="s">
        <v>28</v>
      </c>
      <c r="D8583" s="307" t="s">
        <v>11209</v>
      </c>
      <c r="E8583" s="260" t="s">
        <v>11210</v>
      </c>
      <c r="F8583" s="310">
        <v>352</v>
      </c>
      <c r="G8583" s="311">
        <v>1955</v>
      </c>
      <c r="H8583" s="340" t="s">
        <v>3</v>
      </c>
      <c r="I8583" s="313" t="s">
        <v>11211</v>
      </c>
      <c r="J8583" s="314">
        <v>19.617999999999999</v>
      </c>
      <c r="K8583" s="314">
        <v>16.646000000000001</v>
      </c>
      <c r="L8583" s="350">
        <f t="shared" si="116"/>
        <v>2.9719999999999978</v>
      </c>
      <c r="M8583" s="337"/>
    </row>
    <row r="8584" spans="1:13" s="71" customFormat="1" ht="39.75" customHeight="1">
      <c r="A8584" s="282">
        <v>383</v>
      </c>
      <c r="B8584" s="537"/>
      <c r="C8584" s="307" t="s">
        <v>28</v>
      </c>
      <c r="D8584" s="307" t="s">
        <v>11212</v>
      </c>
      <c r="E8584" s="260" t="s">
        <v>11213</v>
      </c>
      <c r="F8584" s="310">
        <v>353</v>
      </c>
      <c r="G8584" s="311">
        <v>1955</v>
      </c>
      <c r="H8584" s="340" t="s">
        <v>3</v>
      </c>
      <c r="I8584" s="313" t="s">
        <v>11214</v>
      </c>
      <c r="J8584" s="314">
        <v>158.46600000000001</v>
      </c>
      <c r="K8584" s="314">
        <v>134.88999999999999</v>
      </c>
      <c r="L8584" s="350">
        <f t="shared" si="116"/>
        <v>23.576000000000022</v>
      </c>
      <c r="M8584" s="337"/>
    </row>
    <row r="8585" spans="1:13" s="71" customFormat="1" ht="26.4" customHeight="1">
      <c r="A8585" s="282">
        <v>384</v>
      </c>
      <c r="B8585" s="537"/>
      <c r="C8585" s="307" t="s">
        <v>28</v>
      </c>
      <c r="D8585" s="307" t="s">
        <v>11215</v>
      </c>
      <c r="E8585" s="260" t="s">
        <v>11216</v>
      </c>
      <c r="F8585" s="310">
        <v>354</v>
      </c>
      <c r="G8585" s="311">
        <v>1956</v>
      </c>
      <c r="H8585" s="340" t="s">
        <v>3</v>
      </c>
      <c r="I8585" s="313" t="s">
        <v>11217</v>
      </c>
      <c r="J8585" s="314">
        <v>21.747</v>
      </c>
      <c r="K8585" s="314">
        <v>21.497</v>
      </c>
      <c r="L8585" s="350">
        <f t="shared" si="116"/>
        <v>0.25</v>
      </c>
      <c r="M8585" s="337"/>
    </row>
    <row r="8586" spans="1:13" s="71" customFormat="1" ht="26.4" customHeight="1">
      <c r="A8586" s="282">
        <v>385</v>
      </c>
      <c r="B8586" s="537"/>
      <c r="C8586" s="307" t="s">
        <v>28</v>
      </c>
      <c r="D8586" s="307" t="s">
        <v>11218</v>
      </c>
      <c r="E8586" s="260" t="s">
        <v>11219</v>
      </c>
      <c r="F8586" s="310">
        <v>355</v>
      </c>
      <c r="G8586" s="311">
        <v>1956</v>
      </c>
      <c r="H8586" s="340" t="s">
        <v>3</v>
      </c>
      <c r="I8586" s="313" t="s">
        <v>11220</v>
      </c>
      <c r="J8586" s="314">
        <v>16.916</v>
      </c>
      <c r="K8586" s="314">
        <v>16.498999999999999</v>
      </c>
      <c r="L8586" s="350">
        <f t="shared" ref="L8586:L8649" si="117">J8586-K8586</f>
        <v>0.41700000000000159</v>
      </c>
      <c r="M8586" s="337"/>
    </row>
    <row r="8587" spans="1:13" s="71" customFormat="1" ht="26.4" customHeight="1">
      <c r="A8587" s="282">
        <v>386</v>
      </c>
      <c r="B8587" s="537"/>
      <c r="C8587" s="307" t="s">
        <v>28</v>
      </c>
      <c r="D8587" s="307" t="s">
        <v>11221</v>
      </c>
      <c r="E8587" s="260" t="s">
        <v>11222</v>
      </c>
      <c r="F8587" s="310">
        <v>356</v>
      </c>
      <c r="G8587" s="311">
        <v>1956</v>
      </c>
      <c r="H8587" s="340" t="s">
        <v>3</v>
      </c>
      <c r="I8587" s="313" t="s">
        <v>11223</v>
      </c>
      <c r="J8587" s="314">
        <v>46.942999999999998</v>
      </c>
      <c r="K8587" s="314">
        <v>45.526000000000003</v>
      </c>
      <c r="L8587" s="350">
        <f t="shared" si="117"/>
        <v>1.4169999999999945</v>
      </c>
      <c r="M8587" s="337"/>
    </row>
    <row r="8588" spans="1:13" s="71" customFormat="1" ht="26.4" customHeight="1">
      <c r="A8588" s="282">
        <v>387</v>
      </c>
      <c r="B8588" s="537"/>
      <c r="C8588" s="307" t="s">
        <v>28</v>
      </c>
      <c r="D8588" s="307" t="s">
        <v>11224</v>
      </c>
      <c r="E8588" s="260" t="s">
        <v>11225</v>
      </c>
      <c r="F8588" s="310">
        <v>357</v>
      </c>
      <c r="G8588" s="311">
        <v>1956</v>
      </c>
      <c r="H8588" s="340" t="s">
        <v>3</v>
      </c>
      <c r="I8588" s="313" t="s">
        <v>11226</v>
      </c>
      <c r="J8588" s="314">
        <v>10.19</v>
      </c>
      <c r="K8588" s="314">
        <v>9.5530000000000008</v>
      </c>
      <c r="L8588" s="350">
        <f t="shared" si="117"/>
        <v>0.63699999999999868</v>
      </c>
      <c r="M8588" s="337"/>
    </row>
    <row r="8589" spans="1:13" s="71" customFormat="1" ht="26.4" customHeight="1">
      <c r="A8589" s="282">
        <v>388</v>
      </c>
      <c r="B8589" s="537"/>
      <c r="C8589" s="307" t="s">
        <v>28</v>
      </c>
      <c r="D8589" s="307" t="s">
        <v>11227</v>
      </c>
      <c r="E8589" s="260" t="s">
        <v>11207</v>
      </c>
      <c r="F8589" s="310">
        <v>358</v>
      </c>
      <c r="G8589" s="311">
        <v>1955</v>
      </c>
      <c r="H8589" s="340" t="s">
        <v>3</v>
      </c>
      <c r="I8589" s="313" t="s">
        <v>11228</v>
      </c>
      <c r="J8589" s="314">
        <v>21.477</v>
      </c>
      <c r="K8589" s="314">
        <v>21.102</v>
      </c>
      <c r="L8589" s="350">
        <f t="shared" si="117"/>
        <v>0.375</v>
      </c>
      <c r="M8589" s="337"/>
    </row>
    <row r="8590" spans="1:13" s="71" customFormat="1" ht="26.4" customHeight="1">
      <c r="A8590" s="282">
        <v>389</v>
      </c>
      <c r="B8590" s="537"/>
      <c r="C8590" s="307" t="s">
        <v>28</v>
      </c>
      <c r="D8590" s="307" t="s">
        <v>11229</v>
      </c>
      <c r="E8590" s="260" t="s">
        <v>11230</v>
      </c>
      <c r="F8590" s="310">
        <v>359</v>
      </c>
      <c r="G8590" s="311">
        <v>1955</v>
      </c>
      <c r="H8590" s="340" t="s">
        <v>3</v>
      </c>
      <c r="I8590" s="313" t="s">
        <v>11231</v>
      </c>
      <c r="J8590" s="314">
        <v>65.010000000000005</v>
      </c>
      <c r="K8590" s="314">
        <v>63.31</v>
      </c>
      <c r="L8590" s="350">
        <f t="shared" si="117"/>
        <v>1.7000000000000028</v>
      </c>
      <c r="M8590" s="337"/>
    </row>
    <row r="8591" spans="1:13" s="71" customFormat="1" ht="26.4" customHeight="1">
      <c r="A8591" s="282">
        <v>390</v>
      </c>
      <c r="B8591" s="537"/>
      <c r="C8591" s="307" t="s">
        <v>10324</v>
      </c>
      <c r="D8591" s="307" t="s">
        <v>11232</v>
      </c>
      <c r="E8591" s="260" t="s">
        <v>11233</v>
      </c>
      <c r="F8591" s="310">
        <v>360</v>
      </c>
      <c r="G8591" s="311">
        <v>1956</v>
      </c>
      <c r="H8591" s="340" t="s">
        <v>3</v>
      </c>
      <c r="I8591" s="313" t="s">
        <v>10498</v>
      </c>
      <c r="J8591" s="314">
        <v>15.96</v>
      </c>
      <c r="K8591" s="314">
        <v>15.71</v>
      </c>
      <c r="L8591" s="350">
        <f t="shared" si="117"/>
        <v>0.25</v>
      </c>
      <c r="M8591" s="337"/>
    </row>
    <row r="8592" spans="1:13" s="71" customFormat="1" ht="26.4" customHeight="1">
      <c r="A8592" s="282">
        <v>391</v>
      </c>
      <c r="B8592" s="537"/>
      <c r="C8592" s="307" t="s">
        <v>28</v>
      </c>
      <c r="D8592" s="307" t="s">
        <v>11234</v>
      </c>
      <c r="E8592" s="260" t="s">
        <v>11235</v>
      </c>
      <c r="F8592" s="310">
        <v>361</v>
      </c>
      <c r="G8592" s="311">
        <v>1956</v>
      </c>
      <c r="H8592" s="340" t="s">
        <v>3</v>
      </c>
      <c r="I8592" s="313" t="s">
        <v>11236</v>
      </c>
      <c r="J8592" s="314">
        <v>7.1449999999999996</v>
      </c>
      <c r="K8592" s="314">
        <v>7.1369999999999996</v>
      </c>
      <c r="L8592" s="350">
        <f t="shared" si="117"/>
        <v>8.0000000000000071E-3</v>
      </c>
      <c r="M8592" s="337"/>
    </row>
    <row r="8593" spans="1:13" s="71" customFormat="1" ht="26.4" customHeight="1">
      <c r="A8593" s="282">
        <v>392</v>
      </c>
      <c r="B8593" s="537"/>
      <c r="C8593" s="307" t="s">
        <v>28</v>
      </c>
      <c r="D8593" s="307" t="s">
        <v>11237</v>
      </c>
      <c r="E8593" s="260" t="s">
        <v>11238</v>
      </c>
      <c r="F8593" s="310">
        <v>362</v>
      </c>
      <c r="G8593" s="311">
        <v>1958</v>
      </c>
      <c r="H8593" s="340" t="s">
        <v>3</v>
      </c>
      <c r="I8593" s="313" t="s">
        <v>11239</v>
      </c>
      <c r="J8593" s="314">
        <v>12.7</v>
      </c>
      <c r="K8593" s="314">
        <v>12.45</v>
      </c>
      <c r="L8593" s="350">
        <f t="shared" si="117"/>
        <v>0.25</v>
      </c>
      <c r="M8593" s="337"/>
    </row>
    <row r="8594" spans="1:13" s="71" customFormat="1" ht="26.4" customHeight="1">
      <c r="A8594" s="282">
        <v>393</v>
      </c>
      <c r="B8594" s="537"/>
      <c r="C8594" s="307" t="s">
        <v>28</v>
      </c>
      <c r="D8594" s="307" t="s">
        <v>11240</v>
      </c>
      <c r="E8594" s="260" t="s">
        <v>11241</v>
      </c>
      <c r="F8594" s="310">
        <v>363</v>
      </c>
      <c r="G8594" s="311">
        <v>1959</v>
      </c>
      <c r="H8594" s="340" t="s">
        <v>3</v>
      </c>
      <c r="I8594" s="313" t="s">
        <v>11242</v>
      </c>
      <c r="J8594" s="314">
        <v>22.212</v>
      </c>
      <c r="K8594" s="314">
        <v>21.962</v>
      </c>
      <c r="L8594" s="350">
        <f t="shared" si="117"/>
        <v>0.25</v>
      </c>
      <c r="M8594" s="337"/>
    </row>
    <row r="8595" spans="1:13" s="71" customFormat="1" ht="26.4" customHeight="1">
      <c r="A8595" s="282">
        <v>394</v>
      </c>
      <c r="B8595" s="537"/>
      <c r="C8595" s="307" t="s">
        <v>28</v>
      </c>
      <c r="D8595" s="307" t="s">
        <v>11243</v>
      </c>
      <c r="E8595" s="260" t="s">
        <v>11244</v>
      </c>
      <c r="F8595" s="310">
        <v>364</v>
      </c>
      <c r="G8595" s="311">
        <v>1960</v>
      </c>
      <c r="H8595" s="340" t="s">
        <v>3</v>
      </c>
      <c r="I8595" s="313" t="s">
        <v>10733</v>
      </c>
      <c r="J8595" s="314">
        <v>32.253999999999998</v>
      </c>
      <c r="K8595" s="314">
        <v>28.273</v>
      </c>
      <c r="L8595" s="350">
        <f t="shared" si="117"/>
        <v>3.9809999999999981</v>
      </c>
      <c r="M8595" s="337"/>
    </row>
    <row r="8596" spans="1:13" s="71" customFormat="1" ht="26.4" customHeight="1">
      <c r="A8596" s="282">
        <v>395</v>
      </c>
      <c r="B8596" s="537"/>
      <c r="C8596" s="307" t="s">
        <v>28</v>
      </c>
      <c r="D8596" s="307" t="s">
        <v>11245</v>
      </c>
      <c r="E8596" s="260" t="s">
        <v>11246</v>
      </c>
      <c r="F8596" s="310">
        <v>365</v>
      </c>
      <c r="G8596" s="311">
        <v>1961</v>
      </c>
      <c r="H8596" s="340" t="s">
        <v>3</v>
      </c>
      <c r="I8596" s="313" t="s">
        <v>11247</v>
      </c>
      <c r="J8596" s="314">
        <v>6.9619999999999997</v>
      </c>
      <c r="K8596" s="314">
        <v>6.9539999999999997</v>
      </c>
      <c r="L8596" s="350">
        <f t="shared" si="117"/>
        <v>8.0000000000000071E-3</v>
      </c>
      <c r="M8596" s="337"/>
    </row>
    <row r="8597" spans="1:13" s="71" customFormat="1" ht="26.4" customHeight="1">
      <c r="A8597" s="282">
        <v>396</v>
      </c>
      <c r="B8597" s="537"/>
      <c r="C8597" s="307" t="s">
        <v>28</v>
      </c>
      <c r="D8597" s="307" t="s">
        <v>11248</v>
      </c>
      <c r="E8597" s="260" t="s">
        <v>11249</v>
      </c>
      <c r="F8597" s="310">
        <v>366</v>
      </c>
      <c r="G8597" s="311">
        <v>1961</v>
      </c>
      <c r="H8597" s="340" t="s">
        <v>3</v>
      </c>
      <c r="I8597" s="313" t="s">
        <v>11250</v>
      </c>
      <c r="J8597" s="314">
        <v>31.488</v>
      </c>
      <c r="K8597" s="314">
        <v>30.638000000000002</v>
      </c>
      <c r="L8597" s="350">
        <f t="shared" si="117"/>
        <v>0.84999999999999787</v>
      </c>
      <c r="M8597" s="337"/>
    </row>
    <row r="8598" spans="1:13" s="71" customFormat="1" ht="26.4" customHeight="1">
      <c r="A8598" s="282">
        <v>397</v>
      </c>
      <c r="B8598" s="537"/>
      <c r="C8598" s="307" t="s">
        <v>28</v>
      </c>
      <c r="D8598" s="307" t="s">
        <v>11251</v>
      </c>
      <c r="E8598" s="260" t="s">
        <v>11252</v>
      </c>
      <c r="F8598" s="310">
        <v>367</v>
      </c>
      <c r="G8598" s="311">
        <v>1961</v>
      </c>
      <c r="H8598" s="340" t="s">
        <v>3</v>
      </c>
      <c r="I8598" s="313" t="s">
        <v>11239</v>
      </c>
      <c r="J8598" s="314">
        <v>23.745999999999999</v>
      </c>
      <c r="K8598" s="314">
        <v>23.495999999999999</v>
      </c>
      <c r="L8598" s="350">
        <f t="shared" si="117"/>
        <v>0.25</v>
      </c>
      <c r="M8598" s="337"/>
    </row>
    <row r="8599" spans="1:13" s="71" customFormat="1" ht="26.4" customHeight="1">
      <c r="A8599" s="282">
        <v>398</v>
      </c>
      <c r="B8599" s="537"/>
      <c r="C8599" s="307" t="s">
        <v>28</v>
      </c>
      <c r="D8599" s="307" t="s">
        <v>11253</v>
      </c>
      <c r="E8599" s="260" t="s">
        <v>11254</v>
      </c>
      <c r="F8599" s="310">
        <v>368</v>
      </c>
      <c r="G8599" s="311">
        <v>1961</v>
      </c>
      <c r="H8599" s="340" t="s">
        <v>3</v>
      </c>
      <c r="I8599" s="313" t="s">
        <v>11255</v>
      </c>
      <c r="J8599" s="314">
        <v>16.582000000000001</v>
      </c>
      <c r="K8599" s="314">
        <v>15.731999999999999</v>
      </c>
      <c r="L8599" s="350">
        <f t="shared" si="117"/>
        <v>0.85000000000000142</v>
      </c>
      <c r="M8599" s="337"/>
    </row>
    <row r="8600" spans="1:13" s="71" customFormat="1" ht="26.4" customHeight="1">
      <c r="A8600" s="282">
        <v>399</v>
      </c>
      <c r="B8600" s="537"/>
      <c r="C8600" s="307" t="s">
        <v>28</v>
      </c>
      <c r="D8600" s="307" t="s">
        <v>11256</v>
      </c>
      <c r="E8600" s="260" t="s">
        <v>11257</v>
      </c>
      <c r="F8600" s="310">
        <v>369</v>
      </c>
      <c r="G8600" s="311">
        <v>1963</v>
      </c>
      <c r="H8600" s="340" t="s">
        <v>3</v>
      </c>
      <c r="I8600" s="313" t="s">
        <v>11258</v>
      </c>
      <c r="J8600" s="314">
        <v>18.396000000000001</v>
      </c>
      <c r="K8600" s="314">
        <v>16.946999999999999</v>
      </c>
      <c r="L8600" s="350">
        <f t="shared" si="117"/>
        <v>1.4490000000000016</v>
      </c>
      <c r="M8600" s="337"/>
    </row>
    <row r="8601" spans="1:13" s="71" customFormat="1" ht="26.4" customHeight="1">
      <c r="A8601" s="282">
        <v>400</v>
      </c>
      <c r="B8601" s="537"/>
      <c r="C8601" s="307" t="s">
        <v>28</v>
      </c>
      <c r="D8601" s="307" t="s">
        <v>11259</v>
      </c>
      <c r="E8601" s="260" t="s">
        <v>11260</v>
      </c>
      <c r="F8601" s="310">
        <v>370</v>
      </c>
      <c r="G8601" s="311">
        <v>1963</v>
      </c>
      <c r="H8601" s="340" t="s">
        <v>3</v>
      </c>
      <c r="I8601" s="313" t="s">
        <v>11258</v>
      </c>
      <c r="J8601" s="314">
        <v>50.62</v>
      </c>
      <c r="K8601" s="314">
        <v>31.443999999999999</v>
      </c>
      <c r="L8601" s="350">
        <f t="shared" si="117"/>
        <v>19.175999999999998</v>
      </c>
      <c r="M8601" s="337"/>
    </row>
    <row r="8602" spans="1:13" s="71" customFormat="1" ht="26.4" customHeight="1">
      <c r="A8602" s="282">
        <v>401</v>
      </c>
      <c r="B8602" s="537"/>
      <c r="C8602" s="307" t="s">
        <v>28</v>
      </c>
      <c r="D8602" s="307" t="s">
        <v>11261</v>
      </c>
      <c r="E8602" s="260" t="s">
        <v>11262</v>
      </c>
      <c r="F8602" s="310">
        <v>371</v>
      </c>
      <c r="G8602" s="311">
        <v>1963</v>
      </c>
      <c r="H8602" s="340" t="s">
        <v>3</v>
      </c>
      <c r="I8602" s="313" t="s">
        <v>11263</v>
      </c>
      <c r="J8602" s="314">
        <v>42.673000000000002</v>
      </c>
      <c r="K8602" s="314">
        <v>42.673000000000002</v>
      </c>
      <c r="L8602" s="350">
        <f t="shared" si="117"/>
        <v>0</v>
      </c>
      <c r="M8602" s="337"/>
    </row>
    <row r="8603" spans="1:13" s="71" customFormat="1" ht="26.4" customHeight="1">
      <c r="A8603" s="282">
        <v>402</v>
      </c>
      <c r="B8603" s="537"/>
      <c r="C8603" s="307" t="s">
        <v>28</v>
      </c>
      <c r="D8603" s="307" t="s">
        <v>11264</v>
      </c>
      <c r="E8603" s="260" t="s">
        <v>11265</v>
      </c>
      <c r="F8603" s="310">
        <v>372</v>
      </c>
      <c r="G8603" s="311">
        <v>1963</v>
      </c>
      <c r="H8603" s="340" t="s">
        <v>3</v>
      </c>
      <c r="I8603" s="313" t="s">
        <v>11266</v>
      </c>
      <c r="J8603" s="314">
        <v>59.98</v>
      </c>
      <c r="K8603" s="314">
        <v>24.61</v>
      </c>
      <c r="L8603" s="350">
        <f t="shared" si="117"/>
        <v>35.369999999999997</v>
      </c>
      <c r="M8603" s="337"/>
    </row>
    <row r="8604" spans="1:13" s="71" customFormat="1" ht="26.4" customHeight="1">
      <c r="A8604" s="282">
        <v>403</v>
      </c>
      <c r="B8604" s="537"/>
      <c r="C8604" s="307" t="s">
        <v>28</v>
      </c>
      <c r="D8604" s="307" t="s">
        <v>11267</v>
      </c>
      <c r="E8604" s="260" t="s">
        <v>11268</v>
      </c>
      <c r="F8604" s="310">
        <v>373</v>
      </c>
      <c r="G8604" s="311">
        <v>1963</v>
      </c>
      <c r="H8604" s="340" t="s">
        <v>3</v>
      </c>
      <c r="I8604" s="313" t="s">
        <v>11269</v>
      </c>
      <c r="J8604" s="314">
        <v>10.861000000000001</v>
      </c>
      <c r="K8604" s="314">
        <v>9.94</v>
      </c>
      <c r="L8604" s="350">
        <f t="shared" si="117"/>
        <v>0.92100000000000115</v>
      </c>
      <c r="M8604" s="337"/>
    </row>
    <row r="8605" spans="1:13" s="71" customFormat="1" ht="26.4" customHeight="1">
      <c r="A8605" s="282">
        <v>404</v>
      </c>
      <c r="B8605" s="537"/>
      <c r="C8605" s="307" t="s">
        <v>28</v>
      </c>
      <c r="D8605" s="307" t="s">
        <v>11270</v>
      </c>
      <c r="E8605" s="260" t="s">
        <v>4771</v>
      </c>
      <c r="F8605" s="310">
        <v>374</v>
      </c>
      <c r="G8605" s="311">
        <v>1963</v>
      </c>
      <c r="H8605" s="340" t="s">
        <v>3</v>
      </c>
      <c r="I8605" s="313" t="s">
        <v>11271</v>
      </c>
      <c r="J8605" s="314">
        <v>12.12</v>
      </c>
      <c r="K8605" s="314">
        <v>11.87</v>
      </c>
      <c r="L8605" s="350">
        <f t="shared" si="117"/>
        <v>0.25</v>
      </c>
      <c r="M8605" s="337"/>
    </row>
    <row r="8606" spans="1:13" s="71" customFormat="1" ht="26.4" customHeight="1">
      <c r="A8606" s="282">
        <v>405</v>
      </c>
      <c r="B8606" s="537"/>
      <c r="C8606" s="307" t="s">
        <v>28</v>
      </c>
      <c r="D8606" s="307" t="s">
        <v>11272</v>
      </c>
      <c r="E8606" s="260" t="s">
        <v>11273</v>
      </c>
      <c r="F8606" s="310">
        <v>375</v>
      </c>
      <c r="G8606" s="311">
        <v>1963</v>
      </c>
      <c r="H8606" s="340" t="s">
        <v>3</v>
      </c>
      <c r="I8606" s="313" t="s">
        <v>11274</v>
      </c>
      <c r="J8606" s="314">
        <v>11.672000000000001</v>
      </c>
      <c r="K8606" s="314">
        <v>11.664</v>
      </c>
      <c r="L8606" s="350">
        <f t="shared" si="117"/>
        <v>8.0000000000008953E-3</v>
      </c>
      <c r="M8606" s="337"/>
    </row>
    <row r="8607" spans="1:13" s="71" customFormat="1" ht="26.4" customHeight="1">
      <c r="A8607" s="282">
        <v>406</v>
      </c>
      <c r="B8607" s="537"/>
      <c r="C8607" s="307" t="s">
        <v>28</v>
      </c>
      <c r="D8607" s="307" t="s">
        <v>11275</v>
      </c>
      <c r="E8607" s="260" t="s">
        <v>11276</v>
      </c>
      <c r="F8607" s="310">
        <v>376</v>
      </c>
      <c r="G8607" s="311">
        <v>1964</v>
      </c>
      <c r="H8607" s="340" t="s">
        <v>3</v>
      </c>
      <c r="I8607" s="313" t="s">
        <v>11277</v>
      </c>
      <c r="J8607" s="314">
        <v>8.3019999999999996</v>
      </c>
      <c r="K8607" s="314">
        <v>8.2940000000000005</v>
      </c>
      <c r="L8607" s="350">
        <f t="shared" si="117"/>
        <v>7.9999999999991189E-3</v>
      </c>
      <c r="M8607" s="337"/>
    </row>
    <row r="8608" spans="1:13" s="71" customFormat="1" ht="26.4" customHeight="1">
      <c r="A8608" s="282">
        <v>407</v>
      </c>
      <c r="B8608" s="537"/>
      <c r="C8608" s="307" t="s">
        <v>28</v>
      </c>
      <c r="D8608" s="307" t="s">
        <v>11278</v>
      </c>
      <c r="E8608" s="260" t="s">
        <v>11279</v>
      </c>
      <c r="F8608" s="310">
        <v>377</v>
      </c>
      <c r="G8608" s="311">
        <v>1965</v>
      </c>
      <c r="H8608" s="340" t="s">
        <v>3</v>
      </c>
      <c r="I8608" s="313" t="s">
        <v>11280</v>
      </c>
      <c r="J8608" s="314">
        <v>20.260000000000002</v>
      </c>
      <c r="K8608" s="314">
        <v>20.260000000000002</v>
      </c>
      <c r="L8608" s="350">
        <f t="shared" si="117"/>
        <v>0</v>
      </c>
      <c r="M8608" s="337"/>
    </row>
    <row r="8609" spans="1:13" s="71" customFormat="1" ht="26.4" customHeight="1">
      <c r="A8609" s="282">
        <v>408</v>
      </c>
      <c r="B8609" s="537"/>
      <c r="C8609" s="307" t="s">
        <v>28</v>
      </c>
      <c r="D8609" s="307" t="s">
        <v>11281</v>
      </c>
      <c r="E8609" s="260" t="s">
        <v>11282</v>
      </c>
      <c r="F8609" s="310">
        <v>378</v>
      </c>
      <c r="G8609" s="311">
        <v>1965</v>
      </c>
      <c r="H8609" s="340" t="s">
        <v>3</v>
      </c>
      <c r="I8609" s="313" t="s">
        <v>10429</v>
      </c>
      <c r="J8609" s="314">
        <v>32.354999999999997</v>
      </c>
      <c r="K8609" s="314">
        <v>30.23</v>
      </c>
      <c r="L8609" s="350">
        <f t="shared" si="117"/>
        <v>2.1249999999999964</v>
      </c>
      <c r="M8609" s="337"/>
    </row>
    <row r="8610" spans="1:13" s="71" customFormat="1" ht="26.4" customHeight="1">
      <c r="A8610" s="282">
        <v>409</v>
      </c>
      <c r="B8610" s="537"/>
      <c r="C8610" s="307" t="s">
        <v>28</v>
      </c>
      <c r="D8610" s="307" t="s">
        <v>11283</v>
      </c>
      <c r="E8610" s="260" t="s">
        <v>11284</v>
      </c>
      <c r="F8610" s="310">
        <v>379</v>
      </c>
      <c r="G8610" s="311">
        <v>1966</v>
      </c>
      <c r="H8610" s="340" t="s">
        <v>3</v>
      </c>
      <c r="I8610" s="313" t="s">
        <v>10741</v>
      </c>
      <c r="J8610" s="314">
        <v>13.63</v>
      </c>
      <c r="K8610" s="314">
        <v>13.337999999999999</v>
      </c>
      <c r="L8610" s="350">
        <f t="shared" si="117"/>
        <v>0.29200000000000159</v>
      </c>
      <c r="M8610" s="337"/>
    </row>
    <row r="8611" spans="1:13" s="71" customFormat="1" ht="26.4" customHeight="1">
      <c r="A8611" s="282">
        <v>410</v>
      </c>
      <c r="B8611" s="537"/>
      <c r="C8611" s="307" t="s">
        <v>28</v>
      </c>
      <c r="D8611" s="307" t="s">
        <v>11285</v>
      </c>
      <c r="E8611" s="260" t="s">
        <v>11286</v>
      </c>
      <c r="F8611" s="310">
        <v>380</v>
      </c>
      <c r="G8611" s="311">
        <v>1962</v>
      </c>
      <c r="H8611" s="340" t="s">
        <v>3</v>
      </c>
      <c r="I8611" s="313" t="s">
        <v>11287</v>
      </c>
      <c r="J8611" s="314">
        <v>10.698</v>
      </c>
      <c r="K8611" s="314">
        <v>9.8480000000000008</v>
      </c>
      <c r="L8611" s="350">
        <f t="shared" si="117"/>
        <v>0.84999999999999964</v>
      </c>
      <c r="M8611" s="337"/>
    </row>
    <row r="8612" spans="1:13" s="71" customFormat="1" ht="26.4" customHeight="1">
      <c r="A8612" s="282">
        <v>411</v>
      </c>
      <c r="B8612" s="537"/>
      <c r="C8612" s="307" t="s">
        <v>28</v>
      </c>
      <c r="D8612" s="307" t="s">
        <v>11288</v>
      </c>
      <c r="E8612" s="260" t="s">
        <v>11289</v>
      </c>
      <c r="F8612" s="310">
        <v>381</v>
      </c>
      <c r="G8612" s="311">
        <v>1966</v>
      </c>
      <c r="H8612" s="340" t="s">
        <v>3</v>
      </c>
      <c r="I8612" s="313" t="s">
        <v>11290</v>
      </c>
      <c r="J8612" s="314">
        <v>56.744</v>
      </c>
      <c r="K8612" s="314">
        <v>51.427999999999997</v>
      </c>
      <c r="L8612" s="350">
        <f t="shared" si="117"/>
        <v>5.3160000000000025</v>
      </c>
      <c r="M8612" s="337"/>
    </row>
    <row r="8613" spans="1:13" s="71" customFormat="1" ht="26.4" customHeight="1">
      <c r="A8613" s="282">
        <v>412</v>
      </c>
      <c r="B8613" s="537"/>
      <c r="C8613" s="307" t="s">
        <v>28</v>
      </c>
      <c r="D8613" s="307" t="s">
        <v>11291</v>
      </c>
      <c r="E8613" s="260" t="s">
        <v>11292</v>
      </c>
      <c r="F8613" s="310">
        <v>382</v>
      </c>
      <c r="G8613" s="311">
        <v>1967</v>
      </c>
      <c r="H8613" s="340" t="s">
        <v>3</v>
      </c>
      <c r="I8613" s="313" t="s">
        <v>10542</v>
      </c>
      <c r="J8613" s="314">
        <v>7.6639999999999997</v>
      </c>
      <c r="K8613" s="314">
        <v>6.8869999999999996</v>
      </c>
      <c r="L8613" s="350">
        <f t="shared" si="117"/>
        <v>0.77700000000000014</v>
      </c>
      <c r="M8613" s="337"/>
    </row>
    <row r="8614" spans="1:13" s="71" customFormat="1" ht="26.4" customHeight="1">
      <c r="A8614" s="282">
        <v>413</v>
      </c>
      <c r="B8614" s="537"/>
      <c r="C8614" s="307" t="s">
        <v>28</v>
      </c>
      <c r="D8614" s="307" t="s">
        <v>11293</v>
      </c>
      <c r="E8614" s="260" t="s">
        <v>11294</v>
      </c>
      <c r="F8614" s="310">
        <v>383</v>
      </c>
      <c r="G8614" s="311">
        <v>1967</v>
      </c>
      <c r="H8614" s="340" t="s">
        <v>3</v>
      </c>
      <c r="I8614" s="313" t="s">
        <v>11295</v>
      </c>
      <c r="J8614" s="314">
        <v>13.792999999999999</v>
      </c>
      <c r="K8614" s="314">
        <v>13.542999999999999</v>
      </c>
      <c r="L8614" s="350">
        <f t="shared" si="117"/>
        <v>0.25</v>
      </c>
      <c r="M8614" s="337"/>
    </row>
    <row r="8615" spans="1:13" s="71" customFormat="1" ht="26.4" customHeight="1">
      <c r="A8615" s="282">
        <v>414</v>
      </c>
      <c r="B8615" s="537"/>
      <c r="C8615" s="307" t="s">
        <v>28</v>
      </c>
      <c r="D8615" s="307" t="s">
        <v>11296</v>
      </c>
      <c r="E8615" s="260" t="s">
        <v>11297</v>
      </c>
      <c r="F8615" s="310">
        <v>384</v>
      </c>
      <c r="G8615" s="311">
        <v>1967</v>
      </c>
      <c r="H8615" s="340" t="s">
        <v>3</v>
      </c>
      <c r="I8615" s="313" t="s">
        <v>11298</v>
      </c>
      <c r="J8615" s="314">
        <v>10.596</v>
      </c>
      <c r="K8615" s="314">
        <v>10.346</v>
      </c>
      <c r="L8615" s="350">
        <f t="shared" si="117"/>
        <v>0.25</v>
      </c>
      <c r="M8615" s="337"/>
    </row>
    <row r="8616" spans="1:13" s="71" customFormat="1" ht="26.4" customHeight="1">
      <c r="A8616" s="282">
        <v>415</v>
      </c>
      <c r="B8616" s="537"/>
      <c r="C8616" s="307" t="s">
        <v>28</v>
      </c>
      <c r="D8616" s="307" t="s">
        <v>11299</v>
      </c>
      <c r="E8616" s="260" t="s">
        <v>11300</v>
      </c>
      <c r="F8616" s="310">
        <v>385</v>
      </c>
      <c r="G8616" s="311">
        <v>1969</v>
      </c>
      <c r="H8616" s="340" t="s">
        <v>3</v>
      </c>
      <c r="I8616" s="313" t="s">
        <v>11301</v>
      </c>
      <c r="J8616" s="314">
        <v>10.195</v>
      </c>
      <c r="K8616" s="314">
        <v>9.3450000000000006</v>
      </c>
      <c r="L8616" s="350">
        <f t="shared" si="117"/>
        <v>0.84999999999999964</v>
      </c>
      <c r="M8616" s="337"/>
    </row>
    <row r="8617" spans="1:13" s="71" customFormat="1" ht="26.4" customHeight="1">
      <c r="A8617" s="282">
        <v>416</v>
      </c>
      <c r="B8617" s="537"/>
      <c r="C8617" s="307" t="s">
        <v>28</v>
      </c>
      <c r="D8617" s="307" t="s">
        <v>11302</v>
      </c>
      <c r="E8617" s="260" t="s">
        <v>11303</v>
      </c>
      <c r="F8617" s="310">
        <v>386</v>
      </c>
      <c r="G8617" s="311">
        <v>1969</v>
      </c>
      <c r="H8617" s="340" t="s">
        <v>3</v>
      </c>
      <c r="I8617" s="313" t="s">
        <v>11304</v>
      </c>
      <c r="J8617" s="314">
        <v>43.156999999999996</v>
      </c>
      <c r="K8617" s="314">
        <v>38.149000000000001</v>
      </c>
      <c r="L8617" s="350">
        <f t="shared" si="117"/>
        <v>5.0079999999999956</v>
      </c>
      <c r="M8617" s="337"/>
    </row>
    <row r="8618" spans="1:13" s="71" customFormat="1" ht="26.4" customHeight="1">
      <c r="A8618" s="282">
        <v>417</v>
      </c>
      <c r="B8618" s="537"/>
      <c r="C8618" s="307" t="s">
        <v>28</v>
      </c>
      <c r="D8618" s="307" t="s">
        <v>11305</v>
      </c>
      <c r="E8618" s="260" t="s">
        <v>11306</v>
      </c>
      <c r="F8618" s="310">
        <v>387</v>
      </c>
      <c r="G8618" s="311">
        <v>1972</v>
      </c>
      <c r="H8618" s="340" t="s">
        <v>3</v>
      </c>
      <c r="I8618" s="313" t="s">
        <v>11307</v>
      </c>
      <c r="J8618" s="314">
        <v>69.445999999999998</v>
      </c>
      <c r="K8618" s="314">
        <v>59.835999999999999</v>
      </c>
      <c r="L8618" s="350">
        <f t="shared" si="117"/>
        <v>9.61</v>
      </c>
      <c r="M8618" s="337"/>
    </row>
    <row r="8619" spans="1:13" s="71" customFormat="1" ht="26.4" customHeight="1">
      <c r="A8619" s="282">
        <v>418</v>
      </c>
      <c r="B8619" s="537"/>
      <c r="C8619" s="307" t="s">
        <v>28</v>
      </c>
      <c r="D8619" s="307" t="s">
        <v>11308</v>
      </c>
      <c r="E8619" s="260" t="s">
        <v>11309</v>
      </c>
      <c r="F8619" s="310">
        <v>388</v>
      </c>
      <c r="G8619" s="311">
        <v>1973</v>
      </c>
      <c r="H8619" s="340" t="s">
        <v>3</v>
      </c>
      <c r="I8619" s="313" t="s">
        <v>11310</v>
      </c>
      <c r="J8619" s="314">
        <v>4.17</v>
      </c>
      <c r="K8619" s="314">
        <v>4.0830000000000002</v>
      </c>
      <c r="L8619" s="350">
        <f t="shared" si="117"/>
        <v>8.6999999999999744E-2</v>
      </c>
      <c r="M8619" s="337"/>
    </row>
    <row r="8620" spans="1:13" s="71" customFormat="1" ht="26.4" customHeight="1">
      <c r="A8620" s="282">
        <v>419</v>
      </c>
      <c r="B8620" s="537"/>
      <c r="C8620" s="307" t="s">
        <v>10324</v>
      </c>
      <c r="D8620" s="307" t="s">
        <v>11311</v>
      </c>
      <c r="E8620" s="260" t="s">
        <v>11312</v>
      </c>
      <c r="F8620" s="310">
        <v>389</v>
      </c>
      <c r="G8620" s="311">
        <v>1973</v>
      </c>
      <c r="H8620" s="340" t="s">
        <v>3</v>
      </c>
      <c r="I8620" s="313" t="s">
        <v>11313</v>
      </c>
      <c r="J8620" s="314">
        <v>67.003</v>
      </c>
      <c r="K8620" s="314">
        <v>57.234000000000002</v>
      </c>
      <c r="L8620" s="350">
        <f t="shared" si="117"/>
        <v>9.7689999999999984</v>
      </c>
      <c r="M8620" s="337"/>
    </row>
    <row r="8621" spans="1:13" s="71" customFormat="1" ht="39.6">
      <c r="A8621" s="282">
        <v>420</v>
      </c>
      <c r="B8621" s="537"/>
      <c r="C8621" s="307" t="s">
        <v>10687</v>
      </c>
      <c r="D8621" s="307" t="s">
        <v>11314</v>
      </c>
      <c r="E8621" s="260" t="s">
        <v>11315</v>
      </c>
      <c r="F8621" s="310">
        <v>390</v>
      </c>
      <c r="G8621" s="311">
        <v>1974</v>
      </c>
      <c r="H8621" s="340" t="s">
        <v>3</v>
      </c>
      <c r="I8621" s="313" t="s">
        <v>11316</v>
      </c>
      <c r="J8621" s="314">
        <v>137.631</v>
      </c>
      <c r="K8621" s="314">
        <v>115.83</v>
      </c>
      <c r="L8621" s="350">
        <f t="shared" si="117"/>
        <v>21.801000000000002</v>
      </c>
      <c r="M8621" s="337"/>
    </row>
    <row r="8622" spans="1:13" s="71" customFormat="1" ht="26.4" customHeight="1">
      <c r="A8622" s="282">
        <v>421</v>
      </c>
      <c r="B8622" s="537"/>
      <c r="C8622" s="307" t="s">
        <v>28</v>
      </c>
      <c r="D8622" s="307" t="s">
        <v>11317</v>
      </c>
      <c r="E8622" s="260" t="s">
        <v>11318</v>
      </c>
      <c r="F8622" s="310">
        <v>391</v>
      </c>
      <c r="G8622" s="311">
        <v>1975</v>
      </c>
      <c r="H8622" s="340" t="s">
        <v>3</v>
      </c>
      <c r="I8622" s="313" t="s">
        <v>11319</v>
      </c>
      <c r="J8622" s="314">
        <v>23.109000000000002</v>
      </c>
      <c r="K8622" s="314">
        <v>18.72</v>
      </c>
      <c r="L8622" s="350">
        <f t="shared" si="117"/>
        <v>4.3890000000000029</v>
      </c>
      <c r="M8622" s="337"/>
    </row>
    <row r="8623" spans="1:13" s="71" customFormat="1" ht="26.4" customHeight="1">
      <c r="A8623" s="282">
        <v>422</v>
      </c>
      <c r="B8623" s="537"/>
      <c r="C8623" s="307" t="s">
        <v>28</v>
      </c>
      <c r="D8623" s="307" t="s">
        <v>1426</v>
      </c>
      <c r="E8623" s="260" t="s">
        <v>11320</v>
      </c>
      <c r="F8623" s="310">
        <v>392</v>
      </c>
      <c r="G8623" s="311">
        <v>1978</v>
      </c>
      <c r="H8623" s="340" t="s">
        <v>3</v>
      </c>
      <c r="I8623" s="313" t="s">
        <v>11321</v>
      </c>
      <c r="J8623" s="314">
        <v>6.3029999999999999</v>
      </c>
      <c r="K8623" s="314">
        <v>6.1779999999999999</v>
      </c>
      <c r="L8623" s="350">
        <f t="shared" si="117"/>
        <v>0.125</v>
      </c>
      <c r="M8623" s="337"/>
    </row>
    <row r="8624" spans="1:13" s="71" customFormat="1" ht="26.4">
      <c r="A8624" s="282">
        <v>423</v>
      </c>
      <c r="B8624" s="537"/>
      <c r="C8624" s="307" t="s">
        <v>11322</v>
      </c>
      <c r="D8624" s="307" t="s">
        <v>12837</v>
      </c>
      <c r="E8624" s="260" t="s">
        <v>11323</v>
      </c>
      <c r="F8624" s="310">
        <v>394</v>
      </c>
      <c r="G8624" s="311">
        <v>1979</v>
      </c>
      <c r="H8624" s="340" t="s">
        <v>3</v>
      </c>
      <c r="I8624" s="313" t="s">
        <v>11324</v>
      </c>
      <c r="J8624" s="314">
        <v>454.50900000000001</v>
      </c>
      <c r="K8624" s="314">
        <v>254.65199999999999</v>
      </c>
      <c r="L8624" s="350">
        <f t="shared" si="117"/>
        <v>199.85700000000003</v>
      </c>
      <c r="M8624" s="337"/>
    </row>
    <row r="8625" spans="1:13" s="71" customFormat="1" ht="26.4" customHeight="1">
      <c r="A8625" s="282">
        <v>424</v>
      </c>
      <c r="B8625" s="537"/>
      <c r="C8625" s="307" t="s">
        <v>28</v>
      </c>
      <c r="D8625" s="307" t="s">
        <v>11325</v>
      </c>
      <c r="E8625" s="260" t="s">
        <v>11326</v>
      </c>
      <c r="F8625" s="310">
        <v>395</v>
      </c>
      <c r="G8625" s="311">
        <v>1979</v>
      </c>
      <c r="H8625" s="340" t="s">
        <v>3</v>
      </c>
      <c r="I8625" s="313" t="s">
        <v>11327</v>
      </c>
      <c r="J8625" s="314">
        <v>3.4769999999999999</v>
      </c>
      <c r="K8625" s="314">
        <v>3.3940000000000001</v>
      </c>
      <c r="L8625" s="350">
        <f t="shared" si="117"/>
        <v>8.2999999999999741E-2</v>
      </c>
      <c r="M8625" s="337"/>
    </row>
    <row r="8626" spans="1:13" s="71" customFormat="1" ht="26.4">
      <c r="A8626" s="282">
        <v>425</v>
      </c>
      <c r="B8626" s="537"/>
      <c r="C8626" s="307" t="s">
        <v>11322</v>
      </c>
      <c r="D8626" s="307" t="s">
        <v>12836</v>
      </c>
      <c r="E8626" s="260" t="s">
        <v>11328</v>
      </c>
      <c r="F8626" s="310">
        <v>396</v>
      </c>
      <c r="G8626" s="311">
        <v>1979</v>
      </c>
      <c r="H8626" s="340" t="s">
        <v>3</v>
      </c>
      <c r="I8626" s="313" t="s">
        <v>11329</v>
      </c>
      <c r="J8626" s="314">
        <v>380.036</v>
      </c>
      <c r="K8626" s="314">
        <v>373.983</v>
      </c>
      <c r="L8626" s="350">
        <f t="shared" si="117"/>
        <v>6.0529999999999973</v>
      </c>
      <c r="M8626" s="337"/>
    </row>
    <row r="8627" spans="1:13" s="71" customFormat="1" ht="79.2">
      <c r="A8627" s="282">
        <v>426</v>
      </c>
      <c r="B8627" s="537"/>
      <c r="C8627" s="307" t="s">
        <v>28</v>
      </c>
      <c r="D8627" s="307" t="s">
        <v>12897</v>
      </c>
      <c r="E8627" s="260" t="s">
        <v>11330</v>
      </c>
      <c r="F8627" s="310">
        <v>397</v>
      </c>
      <c r="G8627" s="311">
        <v>1980</v>
      </c>
      <c r="H8627" s="340" t="s">
        <v>3</v>
      </c>
      <c r="I8627" s="313" t="s">
        <v>11331</v>
      </c>
      <c r="J8627" s="314">
        <v>457.11099999999999</v>
      </c>
      <c r="K8627" s="314">
        <v>380.91199999999998</v>
      </c>
      <c r="L8627" s="350">
        <f t="shared" si="117"/>
        <v>76.199000000000012</v>
      </c>
      <c r="M8627" s="337"/>
    </row>
    <row r="8628" spans="1:13" s="71" customFormat="1" ht="39.6">
      <c r="A8628" s="282">
        <v>427</v>
      </c>
      <c r="B8628" s="537"/>
      <c r="C8628" s="307" t="s">
        <v>28</v>
      </c>
      <c r="D8628" s="307" t="s">
        <v>12838</v>
      </c>
      <c r="E8628" s="260" t="s">
        <v>11332</v>
      </c>
      <c r="F8628" s="310">
        <v>398</v>
      </c>
      <c r="G8628" s="311">
        <v>1988</v>
      </c>
      <c r="H8628" s="340" t="s">
        <v>3</v>
      </c>
      <c r="I8628" s="313" t="s">
        <v>11333</v>
      </c>
      <c r="J8628" s="314">
        <v>208.71899999999999</v>
      </c>
      <c r="K8628" s="314">
        <v>149.964</v>
      </c>
      <c r="L8628" s="350">
        <f t="shared" si="117"/>
        <v>58.754999999999995</v>
      </c>
      <c r="M8628" s="337"/>
    </row>
    <row r="8629" spans="1:13" s="71" customFormat="1" ht="27" customHeight="1">
      <c r="A8629" s="282">
        <v>428</v>
      </c>
      <c r="B8629" s="537"/>
      <c r="C8629" s="307" t="s">
        <v>28</v>
      </c>
      <c r="D8629" s="307" t="s">
        <v>12839</v>
      </c>
      <c r="E8629" s="260" t="s">
        <v>11334</v>
      </c>
      <c r="F8629" s="310">
        <v>399</v>
      </c>
      <c r="G8629" s="311">
        <v>1995</v>
      </c>
      <c r="H8629" s="340" t="s">
        <v>3</v>
      </c>
      <c r="I8629" s="313" t="s">
        <v>11335</v>
      </c>
      <c r="J8629" s="314">
        <v>3.177</v>
      </c>
      <c r="K8629" s="314">
        <v>3.169</v>
      </c>
      <c r="L8629" s="350">
        <f t="shared" si="117"/>
        <v>8.0000000000000071E-3</v>
      </c>
      <c r="M8629" s="337"/>
    </row>
    <row r="8630" spans="1:13" s="71" customFormat="1" ht="26.4" customHeight="1">
      <c r="A8630" s="282">
        <v>429</v>
      </c>
      <c r="B8630" s="537"/>
      <c r="C8630" s="307" t="s">
        <v>11322</v>
      </c>
      <c r="D8630" s="307" t="s">
        <v>12840</v>
      </c>
      <c r="E8630" s="260" t="s">
        <v>11336</v>
      </c>
      <c r="F8630" s="310">
        <v>400</v>
      </c>
      <c r="G8630" s="311">
        <v>1995</v>
      </c>
      <c r="H8630" s="340" t="s">
        <v>3</v>
      </c>
      <c r="I8630" s="313" t="s">
        <v>11337</v>
      </c>
      <c r="J8630" s="314">
        <v>49.274999999999999</v>
      </c>
      <c r="K8630" s="314">
        <v>34.186</v>
      </c>
      <c r="L8630" s="350">
        <f t="shared" si="117"/>
        <v>15.088999999999999</v>
      </c>
      <c r="M8630" s="337"/>
    </row>
    <row r="8631" spans="1:13" s="71" customFormat="1" ht="26.4" customHeight="1">
      <c r="A8631" s="282">
        <v>430</v>
      </c>
      <c r="B8631" s="537"/>
      <c r="C8631" s="307" t="s">
        <v>28</v>
      </c>
      <c r="D8631" s="307" t="s">
        <v>11338</v>
      </c>
      <c r="E8631" s="260" t="s">
        <v>11339</v>
      </c>
      <c r="F8631" s="310">
        <v>427</v>
      </c>
      <c r="G8631" s="311">
        <v>1972</v>
      </c>
      <c r="H8631" s="340" t="s">
        <v>3</v>
      </c>
      <c r="I8631" s="313" t="s">
        <v>11340</v>
      </c>
      <c r="J8631" s="314">
        <v>362.613</v>
      </c>
      <c r="K8631" s="314">
        <v>180.452</v>
      </c>
      <c r="L8631" s="350">
        <f t="shared" si="117"/>
        <v>182.161</v>
      </c>
      <c r="M8631" s="337"/>
    </row>
    <row r="8632" spans="1:13" s="71" customFormat="1" ht="26.4" customHeight="1">
      <c r="A8632" s="282">
        <v>431</v>
      </c>
      <c r="B8632" s="537"/>
      <c r="C8632" s="307" t="s">
        <v>10347</v>
      </c>
      <c r="D8632" s="307" t="s">
        <v>11341</v>
      </c>
      <c r="E8632" s="260" t="s">
        <v>11342</v>
      </c>
      <c r="F8632" s="310">
        <v>428</v>
      </c>
      <c r="G8632" s="311">
        <v>1976</v>
      </c>
      <c r="H8632" s="340" t="s">
        <v>3</v>
      </c>
      <c r="I8632" s="313" t="s">
        <v>3</v>
      </c>
      <c r="J8632" s="314">
        <v>14.83</v>
      </c>
      <c r="K8632" s="314">
        <v>12.446</v>
      </c>
      <c r="L8632" s="350">
        <f t="shared" si="117"/>
        <v>2.3840000000000003</v>
      </c>
      <c r="M8632" s="337"/>
    </row>
    <row r="8633" spans="1:13" s="71" customFormat="1" ht="26.4" customHeight="1">
      <c r="A8633" s="282">
        <v>432</v>
      </c>
      <c r="B8633" s="537"/>
      <c r="C8633" s="307" t="s">
        <v>28</v>
      </c>
      <c r="D8633" s="307" t="s">
        <v>10298</v>
      </c>
      <c r="E8633" s="260" t="s">
        <v>11343</v>
      </c>
      <c r="F8633" s="310">
        <v>429</v>
      </c>
      <c r="G8633" s="311">
        <v>1976</v>
      </c>
      <c r="H8633" s="340" t="s">
        <v>3</v>
      </c>
      <c r="I8633" s="313" t="s">
        <v>11344</v>
      </c>
      <c r="J8633" s="314">
        <v>19.297000000000001</v>
      </c>
      <c r="K8633" s="314">
        <v>18.440999999999999</v>
      </c>
      <c r="L8633" s="350">
        <f t="shared" si="117"/>
        <v>0.85600000000000165</v>
      </c>
      <c r="M8633" s="337"/>
    </row>
    <row r="8634" spans="1:13" s="71" customFormat="1" ht="26.4" customHeight="1">
      <c r="A8634" s="282">
        <v>433</v>
      </c>
      <c r="B8634" s="537"/>
      <c r="C8634" s="307" t="s">
        <v>10347</v>
      </c>
      <c r="D8634" s="307" t="s">
        <v>11341</v>
      </c>
      <c r="E8634" s="260" t="s">
        <v>11345</v>
      </c>
      <c r="F8634" s="310">
        <v>430</v>
      </c>
      <c r="G8634" s="311">
        <v>1976</v>
      </c>
      <c r="H8634" s="340" t="s">
        <v>3</v>
      </c>
      <c r="I8634" s="313" t="s">
        <v>11346</v>
      </c>
      <c r="J8634" s="314">
        <v>36.606000000000002</v>
      </c>
      <c r="K8634" s="314">
        <v>30.178000000000001</v>
      </c>
      <c r="L8634" s="350">
        <f t="shared" si="117"/>
        <v>6.4280000000000008</v>
      </c>
      <c r="M8634" s="337"/>
    </row>
    <row r="8635" spans="1:13" s="71" customFormat="1" ht="36.75" customHeight="1">
      <c r="A8635" s="282">
        <v>434</v>
      </c>
      <c r="B8635" s="537"/>
      <c r="C8635" s="307" t="s">
        <v>10347</v>
      </c>
      <c r="D8635" s="307" t="s">
        <v>11341</v>
      </c>
      <c r="E8635" s="260" t="s">
        <v>11347</v>
      </c>
      <c r="F8635" s="310">
        <v>431</v>
      </c>
      <c r="G8635" s="311">
        <v>1988</v>
      </c>
      <c r="H8635" s="340" t="s">
        <v>3</v>
      </c>
      <c r="I8635" s="313" t="s">
        <v>11348</v>
      </c>
      <c r="J8635" s="314">
        <v>195.78299999999999</v>
      </c>
      <c r="K8635" s="314">
        <v>141.46899999999999</v>
      </c>
      <c r="L8635" s="350">
        <f t="shared" si="117"/>
        <v>54.313999999999993</v>
      </c>
      <c r="M8635" s="337"/>
    </row>
    <row r="8636" spans="1:13" s="71" customFormat="1" ht="39.75" customHeight="1">
      <c r="A8636" s="282">
        <v>435</v>
      </c>
      <c r="B8636" s="537"/>
      <c r="C8636" s="307" t="s">
        <v>28</v>
      </c>
      <c r="D8636" s="307" t="s">
        <v>11349</v>
      </c>
      <c r="E8636" s="260" t="s">
        <v>11350</v>
      </c>
      <c r="F8636" s="310">
        <v>432</v>
      </c>
      <c r="G8636" s="311">
        <v>1980</v>
      </c>
      <c r="H8636" s="340" t="s">
        <v>3</v>
      </c>
      <c r="I8636" s="313" t="s">
        <v>11351</v>
      </c>
      <c r="J8636" s="314">
        <v>41.674999999999997</v>
      </c>
      <c r="K8636" s="314">
        <v>38.878</v>
      </c>
      <c r="L8636" s="350">
        <f t="shared" si="117"/>
        <v>2.796999999999997</v>
      </c>
      <c r="M8636" s="337"/>
    </row>
    <row r="8637" spans="1:13" s="71" customFormat="1" ht="26.4" customHeight="1">
      <c r="A8637" s="282">
        <v>436</v>
      </c>
      <c r="B8637" s="537"/>
      <c r="C8637" s="307" t="s">
        <v>28</v>
      </c>
      <c r="D8637" s="307" t="s">
        <v>11349</v>
      </c>
      <c r="E8637" s="260" t="s">
        <v>11352</v>
      </c>
      <c r="F8637" s="310">
        <v>433</v>
      </c>
      <c r="G8637" s="311">
        <v>1981</v>
      </c>
      <c r="H8637" s="340" t="s">
        <v>3</v>
      </c>
      <c r="I8637" s="313" t="s">
        <v>11353</v>
      </c>
      <c r="J8637" s="314">
        <v>13.724</v>
      </c>
      <c r="K8637" s="314">
        <v>11.069000000000001</v>
      </c>
      <c r="L8637" s="350">
        <f t="shared" si="117"/>
        <v>2.6549999999999994</v>
      </c>
      <c r="M8637" s="337"/>
    </row>
    <row r="8638" spans="1:13" s="71" customFormat="1" ht="26.4" customHeight="1">
      <c r="A8638" s="282">
        <v>437</v>
      </c>
      <c r="B8638" s="537"/>
      <c r="C8638" s="307" t="s">
        <v>28</v>
      </c>
      <c r="D8638" s="307" t="s">
        <v>11349</v>
      </c>
      <c r="E8638" s="260" t="s">
        <v>11354</v>
      </c>
      <c r="F8638" s="310">
        <v>434</v>
      </c>
      <c r="G8638" s="311">
        <v>1981</v>
      </c>
      <c r="H8638" s="340" t="s">
        <v>3</v>
      </c>
      <c r="I8638" s="313" t="s">
        <v>11355</v>
      </c>
      <c r="J8638" s="314">
        <v>44.512</v>
      </c>
      <c r="K8638" s="314">
        <v>41.524000000000001</v>
      </c>
      <c r="L8638" s="350">
        <f t="shared" si="117"/>
        <v>2.9879999999999995</v>
      </c>
      <c r="M8638" s="337"/>
    </row>
    <row r="8639" spans="1:13" s="71" customFormat="1" ht="26.4" customHeight="1">
      <c r="A8639" s="282">
        <v>438</v>
      </c>
      <c r="B8639" s="537"/>
      <c r="C8639" s="307" t="s">
        <v>28</v>
      </c>
      <c r="D8639" s="307" t="s">
        <v>11349</v>
      </c>
      <c r="E8639" s="260" t="s">
        <v>11356</v>
      </c>
      <c r="F8639" s="310">
        <v>435</v>
      </c>
      <c r="G8639" s="311">
        <v>1981</v>
      </c>
      <c r="H8639" s="340" t="s">
        <v>3</v>
      </c>
      <c r="I8639" s="313" t="s">
        <v>11357</v>
      </c>
      <c r="J8639" s="314">
        <v>19.978000000000002</v>
      </c>
      <c r="K8639" s="314">
        <v>16.113</v>
      </c>
      <c r="L8639" s="350">
        <f t="shared" si="117"/>
        <v>3.865000000000002</v>
      </c>
      <c r="M8639" s="337"/>
    </row>
    <row r="8640" spans="1:13" s="71" customFormat="1" ht="26.4" customHeight="1">
      <c r="A8640" s="282">
        <v>439</v>
      </c>
      <c r="B8640" s="537"/>
      <c r="C8640" s="307" t="s">
        <v>28</v>
      </c>
      <c r="D8640" s="307" t="s">
        <v>11349</v>
      </c>
      <c r="E8640" s="260" t="s">
        <v>11358</v>
      </c>
      <c r="F8640" s="310">
        <v>436</v>
      </c>
      <c r="G8640" s="311">
        <v>1981</v>
      </c>
      <c r="H8640" s="340" t="s">
        <v>3</v>
      </c>
      <c r="I8640" s="313" t="s">
        <v>11359</v>
      </c>
      <c r="J8640" s="314">
        <v>5.3869999999999996</v>
      </c>
      <c r="K8640" s="314">
        <v>5.2450000000000001</v>
      </c>
      <c r="L8640" s="350">
        <f t="shared" si="117"/>
        <v>0.14199999999999946</v>
      </c>
      <c r="M8640" s="337"/>
    </row>
    <row r="8641" spans="1:13" s="71" customFormat="1" ht="39.6">
      <c r="A8641" s="282">
        <v>440</v>
      </c>
      <c r="B8641" s="537"/>
      <c r="C8641" s="307" t="s">
        <v>11360</v>
      </c>
      <c r="D8641" s="307" t="s">
        <v>12987</v>
      </c>
      <c r="E8641" s="260" t="s">
        <v>11361</v>
      </c>
      <c r="F8641" s="310">
        <v>528</v>
      </c>
      <c r="G8641" s="311">
        <v>1971</v>
      </c>
      <c r="H8641" s="340" t="s">
        <v>3</v>
      </c>
      <c r="I8641" s="313" t="s">
        <v>11362</v>
      </c>
      <c r="J8641" s="314">
        <v>139.02000000000001</v>
      </c>
      <c r="K8641" s="314">
        <v>129.59</v>
      </c>
      <c r="L8641" s="350">
        <f t="shared" si="117"/>
        <v>9.4300000000000068</v>
      </c>
      <c r="M8641" s="337"/>
    </row>
    <row r="8642" spans="1:13" s="71" customFormat="1" ht="26.4" customHeight="1">
      <c r="A8642" s="282">
        <v>441</v>
      </c>
      <c r="B8642" s="537"/>
      <c r="C8642" s="307" t="s">
        <v>28</v>
      </c>
      <c r="D8642" s="307" t="s">
        <v>11010</v>
      </c>
      <c r="E8642" s="260" t="s">
        <v>11363</v>
      </c>
      <c r="F8642" s="310">
        <v>529</v>
      </c>
      <c r="G8642" s="311">
        <v>1971</v>
      </c>
      <c r="H8642" s="340" t="s">
        <v>3</v>
      </c>
      <c r="I8642" s="313" t="s">
        <v>11364</v>
      </c>
      <c r="J8642" s="314">
        <v>243.791</v>
      </c>
      <c r="K8642" s="314">
        <v>210.214</v>
      </c>
      <c r="L8642" s="350">
        <f t="shared" si="117"/>
        <v>33.576999999999998</v>
      </c>
      <c r="M8642" s="337"/>
    </row>
    <row r="8643" spans="1:13" s="71" customFormat="1" ht="26.4" customHeight="1">
      <c r="A8643" s="282">
        <v>442</v>
      </c>
      <c r="B8643" s="537"/>
      <c r="C8643" s="307" t="s">
        <v>214</v>
      </c>
      <c r="D8643" s="307" t="s">
        <v>10731</v>
      </c>
      <c r="E8643" s="260" t="s">
        <v>11365</v>
      </c>
      <c r="F8643" s="310">
        <v>530</v>
      </c>
      <c r="G8643" s="311">
        <v>1971</v>
      </c>
      <c r="H8643" s="340" t="s">
        <v>3</v>
      </c>
      <c r="I8643" s="313" t="s">
        <v>11366</v>
      </c>
      <c r="J8643" s="314">
        <v>103.52</v>
      </c>
      <c r="K8643" s="314">
        <v>93.093999999999994</v>
      </c>
      <c r="L8643" s="350">
        <f t="shared" si="117"/>
        <v>10.426000000000002</v>
      </c>
      <c r="M8643" s="337"/>
    </row>
    <row r="8644" spans="1:13" s="71" customFormat="1" ht="26.4">
      <c r="A8644" s="282">
        <v>443</v>
      </c>
      <c r="B8644" s="537"/>
      <c r="C8644" s="307" t="s">
        <v>28</v>
      </c>
      <c r="D8644" s="307" t="s">
        <v>12898</v>
      </c>
      <c r="E8644" s="260" t="s">
        <v>11367</v>
      </c>
      <c r="F8644" s="310">
        <v>531</v>
      </c>
      <c r="G8644" s="311">
        <v>1971</v>
      </c>
      <c r="H8644" s="340" t="s">
        <v>3</v>
      </c>
      <c r="I8644" s="313" t="s">
        <v>11368</v>
      </c>
      <c r="J8644" s="314">
        <v>11.032999999999999</v>
      </c>
      <c r="K8644" s="314">
        <v>10.891</v>
      </c>
      <c r="L8644" s="350">
        <f t="shared" si="117"/>
        <v>0.14199999999999946</v>
      </c>
      <c r="M8644" s="337"/>
    </row>
    <row r="8645" spans="1:13" s="71" customFormat="1" ht="39.6">
      <c r="A8645" s="282">
        <v>444</v>
      </c>
      <c r="B8645" s="537"/>
      <c r="C8645" s="307" t="s">
        <v>214</v>
      </c>
      <c r="D8645" s="307" t="s">
        <v>12988</v>
      </c>
      <c r="E8645" s="260" t="s">
        <v>11369</v>
      </c>
      <c r="F8645" s="310">
        <v>532</v>
      </c>
      <c r="G8645" s="311">
        <v>1971</v>
      </c>
      <c r="H8645" s="340" t="s">
        <v>3</v>
      </c>
      <c r="I8645" s="313" t="s">
        <v>11370</v>
      </c>
      <c r="J8645" s="314">
        <v>92.989000000000004</v>
      </c>
      <c r="K8645" s="314">
        <v>86.866</v>
      </c>
      <c r="L8645" s="350">
        <f t="shared" si="117"/>
        <v>6.1230000000000047</v>
      </c>
      <c r="M8645" s="337"/>
    </row>
    <row r="8646" spans="1:13" s="71" customFormat="1" ht="39.6">
      <c r="A8646" s="282">
        <v>445</v>
      </c>
      <c r="B8646" s="537"/>
      <c r="C8646" s="307" t="s">
        <v>214</v>
      </c>
      <c r="D8646" s="307" t="s">
        <v>12989</v>
      </c>
      <c r="E8646" s="260" t="s">
        <v>11371</v>
      </c>
      <c r="F8646" s="310">
        <v>533</v>
      </c>
      <c r="G8646" s="311">
        <v>1973</v>
      </c>
      <c r="H8646" s="340" t="s">
        <v>3</v>
      </c>
      <c r="I8646" s="313" t="s">
        <v>11372</v>
      </c>
      <c r="J8646" s="314">
        <v>98.694999999999993</v>
      </c>
      <c r="K8646" s="314">
        <v>88.614000000000004</v>
      </c>
      <c r="L8646" s="350">
        <f t="shared" si="117"/>
        <v>10.080999999999989</v>
      </c>
      <c r="M8646" s="337"/>
    </row>
    <row r="8647" spans="1:13" s="71" customFormat="1" ht="30.75" customHeight="1">
      <c r="A8647" s="282">
        <v>446</v>
      </c>
      <c r="B8647" s="537"/>
      <c r="C8647" s="307" t="s">
        <v>28</v>
      </c>
      <c r="D8647" s="307" t="s">
        <v>12900</v>
      </c>
      <c r="E8647" s="260" t="s">
        <v>11373</v>
      </c>
      <c r="F8647" s="310">
        <v>534</v>
      </c>
      <c r="G8647" s="311">
        <v>1975</v>
      </c>
      <c r="H8647" s="340" t="s">
        <v>3</v>
      </c>
      <c r="I8647" s="313" t="s">
        <v>11374</v>
      </c>
      <c r="J8647" s="314">
        <v>178.16800000000001</v>
      </c>
      <c r="K8647" s="314">
        <v>156.96799999999999</v>
      </c>
      <c r="L8647" s="350">
        <f t="shared" si="117"/>
        <v>21.200000000000017</v>
      </c>
      <c r="M8647" s="337"/>
    </row>
    <row r="8648" spans="1:13" s="71" customFormat="1" ht="30.75" customHeight="1">
      <c r="A8648" s="282">
        <v>447</v>
      </c>
      <c r="B8648" s="537"/>
      <c r="C8648" s="307" t="s">
        <v>28</v>
      </c>
      <c r="D8648" s="307" t="s">
        <v>12899</v>
      </c>
      <c r="E8648" s="260" t="s">
        <v>11375</v>
      </c>
      <c r="F8648" s="310">
        <v>535</v>
      </c>
      <c r="G8648" s="311">
        <v>1971</v>
      </c>
      <c r="H8648" s="340" t="s">
        <v>3</v>
      </c>
      <c r="I8648" s="313" t="s">
        <v>11376</v>
      </c>
      <c r="J8648" s="314">
        <v>61.884</v>
      </c>
      <c r="K8648" s="314">
        <v>61.466999999999999</v>
      </c>
      <c r="L8648" s="350">
        <f t="shared" si="117"/>
        <v>0.41700000000000159</v>
      </c>
      <c r="M8648" s="337"/>
    </row>
    <row r="8649" spans="1:13" s="71" customFormat="1" ht="38.25" customHeight="1">
      <c r="A8649" s="282">
        <v>448</v>
      </c>
      <c r="B8649" s="537"/>
      <c r="C8649" s="307" t="s">
        <v>28</v>
      </c>
      <c r="D8649" s="307" t="s">
        <v>11377</v>
      </c>
      <c r="E8649" s="260" t="s">
        <v>11378</v>
      </c>
      <c r="F8649" s="310">
        <v>638</v>
      </c>
      <c r="G8649" s="311">
        <v>1971</v>
      </c>
      <c r="H8649" s="340" t="s">
        <v>3</v>
      </c>
      <c r="I8649" s="313" t="s">
        <v>11379</v>
      </c>
      <c r="J8649" s="314">
        <v>88.47</v>
      </c>
      <c r="K8649" s="314">
        <v>88.37</v>
      </c>
      <c r="L8649" s="350">
        <f t="shared" si="117"/>
        <v>9.9999999999994316E-2</v>
      </c>
      <c r="M8649" s="337"/>
    </row>
    <row r="8650" spans="1:13" s="71" customFormat="1" ht="26.4" customHeight="1">
      <c r="A8650" s="282">
        <v>449</v>
      </c>
      <c r="B8650" s="537"/>
      <c r="C8650" s="307" t="s">
        <v>10347</v>
      </c>
      <c r="D8650" s="307" t="s">
        <v>11341</v>
      </c>
      <c r="E8650" s="260" t="s">
        <v>11380</v>
      </c>
      <c r="F8650" s="310">
        <v>639</v>
      </c>
      <c r="G8650" s="311">
        <v>1972</v>
      </c>
      <c r="H8650" s="340" t="s">
        <v>3</v>
      </c>
      <c r="I8650" s="313" t="s">
        <v>12759</v>
      </c>
      <c r="J8650" s="314">
        <v>39.14</v>
      </c>
      <c r="K8650" s="314">
        <v>37.356999999999999</v>
      </c>
      <c r="L8650" s="350">
        <f t="shared" ref="L8650:L8713" si="118">J8650-K8650</f>
        <v>1.7830000000000013</v>
      </c>
      <c r="M8650" s="337"/>
    </row>
    <row r="8651" spans="1:13" s="71" customFormat="1" ht="26.4" customHeight="1">
      <c r="A8651" s="282">
        <v>450</v>
      </c>
      <c r="B8651" s="537"/>
      <c r="C8651" s="307" t="s">
        <v>10347</v>
      </c>
      <c r="D8651" s="307" t="s">
        <v>11381</v>
      </c>
      <c r="E8651" s="260" t="s">
        <v>11382</v>
      </c>
      <c r="F8651" s="310">
        <v>640</v>
      </c>
      <c r="G8651" s="311">
        <v>1972</v>
      </c>
      <c r="H8651" s="340" t="s">
        <v>3</v>
      </c>
      <c r="I8651" s="313" t="s">
        <v>12760</v>
      </c>
      <c r="J8651" s="314">
        <v>73.445999999999998</v>
      </c>
      <c r="K8651" s="314">
        <v>70.742000000000004</v>
      </c>
      <c r="L8651" s="350">
        <f t="shared" si="118"/>
        <v>2.7039999999999935</v>
      </c>
      <c r="M8651" s="337"/>
    </row>
    <row r="8652" spans="1:13" s="71" customFormat="1" ht="26.4" customHeight="1">
      <c r="A8652" s="282">
        <v>451</v>
      </c>
      <c r="B8652" s="537"/>
      <c r="C8652" s="307" t="s">
        <v>28</v>
      </c>
      <c r="D8652" s="307" t="s">
        <v>11349</v>
      </c>
      <c r="E8652" s="260" t="s">
        <v>11383</v>
      </c>
      <c r="F8652" s="310">
        <v>641</v>
      </c>
      <c r="G8652" s="311">
        <v>1981</v>
      </c>
      <c r="H8652" s="340" t="s">
        <v>3</v>
      </c>
      <c r="I8652" s="313" t="s">
        <v>11384</v>
      </c>
      <c r="J8652" s="314">
        <v>7.2889999999999997</v>
      </c>
      <c r="K8652" s="314">
        <v>7.1849999999999996</v>
      </c>
      <c r="L8652" s="350">
        <f t="shared" si="118"/>
        <v>0.10400000000000009</v>
      </c>
      <c r="M8652" s="337"/>
    </row>
    <row r="8653" spans="1:13" s="71" customFormat="1" ht="26.4" customHeight="1">
      <c r="A8653" s="282">
        <v>452</v>
      </c>
      <c r="B8653" s="537"/>
      <c r="C8653" s="307" t="s">
        <v>28</v>
      </c>
      <c r="D8653" s="307" t="s">
        <v>11385</v>
      </c>
      <c r="E8653" s="260" t="s">
        <v>11386</v>
      </c>
      <c r="F8653" s="310">
        <v>642</v>
      </c>
      <c r="G8653" s="311">
        <v>1981</v>
      </c>
      <c r="H8653" s="340" t="s">
        <v>3</v>
      </c>
      <c r="I8653" s="313" t="s">
        <v>11387</v>
      </c>
      <c r="J8653" s="314">
        <v>23.797000000000001</v>
      </c>
      <c r="K8653" s="314">
        <v>7.117</v>
      </c>
      <c r="L8653" s="350">
        <f t="shared" si="118"/>
        <v>16.68</v>
      </c>
      <c r="M8653" s="337"/>
    </row>
    <row r="8654" spans="1:13" s="71" customFormat="1" ht="26.4" customHeight="1">
      <c r="A8654" s="282">
        <v>453</v>
      </c>
      <c r="B8654" s="537"/>
      <c r="C8654" s="307" t="s">
        <v>10347</v>
      </c>
      <c r="D8654" s="307" t="s">
        <v>11388</v>
      </c>
      <c r="E8654" s="260" t="s">
        <v>13190</v>
      </c>
      <c r="F8654" s="310">
        <v>643</v>
      </c>
      <c r="G8654" s="311">
        <v>1976</v>
      </c>
      <c r="H8654" s="340" t="s">
        <v>3</v>
      </c>
      <c r="I8654" s="313" t="s">
        <v>11389</v>
      </c>
      <c r="J8654" s="314">
        <v>55.984999999999999</v>
      </c>
      <c r="K8654" s="314">
        <v>55.18</v>
      </c>
      <c r="L8654" s="350">
        <f t="shared" si="118"/>
        <v>0.80499999999999972</v>
      </c>
      <c r="M8654" s="337"/>
    </row>
    <row r="8655" spans="1:13" s="71" customFormat="1" ht="36.75" customHeight="1">
      <c r="A8655" s="282">
        <v>454</v>
      </c>
      <c r="B8655" s="537"/>
      <c r="C8655" s="307" t="s">
        <v>28</v>
      </c>
      <c r="D8655" s="307" t="s">
        <v>11390</v>
      </c>
      <c r="E8655" s="260" t="s">
        <v>11391</v>
      </c>
      <c r="F8655" s="310">
        <v>644</v>
      </c>
      <c r="G8655" s="311">
        <v>1991</v>
      </c>
      <c r="H8655" s="340" t="s">
        <v>3</v>
      </c>
      <c r="I8655" s="313" t="s">
        <v>12761</v>
      </c>
      <c r="J8655" s="314">
        <v>3.88</v>
      </c>
      <c r="K8655" s="314">
        <v>3.597</v>
      </c>
      <c r="L8655" s="350">
        <f t="shared" si="118"/>
        <v>0.28299999999999992</v>
      </c>
      <c r="M8655" s="337"/>
    </row>
    <row r="8656" spans="1:13" s="71" customFormat="1" ht="26.4" customHeight="1">
      <c r="A8656" s="282">
        <v>455</v>
      </c>
      <c r="B8656" s="537"/>
      <c r="C8656" s="307" t="s">
        <v>28</v>
      </c>
      <c r="D8656" s="307" t="s">
        <v>11392</v>
      </c>
      <c r="E8656" s="260" t="s">
        <v>11393</v>
      </c>
      <c r="F8656" s="310">
        <v>783</v>
      </c>
      <c r="G8656" s="311">
        <v>1987</v>
      </c>
      <c r="H8656" s="340" t="s">
        <v>3</v>
      </c>
      <c r="I8656" s="313" t="s">
        <v>11394</v>
      </c>
      <c r="J8656" s="314">
        <v>57.573</v>
      </c>
      <c r="K8656" s="314">
        <v>47.62</v>
      </c>
      <c r="L8656" s="350">
        <f t="shared" si="118"/>
        <v>9.953000000000003</v>
      </c>
      <c r="M8656" s="337"/>
    </row>
    <row r="8657" spans="1:13" s="71" customFormat="1" ht="52.8">
      <c r="A8657" s="282">
        <v>456</v>
      </c>
      <c r="B8657" s="537"/>
      <c r="C8657" s="307" t="s">
        <v>10324</v>
      </c>
      <c r="D8657" s="307" t="s">
        <v>11395</v>
      </c>
      <c r="E8657" s="260" t="s">
        <v>11396</v>
      </c>
      <c r="F8657" s="310">
        <v>784</v>
      </c>
      <c r="G8657" s="311">
        <v>1986</v>
      </c>
      <c r="H8657" s="340" t="s">
        <v>3</v>
      </c>
      <c r="I8657" s="313" t="s">
        <v>11397</v>
      </c>
      <c r="J8657" s="314">
        <v>480.50799999999998</v>
      </c>
      <c r="K8657" s="314">
        <v>337.34800000000001</v>
      </c>
      <c r="L8657" s="350">
        <f t="shared" si="118"/>
        <v>143.15999999999997</v>
      </c>
      <c r="M8657" s="337"/>
    </row>
    <row r="8658" spans="1:13" s="71" customFormat="1" ht="26.4" customHeight="1">
      <c r="A8658" s="282">
        <v>457</v>
      </c>
      <c r="B8658" s="537"/>
      <c r="C8658" s="307" t="s">
        <v>28</v>
      </c>
      <c r="D8658" s="307" t="s">
        <v>11398</v>
      </c>
      <c r="E8658" s="260" t="s">
        <v>11399</v>
      </c>
      <c r="F8658" s="310">
        <v>785</v>
      </c>
      <c r="G8658" s="311">
        <v>1986</v>
      </c>
      <c r="H8658" s="340" t="s">
        <v>3</v>
      </c>
      <c r="I8658" s="313" t="s">
        <v>11400</v>
      </c>
      <c r="J8658" s="314">
        <v>216.64400000000001</v>
      </c>
      <c r="K8658" s="314">
        <v>159.97399999999999</v>
      </c>
      <c r="L8658" s="350">
        <f t="shared" si="118"/>
        <v>56.670000000000016</v>
      </c>
      <c r="M8658" s="337"/>
    </row>
    <row r="8659" spans="1:13" s="71" customFormat="1" ht="26.4" customHeight="1">
      <c r="A8659" s="282">
        <v>458</v>
      </c>
      <c r="B8659" s="537"/>
      <c r="C8659" s="307" t="s">
        <v>28</v>
      </c>
      <c r="D8659" s="307" t="s">
        <v>11401</v>
      </c>
      <c r="E8659" s="260" t="s">
        <v>11402</v>
      </c>
      <c r="F8659" s="310">
        <v>830</v>
      </c>
      <c r="G8659" s="311">
        <v>1973</v>
      </c>
      <c r="H8659" s="340" t="s">
        <v>3</v>
      </c>
      <c r="I8659" s="313" t="s">
        <v>11403</v>
      </c>
      <c r="J8659" s="314">
        <v>9.516</v>
      </c>
      <c r="K8659" s="314">
        <v>9.0779999999999994</v>
      </c>
      <c r="L8659" s="350">
        <f t="shared" si="118"/>
        <v>0.43800000000000061</v>
      </c>
      <c r="M8659" s="337"/>
    </row>
    <row r="8660" spans="1:13" s="71" customFormat="1" ht="26.4" customHeight="1">
      <c r="A8660" s="282">
        <v>459</v>
      </c>
      <c r="B8660" s="537"/>
      <c r="C8660" s="307" t="s">
        <v>28</v>
      </c>
      <c r="D8660" s="307" t="s">
        <v>11404</v>
      </c>
      <c r="E8660" s="260" t="s">
        <v>11405</v>
      </c>
      <c r="F8660" s="310">
        <v>870</v>
      </c>
      <c r="G8660" s="311">
        <v>1996</v>
      </c>
      <c r="H8660" s="340" t="s">
        <v>3</v>
      </c>
      <c r="I8660" s="313" t="s">
        <v>11406</v>
      </c>
      <c r="J8660" s="314">
        <v>2.2799999999999998</v>
      </c>
      <c r="K8660" s="314">
        <v>1.9219999999999999</v>
      </c>
      <c r="L8660" s="350">
        <f t="shared" si="118"/>
        <v>0.35799999999999987</v>
      </c>
      <c r="M8660" s="337"/>
    </row>
    <row r="8661" spans="1:13" s="71" customFormat="1" ht="26.4" customHeight="1">
      <c r="A8661" s="282">
        <v>460</v>
      </c>
      <c r="B8661" s="537"/>
      <c r="C8661" s="307" t="s">
        <v>28</v>
      </c>
      <c r="D8661" s="307" t="s">
        <v>11407</v>
      </c>
      <c r="E8661" s="260" t="s">
        <v>11408</v>
      </c>
      <c r="F8661" s="310">
        <v>871</v>
      </c>
      <c r="G8661" s="311">
        <v>1996</v>
      </c>
      <c r="H8661" s="340" t="s">
        <v>3</v>
      </c>
      <c r="I8661" s="313" t="s">
        <v>11409</v>
      </c>
      <c r="J8661" s="314">
        <v>1.909</v>
      </c>
      <c r="K8661" s="314">
        <v>1.667</v>
      </c>
      <c r="L8661" s="350">
        <f t="shared" si="118"/>
        <v>0.24199999999999999</v>
      </c>
      <c r="M8661" s="337"/>
    </row>
    <row r="8662" spans="1:13" s="71" customFormat="1" ht="26.4" customHeight="1">
      <c r="A8662" s="282">
        <v>461</v>
      </c>
      <c r="B8662" s="537"/>
      <c r="C8662" s="307" t="s">
        <v>11410</v>
      </c>
      <c r="D8662" s="307" t="s">
        <v>3</v>
      </c>
      <c r="E8662" s="260" t="s">
        <v>11411</v>
      </c>
      <c r="F8662" s="310">
        <v>908</v>
      </c>
      <c r="G8662" s="311">
        <v>1997</v>
      </c>
      <c r="H8662" s="340" t="s">
        <v>3</v>
      </c>
      <c r="I8662" s="313" t="s">
        <v>11412</v>
      </c>
      <c r="J8662" s="314">
        <v>10.68</v>
      </c>
      <c r="K8662" s="314">
        <v>10.67</v>
      </c>
      <c r="L8662" s="350">
        <f t="shared" si="118"/>
        <v>9.9999999999997868E-3</v>
      </c>
      <c r="M8662" s="337"/>
    </row>
    <row r="8663" spans="1:13" s="71" customFormat="1" ht="26.4" customHeight="1">
      <c r="A8663" s="282">
        <v>462</v>
      </c>
      <c r="B8663" s="537"/>
      <c r="C8663" s="307" t="s">
        <v>28</v>
      </c>
      <c r="D8663" s="307" t="s">
        <v>11413</v>
      </c>
      <c r="E8663" s="260" t="s">
        <v>5022</v>
      </c>
      <c r="F8663" s="310">
        <v>909</v>
      </c>
      <c r="G8663" s="311">
        <v>1997</v>
      </c>
      <c r="H8663" s="340" t="s">
        <v>3</v>
      </c>
      <c r="I8663" s="313" t="s">
        <v>11414</v>
      </c>
      <c r="J8663" s="314">
        <v>0.98199999999999998</v>
      </c>
      <c r="K8663" s="314">
        <v>0.878</v>
      </c>
      <c r="L8663" s="350">
        <f t="shared" si="118"/>
        <v>0.10399999999999998</v>
      </c>
      <c r="M8663" s="337"/>
    </row>
    <row r="8664" spans="1:13" s="71" customFormat="1" ht="26.4" customHeight="1">
      <c r="A8664" s="282">
        <v>463</v>
      </c>
      <c r="B8664" s="537"/>
      <c r="C8664" s="307" t="s">
        <v>28</v>
      </c>
      <c r="D8664" s="307" t="s">
        <v>11415</v>
      </c>
      <c r="E8664" s="260" t="s">
        <v>11416</v>
      </c>
      <c r="F8664" s="310">
        <v>910</v>
      </c>
      <c r="G8664" s="311">
        <v>1997</v>
      </c>
      <c r="H8664" s="340" t="s">
        <v>3</v>
      </c>
      <c r="I8664" s="313" t="s">
        <v>11417</v>
      </c>
      <c r="J8664" s="314">
        <v>1.2529999999999999</v>
      </c>
      <c r="K8664" s="314">
        <v>1.149</v>
      </c>
      <c r="L8664" s="350">
        <f t="shared" si="118"/>
        <v>0.10399999999999987</v>
      </c>
      <c r="M8664" s="337"/>
    </row>
    <row r="8665" spans="1:13" s="71" customFormat="1" ht="26.4" customHeight="1">
      <c r="A8665" s="282">
        <v>464</v>
      </c>
      <c r="B8665" s="537"/>
      <c r="C8665" s="307" t="s">
        <v>28</v>
      </c>
      <c r="D8665" s="307" t="s">
        <v>11418</v>
      </c>
      <c r="E8665" s="260" t="s">
        <v>11419</v>
      </c>
      <c r="F8665" s="310">
        <v>911</v>
      </c>
      <c r="G8665" s="311">
        <v>1997</v>
      </c>
      <c r="H8665" s="340" t="s">
        <v>3</v>
      </c>
      <c r="I8665" s="313" t="s">
        <v>11420</v>
      </c>
      <c r="J8665" s="314">
        <v>2.028</v>
      </c>
      <c r="K8665" s="314">
        <v>1.901</v>
      </c>
      <c r="L8665" s="350">
        <f t="shared" si="118"/>
        <v>0.127</v>
      </c>
      <c r="M8665" s="337"/>
    </row>
    <row r="8666" spans="1:13" s="71" customFormat="1" ht="26.4" customHeight="1">
      <c r="A8666" s="282">
        <v>465</v>
      </c>
      <c r="B8666" s="537"/>
      <c r="C8666" s="307" t="s">
        <v>28</v>
      </c>
      <c r="D8666" s="307" t="s">
        <v>11421</v>
      </c>
      <c r="E8666" s="260" t="s">
        <v>11422</v>
      </c>
      <c r="F8666" s="310">
        <v>912</v>
      </c>
      <c r="G8666" s="311">
        <v>1997</v>
      </c>
      <c r="H8666" s="340" t="s">
        <v>3</v>
      </c>
      <c r="I8666" s="313" t="s">
        <v>11423</v>
      </c>
      <c r="J8666" s="314">
        <v>3.786</v>
      </c>
      <c r="K8666" s="314">
        <v>2.3340000000000001</v>
      </c>
      <c r="L8666" s="350">
        <f t="shared" si="118"/>
        <v>1.452</v>
      </c>
      <c r="M8666" s="337"/>
    </row>
    <row r="8667" spans="1:13" s="71" customFormat="1" ht="26.4" customHeight="1">
      <c r="A8667" s="282">
        <v>466</v>
      </c>
      <c r="B8667" s="537"/>
      <c r="C8667" s="307" t="s">
        <v>28</v>
      </c>
      <c r="D8667" s="307" t="s">
        <v>11424</v>
      </c>
      <c r="E8667" s="260" t="s">
        <v>11425</v>
      </c>
      <c r="F8667" s="310">
        <v>913</v>
      </c>
      <c r="G8667" s="311">
        <v>1997</v>
      </c>
      <c r="H8667" s="340" t="s">
        <v>3</v>
      </c>
      <c r="I8667" s="313" t="s">
        <v>11426</v>
      </c>
      <c r="J8667" s="314">
        <v>3.2719999999999998</v>
      </c>
      <c r="K8667" s="314">
        <v>3.1469999999999998</v>
      </c>
      <c r="L8667" s="350">
        <f t="shared" si="118"/>
        <v>0.125</v>
      </c>
      <c r="M8667" s="337"/>
    </row>
    <row r="8668" spans="1:13" s="71" customFormat="1" ht="42" customHeight="1">
      <c r="A8668" s="282">
        <v>467</v>
      </c>
      <c r="B8668" s="537"/>
      <c r="C8668" s="307" t="s">
        <v>28</v>
      </c>
      <c r="D8668" s="307" t="s">
        <v>11427</v>
      </c>
      <c r="E8668" s="260" t="s">
        <v>11428</v>
      </c>
      <c r="F8668" s="310">
        <v>1147</v>
      </c>
      <c r="G8668" s="311">
        <v>2006</v>
      </c>
      <c r="H8668" s="340" t="s">
        <v>3</v>
      </c>
      <c r="I8668" s="313" t="s">
        <v>11429</v>
      </c>
      <c r="J8668" s="314">
        <v>53.91</v>
      </c>
      <c r="K8668" s="314">
        <v>43.436999999999998</v>
      </c>
      <c r="L8668" s="350">
        <f t="shared" si="118"/>
        <v>10.472999999999999</v>
      </c>
      <c r="M8668" s="337"/>
    </row>
    <row r="8669" spans="1:13" s="71" customFormat="1" ht="27.75" customHeight="1">
      <c r="A8669" s="282">
        <v>468</v>
      </c>
      <c r="B8669" s="537"/>
      <c r="C8669" s="307" t="s">
        <v>28</v>
      </c>
      <c r="D8669" s="307" t="s">
        <v>12901</v>
      </c>
      <c r="E8669" s="260" t="s">
        <v>11430</v>
      </c>
      <c r="F8669" s="310" t="s">
        <v>11431</v>
      </c>
      <c r="G8669" s="311">
        <v>2012</v>
      </c>
      <c r="H8669" s="340" t="s">
        <v>3</v>
      </c>
      <c r="I8669" s="313" t="s">
        <v>11432</v>
      </c>
      <c r="J8669" s="314">
        <v>113.767</v>
      </c>
      <c r="K8669" s="314">
        <v>110.349</v>
      </c>
      <c r="L8669" s="350">
        <f t="shared" si="118"/>
        <v>3.4179999999999922</v>
      </c>
      <c r="M8669" s="337"/>
    </row>
    <row r="8670" spans="1:13" s="71" customFormat="1" ht="26.4" customHeight="1">
      <c r="A8670" s="282">
        <v>469</v>
      </c>
      <c r="B8670" s="537"/>
      <c r="C8670" s="307" t="s">
        <v>28</v>
      </c>
      <c r="D8670" s="307" t="s">
        <v>11433</v>
      </c>
      <c r="E8670" s="260" t="s">
        <v>11434</v>
      </c>
      <c r="F8670" s="310">
        <v>1336</v>
      </c>
      <c r="G8670" s="311">
        <v>2014</v>
      </c>
      <c r="H8670" s="340" t="s">
        <v>3</v>
      </c>
      <c r="I8670" s="313" t="s">
        <v>11435</v>
      </c>
      <c r="J8670" s="314">
        <v>15.321</v>
      </c>
      <c r="K8670" s="314">
        <v>13.862</v>
      </c>
      <c r="L8670" s="350">
        <f t="shared" si="118"/>
        <v>1.4589999999999996</v>
      </c>
      <c r="M8670" s="337"/>
    </row>
    <row r="8671" spans="1:13" s="71" customFormat="1" ht="26.4" customHeight="1">
      <c r="A8671" s="282">
        <v>470</v>
      </c>
      <c r="B8671" s="537"/>
      <c r="C8671" s="307" t="s">
        <v>28</v>
      </c>
      <c r="D8671" s="307" t="s">
        <v>11436</v>
      </c>
      <c r="E8671" s="260" t="s">
        <v>11437</v>
      </c>
      <c r="F8671" s="310">
        <v>1337</v>
      </c>
      <c r="G8671" s="311">
        <v>2014</v>
      </c>
      <c r="H8671" s="340" t="s">
        <v>3</v>
      </c>
      <c r="I8671" s="313" t="s">
        <v>11438</v>
      </c>
      <c r="J8671" s="314">
        <v>4.3319999999999999</v>
      </c>
      <c r="K8671" s="314">
        <v>3.782</v>
      </c>
      <c r="L8671" s="350">
        <f t="shared" si="118"/>
        <v>0.54999999999999982</v>
      </c>
      <c r="M8671" s="337"/>
    </row>
    <row r="8672" spans="1:13" s="71" customFormat="1" ht="26.4" customHeight="1">
      <c r="A8672" s="282">
        <v>471</v>
      </c>
      <c r="B8672" s="537"/>
      <c r="C8672" s="307" t="s">
        <v>28</v>
      </c>
      <c r="D8672" s="307" t="s">
        <v>11439</v>
      </c>
      <c r="E8672" s="260" t="s">
        <v>11440</v>
      </c>
      <c r="F8672" s="310">
        <v>1338</v>
      </c>
      <c r="G8672" s="311">
        <v>2014</v>
      </c>
      <c r="H8672" s="340" t="s">
        <v>3</v>
      </c>
      <c r="I8672" s="313" t="s">
        <v>11143</v>
      </c>
      <c r="J8672" s="314">
        <v>1.0980000000000001</v>
      </c>
      <c r="K8672" s="314">
        <v>0.96</v>
      </c>
      <c r="L8672" s="350">
        <f t="shared" si="118"/>
        <v>0.13800000000000012</v>
      </c>
      <c r="M8672" s="337"/>
    </row>
    <row r="8673" spans="1:13" s="71" customFormat="1" ht="26.4" customHeight="1">
      <c r="A8673" s="282">
        <v>472</v>
      </c>
      <c r="B8673" s="537"/>
      <c r="C8673" s="307" t="s">
        <v>28</v>
      </c>
      <c r="D8673" s="307" t="s">
        <v>10616</v>
      </c>
      <c r="E8673" s="260" t="s">
        <v>11441</v>
      </c>
      <c r="F8673" s="310">
        <v>1339</v>
      </c>
      <c r="G8673" s="311">
        <v>2014</v>
      </c>
      <c r="H8673" s="340" t="s">
        <v>3</v>
      </c>
      <c r="I8673" s="313" t="s">
        <v>11442</v>
      </c>
      <c r="J8673" s="314">
        <v>4.8949999999999996</v>
      </c>
      <c r="K8673" s="314">
        <v>4.4569999999999999</v>
      </c>
      <c r="L8673" s="350">
        <f t="shared" si="118"/>
        <v>0.43799999999999972</v>
      </c>
      <c r="M8673" s="337"/>
    </row>
    <row r="8674" spans="1:13" s="71" customFormat="1" ht="26.4" customHeight="1">
      <c r="A8674" s="282">
        <v>473</v>
      </c>
      <c r="B8674" s="537"/>
      <c r="C8674" s="307" t="s">
        <v>28</v>
      </c>
      <c r="D8674" s="307" t="s">
        <v>12841</v>
      </c>
      <c r="E8674" s="260" t="s">
        <v>11443</v>
      </c>
      <c r="F8674" s="310">
        <v>1340</v>
      </c>
      <c r="G8674" s="311">
        <v>2014</v>
      </c>
      <c r="H8674" s="340" t="s">
        <v>3</v>
      </c>
      <c r="I8674" s="313" t="s">
        <v>11444</v>
      </c>
      <c r="J8674" s="314">
        <v>3.1469999999999998</v>
      </c>
      <c r="K8674" s="314">
        <v>2.7989999999999999</v>
      </c>
      <c r="L8674" s="350">
        <f t="shared" si="118"/>
        <v>0.34799999999999986</v>
      </c>
      <c r="M8674" s="337"/>
    </row>
    <row r="8675" spans="1:13" s="71" customFormat="1" ht="26.4" customHeight="1">
      <c r="A8675" s="282">
        <v>474</v>
      </c>
      <c r="B8675" s="537"/>
      <c r="C8675" s="307" t="s">
        <v>28</v>
      </c>
      <c r="D8675" s="307" t="s">
        <v>11445</v>
      </c>
      <c r="E8675" s="260" t="s">
        <v>11446</v>
      </c>
      <c r="F8675" s="310">
        <v>1341</v>
      </c>
      <c r="G8675" s="311">
        <v>2014</v>
      </c>
      <c r="H8675" s="340" t="s">
        <v>3</v>
      </c>
      <c r="I8675" s="313" t="s">
        <v>11447</v>
      </c>
      <c r="J8675" s="314">
        <v>0.90800000000000003</v>
      </c>
      <c r="K8675" s="314">
        <v>0.82599999999999996</v>
      </c>
      <c r="L8675" s="350">
        <f t="shared" si="118"/>
        <v>8.2000000000000073E-2</v>
      </c>
      <c r="M8675" s="337"/>
    </row>
    <row r="8676" spans="1:13" s="71" customFormat="1" ht="26.4" customHeight="1">
      <c r="A8676" s="282">
        <v>475</v>
      </c>
      <c r="B8676" s="537"/>
      <c r="C8676" s="307" t="s">
        <v>28</v>
      </c>
      <c r="D8676" s="307" t="s">
        <v>11448</v>
      </c>
      <c r="E8676" s="260" t="s">
        <v>11449</v>
      </c>
      <c r="F8676" s="310">
        <v>1342</v>
      </c>
      <c r="G8676" s="311">
        <v>2014</v>
      </c>
      <c r="H8676" s="340" t="s">
        <v>3</v>
      </c>
      <c r="I8676" s="313" t="s">
        <v>11450</v>
      </c>
      <c r="J8676" s="314">
        <v>1.266</v>
      </c>
      <c r="K8676" s="314">
        <v>1.05</v>
      </c>
      <c r="L8676" s="350">
        <f t="shared" si="118"/>
        <v>0.21599999999999997</v>
      </c>
      <c r="M8676" s="337"/>
    </row>
    <row r="8677" spans="1:13" s="71" customFormat="1" ht="26.4" customHeight="1">
      <c r="A8677" s="282">
        <v>476</v>
      </c>
      <c r="B8677" s="537"/>
      <c r="C8677" s="307" t="s">
        <v>28</v>
      </c>
      <c r="D8677" s="307" t="s">
        <v>11451</v>
      </c>
      <c r="E8677" s="260" t="s">
        <v>11452</v>
      </c>
      <c r="F8677" s="310">
        <v>1343</v>
      </c>
      <c r="G8677" s="311">
        <v>2014</v>
      </c>
      <c r="H8677" s="340" t="s">
        <v>3</v>
      </c>
      <c r="I8677" s="313" t="s">
        <v>11453</v>
      </c>
      <c r="J8677" s="314">
        <v>2.9980000000000002</v>
      </c>
      <c r="K8677" s="314">
        <v>2.556</v>
      </c>
      <c r="L8677" s="350">
        <f t="shared" si="118"/>
        <v>0.44200000000000017</v>
      </c>
      <c r="M8677" s="337"/>
    </row>
    <row r="8678" spans="1:13" s="71" customFormat="1" ht="26.4" customHeight="1">
      <c r="A8678" s="282">
        <v>477</v>
      </c>
      <c r="B8678" s="537"/>
      <c r="C8678" s="307" t="s">
        <v>28</v>
      </c>
      <c r="D8678" s="307" t="s">
        <v>11454</v>
      </c>
      <c r="E8678" s="260" t="s">
        <v>11455</v>
      </c>
      <c r="F8678" s="310">
        <v>1344</v>
      </c>
      <c r="G8678" s="311">
        <v>2014</v>
      </c>
      <c r="H8678" s="340" t="s">
        <v>3</v>
      </c>
      <c r="I8678" s="313" t="s">
        <v>11456</v>
      </c>
      <c r="J8678" s="314">
        <v>1.2450000000000001</v>
      </c>
      <c r="K8678" s="314">
        <v>0.97899999999999998</v>
      </c>
      <c r="L8678" s="350">
        <f t="shared" si="118"/>
        <v>0.26600000000000013</v>
      </c>
      <c r="M8678" s="337"/>
    </row>
    <row r="8679" spans="1:13" s="71" customFormat="1" ht="26.4" customHeight="1">
      <c r="A8679" s="282">
        <v>478</v>
      </c>
      <c r="B8679" s="537"/>
      <c r="C8679" s="307" t="s">
        <v>28</v>
      </c>
      <c r="D8679" s="307" t="s">
        <v>11457</v>
      </c>
      <c r="E8679" s="260" t="s">
        <v>11458</v>
      </c>
      <c r="F8679" s="310">
        <v>1345</v>
      </c>
      <c r="G8679" s="311">
        <v>2014</v>
      </c>
      <c r="H8679" s="340" t="s">
        <v>3</v>
      </c>
      <c r="I8679" s="313" t="s">
        <v>11459</v>
      </c>
      <c r="J8679" s="314">
        <v>6.3150000000000004</v>
      </c>
      <c r="K8679" s="314">
        <v>4.91</v>
      </c>
      <c r="L8679" s="350">
        <f t="shared" si="118"/>
        <v>1.4050000000000002</v>
      </c>
      <c r="M8679" s="337"/>
    </row>
    <row r="8680" spans="1:13" s="71" customFormat="1" ht="26.4" customHeight="1">
      <c r="A8680" s="282">
        <v>479</v>
      </c>
      <c r="B8680" s="537"/>
      <c r="C8680" s="307" t="s">
        <v>28</v>
      </c>
      <c r="D8680" s="307" t="s">
        <v>11460</v>
      </c>
      <c r="E8680" s="260" t="s">
        <v>11461</v>
      </c>
      <c r="F8680" s="310">
        <v>1346</v>
      </c>
      <c r="G8680" s="311">
        <v>2014</v>
      </c>
      <c r="H8680" s="340" t="s">
        <v>3</v>
      </c>
      <c r="I8680" s="313" t="s">
        <v>11462</v>
      </c>
      <c r="J8680" s="314">
        <v>6.5519999999999996</v>
      </c>
      <c r="K8680" s="314">
        <v>6.4359999999999999</v>
      </c>
      <c r="L8680" s="350">
        <f t="shared" si="118"/>
        <v>0.11599999999999966</v>
      </c>
      <c r="M8680" s="337"/>
    </row>
    <row r="8681" spans="1:13" s="71" customFormat="1" ht="26.4" customHeight="1">
      <c r="A8681" s="282">
        <v>480</v>
      </c>
      <c r="B8681" s="537"/>
      <c r="C8681" s="307" t="s">
        <v>28</v>
      </c>
      <c r="D8681" s="307" t="s">
        <v>11463</v>
      </c>
      <c r="E8681" s="260" t="s">
        <v>11464</v>
      </c>
      <c r="F8681" s="310">
        <v>1347</v>
      </c>
      <c r="G8681" s="311">
        <v>2014</v>
      </c>
      <c r="H8681" s="340" t="s">
        <v>3</v>
      </c>
      <c r="I8681" s="313" t="s">
        <v>11465</v>
      </c>
      <c r="J8681" s="314">
        <v>1.5820000000000001</v>
      </c>
      <c r="K8681" s="314">
        <v>1.36</v>
      </c>
      <c r="L8681" s="350">
        <f t="shared" si="118"/>
        <v>0.22199999999999998</v>
      </c>
      <c r="M8681" s="337"/>
    </row>
    <row r="8682" spans="1:13" s="71" customFormat="1" ht="26.4" customHeight="1">
      <c r="A8682" s="282">
        <v>481</v>
      </c>
      <c r="B8682" s="537"/>
      <c r="C8682" s="307" t="s">
        <v>28</v>
      </c>
      <c r="D8682" s="307" t="s">
        <v>11466</v>
      </c>
      <c r="E8682" s="260" t="s">
        <v>11467</v>
      </c>
      <c r="F8682" s="310">
        <v>1348</v>
      </c>
      <c r="G8682" s="311">
        <v>2014</v>
      </c>
      <c r="H8682" s="340" t="s">
        <v>3</v>
      </c>
      <c r="I8682" s="313" t="s">
        <v>11468</v>
      </c>
      <c r="J8682" s="314">
        <v>1.9470000000000001</v>
      </c>
      <c r="K8682" s="314">
        <v>1.5760000000000001</v>
      </c>
      <c r="L8682" s="350">
        <f t="shared" si="118"/>
        <v>0.371</v>
      </c>
      <c r="M8682" s="337"/>
    </row>
    <row r="8683" spans="1:13" s="71" customFormat="1" ht="26.4" customHeight="1">
      <c r="A8683" s="282">
        <v>482</v>
      </c>
      <c r="B8683" s="537"/>
      <c r="C8683" s="307" t="s">
        <v>28</v>
      </c>
      <c r="D8683" s="307" t="s">
        <v>11469</v>
      </c>
      <c r="E8683" s="260" t="s">
        <v>11470</v>
      </c>
      <c r="F8683" s="310">
        <v>1349</v>
      </c>
      <c r="G8683" s="311">
        <v>2014</v>
      </c>
      <c r="H8683" s="340" t="s">
        <v>3</v>
      </c>
      <c r="I8683" s="313" t="s">
        <v>11471</v>
      </c>
      <c r="J8683" s="314">
        <v>0.22900000000000001</v>
      </c>
      <c r="K8683" s="314">
        <v>0.192</v>
      </c>
      <c r="L8683" s="350">
        <f t="shared" si="118"/>
        <v>3.7000000000000005E-2</v>
      </c>
      <c r="M8683" s="337"/>
    </row>
    <row r="8684" spans="1:13" s="71" customFormat="1" ht="26.4" customHeight="1">
      <c r="A8684" s="282">
        <v>483</v>
      </c>
      <c r="B8684" s="537"/>
      <c r="C8684" s="307" t="s">
        <v>28</v>
      </c>
      <c r="D8684" s="307" t="s">
        <v>11472</v>
      </c>
      <c r="E8684" s="260" t="s">
        <v>11473</v>
      </c>
      <c r="F8684" s="310">
        <v>1350</v>
      </c>
      <c r="G8684" s="311">
        <v>2014</v>
      </c>
      <c r="H8684" s="340" t="s">
        <v>3</v>
      </c>
      <c r="I8684" s="313" t="s">
        <v>11474</v>
      </c>
      <c r="J8684" s="314">
        <v>15.101000000000001</v>
      </c>
      <c r="K8684" s="314">
        <v>14.589</v>
      </c>
      <c r="L8684" s="350">
        <f t="shared" si="118"/>
        <v>0.51200000000000045</v>
      </c>
      <c r="M8684" s="337"/>
    </row>
    <row r="8685" spans="1:13" s="71" customFormat="1" ht="26.4" customHeight="1">
      <c r="A8685" s="282">
        <v>484</v>
      </c>
      <c r="B8685" s="537"/>
      <c r="C8685" s="307" t="s">
        <v>28</v>
      </c>
      <c r="D8685" s="307" t="s">
        <v>11475</v>
      </c>
      <c r="E8685" s="260" t="s">
        <v>11476</v>
      </c>
      <c r="F8685" s="310">
        <v>1351</v>
      </c>
      <c r="G8685" s="311">
        <v>2014</v>
      </c>
      <c r="H8685" s="340" t="s">
        <v>3</v>
      </c>
      <c r="I8685" s="313" t="s">
        <v>11477</v>
      </c>
      <c r="J8685" s="314">
        <v>3.4980000000000002</v>
      </c>
      <c r="K8685" s="314">
        <v>3.476</v>
      </c>
      <c r="L8685" s="350">
        <f t="shared" si="118"/>
        <v>2.2000000000000242E-2</v>
      </c>
      <c r="M8685" s="337"/>
    </row>
    <row r="8686" spans="1:13" s="71" customFormat="1" ht="26.4" customHeight="1">
      <c r="A8686" s="282">
        <v>485</v>
      </c>
      <c r="B8686" s="537"/>
      <c r="C8686" s="307" t="s">
        <v>28</v>
      </c>
      <c r="D8686" s="307" t="s">
        <v>11478</v>
      </c>
      <c r="E8686" s="260" t="s">
        <v>11479</v>
      </c>
      <c r="F8686" s="310">
        <v>1352</v>
      </c>
      <c r="G8686" s="311">
        <v>2014</v>
      </c>
      <c r="H8686" s="340" t="s">
        <v>3</v>
      </c>
      <c r="I8686" s="313" t="s">
        <v>11480</v>
      </c>
      <c r="J8686" s="314">
        <v>1.47</v>
      </c>
      <c r="K8686" s="314">
        <v>1.444</v>
      </c>
      <c r="L8686" s="350">
        <f t="shared" si="118"/>
        <v>2.6000000000000023E-2</v>
      </c>
      <c r="M8686" s="337"/>
    </row>
    <row r="8687" spans="1:13" s="71" customFormat="1" ht="26.4" customHeight="1">
      <c r="A8687" s="282">
        <v>486</v>
      </c>
      <c r="B8687" s="537"/>
      <c r="C8687" s="307" t="s">
        <v>28</v>
      </c>
      <c r="D8687" s="307" t="s">
        <v>11481</v>
      </c>
      <c r="E8687" s="260" t="s">
        <v>13191</v>
      </c>
      <c r="F8687" s="310">
        <v>1353</v>
      </c>
      <c r="G8687" s="311">
        <v>2014</v>
      </c>
      <c r="H8687" s="340" t="s">
        <v>3</v>
      </c>
      <c r="I8687" s="313" t="s">
        <v>11482</v>
      </c>
      <c r="J8687" s="314">
        <v>4.9139999999999997</v>
      </c>
      <c r="K8687" s="314">
        <v>4.5170000000000003</v>
      </c>
      <c r="L8687" s="350">
        <f t="shared" si="118"/>
        <v>0.39699999999999935</v>
      </c>
      <c r="M8687" s="337"/>
    </row>
    <row r="8688" spans="1:13" s="71" customFormat="1" ht="26.4" customHeight="1">
      <c r="A8688" s="282">
        <v>487</v>
      </c>
      <c r="B8688" s="537"/>
      <c r="C8688" s="307" t="s">
        <v>28</v>
      </c>
      <c r="D8688" s="307" t="s">
        <v>11483</v>
      </c>
      <c r="E8688" s="260" t="s">
        <v>11484</v>
      </c>
      <c r="F8688" s="310">
        <v>1354</v>
      </c>
      <c r="G8688" s="311">
        <v>2014</v>
      </c>
      <c r="H8688" s="340" t="s">
        <v>3</v>
      </c>
      <c r="I8688" s="313" t="s">
        <v>11462</v>
      </c>
      <c r="J8688" s="314">
        <v>0.61099999999999999</v>
      </c>
      <c r="K8688" s="314">
        <v>0.54300000000000004</v>
      </c>
      <c r="L8688" s="350">
        <f t="shared" si="118"/>
        <v>6.7999999999999949E-2</v>
      </c>
      <c r="M8688" s="337"/>
    </row>
    <row r="8689" spans="1:13" s="71" customFormat="1" ht="26.4" customHeight="1">
      <c r="A8689" s="282">
        <v>488</v>
      </c>
      <c r="B8689" s="537"/>
      <c r="C8689" s="307" t="s">
        <v>28</v>
      </c>
      <c r="D8689" s="307" t="s">
        <v>11485</v>
      </c>
      <c r="E8689" s="260" t="s">
        <v>11486</v>
      </c>
      <c r="F8689" s="310">
        <v>1355</v>
      </c>
      <c r="G8689" s="311">
        <v>2014</v>
      </c>
      <c r="H8689" s="340" t="s">
        <v>3</v>
      </c>
      <c r="I8689" s="313" t="s">
        <v>11487</v>
      </c>
      <c r="J8689" s="314">
        <v>3.8479999999999999</v>
      </c>
      <c r="K8689" s="314">
        <v>3.306</v>
      </c>
      <c r="L8689" s="350">
        <f t="shared" si="118"/>
        <v>0.54199999999999982</v>
      </c>
      <c r="M8689" s="337"/>
    </row>
    <row r="8690" spans="1:13" s="71" customFormat="1" ht="26.4" customHeight="1">
      <c r="A8690" s="282">
        <v>489</v>
      </c>
      <c r="B8690" s="537"/>
      <c r="C8690" s="307" t="s">
        <v>28</v>
      </c>
      <c r="D8690" s="307" t="s">
        <v>11488</v>
      </c>
      <c r="E8690" s="260" t="s">
        <v>11489</v>
      </c>
      <c r="F8690" s="310">
        <v>1356</v>
      </c>
      <c r="G8690" s="311">
        <v>2014</v>
      </c>
      <c r="H8690" s="340" t="s">
        <v>3</v>
      </c>
      <c r="I8690" s="313" t="s">
        <v>11490</v>
      </c>
      <c r="J8690" s="314">
        <v>0.96499999999999997</v>
      </c>
      <c r="K8690" s="314">
        <v>0.85799999999999998</v>
      </c>
      <c r="L8690" s="350">
        <f t="shared" si="118"/>
        <v>0.10699999999999998</v>
      </c>
      <c r="M8690" s="337"/>
    </row>
    <row r="8691" spans="1:13" s="71" customFormat="1" ht="26.4" customHeight="1">
      <c r="A8691" s="282">
        <v>490</v>
      </c>
      <c r="B8691" s="537"/>
      <c r="C8691" s="307" t="s">
        <v>28</v>
      </c>
      <c r="D8691" s="307" t="s">
        <v>11491</v>
      </c>
      <c r="E8691" s="260" t="s">
        <v>11492</v>
      </c>
      <c r="F8691" s="310">
        <v>1357</v>
      </c>
      <c r="G8691" s="311">
        <v>2014</v>
      </c>
      <c r="H8691" s="340" t="s">
        <v>3</v>
      </c>
      <c r="I8691" s="313" t="s">
        <v>11493</v>
      </c>
      <c r="J8691" s="314">
        <v>2.6760000000000002</v>
      </c>
      <c r="K8691" s="314">
        <v>2.379</v>
      </c>
      <c r="L8691" s="350">
        <f t="shared" si="118"/>
        <v>0.29700000000000015</v>
      </c>
      <c r="M8691" s="337"/>
    </row>
    <row r="8692" spans="1:13" s="71" customFormat="1" ht="26.4" customHeight="1">
      <c r="A8692" s="282">
        <v>491</v>
      </c>
      <c r="B8692" s="537"/>
      <c r="C8692" s="307" t="s">
        <v>28</v>
      </c>
      <c r="D8692" s="307" t="s">
        <v>11494</v>
      </c>
      <c r="E8692" s="260" t="s">
        <v>11495</v>
      </c>
      <c r="F8692" s="310">
        <v>1358</v>
      </c>
      <c r="G8692" s="311">
        <v>2014</v>
      </c>
      <c r="H8692" s="340" t="s">
        <v>3</v>
      </c>
      <c r="I8692" s="313" t="s">
        <v>11124</v>
      </c>
      <c r="J8692" s="314">
        <v>1.3759999999999999</v>
      </c>
      <c r="K8692" s="314">
        <v>1.2150000000000001</v>
      </c>
      <c r="L8692" s="350">
        <f t="shared" si="118"/>
        <v>0.16099999999999981</v>
      </c>
      <c r="M8692" s="337"/>
    </row>
    <row r="8693" spans="1:13" s="71" customFormat="1" ht="26.4" customHeight="1">
      <c r="A8693" s="282">
        <v>492</v>
      </c>
      <c r="B8693" s="537"/>
      <c r="C8693" s="307" t="s">
        <v>28</v>
      </c>
      <c r="D8693" s="307" t="s">
        <v>11496</v>
      </c>
      <c r="E8693" s="260" t="s">
        <v>11497</v>
      </c>
      <c r="F8693" s="310">
        <v>1359</v>
      </c>
      <c r="G8693" s="311">
        <v>2014</v>
      </c>
      <c r="H8693" s="340" t="s">
        <v>3</v>
      </c>
      <c r="I8693" s="313" t="s">
        <v>11498</v>
      </c>
      <c r="J8693" s="314">
        <v>1.117</v>
      </c>
      <c r="K8693" s="314">
        <v>0.97099999999999997</v>
      </c>
      <c r="L8693" s="350">
        <f t="shared" si="118"/>
        <v>0.14600000000000002</v>
      </c>
      <c r="M8693" s="337"/>
    </row>
    <row r="8694" spans="1:13" s="71" customFormat="1" ht="26.4" customHeight="1">
      <c r="A8694" s="282">
        <v>493</v>
      </c>
      <c r="B8694" s="537"/>
      <c r="C8694" s="307" t="s">
        <v>28</v>
      </c>
      <c r="D8694" s="307" t="s">
        <v>11499</v>
      </c>
      <c r="E8694" s="260" t="s">
        <v>11500</v>
      </c>
      <c r="F8694" s="310">
        <v>1360</v>
      </c>
      <c r="G8694" s="311">
        <v>2014</v>
      </c>
      <c r="H8694" s="340" t="s">
        <v>3</v>
      </c>
      <c r="I8694" s="313" t="s">
        <v>11501</v>
      </c>
      <c r="J8694" s="314">
        <v>2.5390000000000001</v>
      </c>
      <c r="K8694" s="314">
        <v>2.2970000000000002</v>
      </c>
      <c r="L8694" s="350">
        <f t="shared" si="118"/>
        <v>0.24199999999999999</v>
      </c>
      <c r="M8694" s="337"/>
    </row>
    <row r="8695" spans="1:13" s="71" customFormat="1" ht="26.4" customHeight="1">
      <c r="A8695" s="282">
        <v>494</v>
      </c>
      <c r="B8695" s="537"/>
      <c r="C8695" s="307" t="s">
        <v>28</v>
      </c>
      <c r="D8695" s="307" t="s">
        <v>10670</v>
      </c>
      <c r="E8695" s="260" t="s">
        <v>11502</v>
      </c>
      <c r="F8695" s="310">
        <v>1361</v>
      </c>
      <c r="G8695" s="311">
        <v>2014</v>
      </c>
      <c r="H8695" s="340" t="s">
        <v>3</v>
      </c>
      <c r="I8695" s="313" t="s">
        <v>11503</v>
      </c>
      <c r="J8695" s="314">
        <v>2.8050000000000002</v>
      </c>
      <c r="K8695" s="314">
        <v>2.2549999999999999</v>
      </c>
      <c r="L8695" s="350">
        <f t="shared" si="118"/>
        <v>0.55000000000000027</v>
      </c>
      <c r="M8695" s="337"/>
    </row>
    <row r="8696" spans="1:13" s="71" customFormat="1" ht="26.4" customHeight="1">
      <c r="A8696" s="282">
        <v>495</v>
      </c>
      <c r="B8696" s="537"/>
      <c r="C8696" s="307" t="s">
        <v>28</v>
      </c>
      <c r="D8696" s="307" t="s">
        <v>11504</v>
      </c>
      <c r="E8696" s="260" t="s">
        <v>11505</v>
      </c>
      <c r="F8696" s="310">
        <v>1362</v>
      </c>
      <c r="G8696" s="311">
        <v>2014</v>
      </c>
      <c r="H8696" s="340" t="s">
        <v>3</v>
      </c>
      <c r="I8696" s="313" t="s">
        <v>11506</v>
      </c>
      <c r="J8696" s="314">
        <v>3.4870000000000001</v>
      </c>
      <c r="K8696" s="314">
        <v>2.9</v>
      </c>
      <c r="L8696" s="350">
        <f t="shared" si="118"/>
        <v>0.58700000000000019</v>
      </c>
      <c r="M8696" s="337"/>
    </row>
    <row r="8697" spans="1:13" s="71" customFormat="1" ht="26.4" customHeight="1">
      <c r="A8697" s="282">
        <v>496</v>
      </c>
      <c r="B8697" s="537"/>
      <c r="C8697" s="307" t="s">
        <v>28</v>
      </c>
      <c r="D8697" s="307" t="s">
        <v>11507</v>
      </c>
      <c r="E8697" s="260" t="s">
        <v>11508</v>
      </c>
      <c r="F8697" s="310">
        <v>1363</v>
      </c>
      <c r="G8697" s="311">
        <v>2014</v>
      </c>
      <c r="H8697" s="340" t="s">
        <v>3</v>
      </c>
      <c r="I8697" s="313" t="s">
        <v>11509</v>
      </c>
      <c r="J8697" s="314">
        <v>0.32800000000000001</v>
      </c>
      <c r="K8697" s="314">
        <v>0.26700000000000002</v>
      </c>
      <c r="L8697" s="350">
        <f t="shared" si="118"/>
        <v>6.0999999999999999E-2</v>
      </c>
      <c r="M8697" s="337"/>
    </row>
    <row r="8698" spans="1:13" s="71" customFormat="1" ht="26.4" customHeight="1">
      <c r="A8698" s="282">
        <v>497</v>
      </c>
      <c r="B8698" s="537"/>
      <c r="C8698" s="307" t="s">
        <v>28</v>
      </c>
      <c r="D8698" s="307" t="s">
        <v>11510</v>
      </c>
      <c r="E8698" s="260" t="s">
        <v>11511</v>
      </c>
      <c r="F8698" s="310">
        <v>1364</v>
      </c>
      <c r="G8698" s="311">
        <v>2014</v>
      </c>
      <c r="H8698" s="340" t="s">
        <v>3</v>
      </c>
      <c r="I8698" s="313" t="s">
        <v>11512</v>
      </c>
      <c r="J8698" s="314">
        <v>0.374</v>
      </c>
      <c r="K8698" s="314">
        <v>0.31</v>
      </c>
      <c r="L8698" s="350">
        <f t="shared" si="118"/>
        <v>6.4000000000000001E-2</v>
      </c>
      <c r="M8698" s="337"/>
    </row>
    <row r="8699" spans="1:13" s="71" customFormat="1" ht="26.4" customHeight="1">
      <c r="A8699" s="282">
        <v>498</v>
      </c>
      <c r="B8699" s="537"/>
      <c r="C8699" s="307" t="s">
        <v>28</v>
      </c>
      <c r="D8699" s="307" t="s">
        <v>11513</v>
      </c>
      <c r="E8699" s="260" t="s">
        <v>11514</v>
      </c>
      <c r="F8699" s="310">
        <v>1365</v>
      </c>
      <c r="G8699" s="311">
        <v>2014</v>
      </c>
      <c r="H8699" s="340" t="s">
        <v>3</v>
      </c>
      <c r="I8699" s="313" t="s">
        <v>11515</v>
      </c>
      <c r="J8699" s="314">
        <v>2.3519999999999999</v>
      </c>
      <c r="K8699" s="314">
        <v>1.9830000000000001</v>
      </c>
      <c r="L8699" s="350">
        <f t="shared" si="118"/>
        <v>0.36899999999999977</v>
      </c>
      <c r="M8699" s="337"/>
    </row>
    <row r="8700" spans="1:13" s="71" customFormat="1" ht="26.4" customHeight="1">
      <c r="A8700" s="282">
        <v>499</v>
      </c>
      <c r="B8700" s="537"/>
      <c r="C8700" s="307" t="s">
        <v>28</v>
      </c>
      <c r="D8700" s="307" t="s">
        <v>11516</v>
      </c>
      <c r="E8700" s="260" t="s">
        <v>11517</v>
      </c>
      <c r="F8700" s="310">
        <v>1366</v>
      </c>
      <c r="G8700" s="311">
        <v>2014</v>
      </c>
      <c r="H8700" s="340" t="s">
        <v>3</v>
      </c>
      <c r="I8700" s="313" t="s">
        <v>11518</v>
      </c>
      <c r="J8700" s="314">
        <v>0.43099999999999999</v>
      </c>
      <c r="K8700" s="314">
        <v>0.36</v>
      </c>
      <c r="L8700" s="350">
        <f t="shared" si="118"/>
        <v>7.1000000000000008E-2</v>
      </c>
      <c r="M8700" s="337"/>
    </row>
    <row r="8701" spans="1:13" s="71" customFormat="1" ht="26.4" customHeight="1">
      <c r="A8701" s="282">
        <v>500</v>
      </c>
      <c r="B8701" s="537"/>
      <c r="C8701" s="307" t="s">
        <v>28</v>
      </c>
      <c r="D8701" s="307" t="s">
        <v>11519</v>
      </c>
      <c r="E8701" s="260" t="s">
        <v>11520</v>
      </c>
      <c r="F8701" s="310">
        <v>1367</v>
      </c>
      <c r="G8701" s="311">
        <v>2014</v>
      </c>
      <c r="H8701" s="340" t="s">
        <v>3</v>
      </c>
      <c r="I8701" s="313" t="s">
        <v>11521</v>
      </c>
      <c r="J8701" s="314">
        <v>1.383</v>
      </c>
      <c r="K8701" s="314">
        <v>1.147</v>
      </c>
      <c r="L8701" s="350">
        <f t="shared" si="118"/>
        <v>0.23599999999999999</v>
      </c>
      <c r="M8701" s="337"/>
    </row>
    <row r="8702" spans="1:13" s="71" customFormat="1" ht="26.4" customHeight="1">
      <c r="A8702" s="282">
        <v>501</v>
      </c>
      <c r="B8702" s="537"/>
      <c r="C8702" s="307" t="s">
        <v>28</v>
      </c>
      <c r="D8702" s="307" t="s">
        <v>11522</v>
      </c>
      <c r="E8702" s="260" t="s">
        <v>11523</v>
      </c>
      <c r="F8702" s="310">
        <v>1368</v>
      </c>
      <c r="G8702" s="311">
        <v>2014</v>
      </c>
      <c r="H8702" s="340" t="s">
        <v>3</v>
      </c>
      <c r="I8702" s="313" t="s">
        <v>11524</v>
      </c>
      <c r="J8702" s="314">
        <v>2.2000000000000002</v>
      </c>
      <c r="K8702" s="314">
        <v>2.1070000000000002</v>
      </c>
      <c r="L8702" s="350">
        <f t="shared" si="118"/>
        <v>9.2999999999999972E-2</v>
      </c>
      <c r="M8702" s="337"/>
    </row>
    <row r="8703" spans="1:13" s="71" customFormat="1" ht="26.4" customHeight="1">
      <c r="A8703" s="282">
        <v>502</v>
      </c>
      <c r="B8703" s="537"/>
      <c r="C8703" s="307" t="s">
        <v>28</v>
      </c>
      <c r="D8703" s="307" t="s">
        <v>11525</v>
      </c>
      <c r="E8703" s="260" t="s">
        <v>11526</v>
      </c>
      <c r="F8703" s="310">
        <v>1369</v>
      </c>
      <c r="G8703" s="311">
        <v>2014</v>
      </c>
      <c r="H8703" s="340" t="s">
        <v>3</v>
      </c>
      <c r="I8703" s="313" t="s">
        <v>11527</v>
      </c>
      <c r="J8703" s="314">
        <v>0.47199999999999998</v>
      </c>
      <c r="K8703" s="314">
        <v>0.40899999999999997</v>
      </c>
      <c r="L8703" s="350">
        <f t="shared" si="118"/>
        <v>6.3E-2</v>
      </c>
      <c r="M8703" s="337"/>
    </row>
    <row r="8704" spans="1:13" s="71" customFormat="1" ht="26.4" customHeight="1">
      <c r="A8704" s="282">
        <v>503</v>
      </c>
      <c r="B8704" s="537"/>
      <c r="C8704" s="307" t="s">
        <v>28</v>
      </c>
      <c r="D8704" s="307" t="s">
        <v>11528</v>
      </c>
      <c r="E8704" s="260" t="s">
        <v>11529</v>
      </c>
      <c r="F8704" s="310">
        <v>1370</v>
      </c>
      <c r="G8704" s="311">
        <v>2014</v>
      </c>
      <c r="H8704" s="340" t="s">
        <v>3</v>
      </c>
      <c r="I8704" s="313" t="s">
        <v>11530</v>
      </c>
      <c r="J8704" s="314">
        <v>0.307</v>
      </c>
      <c r="K8704" s="314">
        <v>0.27600000000000002</v>
      </c>
      <c r="L8704" s="350">
        <f t="shared" si="118"/>
        <v>3.0999999999999972E-2</v>
      </c>
      <c r="M8704" s="337"/>
    </row>
    <row r="8705" spans="1:13" s="71" customFormat="1" ht="26.4" customHeight="1">
      <c r="A8705" s="282">
        <v>504</v>
      </c>
      <c r="B8705" s="537"/>
      <c r="C8705" s="307" t="s">
        <v>28</v>
      </c>
      <c r="D8705" s="307" t="s">
        <v>11531</v>
      </c>
      <c r="E8705" s="260" t="s">
        <v>11532</v>
      </c>
      <c r="F8705" s="310">
        <v>1371</v>
      </c>
      <c r="G8705" s="311">
        <v>2014</v>
      </c>
      <c r="H8705" s="340" t="s">
        <v>3</v>
      </c>
      <c r="I8705" s="313" t="s">
        <v>11533</v>
      </c>
      <c r="J8705" s="314">
        <v>2.3119999999999998</v>
      </c>
      <c r="K8705" s="314">
        <v>1.98</v>
      </c>
      <c r="L8705" s="350">
        <f t="shared" si="118"/>
        <v>0.33199999999999985</v>
      </c>
      <c r="M8705" s="337"/>
    </row>
    <row r="8706" spans="1:13" s="71" customFormat="1" ht="26.4" customHeight="1">
      <c r="A8706" s="282">
        <v>505</v>
      </c>
      <c r="B8706" s="537"/>
      <c r="C8706" s="307" t="s">
        <v>28</v>
      </c>
      <c r="D8706" s="307" t="s">
        <v>11534</v>
      </c>
      <c r="E8706" s="260" t="s">
        <v>11535</v>
      </c>
      <c r="F8706" s="310">
        <v>1372</v>
      </c>
      <c r="G8706" s="311">
        <v>2014</v>
      </c>
      <c r="H8706" s="340" t="s">
        <v>3</v>
      </c>
      <c r="I8706" s="313" t="s">
        <v>11406</v>
      </c>
      <c r="J8706" s="314">
        <v>0.78400000000000003</v>
      </c>
      <c r="K8706" s="314">
        <v>0.54200000000000004</v>
      </c>
      <c r="L8706" s="350">
        <f t="shared" si="118"/>
        <v>0.24199999999999999</v>
      </c>
      <c r="M8706" s="337"/>
    </row>
    <row r="8707" spans="1:13" s="71" customFormat="1" ht="26.4" customHeight="1">
      <c r="A8707" s="282">
        <v>506</v>
      </c>
      <c r="B8707" s="537"/>
      <c r="C8707" s="307" t="s">
        <v>28</v>
      </c>
      <c r="D8707" s="307" t="s">
        <v>11536</v>
      </c>
      <c r="E8707" s="260" t="s">
        <v>11537</v>
      </c>
      <c r="F8707" s="310">
        <v>1373</v>
      </c>
      <c r="G8707" s="311">
        <v>2014</v>
      </c>
      <c r="H8707" s="340" t="s">
        <v>3</v>
      </c>
      <c r="I8707" s="313" t="s">
        <v>11538</v>
      </c>
      <c r="J8707" s="314">
        <v>0.77900000000000003</v>
      </c>
      <c r="K8707" s="314">
        <v>0.69399999999999995</v>
      </c>
      <c r="L8707" s="350">
        <f t="shared" si="118"/>
        <v>8.5000000000000075E-2</v>
      </c>
      <c r="M8707" s="337"/>
    </row>
    <row r="8708" spans="1:13" s="71" customFormat="1" ht="26.4" customHeight="1">
      <c r="A8708" s="282">
        <v>507</v>
      </c>
      <c r="B8708" s="537"/>
      <c r="C8708" s="307" t="s">
        <v>28</v>
      </c>
      <c r="D8708" s="307" t="s">
        <v>11539</v>
      </c>
      <c r="E8708" s="260" t="s">
        <v>11540</v>
      </c>
      <c r="F8708" s="310">
        <v>1374</v>
      </c>
      <c r="G8708" s="311">
        <v>2014</v>
      </c>
      <c r="H8708" s="340" t="s">
        <v>3</v>
      </c>
      <c r="I8708" s="313" t="s">
        <v>11541</v>
      </c>
      <c r="J8708" s="314">
        <v>0.80500000000000005</v>
      </c>
      <c r="K8708" s="314">
        <v>0.72</v>
      </c>
      <c r="L8708" s="350">
        <f t="shared" si="118"/>
        <v>8.5000000000000075E-2</v>
      </c>
      <c r="M8708" s="337"/>
    </row>
    <row r="8709" spans="1:13" s="71" customFormat="1" ht="26.4" customHeight="1">
      <c r="A8709" s="282">
        <v>508</v>
      </c>
      <c r="B8709" s="537"/>
      <c r="C8709" s="307" t="s">
        <v>28</v>
      </c>
      <c r="D8709" s="307" t="s">
        <v>11542</v>
      </c>
      <c r="E8709" s="260" t="s">
        <v>11543</v>
      </c>
      <c r="F8709" s="310">
        <v>1375</v>
      </c>
      <c r="G8709" s="311">
        <v>2014</v>
      </c>
      <c r="H8709" s="340" t="s">
        <v>3</v>
      </c>
      <c r="I8709" s="313" t="s">
        <v>11521</v>
      </c>
      <c r="J8709" s="314">
        <v>0.76200000000000001</v>
      </c>
      <c r="K8709" s="314">
        <v>0.67700000000000005</v>
      </c>
      <c r="L8709" s="350">
        <f t="shared" si="118"/>
        <v>8.4999999999999964E-2</v>
      </c>
      <c r="M8709" s="337"/>
    </row>
    <row r="8710" spans="1:13" s="71" customFormat="1" ht="26.4" customHeight="1">
      <c r="A8710" s="282">
        <v>509</v>
      </c>
      <c r="B8710" s="537"/>
      <c r="C8710" s="307" t="s">
        <v>28</v>
      </c>
      <c r="D8710" s="307" t="s">
        <v>11544</v>
      </c>
      <c r="E8710" s="260" t="s">
        <v>11545</v>
      </c>
      <c r="F8710" s="310">
        <v>1376</v>
      </c>
      <c r="G8710" s="311">
        <v>2014</v>
      </c>
      <c r="H8710" s="340" t="s">
        <v>3</v>
      </c>
      <c r="I8710" s="313" t="s">
        <v>11546</v>
      </c>
      <c r="J8710" s="314">
        <v>0.499</v>
      </c>
      <c r="K8710" s="314">
        <v>0.42699999999999999</v>
      </c>
      <c r="L8710" s="350">
        <f t="shared" si="118"/>
        <v>7.2000000000000008E-2</v>
      </c>
      <c r="M8710" s="337"/>
    </row>
    <row r="8711" spans="1:13" s="71" customFormat="1" ht="26.4" customHeight="1">
      <c r="A8711" s="282">
        <v>510</v>
      </c>
      <c r="B8711" s="537"/>
      <c r="C8711" s="307" t="s">
        <v>28</v>
      </c>
      <c r="D8711" s="307" t="s">
        <v>11547</v>
      </c>
      <c r="E8711" s="260" t="s">
        <v>11548</v>
      </c>
      <c r="F8711" s="310">
        <v>1377</v>
      </c>
      <c r="G8711" s="311">
        <v>2014</v>
      </c>
      <c r="H8711" s="340" t="s">
        <v>3</v>
      </c>
      <c r="I8711" s="313" t="s">
        <v>11549</v>
      </c>
      <c r="J8711" s="314">
        <v>0.45400000000000001</v>
      </c>
      <c r="K8711" s="314">
        <v>0.377</v>
      </c>
      <c r="L8711" s="350">
        <f t="shared" si="118"/>
        <v>7.7000000000000013E-2</v>
      </c>
      <c r="M8711" s="337"/>
    </row>
    <row r="8712" spans="1:13" s="71" customFormat="1" ht="26.4" customHeight="1">
      <c r="A8712" s="282">
        <v>511</v>
      </c>
      <c r="B8712" s="537"/>
      <c r="C8712" s="307" t="s">
        <v>28</v>
      </c>
      <c r="D8712" s="307" t="s">
        <v>11550</v>
      </c>
      <c r="E8712" s="260" t="s">
        <v>11551</v>
      </c>
      <c r="F8712" s="310">
        <v>1378</v>
      </c>
      <c r="G8712" s="311">
        <v>2014</v>
      </c>
      <c r="H8712" s="340" t="s">
        <v>3</v>
      </c>
      <c r="I8712" s="313" t="s">
        <v>11518</v>
      </c>
      <c r="J8712" s="314">
        <v>0.433</v>
      </c>
      <c r="K8712" s="314">
        <v>0.36199999999999999</v>
      </c>
      <c r="L8712" s="350">
        <f t="shared" si="118"/>
        <v>7.1000000000000008E-2</v>
      </c>
      <c r="M8712" s="337"/>
    </row>
    <row r="8713" spans="1:13" s="71" customFormat="1" ht="26.4" customHeight="1">
      <c r="A8713" s="282">
        <v>512</v>
      </c>
      <c r="B8713" s="537"/>
      <c r="C8713" s="307" t="s">
        <v>28</v>
      </c>
      <c r="D8713" s="307" t="s">
        <v>11552</v>
      </c>
      <c r="E8713" s="260" t="s">
        <v>11553</v>
      </c>
      <c r="F8713" s="310">
        <v>1379</v>
      </c>
      <c r="G8713" s="311">
        <v>2014</v>
      </c>
      <c r="H8713" s="340" t="s">
        <v>3</v>
      </c>
      <c r="I8713" s="313" t="s">
        <v>11518</v>
      </c>
      <c r="J8713" s="314">
        <v>0.435</v>
      </c>
      <c r="K8713" s="314">
        <v>0.36399999999999999</v>
      </c>
      <c r="L8713" s="350">
        <f t="shared" si="118"/>
        <v>7.1000000000000008E-2</v>
      </c>
      <c r="M8713" s="337"/>
    </row>
    <row r="8714" spans="1:13" s="71" customFormat="1" ht="26.4" customHeight="1">
      <c r="A8714" s="282">
        <v>513</v>
      </c>
      <c r="B8714" s="537"/>
      <c r="C8714" s="307" t="s">
        <v>28</v>
      </c>
      <c r="D8714" s="307" t="s">
        <v>11554</v>
      </c>
      <c r="E8714" s="260" t="s">
        <v>11555</v>
      </c>
      <c r="F8714" s="310">
        <v>1380</v>
      </c>
      <c r="G8714" s="311">
        <v>2014</v>
      </c>
      <c r="H8714" s="340" t="s">
        <v>3</v>
      </c>
      <c r="I8714" s="313" t="s">
        <v>11556</v>
      </c>
      <c r="J8714" s="314">
        <v>0.41099999999999998</v>
      </c>
      <c r="K8714" s="314">
        <v>0.34399999999999997</v>
      </c>
      <c r="L8714" s="350">
        <f t="shared" ref="L8714:L8765" si="119">J8714-K8714</f>
        <v>6.7000000000000004E-2</v>
      </c>
      <c r="M8714" s="337"/>
    </row>
    <row r="8715" spans="1:13" s="71" customFormat="1" ht="29.25" customHeight="1">
      <c r="A8715" s="282">
        <v>514</v>
      </c>
      <c r="B8715" s="537"/>
      <c r="C8715" s="307" t="s">
        <v>28</v>
      </c>
      <c r="D8715" s="307" t="s">
        <v>12902</v>
      </c>
      <c r="E8715" s="260" t="s">
        <v>11557</v>
      </c>
      <c r="F8715" s="310">
        <v>1381</v>
      </c>
      <c r="G8715" s="311">
        <v>2014</v>
      </c>
      <c r="H8715" s="340" t="s">
        <v>3</v>
      </c>
      <c r="I8715" s="313" t="s">
        <v>11558</v>
      </c>
      <c r="J8715" s="314">
        <v>4.3659999999999997</v>
      </c>
      <c r="K8715" s="314">
        <v>2.0619999999999998</v>
      </c>
      <c r="L8715" s="350">
        <f t="shared" si="119"/>
        <v>2.3039999999999998</v>
      </c>
      <c r="M8715" s="337"/>
    </row>
    <row r="8716" spans="1:13" s="71" customFormat="1" ht="26.4" customHeight="1">
      <c r="A8716" s="282">
        <v>515</v>
      </c>
      <c r="B8716" s="537"/>
      <c r="C8716" s="307" t="s">
        <v>28</v>
      </c>
      <c r="D8716" s="307" t="s">
        <v>11559</v>
      </c>
      <c r="E8716" s="260" t="s">
        <v>11560</v>
      </c>
      <c r="F8716" s="310">
        <v>1382</v>
      </c>
      <c r="G8716" s="311">
        <v>2014</v>
      </c>
      <c r="H8716" s="340" t="s">
        <v>3</v>
      </c>
      <c r="I8716" s="313" t="s">
        <v>11561</v>
      </c>
      <c r="J8716" s="314">
        <v>0.27</v>
      </c>
      <c r="K8716" s="314">
        <v>0.17299999999999999</v>
      </c>
      <c r="L8716" s="350">
        <f t="shared" si="119"/>
        <v>9.7000000000000031E-2</v>
      </c>
      <c r="M8716" s="337"/>
    </row>
    <row r="8717" spans="1:13" s="71" customFormat="1" ht="26.4" customHeight="1">
      <c r="A8717" s="282">
        <v>516</v>
      </c>
      <c r="B8717" s="537"/>
      <c r="C8717" s="307" t="s">
        <v>28</v>
      </c>
      <c r="D8717" s="307" t="s">
        <v>11562</v>
      </c>
      <c r="E8717" s="260" t="s">
        <v>11563</v>
      </c>
      <c r="F8717" s="310">
        <v>1383</v>
      </c>
      <c r="G8717" s="311">
        <v>2014</v>
      </c>
      <c r="H8717" s="340" t="s">
        <v>3</v>
      </c>
      <c r="I8717" s="313" t="s">
        <v>11564</v>
      </c>
      <c r="J8717" s="314">
        <v>2.02</v>
      </c>
      <c r="K8717" s="314">
        <v>1.6779999999999999</v>
      </c>
      <c r="L8717" s="350">
        <f t="shared" si="119"/>
        <v>0.34200000000000008</v>
      </c>
      <c r="M8717" s="337"/>
    </row>
    <row r="8718" spans="1:13" s="71" customFormat="1" ht="39.6">
      <c r="A8718" s="282">
        <v>517</v>
      </c>
      <c r="B8718" s="537"/>
      <c r="C8718" s="307" t="s">
        <v>28</v>
      </c>
      <c r="D8718" s="307" t="s">
        <v>12842</v>
      </c>
      <c r="E8718" s="260" t="s">
        <v>11565</v>
      </c>
      <c r="F8718" s="310">
        <v>1384</v>
      </c>
      <c r="G8718" s="311">
        <v>2014</v>
      </c>
      <c r="H8718" s="340" t="s">
        <v>3</v>
      </c>
      <c r="I8718" s="313" t="s">
        <v>11566</v>
      </c>
      <c r="J8718" s="314">
        <v>1680</v>
      </c>
      <c r="K8718" s="314">
        <v>1112.5340000000001</v>
      </c>
      <c r="L8718" s="350">
        <f t="shared" si="119"/>
        <v>567.46599999999989</v>
      </c>
      <c r="M8718" s="337"/>
    </row>
    <row r="8719" spans="1:13" s="71" customFormat="1" ht="26.4" customHeight="1">
      <c r="A8719" s="282">
        <v>518</v>
      </c>
      <c r="B8719" s="537"/>
      <c r="C8719" s="307" t="s">
        <v>28</v>
      </c>
      <c r="D8719" s="307" t="s">
        <v>11567</v>
      </c>
      <c r="E8719" s="260" t="s">
        <v>11568</v>
      </c>
      <c r="F8719" s="310">
        <v>1385</v>
      </c>
      <c r="G8719" s="311">
        <v>2014</v>
      </c>
      <c r="H8719" s="340" t="s">
        <v>3</v>
      </c>
      <c r="I8719" s="313" t="s">
        <v>11569</v>
      </c>
      <c r="J8719" s="314">
        <v>1.2370000000000001</v>
      </c>
      <c r="K8719" s="314">
        <v>0.98299999999999998</v>
      </c>
      <c r="L8719" s="350">
        <f t="shared" si="119"/>
        <v>0.25400000000000011</v>
      </c>
      <c r="M8719" s="337"/>
    </row>
    <row r="8720" spans="1:13" s="71" customFormat="1" ht="26.4" customHeight="1">
      <c r="A8720" s="282">
        <v>519</v>
      </c>
      <c r="B8720" s="537"/>
      <c r="C8720" s="307" t="s">
        <v>28</v>
      </c>
      <c r="D8720" s="307" t="s">
        <v>11570</v>
      </c>
      <c r="E8720" s="260" t="s">
        <v>11571</v>
      </c>
      <c r="F8720" s="310">
        <v>1386</v>
      </c>
      <c r="G8720" s="311">
        <v>2014</v>
      </c>
      <c r="H8720" s="340" t="s">
        <v>3</v>
      </c>
      <c r="I8720" s="313" t="s">
        <v>11572</v>
      </c>
      <c r="J8720" s="314">
        <v>3.4260000000000002</v>
      </c>
      <c r="K8720" s="314">
        <v>3.0990000000000002</v>
      </c>
      <c r="L8720" s="350">
        <f t="shared" si="119"/>
        <v>0.32699999999999996</v>
      </c>
      <c r="M8720" s="337"/>
    </row>
    <row r="8721" spans="1:13" s="71" customFormat="1" ht="26.4" customHeight="1">
      <c r="A8721" s="282">
        <v>520</v>
      </c>
      <c r="B8721" s="537"/>
      <c r="C8721" s="307" t="s">
        <v>28</v>
      </c>
      <c r="D8721" s="307" t="s">
        <v>11573</v>
      </c>
      <c r="E8721" s="260" t="s">
        <v>11574</v>
      </c>
      <c r="F8721" s="310">
        <v>1387</v>
      </c>
      <c r="G8721" s="311">
        <v>2014</v>
      </c>
      <c r="H8721" s="340" t="s">
        <v>3</v>
      </c>
      <c r="I8721" s="313" t="s">
        <v>11575</v>
      </c>
      <c r="J8721" s="314">
        <v>5.9279999999999999</v>
      </c>
      <c r="K8721" s="314">
        <v>4.673</v>
      </c>
      <c r="L8721" s="350">
        <f t="shared" si="119"/>
        <v>1.2549999999999999</v>
      </c>
      <c r="M8721" s="337"/>
    </row>
    <row r="8722" spans="1:13" s="71" customFormat="1" ht="26.4" customHeight="1">
      <c r="A8722" s="282">
        <v>521</v>
      </c>
      <c r="B8722" s="537"/>
      <c r="C8722" s="307" t="s">
        <v>28</v>
      </c>
      <c r="D8722" s="307" t="s">
        <v>11576</v>
      </c>
      <c r="E8722" s="260" t="s">
        <v>11577</v>
      </c>
      <c r="F8722" s="310">
        <v>1388</v>
      </c>
      <c r="G8722" s="311">
        <v>2014</v>
      </c>
      <c r="H8722" s="340" t="s">
        <v>3</v>
      </c>
      <c r="I8722" s="313" t="s">
        <v>11578</v>
      </c>
      <c r="J8722" s="314">
        <v>0.45600000000000002</v>
      </c>
      <c r="K8722" s="314">
        <v>0.38800000000000001</v>
      </c>
      <c r="L8722" s="350">
        <f t="shared" si="119"/>
        <v>6.8000000000000005E-2</v>
      </c>
      <c r="M8722" s="337"/>
    </row>
    <row r="8723" spans="1:13" s="71" customFormat="1" ht="26.4" customHeight="1">
      <c r="A8723" s="282">
        <v>522</v>
      </c>
      <c r="B8723" s="537"/>
      <c r="C8723" s="307" t="s">
        <v>28</v>
      </c>
      <c r="D8723" s="307" t="s">
        <v>11579</v>
      </c>
      <c r="E8723" s="260" t="s">
        <v>11580</v>
      </c>
      <c r="F8723" s="310">
        <v>1389</v>
      </c>
      <c r="G8723" s="311">
        <v>2014</v>
      </c>
      <c r="H8723" s="340" t="s">
        <v>3</v>
      </c>
      <c r="I8723" s="313" t="s">
        <v>11578</v>
      </c>
      <c r="J8723" s="314">
        <v>0.46700000000000003</v>
      </c>
      <c r="K8723" s="314">
        <v>0.39900000000000002</v>
      </c>
      <c r="L8723" s="350">
        <f t="shared" si="119"/>
        <v>6.8000000000000005E-2</v>
      </c>
      <c r="M8723" s="337"/>
    </row>
    <row r="8724" spans="1:13" s="71" customFormat="1" ht="26.4" customHeight="1">
      <c r="A8724" s="282">
        <v>523</v>
      </c>
      <c r="B8724" s="537"/>
      <c r="C8724" s="307" t="s">
        <v>28</v>
      </c>
      <c r="D8724" s="307" t="s">
        <v>11581</v>
      </c>
      <c r="E8724" s="260" t="s">
        <v>11582</v>
      </c>
      <c r="F8724" s="310">
        <v>1390</v>
      </c>
      <c r="G8724" s="311">
        <v>2014</v>
      </c>
      <c r="H8724" s="340" t="s">
        <v>3</v>
      </c>
      <c r="I8724" s="313" t="s">
        <v>11583</v>
      </c>
      <c r="J8724" s="314">
        <v>0.14000000000000001</v>
      </c>
      <c r="K8724" s="314">
        <v>0.122</v>
      </c>
      <c r="L8724" s="350">
        <f t="shared" si="119"/>
        <v>1.8000000000000016E-2</v>
      </c>
      <c r="M8724" s="337"/>
    </row>
    <row r="8725" spans="1:13" s="71" customFormat="1" ht="26.4" customHeight="1">
      <c r="A8725" s="282">
        <v>524</v>
      </c>
      <c r="B8725" s="537"/>
      <c r="C8725" s="307" t="s">
        <v>28</v>
      </c>
      <c r="D8725" s="307" t="s">
        <v>11584</v>
      </c>
      <c r="E8725" s="260" t="s">
        <v>11585</v>
      </c>
      <c r="F8725" s="310">
        <v>1391</v>
      </c>
      <c r="G8725" s="311">
        <v>2014</v>
      </c>
      <c r="H8725" s="340" t="s">
        <v>3</v>
      </c>
      <c r="I8725" s="313" t="s">
        <v>11586</v>
      </c>
      <c r="J8725" s="314">
        <v>2.9119999999999999</v>
      </c>
      <c r="K8725" s="314">
        <v>2.4569999999999999</v>
      </c>
      <c r="L8725" s="350">
        <f t="shared" si="119"/>
        <v>0.45500000000000007</v>
      </c>
      <c r="M8725" s="337"/>
    </row>
    <row r="8726" spans="1:13" s="71" customFormat="1" ht="26.4" customHeight="1">
      <c r="A8726" s="282">
        <v>525</v>
      </c>
      <c r="B8726" s="537"/>
      <c r="C8726" s="307" t="s">
        <v>28</v>
      </c>
      <c r="D8726" s="307" t="s">
        <v>10999</v>
      </c>
      <c r="E8726" s="260" t="s">
        <v>11587</v>
      </c>
      <c r="F8726" s="310">
        <v>1392</v>
      </c>
      <c r="G8726" s="311">
        <v>2014</v>
      </c>
      <c r="H8726" s="340" t="s">
        <v>3</v>
      </c>
      <c r="I8726" s="313" t="s">
        <v>11588</v>
      </c>
      <c r="J8726" s="314">
        <v>1.31</v>
      </c>
      <c r="K8726" s="314">
        <v>1.2869999999999999</v>
      </c>
      <c r="L8726" s="350">
        <f t="shared" si="119"/>
        <v>2.3000000000000131E-2</v>
      </c>
      <c r="M8726" s="337"/>
    </row>
    <row r="8727" spans="1:13" s="71" customFormat="1" ht="26.4" customHeight="1">
      <c r="A8727" s="282">
        <v>526</v>
      </c>
      <c r="B8727" s="537"/>
      <c r="C8727" s="307" t="s">
        <v>28</v>
      </c>
      <c r="D8727" s="307" t="s">
        <v>11589</v>
      </c>
      <c r="E8727" s="260" t="s">
        <v>11590</v>
      </c>
      <c r="F8727" s="310">
        <v>1393</v>
      </c>
      <c r="G8727" s="311">
        <v>2014</v>
      </c>
      <c r="H8727" s="340" t="s">
        <v>3</v>
      </c>
      <c r="I8727" s="313" t="s">
        <v>11591</v>
      </c>
      <c r="J8727" s="314">
        <v>1.825</v>
      </c>
      <c r="K8727" s="314">
        <v>1.788</v>
      </c>
      <c r="L8727" s="350">
        <f t="shared" si="119"/>
        <v>3.6999999999999922E-2</v>
      </c>
      <c r="M8727" s="337"/>
    </row>
    <row r="8728" spans="1:13" s="71" customFormat="1" ht="26.4" customHeight="1">
      <c r="A8728" s="282">
        <v>527</v>
      </c>
      <c r="B8728" s="537"/>
      <c r="C8728" s="307" t="s">
        <v>28</v>
      </c>
      <c r="D8728" s="307" t="s">
        <v>11592</v>
      </c>
      <c r="E8728" s="260" t="s">
        <v>11593</v>
      </c>
      <c r="F8728" s="310">
        <v>1394</v>
      </c>
      <c r="G8728" s="311">
        <v>2014</v>
      </c>
      <c r="H8728" s="340" t="s">
        <v>3</v>
      </c>
      <c r="I8728" s="313" t="s">
        <v>11594</v>
      </c>
      <c r="J8728" s="314">
        <v>1.353</v>
      </c>
      <c r="K8728" s="314">
        <v>1.3089999999999999</v>
      </c>
      <c r="L8728" s="350">
        <f t="shared" si="119"/>
        <v>4.4000000000000039E-2</v>
      </c>
      <c r="M8728" s="337"/>
    </row>
    <row r="8729" spans="1:13" s="71" customFormat="1" ht="26.4" customHeight="1">
      <c r="A8729" s="282">
        <v>528</v>
      </c>
      <c r="B8729" s="537"/>
      <c r="C8729" s="307" t="s">
        <v>28</v>
      </c>
      <c r="D8729" s="307" t="s">
        <v>11457</v>
      </c>
      <c r="E8729" s="282" t="s">
        <v>11595</v>
      </c>
      <c r="F8729" s="310">
        <v>1395</v>
      </c>
      <c r="G8729" s="311">
        <v>2014</v>
      </c>
      <c r="H8729" s="340" t="s">
        <v>3</v>
      </c>
      <c r="I8729" s="313" t="s">
        <v>11596</v>
      </c>
      <c r="J8729" s="314">
        <v>1.413</v>
      </c>
      <c r="K8729" s="314">
        <v>1.411</v>
      </c>
      <c r="L8729" s="350">
        <f t="shared" si="119"/>
        <v>2.0000000000000018E-3</v>
      </c>
      <c r="M8729" s="337"/>
    </row>
    <row r="8730" spans="1:13" s="71" customFormat="1" ht="26.4" customHeight="1">
      <c r="A8730" s="282">
        <v>529</v>
      </c>
      <c r="B8730" s="537"/>
      <c r="C8730" s="307" t="s">
        <v>28</v>
      </c>
      <c r="D8730" s="307" t="s">
        <v>11597</v>
      </c>
      <c r="E8730" s="260" t="s">
        <v>11598</v>
      </c>
      <c r="F8730" s="310">
        <v>1396</v>
      </c>
      <c r="G8730" s="311">
        <v>2014</v>
      </c>
      <c r="H8730" s="340" t="s">
        <v>3</v>
      </c>
      <c r="I8730" s="313" t="s">
        <v>11599</v>
      </c>
      <c r="J8730" s="314">
        <v>0.95799999999999996</v>
      </c>
      <c r="K8730" s="314">
        <v>0.82399999999999995</v>
      </c>
      <c r="L8730" s="350">
        <f t="shared" si="119"/>
        <v>0.13400000000000001</v>
      </c>
      <c r="M8730" s="337"/>
    </row>
    <row r="8731" spans="1:13" s="71" customFormat="1" ht="26.4" customHeight="1">
      <c r="A8731" s="282">
        <v>530</v>
      </c>
      <c r="B8731" s="537"/>
      <c r="C8731" s="307" t="s">
        <v>28</v>
      </c>
      <c r="D8731" s="307" t="s">
        <v>11600</v>
      </c>
      <c r="E8731" s="260" t="s">
        <v>11601</v>
      </c>
      <c r="F8731" s="310">
        <v>1397</v>
      </c>
      <c r="G8731" s="311">
        <v>2014</v>
      </c>
      <c r="H8731" s="340" t="s">
        <v>3</v>
      </c>
      <c r="I8731" s="313" t="s">
        <v>11602</v>
      </c>
      <c r="J8731" s="314">
        <v>0.66900000000000004</v>
      </c>
      <c r="K8731" s="314">
        <v>0.54</v>
      </c>
      <c r="L8731" s="350">
        <f t="shared" si="119"/>
        <v>0.129</v>
      </c>
      <c r="M8731" s="337"/>
    </row>
    <row r="8732" spans="1:13" s="71" customFormat="1" ht="26.4" customHeight="1">
      <c r="A8732" s="282">
        <v>531</v>
      </c>
      <c r="B8732" s="537"/>
      <c r="C8732" s="307" t="s">
        <v>28</v>
      </c>
      <c r="D8732" s="307" t="s">
        <v>11603</v>
      </c>
      <c r="E8732" s="260" t="s">
        <v>11604</v>
      </c>
      <c r="F8732" s="310">
        <v>1398</v>
      </c>
      <c r="G8732" s="311">
        <v>2014</v>
      </c>
      <c r="H8732" s="340" t="s">
        <v>3</v>
      </c>
      <c r="I8732" s="313" t="s">
        <v>11605</v>
      </c>
      <c r="J8732" s="314">
        <v>0.24099999999999999</v>
      </c>
      <c r="K8732" s="314">
        <v>0.20200000000000001</v>
      </c>
      <c r="L8732" s="350">
        <f t="shared" si="119"/>
        <v>3.8999999999999979E-2</v>
      </c>
      <c r="M8732" s="337"/>
    </row>
    <row r="8733" spans="1:13" s="71" customFormat="1" ht="26.4" customHeight="1">
      <c r="A8733" s="282">
        <v>532</v>
      </c>
      <c r="B8733" s="537"/>
      <c r="C8733" s="307" t="s">
        <v>28</v>
      </c>
      <c r="D8733" s="307" t="s">
        <v>11606</v>
      </c>
      <c r="E8733" s="260" t="s">
        <v>11607</v>
      </c>
      <c r="F8733" s="310">
        <v>1399</v>
      </c>
      <c r="G8733" s="311">
        <v>2014</v>
      </c>
      <c r="H8733" s="340" t="s">
        <v>3</v>
      </c>
      <c r="I8733" s="313" t="s">
        <v>11608</v>
      </c>
      <c r="J8733" s="314">
        <v>0.46600000000000003</v>
      </c>
      <c r="K8733" s="314">
        <v>0.39900000000000002</v>
      </c>
      <c r="L8733" s="350">
        <f t="shared" si="119"/>
        <v>6.7000000000000004E-2</v>
      </c>
      <c r="M8733" s="337"/>
    </row>
    <row r="8734" spans="1:13" s="71" customFormat="1" ht="26.4" customHeight="1">
      <c r="A8734" s="282">
        <v>533</v>
      </c>
      <c r="B8734" s="537"/>
      <c r="C8734" s="307" t="s">
        <v>28</v>
      </c>
      <c r="D8734" s="307" t="s">
        <v>11609</v>
      </c>
      <c r="E8734" s="260" t="s">
        <v>11610</v>
      </c>
      <c r="F8734" s="310">
        <v>1400</v>
      </c>
      <c r="G8734" s="311">
        <v>2014</v>
      </c>
      <c r="H8734" s="340" t="s">
        <v>3</v>
      </c>
      <c r="I8734" s="313" t="s">
        <v>11611</v>
      </c>
      <c r="J8734" s="314">
        <v>0.79600000000000004</v>
      </c>
      <c r="K8734" s="314">
        <v>0.76400000000000001</v>
      </c>
      <c r="L8734" s="350">
        <f t="shared" si="119"/>
        <v>3.2000000000000028E-2</v>
      </c>
      <c r="M8734" s="337"/>
    </row>
    <row r="8735" spans="1:13" s="71" customFormat="1" ht="26.4" customHeight="1">
      <c r="A8735" s="282">
        <v>534</v>
      </c>
      <c r="B8735" s="537"/>
      <c r="C8735" s="307" t="s">
        <v>28</v>
      </c>
      <c r="D8735" s="307" t="s">
        <v>11612</v>
      </c>
      <c r="E8735" s="260" t="s">
        <v>11613</v>
      </c>
      <c r="F8735" s="310">
        <v>1401</v>
      </c>
      <c r="G8735" s="311">
        <v>2014</v>
      </c>
      <c r="H8735" s="340" t="s">
        <v>3</v>
      </c>
      <c r="I8735" s="313" t="s">
        <v>11614</v>
      </c>
      <c r="J8735" s="314">
        <v>0.64500000000000002</v>
      </c>
      <c r="K8735" s="314">
        <v>0.57699999999999996</v>
      </c>
      <c r="L8735" s="350">
        <f t="shared" si="119"/>
        <v>6.800000000000006E-2</v>
      </c>
      <c r="M8735" s="337"/>
    </row>
    <row r="8736" spans="1:13" s="71" customFormat="1" ht="26.4" customHeight="1">
      <c r="A8736" s="282">
        <v>535</v>
      </c>
      <c r="B8736" s="537"/>
      <c r="C8736" s="307" t="s">
        <v>28</v>
      </c>
      <c r="D8736" s="307" t="s">
        <v>11469</v>
      </c>
      <c r="E8736" s="260" t="s">
        <v>11615</v>
      </c>
      <c r="F8736" s="310">
        <v>1402</v>
      </c>
      <c r="G8736" s="311">
        <v>2014</v>
      </c>
      <c r="H8736" s="340" t="s">
        <v>3</v>
      </c>
      <c r="I8736" s="313" t="s">
        <v>11616</v>
      </c>
      <c r="J8736" s="314">
        <v>0.193</v>
      </c>
      <c r="K8736" s="314">
        <v>0.16300000000000001</v>
      </c>
      <c r="L8736" s="350">
        <f t="shared" si="119"/>
        <v>0.03</v>
      </c>
      <c r="M8736" s="337"/>
    </row>
    <row r="8737" spans="1:13" s="71" customFormat="1" ht="26.4" customHeight="1">
      <c r="A8737" s="282">
        <v>536</v>
      </c>
      <c r="B8737" s="537"/>
      <c r="C8737" s="307" t="s">
        <v>28</v>
      </c>
      <c r="D8737" s="307" t="s">
        <v>11617</v>
      </c>
      <c r="E8737" s="260" t="s">
        <v>11618</v>
      </c>
      <c r="F8737" s="310">
        <v>1403</v>
      </c>
      <c r="G8737" s="311">
        <v>2014</v>
      </c>
      <c r="H8737" s="340" t="s">
        <v>3</v>
      </c>
      <c r="I8737" s="313" t="s">
        <v>11619</v>
      </c>
      <c r="J8737" s="314">
        <v>0.47199999999999998</v>
      </c>
      <c r="K8737" s="314">
        <v>0.46400000000000002</v>
      </c>
      <c r="L8737" s="350">
        <f t="shared" si="119"/>
        <v>7.9999999999999516E-3</v>
      </c>
      <c r="M8737" s="337"/>
    </row>
    <row r="8738" spans="1:13" s="71" customFormat="1" ht="26.4" customHeight="1">
      <c r="A8738" s="282">
        <v>537</v>
      </c>
      <c r="B8738" s="537"/>
      <c r="C8738" s="307" t="s">
        <v>28</v>
      </c>
      <c r="D8738" s="307" t="s">
        <v>11620</v>
      </c>
      <c r="E8738" s="260" t="s">
        <v>11621</v>
      </c>
      <c r="F8738" s="310">
        <v>1404</v>
      </c>
      <c r="G8738" s="311">
        <v>2014</v>
      </c>
      <c r="H8738" s="340" t="s">
        <v>3</v>
      </c>
      <c r="I8738" s="313" t="s">
        <v>11622</v>
      </c>
      <c r="J8738" s="314">
        <v>3.95</v>
      </c>
      <c r="K8738" s="314">
        <v>3.149</v>
      </c>
      <c r="L8738" s="350">
        <f t="shared" si="119"/>
        <v>0.80100000000000016</v>
      </c>
      <c r="M8738" s="337"/>
    </row>
    <row r="8739" spans="1:13" s="71" customFormat="1" ht="26.4" customHeight="1">
      <c r="A8739" s="282">
        <v>538</v>
      </c>
      <c r="B8739" s="537"/>
      <c r="C8739" s="307" t="s">
        <v>28</v>
      </c>
      <c r="D8739" s="307" t="s">
        <v>11623</v>
      </c>
      <c r="E8739" s="260" t="s">
        <v>11624</v>
      </c>
      <c r="F8739" s="310">
        <v>1405</v>
      </c>
      <c r="G8739" s="311">
        <v>2014</v>
      </c>
      <c r="H8739" s="340" t="s">
        <v>3</v>
      </c>
      <c r="I8739" s="313" t="s">
        <v>11625</v>
      </c>
      <c r="J8739" s="314">
        <v>2.9</v>
      </c>
      <c r="K8739" s="314">
        <v>2.258</v>
      </c>
      <c r="L8739" s="350">
        <f t="shared" si="119"/>
        <v>0.6419999999999999</v>
      </c>
      <c r="M8739" s="337"/>
    </row>
    <row r="8740" spans="1:13" s="71" customFormat="1" ht="26.4" customHeight="1">
      <c r="A8740" s="282">
        <v>539</v>
      </c>
      <c r="B8740" s="537"/>
      <c r="C8740" s="307" t="s">
        <v>28</v>
      </c>
      <c r="D8740" s="307" t="s">
        <v>11626</v>
      </c>
      <c r="E8740" s="260" t="s">
        <v>11627</v>
      </c>
      <c r="F8740" s="310">
        <v>1406</v>
      </c>
      <c r="G8740" s="311">
        <v>2014</v>
      </c>
      <c r="H8740" s="340" t="s">
        <v>3</v>
      </c>
      <c r="I8740" s="313" t="s">
        <v>11594</v>
      </c>
      <c r="J8740" s="314">
        <v>0.752</v>
      </c>
      <c r="K8740" s="314">
        <v>0.63900000000000001</v>
      </c>
      <c r="L8740" s="350">
        <f t="shared" si="119"/>
        <v>0.11299999999999999</v>
      </c>
      <c r="M8740" s="337"/>
    </row>
    <row r="8741" spans="1:13" s="71" customFormat="1" ht="26.4" customHeight="1">
      <c r="A8741" s="282">
        <v>540</v>
      </c>
      <c r="B8741" s="537"/>
      <c r="C8741" s="307" t="s">
        <v>28</v>
      </c>
      <c r="D8741" s="307" t="s">
        <v>11628</v>
      </c>
      <c r="E8741" s="260" t="s">
        <v>11629</v>
      </c>
      <c r="F8741" s="310">
        <v>1407</v>
      </c>
      <c r="G8741" s="311">
        <v>2014</v>
      </c>
      <c r="H8741" s="340" t="s">
        <v>3</v>
      </c>
      <c r="I8741" s="313" t="s">
        <v>11630</v>
      </c>
      <c r="J8741" s="314">
        <v>0.79600000000000004</v>
      </c>
      <c r="K8741" s="314">
        <v>0.78200000000000003</v>
      </c>
      <c r="L8741" s="350">
        <f t="shared" si="119"/>
        <v>1.4000000000000012E-2</v>
      </c>
      <c r="M8741" s="337"/>
    </row>
    <row r="8742" spans="1:13" s="71" customFormat="1" ht="26.4" customHeight="1">
      <c r="A8742" s="282">
        <v>541</v>
      </c>
      <c r="B8742" s="537"/>
      <c r="C8742" s="307" t="s">
        <v>28</v>
      </c>
      <c r="D8742" s="307" t="s">
        <v>11631</v>
      </c>
      <c r="E8742" s="260" t="s">
        <v>11632</v>
      </c>
      <c r="F8742" s="310">
        <v>1408</v>
      </c>
      <c r="G8742" s="311">
        <v>2014</v>
      </c>
      <c r="H8742" s="340" t="s">
        <v>3</v>
      </c>
      <c r="I8742" s="313" t="s">
        <v>11633</v>
      </c>
      <c r="J8742" s="314">
        <v>0.39900000000000002</v>
      </c>
      <c r="K8742" s="314">
        <v>0.34200000000000003</v>
      </c>
      <c r="L8742" s="350">
        <f t="shared" si="119"/>
        <v>5.6999999999999995E-2</v>
      </c>
      <c r="M8742" s="337"/>
    </row>
    <row r="8743" spans="1:13" s="71" customFormat="1" ht="26.4" customHeight="1">
      <c r="A8743" s="282">
        <v>542</v>
      </c>
      <c r="B8743" s="537"/>
      <c r="C8743" s="307" t="s">
        <v>28</v>
      </c>
      <c r="D8743" s="307" t="s">
        <v>11634</v>
      </c>
      <c r="E8743" s="260" t="s">
        <v>11635</v>
      </c>
      <c r="F8743" s="310">
        <v>1409</v>
      </c>
      <c r="G8743" s="311">
        <v>2014</v>
      </c>
      <c r="H8743" s="340" t="s">
        <v>3</v>
      </c>
      <c r="I8743" s="313" t="s">
        <v>11636</v>
      </c>
      <c r="J8743" s="314">
        <v>0.32100000000000001</v>
      </c>
      <c r="K8743" s="314">
        <v>0.27500000000000002</v>
      </c>
      <c r="L8743" s="350">
        <f t="shared" si="119"/>
        <v>4.5999999999999985E-2</v>
      </c>
      <c r="M8743" s="337"/>
    </row>
    <row r="8744" spans="1:13" s="71" customFormat="1" ht="26.4" customHeight="1">
      <c r="A8744" s="282">
        <v>543</v>
      </c>
      <c r="B8744" s="537"/>
      <c r="C8744" s="307" t="s">
        <v>28</v>
      </c>
      <c r="D8744" s="307" t="s">
        <v>11637</v>
      </c>
      <c r="E8744" s="260" t="s">
        <v>11638</v>
      </c>
      <c r="F8744" s="310">
        <v>1410</v>
      </c>
      <c r="G8744" s="311">
        <v>2014</v>
      </c>
      <c r="H8744" s="340" t="s">
        <v>3</v>
      </c>
      <c r="I8744" s="313" t="s">
        <v>11639</v>
      </c>
      <c r="J8744" s="314">
        <v>0.46500000000000002</v>
      </c>
      <c r="K8744" s="314">
        <v>0.32</v>
      </c>
      <c r="L8744" s="350">
        <f t="shared" si="119"/>
        <v>0.14500000000000002</v>
      </c>
      <c r="M8744" s="337"/>
    </row>
    <row r="8745" spans="1:13" s="71" customFormat="1" ht="26.4" customHeight="1">
      <c r="A8745" s="282">
        <v>544</v>
      </c>
      <c r="B8745" s="537"/>
      <c r="C8745" s="307" t="s">
        <v>28</v>
      </c>
      <c r="D8745" s="307" t="s">
        <v>11640</v>
      </c>
      <c r="E8745" s="260" t="s">
        <v>11641</v>
      </c>
      <c r="F8745" s="310">
        <v>1411</v>
      </c>
      <c r="G8745" s="311">
        <v>2014</v>
      </c>
      <c r="H8745" s="340" t="s">
        <v>3</v>
      </c>
      <c r="I8745" s="313" t="s">
        <v>11642</v>
      </c>
      <c r="J8745" s="314">
        <v>0.13400000000000001</v>
      </c>
      <c r="K8745" s="314">
        <v>0.111</v>
      </c>
      <c r="L8745" s="350">
        <f t="shared" si="119"/>
        <v>2.3000000000000007E-2</v>
      </c>
      <c r="M8745" s="337"/>
    </row>
    <row r="8746" spans="1:13" s="71" customFormat="1" ht="26.4" customHeight="1">
      <c r="A8746" s="282">
        <v>545</v>
      </c>
      <c r="B8746" s="537"/>
      <c r="C8746" s="307" t="s">
        <v>28</v>
      </c>
      <c r="D8746" s="307" t="s">
        <v>11643</v>
      </c>
      <c r="E8746" s="260" t="s">
        <v>11644</v>
      </c>
      <c r="F8746" s="310">
        <v>1412</v>
      </c>
      <c r="G8746" s="311">
        <v>2014</v>
      </c>
      <c r="H8746" s="340" t="s">
        <v>3</v>
      </c>
      <c r="I8746" s="313" t="s">
        <v>11645</v>
      </c>
      <c r="J8746" s="314">
        <v>0.14899999999999999</v>
      </c>
      <c r="K8746" s="314">
        <v>0.11700000000000001</v>
      </c>
      <c r="L8746" s="350">
        <f t="shared" si="119"/>
        <v>3.1999999999999987E-2</v>
      </c>
      <c r="M8746" s="337"/>
    </row>
    <row r="8747" spans="1:13" s="71" customFormat="1" ht="26.4" customHeight="1">
      <c r="A8747" s="282">
        <v>546</v>
      </c>
      <c r="B8747" s="537"/>
      <c r="C8747" s="307" t="s">
        <v>28</v>
      </c>
      <c r="D8747" s="307" t="s">
        <v>11646</v>
      </c>
      <c r="E8747" s="260" t="s">
        <v>11647</v>
      </c>
      <c r="F8747" s="310">
        <v>1413</v>
      </c>
      <c r="G8747" s="311">
        <v>2014</v>
      </c>
      <c r="H8747" s="340" t="s">
        <v>3</v>
      </c>
      <c r="I8747" s="313" t="s">
        <v>11648</v>
      </c>
      <c r="J8747" s="314">
        <v>0.10100000000000001</v>
      </c>
      <c r="K8747" s="314">
        <v>0.09</v>
      </c>
      <c r="L8747" s="350">
        <f t="shared" si="119"/>
        <v>1.100000000000001E-2</v>
      </c>
      <c r="M8747" s="337"/>
    </row>
    <row r="8748" spans="1:13" s="71" customFormat="1" ht="26.4" customHeight="1">
      <c r="A8748" s="282">
        <v>547</v>
      </c>
      <c r="B8748" s="537"/>
      <c r="C8748" s="307" t="s">
        <v>28</v>
      </c>
      <c r="D8748" s="307" t="s">
        <v>11649</v>
      </c>
      <c r="E8748" s="260" t="s">
        <v>11650</v>
      </c>
      <c r="F8748" s="310">
        <v>1414</v>
      </c>
      <c r="G8748" s="311">
        <v>2014</v>
      </c>
      <c r="H8748" s="340" t="s">
        <v>3</v>
      </c>
      <c r="I8748" s="313" t="s">
        <v>11651</v>
      </c>
      <c r="J8748" s="314">
        <v>0.19800000000000001</v>
      </c>
      <c r="K8748" s="314">
        <v>0.16500000000000001</v>
      </c>
      <c r="L8748" s="350">
        <f t="shared" si="119"/>
        <v>3.3000000000000002E-2</v>
      </c>
      <c r="M8748" s="337"/>
    </row>
    <row r="8749" spans="1:13" s="71" customFormat="1" ht="26.4" customHeight="1">
      <c r="A8749" s="282">
        <v>548</v>
      </c>
      <c r="B8749" s="537"/>
      <c r="C8749" s="307" t="s">
        <v>28</v>
      </c>
      <c r="D8749" s="307" t="s">
        <v>11652</v>
      </c>
      <c r="E8749" s="260" t="s">
        <v>11653</v>
      </c>
      <c r="F8749" s="310">
        <v>1415</v>
      </c>
      <c r="G8749" s="311">
        <v>2014</v>
      </c>
      <c r="H8749" s="340" t="s">
        <v>3</v>
      </c>
      <c r="I8749" s="313" t="s">
        <v>11654</v>
      </c>
      <c r="J8749" s="314">
        <v>0.112</v>
      </c>
      <c r="K8749" s="314">
        <v>0.10299999999999999</v>
      </c>
      <c r="L8749" s="350">
        <f t="shared" si="119"/>
        <v>9.000000000000008E-3</v>
      </c>
      <c r="M8749" s="337"/>
    </row>
    <row r="8750" spans="1:13" s="71" customFormat="1" ht="26.4" customHeight="1">
      <c r="A8750" s="282">
        <v>549</v>
      </c>
      <c r="B8750" s="537"/>
      <c r="C8750" s="307" t="s">
        <v>28</v>
      </c>
      <c r="D8750" s="307" t="s">
        <v>11655</v>
      </c>
      <c r="E8750" s="260" t="s">
        <v>11656</v>
      </c>
      <c r="F8750" s="310">
        <v>1416</v>
      </c>
      <c r="G8750" s="311">
        <v>2014</v>
      </c>
      <c r="H8750" s="340" t="s">
        <v>3</v>
      </c>
      <c r="I8750" s="313" t="s">
        <v>11657</v>
      </c>
      <c r="J8750" s="314">
        <v>0.89200000000000002</v>
      </c>
      <c r="K8750" s="314">
        <v>0.68700000000000006</v>
      </c>
      <c r="L8750" s="350">
        <f t="shared" si="119"/>
        <v>0.20499999999999996</v>
      </c>
      <c r="M8750" s="337"/>
    </row>
    <row r="8751" spans="1:13" s="71" customFormat="1" ht="26.4" customHeight="1">
      <c r="A8751" s="282">
        <v>550</v>
      </c>
      <c r="B8751" s="537"/>
      <c r="C8751" s="307" t="s">
        <v>28</v>
      </c>
      <c r="D8751" s="307" t="s">
        <v>11485</v>
      </c>
      <c r="E8751" s="260" t="s">
        <v>11658</v>
      </c>
      <c r="F8751" s="310">
        <v>1417</v>
      </c>
      <c r="G8751" s="311">
        <v>2014</v>
      </c>
      <c r="H8751" s="340" t="s">
        <v>3</v>
      </c>
      <c r="I8751" s="313" t="s">
        <v>11659</v>
      </c>
      <c r="J8751" s="314">
        <v>2.1869999999999998</v>
      </c>
      <c r="K8751" s="314">
        <v>1.738</v>
      </c>
      <c r="L8751" s="350">
        <f t="shared" si="119"/>
        <v>0.44899999999999984</v>
      </c>
      <c r="M8751" s="337"/>
    </row>
    <row r="8752" spans="1:13" s="71" customFormat="1" ht="26.4" customHeight="1">
      <c r="A8752" s="282">
        <v>551</v>
      </c>
      <c r="B8752" s="537"/>
      <c r="C8752" s="307" t="s">
        <v>28</v>
      </c>
      <c r="D8752" s="307" t="s">
        <v>11660</v>
      </c>
      <c r="E8752" s="260" t="s">
        <v>11661</v>
      </c>
      <c r="F8752" s="310">
        <v>1418</v>
      </c>
      <c r="G8752" s="311">
        <v>2014</v>
      </c>
      <c r="H8752" s="340" t="s">
        <v>3</v>
      </c>
      <c r="I8752" s="313" t="s">
        <v>11611</v>
      </c>
      <c r="J8752" s="314">
        <v>0.19400000000000001</v>
      </c>
      <c r="K8752" s="314">
        <v>0.14799999999999999</v>
      </c>
      <c r="L8752" s="350">
        <f t="shared" si="119"/>
        <v>4.6000000000000013E-2</v>
      </c>
      <c r="M8752" s="337"/>
    </row>
    <row r="8753" spans="1:13" s="71" customFormat="1" ht="26.4" customHeight="1">
      <c r="A8753" s="282">
        <v>552</v>
      </c>
      <c r="B8753" s="537"/>
      <c r="C8753" s="307" t="s">
        <v>28</v>
      </c>
      <c r="D8753" s="307" t="s">
        <v>11488</v>
      </c>
      <c r="E8753" s="260" t="s">
        <v>11662</v>
      </c>
      <c r="F8753" s="310">
        <v>1419</v>
      </c>
      <c r="G8753" s="311">
        <v>2014</v>
      </c>
      <c r="H8753" s="340" t="s">
        <v>3</v>
      </c>
      <c r="I8753" s="313" t="s">
        <v>11663</v>
      </c>
      <c r="J8753" s="314">
        <v>0.49</v>
      </c>
      <c r="K8753" s="314">
        <v>0.436</v>
      </c>
      <c r="L8753" s="350">
        <f t="shared" si="119"/>
        <v>5.3999999999999992E-2</v>
      </c>
      <c r="M8753" s="337"/>
    </row>
    <row r="8754" spans="1:13" s="71" customFormat="1" ht="26.4" customHeight="1">
      <c r="A8754" s="282">
        <v>553</v>
      </c>
      <c r="B8754" s="537"/>
      <c r="C8754" s="307" t="s">
        <v>28</v>
      </c>
      <c r="D8754" s="307" t="s">
        <v>11664</v>
      </c>
      <c r="E8754" s="260" t="s">
        <v>11665</v>
      </c>
      <c r="F8754" s="310">
        <v>1420</v>
      </c>
      <c r="G8754" s="311">
        <v>2014</v>
      </c>
      <c r="H8754" s="340" t="s">
        <v>3</v>
      </c>
      <c r="I8754" s="313" t="s">
        <v>11666</v>
      </c>
      <c r="J8754" s="314">
        <v>7.9000000000000001E-2</v>
      </c>
      <c r="K8754" s="314">
        <v>6.9000000000000006E-2</v>
      </c>
      <c r="L8754" s="350">
        <f t="shared" si="119"/>
        <v>9.999999999999995E-3</v>
      </c>
      <c r="M8754" s="337"/>
    </row>
    <row r="8755" spans="1:13" s="71" customFormat="1" ht="26.4" customHeight="1">
      <c r="A8755" s="282">
        <v>554</v>
      </c>
      <c r="B8755" s="537"/>
      <c r="C8755" s="307" t="s">
        <v>28</v>
      </c>
      <c r="D8755" s="307" t="s">
        <v>11667</v>
      </c>
      <c r="E8755" s="260" t="s">
        <v>11668</v>
      </c>
      <c r="F8755" s="310">
        <v>1421</v>
      </c>
      <c r="G8755" s="311">
        <v>2014</v>
      </c>
      <c r="H8755" s="340" t="s">
        <v>3</v>
      </c>
      <c r="I8755" s="313" t="s">
        <v>11669</v>
      </c>
      <c r="J8755" s="314">
        <v>1.9019999999999999</v>
      </c>
      <c r="K8755" s="314">
        <v>1.486</v>
      </c>
      <c r="L8755" s="350">
        <f t="shared" si="119"/>
        <v>0.41599999999999993</v>
      </c>
      <c r="M8755" s="337"/>
    </row>
    <row r="8756" spans="1:13" s="71" customFormat="1" ht="26.4" customHeight="1">
      <c r="A8756" s="282">
        <v>555</v>
      </c>
      <c r="B8756" s="537"/>
      <c r="C8756" s="307" t="s">
        <v>28</v>
      </c>
      <c r="D8756" s="307" t="s">
        <v>11670</v>
      </c>
      <c r="E8756" s="260" t="s">
        <v>11671</v>
      </c>
      <c r="F8756" s="310">
        <v>1422</v>
      </c>
      <c r="G8756" s="311">
        <v>2014</v>
      </c>
      <c r="H8756" s="340" t="s">
        <v>3</v>
      </c>
      <c r="I8756" s="313" t="s">
        <v>11672</v>
      </c>
      <c r="J8756" s="314">
        <v>0.2</v>
      </c>
      <c r="K8756" s="314">
        <v>0.19600000000000001</v>
      </c>
      <c r="L8756" s="350">
        <f t="shared" si="119"/>
        <v>4.0000000000000036E-3</v>
      </c>
      <c r="M8756" s="337"/>
    </row>
    <row r="8757" spans="1:13" s="71" customFormat="1" ht="26.4" customHeight="1">
      <c r="A8757" s="282">
        <v>556</v>
      </c>
      <c r="B8757" s="537"/>
      <c r="C8757" s="307" t="s">
        <v>28</v>
      </c>
      <c r="D8757" s="307" t="s">
        <v>11673</v>
      </c>
      <c r="E8757" s="260" t="s">
        <v>11674</v>
      </c>
      <c r="F8757" s="310">
        <v>1423</v>
      </c>
      <c r="G8757" s="311">
        <v>2014</v>
      </c>
      <c r="H8757" s="340" t="s">
        <v>3</v>
      </c>
      <c r="I8757" s="313" t="s">
        <v>11675</v>
      </c>
      <c r="J8757" s="314">
        <v>0.68799999999999994</v>
      </c>
      <c r="K8757" s="314">
        <v>0.55300000000000005</v>
      </c>
      <c r="L8757" s="350">
        <f t="shared" si="119"/>
        <v>0.1349999999999999</v>
      </c>
      <c r="M8757" s="337"/>
    </row>
    <row r="8758" spans="1:13" s="71" customFormat="1" ht="26.4" customHeight="1">
      <c r="A8758" s="282">
        <v>557</v>
      </c>
      <c r="B8758" s="537"/>
      <c r="C8758" s="307" t="s">
        <v>28</v>
      </c>
      <c r="D8758" s="307" t="s">
        <v>10670</v>
      </c>
      <c r="E8758" s="260" t="s">
        <v>11676</v>
      </c>
      <c r="F8758" s="310">
        <v>1424</v>
      </c>
      <c r="G8758" s="311">
        <v>2014</v>
      </c>
      <c r="H8758" s="340" t="s">
        <v>3</v>
      </c>
      <c r="I8758" s="313" t="s">
        <v>11677</v>
      </c>
      <c r="J8758" s="314">
        <v>0.434</v>
      </c>
      <c r="K8758" s="314">
        <v>0.36199999999999999</v>
      </c>
      <c r="L8758" s="350">
        <f t="shared" si="119"/>
        <v>7.2000000000000008E-2</v>
      </c>
      <c r="M8758" s="337"/>
    </row>
    <row r="8759" spans="1:13" s="71" customFormat="1" ht="26.4" customHeight="1">
      <c r="A8759" s="282">
        <v>558</v>
      </c>
      <c r="B8759" s="537"/>
      <c r="C8759" s="307" t="s">
        <v>28</v>
      </c>
      <c r="D8759" s="307" t="s">
        <v>10984</v>
      </c>
      <c r="E8759" s="260" t="s">
        <v>11678</v>
      </c>
      <c r="F8759" s="310">
        <v>1425</v>
      </c>
      <c r="G8759" s="311">
        <v>2014</v>
      </c>
      <c r="H8759" s="340" t="s">
        <v>3</v>
      </c>
      <c r="I8759" s="313" t="s">
        <v>11679</v>
      </c>
      <c r="J8759" s="314">
        <v>0.4</v>
      </c>
      <c r="K8759" s="314">
        <v>0.32600000000000001</v>
      </c>
      <c r="L8759" s="350">
        <f t="shared" si="119"/>
        <v>7.400000000000001E-2</v>
      </c>
      <c r="M8759" s="337"/>
    </row>
    <row r="8760" spans="1:13" s="71" customFormat="1" ht="26.4" customHeight="1">
      <c r="A8760" s="282">
        <v>559</v>
      </c>
      <c r="B8760" s="537"/>
      <c r="C8760" s="307" t="s">
        <v>28</v>
      </c>
      <c r="D8760" s="307" t="s">
        <v>11680</v>
      </c>
      <c r="E8760" s="260" t="s">
        <v>11681</v>
      </c>
      <c r="F8760" s="310">
        <v>1426</v>
      </c>
      <c r="G8760" s="311">
        <v>2014</v>
      </c>
      <c r="H8760" s="340" t="s">
        <v>3</v>
      </c>
      <c r="I8760" s="313" t="s">
        <v>11682</v>
      </c>
      <c r="J8760" s="314">
        <v>6.48</v>
      </c>
      <c r="K8760" s="314">
        <v>6</v>
      </c>
      <c r="L8760" s="350">
        <f t="shared" si="119"/>
        <v>0.48000000000000043</v>
      </c>
      <c r="M8760" s="337"/>
    </row>
    <row r="8761" spans="1:13" s="71" customFormat="1" ht="26.4" customHeight="1">
      <c r="A8761" s="282">
        <v>560</v>
      </c>
      <c r="B8761" s="537"/>
      <c r="C8761" s="307" t="s">
        <v>28</v>
      </c>
      <c r="D8761" s="307" t="s">
        <v>11683</v>
      </c>
      <c r="E8761" s="260" t="s">
        <v>11684</v>
      </c>
      <c r="F8761" s="310">
        <v>1427</v>
      </c>
      <c r="G8761" s="311">
        <v>2014</v>
      </c>
      <c r="H8761" s="340" t="s">
        <v>3</v>
      </c>
      <c r="I8761" s="313" t="s">
        <v>11685</v>
      </c>
      <c r="J8761" s="314">
        <v>4.25</v>
      </c>
      <c r="K8761" s="314">
        <v>4.07</v>
      </c>
      <c r="L8761" s="350">
        <f t="shared" si="119"/>
        <v>0.17999999999999972</v>
      </c>
      <c r="M8761" s="337"/>
    </row>
    <row r="8762" spans="1:13" s="71" customFormat="1" ht="26.4" customHeight="1">
      <c r="A8762" s="282">
        <v>561</v>
      </c>
      <c r="B8762" s="537"/>
      <c r="C8762" s="307" t="s">
        <v>28</v>
      </c>
      <c r="D8762" s="307" t="s">
        <v>11683</v>
      </c>
      <c r="E8762" s="260" t="s">
        <v>11684</v>
      </c>
      <c r="F8762" s="310">
        <v>1428</v>
      </c>
      <c r="G8762" s="311">
        <v>2014</v>
      </c>
      <c r="H8762" s="340" t="s">
        <v>3</v>
      </c>
      <c r="I8762" s="313" t="s">
        <v>11686</v>
      </c>
      <c r="J8762" s="314">
        <v>25.13</v>
      </c>
      <c r="K8762" s="314">
        <v>5.9210000000000003</v>
      </c>
      <c r="L8762" s="350">
        <f t="shared" si="119"/>
        <v>19.209</v>
      </c>
      <c r="M8762" s="337"/>
    </row>
    <row r="8763" spans="1:13" s="71" customFormat="1" ht="26.4" customHeight="1">
      <c r="A8763" s="282">
        <v>562</v>
      </c>
      <c r="B8763" s="537"/>
      <c r="C8763" s="307" t="s">
        <v>28</v>
      </c>
      <c r="D8763" s="307" t="s">
        <v>11687</v>
      </c>
      <c r="E8763" s="260" t="s">
        <v>11688</v>
      </c>
      <c r="F8763" s="310">
        <v>1429</v>
      </c>
      <c r="G8763" s="311">
        <v>2014</v>
      </c>
      <c r="H8763" s="340" t="s">
        <v>3</v>
      </c>
      <c r="I8763" s="313" t="s">
        <v>11689</v>
      </c>
      <c r="J8763" s="314">
        <v>0.69599999999999995</v>
      </c>
      <c r="K8763" s="314">
        <v>0.51900000000000002</v>
      </c>
      <c r="L8763" s="350">
        <f t="shared" si="119"/>
        <v>0.17699999999999994</v>
      </c>
      <c r="M8763" s="337"/>
    </row>
    <row r="8764" spans="1:13" s="71" customFormat="1" ht="26.4" customHeight="1">
      <c r="A8764" s="282">
        <v>563</v>
      </c>
      <c r="B8764" s="537"/>
      <c r="C8764" s="307" t="s">
        <v>28</v>
      </c>
      <c r="D8764" s="307" t="s">
        <v>11690</v>
      </c>
      <c r="E8764" s="260" t="s">
        <v>11691</v>
      </c>
      <c r="F8764" s="310">
        <v>1430</v>
      </c>
      <c r="G8764" s="311">
        <v>2014</v>
      </c>
      <c r="H8764" s="340" t="s">
        <v>3</v>
      </c>
      <c r="I8764" s="313" t="s">
        <v>11692</v>
      </c>
      <c r="J8764" s="314">
        <v>5.72</v>
      </c>
      <c r="K8764" s="314">
        <v>5.5170000000000003</v>
      </c>
      <c r="L8764" s="350">
        <f t="shared" si="119"/>
        <v>0.2029999999999994</v>
      </c>
      <c r="M8764" s="337"/>
    </row>
    <row r="8765" spans="1:13" s="71" customFormat="1" ht="26.4" customHeight="1">
      <c r="A8765" s="282">
        <v>564</v>
      </c>
      <c r="B8765" s="538"/>
      <c r="C8765" s="307" t="s">
        <v>28</v>
      </c>
      <c r="D8765" s="307" t="s">
        <v>11693</v>
      </c>
      <c r="E8765" s="260" t="s">
        <v>11694</v>
      </c>
      <c r="F8765" s="310">
        <v>1431</v>
      </c>
      <c r="G8765" s="311">
        <v>2014</v>
      </c>
      <c r="H8765" s="340" t="s">
        <v>3</v>
      </c>
      <c r="I8765" s="313" t="s">
        <v>11695</v>
      </c>
      <c r="J8765" s="314">
        <v>2.5880000000000001</v>
      </c>
      <c r="K8765" s="314">
        <v>1.3580000000000001</v>
      </c>
      <c r="L8765" s="350">
        <f t="shared" si="119"/>
        <v>1.23</v>
      </c>
      <c r="M8765" s="337"/>
    </row>
    <row r="8766" spans="1:13" s="71" customFormat="1" ht="26.4" customHeight="1">
      <c r="A8766" s="324" t="s">
        <v>3</v>
      </c>
      <c r="B8766" s="325" t="s">
        <v>4</v>
      </c>
      <c r="C8766" s="343" t="s">
        <v>3</v>
      </c>
      <c r="D8766" s="343" t="s">
        <v>3</v>
      </c>
      <c r="E8766" s="343" t="s">
        <v>3</v>
      </c>
      <c r="F8766" s="421" t="s">
        <v>3</v>
      </c>
      <c r="G8766" s="422" t="s">
        <v>3</v>
      </c>
      <c r="H8766" s="423" t="s">
        <v>3</v>
      </c>
      <c r="I8766" s="343" t="s">
        <v>3</v>
      </c>
      <c r="J8766" s="346">
        <f>SUM(J8202:J8765)</f>
        <v>24641.300000000017</v>
      </c>
      <c r="K8766" s="346">
        <f>SUM(K8202:K8765)</f>
        <v>19475.104000000025</v>
      </c>
      <c r="L8766" s="346">
        <f>SUM(L8202:L8765)</f>
        <v>5166.1959999999972</v>
      </c>
      <c r="M8766" s="337"/>
    </row>
    <row r="8767" spans="1:13" s="71" customFormat="1" ht="26.4" customHeight="1">
      <c r="A8767" s="282">
        <v>1</v>
      </c>
      <c r="B8767" s="534" t="s">
        <v>11696</v>
      </c>
      <c r="C8767" s="236" t="s">
        <v>11697</v>
      </c>
      <c r="D8767" s="260" t="s">
        <v>11698</v>
      </c>
      <c r="E8767" s="236" t="s">
        <v>11699</v>
      </c>
      <c r="F8767" s="372">
        <v>10003</v>
      </c>
      <c r="G8767" s="373" t="s">
        <v>1584</v>
      </c>
      <c r="H8767" s="407" t="s">
        <v>1149</v>
      </c>
      <c r="I8767" s="425">
        <v>800</v>
      </c>
      <c r="J8767" s="426">
        <v>257.26215000000002</v>
      </c>
      <c r="K8767" s="427">
        <v>247.97178</v>
      </c>
      <c r="L8767" s="427">
        <f t="shared" ref="L8767:L8830" si="120">J8767-K8767</f>
        <v>9.2903700000000242</v>
      </c>
      <c r="M8767" s="337"/>
    </row>
    <row r="8768" spans="1:13" s="71" customFormat="1" ht="26.4" customHeight="1">
      <c r="A8768" s="282">
        <v>2</v>
      </c>
      <c r="B8768" s="534"/>
      <c r="C8768" s="236" t="s">
        <v>11697</v>
      </c>
      <c r="D8768" s="260" t="s">
        <v>11698</v>
      </c>
      <c r="E8768" s="236" t="s">
        <v>11700</v>
      </c>
      <c r="F8768" s="372">
        <v>10061</v>
      </c>
      <c r="G8768" s="373" t="s">
        <v>1584</v>
      </c>
      <c r="H8768" s="407" t="s">
        <v>1149</v>
      </c>
      <c r="I8768" s="425">
        <v>18</v>
      </c>
      <c r="J8768" s="426">
        <v>2.5693800000000002</v>
      </c>
      <c r="K8768" s="427">
        <v>2.3922099999999999</v>
      </c>
      <c r="L8768" s="427">
        <f t="shared" si="120"/>
        <v>0.17717000000000027</v>
      </c>
      <c r="M8768" s="337"/>
    </row>
    <row r="8769" spans="1:13" s="71" customFormat="1" ht="26.4" customHeight="1">
      <c r="A8769" s="282">
        <v>3</v>
      </c>
      <c r="B8769" s="534"/>
      <c r="C8769" s="236" t="s">
        <v>11697</v>
      </c>
      <c r="D8769" s="260" t="s">
        <v>11698</v>
      </c>
      <c r="E8769" s="236" t="s">
        <v>11701</v>
      </c>
      <c r="F8769" s="372">
        <v>10068</v>
      </c>
      <c r="G8769" s="373" t="s">
        <v>1584</v>
      </c>
      <c r="H8769" s="407" t="s">
        <v>1149</v>
      </c>
      <c r="I8769" s="425">
        <v>9</v>
      </c>
      <c r="J8769" s="426">
        <v>1.28809</v>
      </c>
      <c r="K8769" s="427">
        <v>1.2661500000000001</v>
      </c>
      <c r="L8769" s="427">
        <f t="shared" si="120"/>
        <v>2.1939999999999849E-2</v>
      </c>
      <c r="M8769" s="337"/>
    </row>
    <row r="8770" spans="1:13" s="71" customFormat="1" ht="26.4" customHeight="1">
      <c r="A8770" s="282">
        <v>4</v>
      </c>
      <c r="B8770" s="534"/>
      <c r="C8770" s="236" t="s">
        <v>11697</v>
      </c>
      <c r="D8770" s="260" t="s">
        <v>11698</v>
      </c>
      <c r="E8770" s="260" t="s">
        <v>11702</v>
      </c>
      <c r="F8770" s="387">
        <v>20284</v>
      </c>
      <c r="G8770" s="373" t="s">
        <v>1584</v>
      </c>
      <c r="H8770" s="396" t="s">
        <v>5462</v>
      </c>
      <c r="I8770" s="425">
        <v>18250</v>
      </c>
      <c r="J8770" s="427">
        <v>1782.5728799999999</v>
      </c>
      <c r="K8770" s="427">
        <v>1778.7074700000001</v>
      </c>
      <c r="L8770" s="427">
        <f t="shared" si="120"/>
        <v>3.8654099999998834</v>
      </c>
      <c r="M8770" s="337"/>
    </row>
    <row r="8771" spans="1:13" s="71" customFormat="1" ht="26.4" customHeight="1">
      <c r="A8771" s="282">
        <v>5</v>
      </c>
      <c r="B8771" s="534"/>
      <c r="C8771" s="236" t="s">
        <v>11703</v>
      </c>
      <c r="D8771" s="260" t="s">
        <v>11704</v>
      </c>
      <c r="E8771" s="260" t="s">
        <v>11705</v>
      </c>
      <c r="F8771" s="387">
        <v>20340</v>
      </c>
      <c r="G8771" s="373" t="s">
        <v>1566</v>
      </c>
      <c r="H8771" s="396" t="s">
        <v>1149</v>
      </c>
      <c r="I8771" s="425">
        <v>10160</v>
      </c>
      <c r="J8771" s="427">
        <v>1149.9386199999999</v>
      </c>
      <c r="K8771" s="427">
        <v>1146.53548</v>
      </c>
      <c r="L8771" s="427">
        <f t="shared" si="120"/>
        <v>3.4031399999998939</v>
      </c>
      <c r="M8771" s="337"/>
    </row>
    <row r="8772" spans="1:13" s="71" customFormat="1" ht="26.4" customHeight="1">
      <c r="A8772" s="282">
        <v>6</v>
      </c>
      <c r="B8772" s="534"/>
      <c r="C8772" s="428" t="s">
        <v>8325</v>
      </c>
      <c r="D8772" s="260" t="s">
        <v>11706</v>
      </c>
      <c r="E8772" s="236" t="s">
        <v>11707</v>
      </c>
      <c r="F8772" s="372">
        <v>10001</v>
      </c>
      <c r="G8772" s="373" t="s">
        <v>1584</v>
      </c>
      <c r="H8772" s="407" t="s">
        <v>1149</v>
      </c>
      <c r="I8772" s="425">
        <v>380</v>
      </c>
      <c r="J8772" s="426">
        <v>81.761790000000005</v>
      </c>
      <c r="K8772" s="427">
        <v>79.248540000000006</v>
      </c>
      <c r="L8772" s="427">
        <f t="shared" si="120"/>
        <v>2.5132499999999993</v>
      </c>
      <c r="M8772" s="337"/>
    </row>
    <row r="8773" spans="1:13" s="71" customFormat="1" ht="39.6">
      <c r="A8773" s="282">
        <v>7</v>
      </c>
      <c r="B8773" s="534"/>
      <c r="C8773" s="428" t="s">
        <v>8325</v>
      </c>
      <c r="D8773" s="260" t="s">
        <v>11706</v>
      </c>
      <c r="E8773" s="236" t="s">
        <v>11708</v>
      </c>
      <c r="F8773" s="372">
        <v>20304</v>
      </c>
      <c r="G8773" s="373" t="s">
        <v>1584</v>
      </c>
      <c r="H8773" s="407" t="s">
        <v>1149</v>
      </c>
      <c r="I8773" s="425">
        <v>150</v>
      </c>
      <c r="J8773" s="426">
        <v>28.797969999999999</v>
      </c>
      <c r="K8773" s="427">
        <v>26.56597</v>
      </c>
      <c r="L8773" s="427">
        <f t="shared" si="120"/>
        <v>2.2319999999999993</v>
      </c>
      <c r="M8773" s="337"/>
    </row>
    <row r="8774" spans="1:13" s="71" customFormat="1" ht="26.4" customHeight="1">
      <c r="A8774" s="282">
        <v>8</v>
      </c>
      <c r="B8774" s="534"/>
      <c r="C8774" s="428" t="s">
        <v>8325</v>
      </c>
      <c r="D8774" s="236" t="s">
        <v>11709</v>
      </c>
      <c r="E8774" s="236" t="s">
        <v>11710</v>
      </c>
      <c r="F8774" s="372">
        <v>20305</v>
      </c>
      <c r="G8774" s="373" t="s">
        <v>1584</v>
      </c>
      <c r="H8774" s="407" t="s">
        <v>1149</v>
      </c>
      <c r="I8774" s="425">
        <v>150</v>
      </c>
      <c r="J8774" s="426">
        <v>27.477969999999999</v>
      </c>
      <c r="K8774" s="427">
        <v>26.037970000000001</v>
      </c>
      <c r="L8774" s="427">
        <f t="shared" si="120"/>
        <v>1.4399999999999977</v>
      </c>
      <c r="M8774" s="337"/>
    </row>
    <row r="8775" spans="1:13" s="71" customFormat="1" ht="26.4" customHeight="1">
      <c r="A8775" s="282">
        <v>9</v>
      </c>
      <c r="B8775" s="534"/>
      <c r="C8775" s="428" t="s">
        <v>8325</v>
      </c>
      <c r="D8775" s="236" t="s">
        <v>11711</v>
      </c>
      <c r="E8775" s="236" t="s">
        <v>11712</v>
      </c>
      <c r="F8775" s="372">
        <v>10012</v>
      </c>
      <c r="G8775" s="373" t="s">
        <v>1556</v>
      </c>
      <c r="H8775" s="407" t="s">
        <v>1149</v>
      </c>
      <c r="I8775" s="425">
        <v>600</v>
      </c>
      <c r="J8775" s="426">
        <v>110.92373000000001</v>
      </c>
      <c r="K8775" s="427">
        <v>101.15799</v>
      </c>
      <c r="L8775" s="427">
        <f t="shared" si="120"/>
        <v>9.7657400000000081</v>
      </c>
      <c r="M8775" s="337"/>
    </row>
    <row r="8776" spans="1:13" s="71" customFormat="1" ht="26.4" customHeight="1">
      <c r="A8776" s="282">
        <v>10</v>
      </c>
      <c r="B8776" s="534"/>
      <c r="C8776" s="428" t="s">
        <v>8325</v>
      </c>
      <c r="D8776" s="236" t="s">
        <v>11711</v>
      </c>
      <c r="E8776" s="236" t="s">
        <v>11713</v>
      </c>
      <c r="F8776" s="372">
        <v>10015</v>
      </c>
      <c r="G8776" s="373" t="s">
        <v>1588</v>
      </c>
      <c r="H8776" s="407" t="s">
        <v>1149</v>
      </c>
      <c r="I8776" s="425">
        <v>144</v>
      </c>
      <c r="J8776" s="426">
        <v>16.21895</v>
      </c>
      <c r="K8776" s="427">
        <v>15.28999</v>
      </c>
      <c r="L8776" s="427">
        <f t="shared" si="120"/>
        <v>0.92896000000000001</v>
      </c>
      <c r="M8776" s="337"/>
    </row>
    <row r="8777" spans="1:13" s="71" customFormat="1" ht="26.4" customHeight="1">
      <c r="A8777" s="282">
        <v>11</v>
      </c>
      <c r="B8777" s="534"/>
      <c r="C8777" s="428" t="s">
        <v>8325</v>
      </c>
      <c r="D8777" s="236" t="s">
        <v>11709</v>
      </c>
      <c r="E8777" s="236" t="s">
        <v>11714</v>
      </c>
      <c r="F8777" s="372">
        <v>10016</v>
      </c>
      <c r="G8777" s="373" t="s">
        <v>1556</v>
      </c>
      <c r="H8777" s="407" t="s">
        <v>1149</v>
      </c>
      <c r="I8777" s="425">
        <v>326</v>
      </c>
      <c r="J8777" s="426">
        <v>34.007980000000003</v>
      </c>
      <c r="K8777" s="427">
        <v>31.339690000000001</v>
      </c>
      <c r="L8777" s="427">
        <f t="shared" si="120"/>
        <v>2.6682900000000025</v>
      </c>
      <c r="M8777" s="337"/>
    </row>
    <row r="8778" spans="1:13" s="71" customFormat="1" ht="26.4" customHeight="1">
      <c r="A8778" s="282">
        <v>12</v>
      </c>
      <c r="B8778" s="534"/>
      <c r="C8778" s="428" t="s">
        <v>8325</v>
      </c>
      <c r="D8778" s="236" t="s">
        <v>11709</v>
      </c>
      <c r="E8778" s="236" t="s">
        <v>11715</v>
      </c>
      <c r="F8778" s="372">
        <v>10022</v>
      </c>
      <c r="G8778" s="373" t="s">
        <v>1588</v>
      </c>
      <c r="H8778" s="407" t="s">
        <v>1149</v>
      </c>
      <c r="I8778" s="425">
        <v>42</v>
      </c>
      <c r="J8778" s="426">
        <v>6.24655</v>
      </c>
      <c r="K8778" s="427">
        <v>6.1315400000000002</v>
      </c>
      <c r="L8778" s="427">
        <f t="shared" si="120"/>
        <v>0.11500999999999983</v>
      </c>
      <c r="M8778" s="337"/>
    </row>
    <row r="8779" spans="1:13" s="71" customFormat="1" ht="26.4" customHeight="1">
      <c r="A8779" s="282">
        <v>13</v>
      </c>
      <c r="B8779" s="534"/>
      <c r="C8779" s="236" t="s">
        <v>8325</v>
      </c>
      <c r="D8779" s="236" t="s">
        <v>11709</v>
      </c>
      <c r="E8779" s="236" t="s">
        <v>11716</v>
      </c>
      <c r="F8779" s="372">
        <v>10025</v>
      </c>
      <c r="G8779" s="373" t="s">
        <v>1588</v>
      </c>
      <c r="H8779" s="407" t="s">
        <v>1149</v>
      </c>
      <c r="I8779" s="425">
        <v>660</v>
      </c>
      <c r="J8779" s="426">
        <v>82.229249999999993</v>
      </c>
      <c r="K8779" s="427">
        <v>80.791749999999993</v>
      </c>
      <c r="L8779" s="427">
        <f t="shared" si="120"/>
        <v>1.4375</v>
      </c>
      <c r="M8779" s="337"/>
    </row>
    <row r="8780" spans="1:13" s="71" customFormat="1" ht="26.4" customHeight="1">
      <c r="A8780" s="282">
        <v>14</v>
      </c>
      <c r="B8780" s="534"/>
      <c r="C8780" s="236" t="s">
        <v>8325</v>
      </c>
      <c r="D8780" s="236" t="s">
        <v>11709</v>
      </c>
      <c r="E8780" s="236" t="s">
        <v>11717</v>
      </c>
      <c r="F8780" s="372">
        <v>10026</v>
      </c>
      <c r="G8780" s="373" t="s">
        <v>1588</v>
      </c>
      <c r="H8780" s="407" t="s">
        <v>1149</v>
      </c>
      <c r="I8780" s="425">
        <v>400</v>
      </c>
      <c r="J8780" s="426">
        <v>51.220120000000001</v>
      </c>
      <c r="K8780" s="427">
        <v>50.327599999999997</v>
      </c>
      <c r="L8780" s="427">
        <f t="shared" si="120"/>
        <v>0.89252000000000464</v>
      </c>
      <c r="M8780" s="337"/>
    </row>
    <row r="8781" spans="1:13" s="71" customFormat="1" ht="26.4" customHeight="1">
      <c r="A8781" s="282">
        <v>15</v>
      </c>
      <c r="B8781" s="534"/>
      <c r="C8781" s="236" t="s">
        <v>8325</v>
      </c>
      <c r="D8781" s="236" t="s">
        <v>11709</v>
      </c>
      <c r="E8781" s="236" t="s">
        <v>11718</v>
      </c>
      <c r="F8781" s="372">
        <v>10030</v>
      </c>
      <c r="G8781" s="373" t="s">
        <v>1588</v>
      </c>
      <c r="H8781" s="407" t="s">
        <v>1149</v>
      </c>
      <c r="I8781" s="425">
        <v>460</v>
      </c>
      <c r="J8781" s="426">
        <v>41.274009999999997</v>
      </c>
      <c r="K8781" s="427">
        <v>39.097450000000002</v>
      </c>
      <c r="L8781" s="427">
        <f t="shared" si="120"/>
        <v>2.1765599999999949</v>
      </c>
      <c r="M8781" s="337"/>
    </row>
    <row r="8782" spans="1:13" s="71" customFormat="1" ht="26.4" customHeight="1">
      <c r="A8782" s="282">
        <v>16</v>
      </c>
      <c r="B8782" s="534"/>
      <c r="C8782" s="236" t="s">
        <v>8325</v>
      </c>
      <c r="D8782" s="236" t="s">
        <v>11709</v>
      </c>
      <c r="E8782" s="236" t="s">
        <v>11719</v>
      </c>
      <c r="F8782" s="372">
        <v>10032</v>
      </c>
      <c r="G8782" s="373" t="s">
        <v>1588</v>
      </c>
      <c r="H8782" s="407" t="s">
        <v>1149</v>
      </c>
      <c r="I8782" s="425">
        <v>16</v>
      </c>
      <c r="J8782" s="427">
        <v>4.9257900000000001</v>
      </c>
      <c r="K8782" s="427">
        <v>3.36069</v>
      </c>
      <c r="L8782" s="427">
        <f t="shared" si="120"/>
        <v>1.5651000000000002</v>
      </c>
      <c r="M8782" s="337"/>
    </row>
    <row r="8783" spans="1:13" s="71" customFormat="1" ht="26.4" customHeight="1">
      <c r="A8783" s="282">
        <v>17</v>
      </c>
      <c r="B8783" s="534"/>
      <c r="C8783" s="236" t="s">
        <v>8325</v>
      </c>
      <c r="D8783" s="236" t="s">
        <v>11709</v>
      </c>
      <c r="E8783" s="236" t="s">
        <v>11720</v>
      </c>
      <c r="F8783" s="372">
        <v>10033</v>
      </c>
      <c r="G8783" s="373" t="s">
        <v>1588</v>
      </c>
      <c r="H8783" s="407" t="s">
        <v>1149</v>
      </c>
      <c r="I8783" s="425">
        <v>12</v>
      </c>
      <c r="J8783" s="427">
        <v>3.84429</v>
      </c>
      <c r="K8783" s="427">
        <v>2.2791899999999998</v>
      </c>
      <c r="L8783" s="427">
        <f t="shared" si="120"/>
        <v>1.5651000000000002</v>
      </c>
      <c r="M8783" s="337"/>
    </row>
    <row r="8784" spans="1:13" s="71" customFormat="1" ht="26.4" customHeight="1">
      <c r="A8784" s="282">
        <v>18</v>
      </c>
      <c r="B8784" s="534"/>
      <c r="C8784" s="236" t="s">
        <v>8325</v>
      </c>
      <c r="D8784" s="236" t="s">
        <v>11709</v>
      </c>
      <c r="E8784" s="236" t="s">
        <v>11721</v>
      </c>
      <c r="F8784" s="372">
        <v>10036</v>
      </c>
      <c r="G8784" s="373" t="s">
        <v>1584</v>
      </c>
      <c r="H8784" s="407" t="s">
        <v>1149</v>
      </c>
      <c r="I8784" s="425">
        <v>23</v>
      </c>
      <c r="J8784" s="427">
        <v>34.35812</v>
      </c>
      <c r="K8784" s="427">
        <v>32.234279999999998</v>
      </c>
      <c r="L8784" s="427">
        <f t="shared" si="120"/>
        <v>2.1238400000000013</v>
      </c>
      <c r="M8784" s="337"/>
    </row>
    <row r="8785" spans="1:13" s="71" customFormat="1" ht="26.4" customHeight="1">
      <c r="A8785" s="282">
        <v>19</v>
      </c>
      <c r="B8785" s="534"/>
      <c r="C8785" s="236" t="s">
        <v>8325</v>
      </c>
      <c r="D8785" s="236" t="s">
        <v>11709</v>
      </c>
      <c r="E8785" s="236" t="s">
        <v>11722</v>
      </c>
      <c r="F8785" s="372">
        <v>10037</v>
      </c>
      <c r="G8785" s="373" t="s">
        <v>1584</v>
      </c>
      <c r="H8785" s="407" t="s">
        <v>1149</v>
      </c>
      <c r="I8785" s="425">
        <v>42</v>
      </c>
      <c r="J8785" s="427">
        <v>27.194559999999999</v>
      </c>
      <c r="K8785" s="427">
        <v>25.936530000000001</v>
      </c>
      <c r="L8785" s="427">
        <f t="shared" si="120"/>
        <v>1.258029999999998</v>
      </c>
      <c r="M8785" s="337"/>
    </row>
    <row r="8786" spans="1:13" s="71" customFormat="1" ht="26.4" customHeight="1">
      <c r="A8786" s="282">
        <v>20</v>
      </c>
      <c r="B8786" s="534"/>
      <c r="C8786" s="236" t="s">
        <v>8325</v>
      </c>
      <c r="D8786" s="236" t="s">
        <v>11709</v>
      </c>
      <c r="E8786" s="236" t="s">
        <v>11723</v>
      </c>
      <c r="F8786" s="372">
        <v>10046</v>
      </c>
      <c r="G8786" s="373" t="s">
        <v>1588</v>
      </c>
      <c r="H8786" s="407" t="s">
        <v>1149</v>
      </c>
      <c r="I8786" s="425">
        <v>200</v>
      </c>
      <c r="J8786" s="427">
        <v>50.85548</v>
      </c>
      <c r="K8786" s="427">
        <v>47.924059999999997</v>
      </c>
      <c r="L8786" s="427">
        <f t="shared" si="120"/>
        <v>2.9314200000000028</v>
      </c>
      <c r="M8786" s="337"/>
    </row>
    <row r="8787" spans="1:13" s="71" customFormat="1" ht="26.4" customHeight="1">
      <c r="A8787" s="282">
        <v>21</v>
      </c>
      <c r="B8787" s="534"/>
      <c r="C8787" s="236" t="s">
        <v>8325</v>
      </c>
      <c r="D8787" s="236" t="s">
        <v>11709</v>
      </c>
      <c r="E8787" s="236" t="s">
        <v>11724</v>
      </c>
      <c r="F8787" s="372">
        <v>10049</v>
      </c>
      <c r="G8787" s="373" t="s">
        <v>1588</v>
      </c>
      <c r="H8787" s="407" t="s">
        <v>1149</v>
      </c>
      <c r="I8787" s="425">
        <v>30</v>
      </c>
      <c r="J8787" s="427">
        <v>14.331239999999999</v>
      </c>
      <c r="K8787" s="427">
        <v>13.48495</v>
      </c>
      <c r="L8787" s="427">
        <f t="shared" si="120"/>
        <v>0.84628999999999976</v>
      </c>
      <c r="M8787" s="337"/>
    </row>
    <row r="8788" spans="1:13" s="71" customFormat="1" ht="26.4" customHeight="1">
      <c r="A8788" s="282">
        <v>22</v>
      </c>
      <c r="B8788" s="534"/>
      <c r="C8788" s="236" t="s">
        <v>8325</v>
      </c>
      <c r="D8788" s="236" t="s">
        <v>11709</v>
      </c>
      <c r="E8788" s="236" t="s">
        <v>11725</v>
      </c>
      <c r="F8788" s="372">
        <v>10051</v>
      </c>
      <c r="G8788" s="373" t="s">
        <v>1588</v>
      </c>
      <c r="H8788" s="407" t="s">
        <v>1149</v>
      </c>
      <c r="I8788" s="425">
        <v>100</v>
      </c>
      <c r="J8788" s="427">
        <v>12.823460000000001</v>
      </c>
      <c r="K8788" s="427">
        <v>12.379659999999999</v>
      </c>
      <c r="L8788" s="427">
        <f t="shared" si="120"/>
        <v>0.4438000000000013</v>
      </c>
      <c r="M8788" s="337"/>
    </row>
    <row r="8789" spans="1:13" s="71" customFormat="1" ht="26.4" customHeight="1">
      <c r="A8789" s="282">
        <v>23</v>
      </c>
      <c r="B8789" s="534"/>
      <c r="C8789" s="236" t="s">
        <v>8325</v>
      </c>
      <c r="D8789" s="236" t="s">
        <v>11709</v>
      </c>
      <c r="E8789" s="236" t="s">
        <v>11726</v>
      </c>
      <c r="F8789" s="372">
        <v>10057</v>
      </c>
      <c r="G8789" s="373" t="s">
        <v>1573</v>
      </c>
      <c r="H8789" s="407" t="s">
        <v>1149</v>
      </c>
      <c r="I8789" s="425">
        <v>152</v>
      </c>
      <c r="J8789" s="427">
        <v>37.646039999999999</v>
      </c>
      <c r="K8789" s="427">
        <v>33.322009999999999</v>
      </c>
      <c r="L8789" s="427">
        <f t="shared" si="120"/>
        <v>4.3240300000000005</v>
      </c>
      <c r="M8789" s="337"/>
    </row>
    <row r="8790" spans="1:13" s="71" customFormat="1" ht="26.4" customHeight="1">
      <c r="A8790" s="282">
        <v>24</v>
      </c>
      <c r="B8790" s="534"/>
      <c r="C8790" s="236" t="s">
        <v>8325</v>
      </c>
      <c r="D8790" s="236" t="s">
        <v>11709</v>
      </c>
      <c r="E8790" s="260" t="s">
        <v>11727</v>
      </c>
      <c r="F8790" s="387">
        <v>10243</v>
      </c>
      <c r="G8790" s="373" t="s">
        <v>1544</v>
      </c>
      <c r="H8790" s="407" t="s">
        <v>1149</v>
      </c>
      <c r="I8790" s="425">
        <v>437</v>
      </c>
      <c r="J8790" s="427">
        <v>114.94295</v>
      </c>
      <c r="K8790" s="427">
        <v>111.73417000000001</v>
      </c>
      <c r="L8790" s="427">
        <f t="shared" si="120"/>
        <v>3.2087799999999902</v>
      </c>
      <c r="M8790" s="337"/>
    </row>
    <row r="8791" spans="1:13" s="71" customFormat="1" ht="26.4" customHeight="1">
      <c r="A8791" s="282">
        <v>25</v>
      </c>
      <c r="B8791" s="534"/>
      <c r="C8791" s="236" t="s">
        <v>8325</v>
      </c>
      <c r="D8791" s="236" t="s">
        <v>11709</v>
      </c>
      <c r="E8791" s="236" t="s">
        <v>11728</v>
      </c>
      <c r="F8791" s="372">
        <v>10244</v>
      </c>
      <c r="G8791" s="373" t="s">
        <v>1555</v>
      </c>
      <c r="H8791" s="407" t="s">
        <v>1149</v>
      </c>
      <c r="I8791" s="425">
        <v>360</v>
      </c>
      <c r="J8791" s="427">
        <v>51.266449999999999</v>
      </c>
      <c r="K8791" s="427">
        <v>48.214849999999998</v>
      </c>
      <c r="L8791" s="427">
        <f t="shared" si="120"/>
        <v>3.0516000000000005</v>
      </c>
      <c r="M8791" s="337"/>
    </row>
    <row r="8792" spans="1:13" s="71" customFormat="1" ht="26.4" customHeight="1">
      <c r="A8792" s="282">
        <v>26</v>
      </c>
      <c r="B8792" s="534"/>
      <c r="C8792" s="236" t="s">
        <v>8325</v>
      </c>
      <c r="D8792" s="236" t="s">
        <v>11709</v>
      </c>
      <c r="E8792" s="236" t="s">
        <v>11729</v>
      </c>
      <c r="F8792" s="372">
        <v>10246</v>
      </c>
      <c r="G8792" s="373" t="s">
        <v>1573</v>
      </c>
      <c r="H8792" s="407" t="s">
        <v>1149</v>
      </c>
      <c r="I8792" s="425">
        <v>168</v>
      </c>
      <c r="J8792" s="426">
        <v>21.545000000000002</v>
      </c>
      <c r="K8792" s="426">
        <v>17.415379999999999</v>
      </c>
      <c r="L8792" s="427">
        <f t="shared" si="120"/>
        <v>4.1296200000000027</v>
      </c>
      <c r="M8792" s="337"/>
    </row>
    <row r="8793" spans="1:13" s="71" customFormat="1" ht="26.4" customHeight="1">
      <c r="A8793" s="282">
        <v>27</v>
      </c>
      <c r="B8793" s="534"/>
      <c r="C8793" s="236" t="s">
        <v>8325</v>
      </c>
      <c r="D8793" s="236" t="s">
        <v>11709</v>
      </c>
      <c r="E8793" s="236" t="s">
        <v>11730</v>
      </c>
      <c r="F8793" s="372">
        <v>10248</v>
      </c>
      <c r="G8793" s="373" t="s">
        <v>1570</v>
      </c>
      <c r="H8793" s="407" t="s">
        <v>1149</v>
      </c>
      <c r="I8793" s="425">
        <v>8</v>
      </c>
      <c r="J8793" s="426">
        <v>1.42</v>
      </c>
      <c r="K8793" s="426">
        <v>1.08</v>
      </c>
      <c r="L8793" s="427">
        <f t="shared" si="120"/>
        <v>0.33999999999999986</v>
      </c>
      <c r="M8793" s="337"/>
    </row>
    <row r="8794" spans="1:13" s="71" customFormat="1" ht="26.4" customHeight="1">
      <c r="A8794" s="282">
        <v>28</v>
      </c>
      <c r="B8794" s="534"/>
      <c r="C8794" s="236" t="s">
        <v>8325</v>
      </c>
      <c r="D8794" s="236" t="s">
        <v>11709</v>
      </c>
      <c r="E8794" s="260" t="s">
        <v>11731</v>
      </c>
      <c r="F8794" s="387">
        <v>20345</v>
      </c>
      <c r="G8794" s="373" t="s">
        <v>1529</v>
      </c>
      <c r="H8794" s="407" t="s">
        <v>1149</v>
      </c>
      <c r="I8794" s="425">
        <v>503</v>
      </c>
      <c r="J8794" s="427">
        <v>443.69763</v>
      </c>
      <c r="K8794" s="427">
        <v>440.85354999999998</v>
      </c>
      <c r="L8794" s="427">
        <f t="shared" si="120"/>
        <v>2.8440800000000195</v>
      </c>
      <c r="M8794" s="337"/>
    </row>
    <row r="8795" spans="1:13" s="71" customFormat="1" ht="26.4" customHeight="1">
      <c r="A8795" s="282">
        <v>29</v>
      </c>
      <c r="B8795" s="534"/>
      <c r="C8795" s="236" t="s">
        <v>8325</v>
      </c>
      <c r="D8795" s="236" t="s">
        <v>11709</v>
      </c>
      <c r="E8795" s="236" t="s">
        <v>11732</v>
      </c>
      <c r="F8795" s="372">
        <v>43455</v>
      </c>
      <c r="G8795" s="373" t="s">
        <v>1547</v>
      </c>
      <c r="H8795" s="407" t="s">
        <v>1149</v>
      </c>
      <c r="I8795" s="425">
        <v>126</v>
      </c>
      <c r="J8795" s="427">
        <v>287.72937999999999</v>
      </c>
      <c r="K8795" s="427">
        <v>286.31864000000002</v>
      </c>
      <c r="L8795" s="427">
        <f t="shared" si="120"/>
        <v>1.4107399999999757</v>
      </c>
      <c r="M8795" s="337"/>
    </row>
    <row r="8796" spans="1:13" s="71" customFormat="1" ht="26.4" customHeight="1">
      <c r="A8796" s="282">
        <v>30</v>
      </c>
      <c r="B8796" s="534"/>
      <c r="C8796" s="236" t="s">
        <v>8325</v>
      </c>
      <c r="D8796" s="260" t="s">
        <v>11733</v>
      </c>
      <c r="E8796" s="236" t="s">
        <v>11734</v>
      </c>
      <c r="F8796" s="372">
        <v>10002</v>
      </c>
      <c r="G8796" s="373" t="s">
        <v>1584</v>
      </c>
      <c r="H8796" s="407" t="s">
        <v>1149</v>
      </c>
      <c r="I8796" s="425">
        <v>300</v>
      </c>
      <c r="J8796" s="427">
        <v>70.755300000000005</v>
      </c>
      <c r="K8796" s="427">
        <v>60.91836</v>
      </c>
      <c r="L8796" s="427">
        <f t="shared" si="120"/>
        <v>9.8369400000000056</v>
      </c>
      <c r="M8796" s="337"/>
    </row>
    <row r="8797" spans="1:13" s="71" customFormat="1" ht="26.4" customHeight="1">
      <c r="A8797" s="282">
        <v>31</v>
      </c>
      <c r="B8797" s="534"/>
      <c r="C8797" s="236" t="s">
        <v>8325</v>
      </c>
      <c r="D8797" s="260" t="s">
        <v>11733</v>
      </c>
      <c r="E8797" s="236" t="s">
        <v>11735</v>
      </c>
      <c r="F8797" s="372">
        <v>10031</v>
      </c>
      <c r="G8797" s="373" t="s">
        <v>1585</v>
      </c>
      <c r="H8797" s="407" t="s">
        <v>1149</v>
      </c>
      <c r="I8797" s="425">
        <v>80</v>
      </c>
      <c r="J8797" s="427">
        <v>16.047429999999999</v>
      </c>
      <c r="K8797" s="427">
        <v>14.10633</v>
      </c>
      <c r="L8797" s="427">
        <f t="shared" si="120"/>
        <v>1.9410999999999987</v>
      </c>
      <c r="M8797" s="337"/>
    </row>
    <row r="8798" spans="1:13" s="71" customFormat="1" ht="26.4" customHeight="1">
      <c r="A8798" s="282">
        <v>32</v>
      </c>
      <c r="B8798" s="534"/>
      <c r="C8798" s="236" t="s">
        <v>8325</v>
      </c>
      <c r="D8798" s="260" t="s">
        <v>11733</v>
      </c>
      <c r="E8798" s="236" t="s">
        <v>11736</v>
      </c>
      <c r="F8798" s="372">
        <v>10038</v>
      </c>
      <c r="G8798" s="373" t="s">
        <v>1584</v>
      </c>
      <c r="H8798" s="407" t="s">
        <v>1149</v>
      </c>
      <c r="I8798" s="425">
        <v>25</v>
      </c>
      <c r="J8798" s="427">
        <v>11.478070000000001</v>
      </c>
      <c r="K8798" s="427">
        <v>9.8207599999999999</v>
      </c>
      <c r="L8798" s="427">
        <f t="shared" si="120"/>
        <v>1.6573100000000007</v>
      </c>
      <c r="M8798" s="337"/>
    </row>
    <row r="8799" spans="1:13" s="71" customFormat="1" ht="26.4" customHeight="1">
      <c r="A8799" s="282">
        <v>33</v>
      </c>
      <c r="B8799" s="534"/>
      <c r="C8799" s="236" t="s">
        <v>8325</v>
      </c>
      <c r="D8799" s="260" t="s">
        <v>11733</v>
      </c>
      <c r="E8799" s="236" t="s">
        <v>11737</v>
      </c>
      <c r="F8799" s="372">
        <v>10039</v>
      </c>
      <c r="G8799" s="373" t="s">
        <v>1584</v>
      </c>
      <c r="H8799" s="407" t="s">
        <v>1149</v>
      </c>
      <c r="I8799" s="425">
        <v>25</v>
      </c>
      <c r="J8799" s="427">
        <v>11.478070000000001</v>
      </c>
      <c r="K8799" s="427">
        <v>9.8207599999999999</v>
      </c>
      <c r="L8799" s="427">
        <f t="shared" si="120"/>
        <v>1.6573100000000007</v>
      </c>
      <c r="M8799" s="337"/>
    </row>
    <row r="8800" spans="1:13" s="71" customFormat="1" ht="26.4" customHeight="1">
      <c r="A8800" s="282">
        <v>34</v>
      </c>
      <c r="B8800" s="534"/>
      <c r="C8800" s="236" t="s">
        <v>8325</v>
      </c>
      <c r="D8800" s="260" t="s">
        <v>11733</v>
      </c>
      <c r="E8800" s="236" t="s">
        <v>11738</v>
      </c>
      <c r="F8800" s="372">
        <v>10044</v>
      </c>
      <c r="G8800" s="373" t="s">
        <v>1588</v>
      </c>
      <c r="H8800" s="407" t="s">
        <v>1149</v>
      </c>
      <c r="I8800" s="425">
        <v>24</v>
      </c>
      <c r="J8800" s="427">
        <v>4.9470999999999998</v>
      </c>
      <c r="K8800" s="427">
        <v>2.8744299999999998</v>
      </c>
      <c r="L8800" s="427">
        <f t="shared" si="120"/>
        <v>2.07267</v>
      </c>
      <c r="M8800" s="337"/>
    </row>
    <row r="8801" spans="1:13" s="71" customFormat="1" ht="26.4" customHeight="1">
      <c r="A8801" s="282">
        <v>35</v>
      </c>
      <c r="B8801" s="534"/>
      <c r="C8801" s="236" t="s">
        <v>8325</v>
      </c>
      <c r="D8801" s="260" t="s">
        <v>11733</v>
      </c>
      <c r="E8801" s="236" t="s">
        <v>11739</v>
      </c>
      <c r="F8801" s="372">
        <v>10059</v>
      </c>
      <c r="G8801" s="373" t="s">
        <v>1585</v>
      </c>
      <c r="H8801" s="407" t="s">
        <v>1149</v>
      </c>
      <c r="I8801" s="425">
        <v>26</v>
      </c>
      <c r="J8801" s="427">
        <v>46.898249999999997</v>
      </c>
      <c r="K8801" s="427">
        <v>25.82</v>
      </c>
      <c r="L8801" s="427">
        <f t="shared" si="120"/>
        <v>21.078249999999997</v>
      </c>
      <c r="M8801" s="337"/>
    </row>
    <row r="8802" spans="1:13" s="71" customFormat="1" ht="26.4" customHeight="1">
      <c r="A8802" s="282">
        <v>36</v>
      </c>
      <c r="B8802" s="534"/>
      <c r="C8802" s="236" t="s">
        <v>8325</v>
      </c>
      <c r="D8802" s="260" t="s">
        <v>11733</v>
      </c>
      <c r="E8802" s="260" t="s">
        <v>11740</v>
      </c>
      <c r="F8802" s="387">
        <v>20253</v>
      </c>
      <c r="G8802" s="373" t="s">
        <v>1584</v>
      </c>
      <c r="H8802" s="407" t="s">
        <v>1149</v>
      </c>
      <c r="I8802" s="425">
        <v>600</v>
      </c>
      <c r="J8802" s="427">
        <v>188.16900000000001</v>
      </c>
      <c r="K8802" s="427">
        <v>180.89699999999999</v>
      </c>
      <c r="L8802" s="427">
        <f t="shared" si="120"/>
        <v>7.2720000000000198</v>
      </c>
      <c r="M8802" s="337"/>
    </row>
    <row r="8803" spans="1:13" s="71" customFormat="1" ht="26.4" customHeight="1">
      <c r="A8803" s="282">
        <v>37</v>
      </c>
      <c r="B8803" s="534"/>
      <c r="C8803" s="236" t="s">
        <v>8325</v>
      </c>
      <c r="D8803" s="260" t="s">
        <v>11733</v>
      </c>
      <c r="E8803" s="260" t="s">
        <v>11740</v>
      </c>
      <c r="F8803" s="387">
        <v>20256</v>
      </c>
      <c r="G8803" s="373" t="s">
        <v>1585</v>
      </c>
      <c r="H8803" s="407" t="s">
        <v>1149</v>
      </c>
      <c r="I8803" s="425">
        <v>380</v>
      </c>
      <c r="J8803" s="427">
        <v>96.634500000000003</v>
      </c>
      <c r="K8803" s="427">
        <v>92.998500000000007</v>
      </c>
      <c r="L8803" s="427">
        <f t="shared" si="120"/>
        <v>3.6359999999999957</v>
      </c>
      <c r="M8803" s="337"/>
    </row>
    <row r="8804" spans="1:13" s="71" customFormat="1" ht="26.4" customHeight="1">
      <c r="A8804" s="282">
        <v>38</v>
      </c>
      <c r="B8804" s="534"/>
      <c r="C8804" s="236" t="s">
        <v>8325</v>
      </c>
      <c r="D8804" s="260" t="s">
        <v>11733</v>
      </c>
      <c r="E8804" s="236" t="s">
        <v>11741</v>
      </c>
      <c r="F8804" s="372">
        <v>20320</v>
      </c>
      <c r="G8804" s="373" t="s">
        <v>1584</v>
      </c>
      <c r="H8804" s="407" t="s">
        <v>1149</v>
      </c>
      <c r="I8804" s="425">
        <v>600</v>
      </c>
      <c r="J8804" s="427">
        <v>339.21605</v>
      </c>
      <c r="K8804" s="427">
        <v>333.05223000000001</v>
      </c>
      <c r="L8804" s="427">
        <f t="shared" si="120"/>
        <v>6.163819999999987</v>
      </c>
      <c r="M8804" s="337"/>
    </row>
    <row r="8805" spans="1:13" s="71" customFormat="1" ht="26.4" customHeight="1">
      <c r="A8805" s="282">
        <v>39</v>
      </c>
      <c r="B8805" s="534"/>
      <c r="C8805" s="236" t="s">
        <v>8325</v>
      </c>
      <c r="D8805" s="236" t="s">
        <v>11709</v>
      </c>
      <c r="E8805" s="236" t="s">
        <v>11742</v>
      </c>
      <c r="F8805" s="372">
        <v>10242</v>
      </c>
      <c r="G8805" s="373" t="s">
        <v>1531</v>
      </c>
      <c r="H8805" s="407" t="s">
        <v>1149</v>
      </c>
      <c r="I8805" s="425">
        <v>597</v>
      </c>
      <c r="J8805" s="427">
        <v>407.75792000000001</v>
      </c>
      <c r="K8805" s="427">
        <v>149.76053999999999</v>
      </c>
      <c r="L8805" s="427">
        <f t="shared" si="120"/>
        <v>257.99738000000002</v>
      </c>
      <c r="M8805" s="337"/>
    </row>
    <row r="8806" spans="1:13" s="71" customFormat="1" ht="26.4" customHeight="1">
      <c r="A8806" s="282">
        <v>40</v>
      </c>
      <c r="B8806" s="534"/>
      <c r="C8806" s="260" t="s">
        <v>11743</v>
      </c>
      <c r="D8806" s="260" t="s">
        <v>11744</v>
      </c>
      <c r="E8806" s="236" t="s">
        <v>11745</v>
      </c>
      <c r="F8806" s="372">
        <v>10004</v>
      </c>
      <c r="G8806" s="373" t="s">
        <v>1584</v>
      </c>
      <c r="H8806" s="407" t="s">
        <v>1149</v>
      </c>
      <c r="I8806" s="425">
        <v>750</v>
      </c>
      <c r="J8806" s="427">
        <v>149.37244000000001</v>
      </c>
      <c r="K8806" s="427">
        <v>144.95217</v>
      </c>
      <c r="L8806" s="427">
        <f t="shared" si="120"/>
        <v>4.4202700000000164</v>
      </c>
      <c r="M8806" s="337"/>
    </row>
    <row r="8807" spans="1:13" s="71" customFormat="1" ht="26.4" customHeight="1">
      <c r="A8807" s="282">
        <v>41</v>
      </c>
      <c r="B8807" s="534"/>
      <c r="C8807" s="260" t="s">
        <v>11743</v>
      </c>
      <c r="D8807" s="260" t="s">
        <v>11744</v>
      </c>
      <c r="E8807" s="236" t="s">
        <v>11746</v>
      </c>
      <c r="F8807" s="372">
        <v>10014</v>
      </c>
      <c r="G8807" s="373" t="s">
        <v>1584</v>
      </c>
      <c r="H8807" s="407" t="s">
        <v>1149</v>
      </c>
      <c r="I8807" s="425">
        <v>268</v>
      </c>
      <c r="J8807" s="427">
        <v>47.417949999999998</v>
      </c>
      <c r="K8807" s="427">
        <v>44.492620000000002</v>
      </c>
      <c r="L8807" s="427">
        <f t="shared" si="120"/>
        <v>2.9253299999999953</v>
      </c>
      <c r="M8807" s="337"/>
    </row>
    <row r="8808" spans="1:13" s="71" customFormat="1" ht="26.4" customHeight="1">
      <c r="A8808" s="282">
        <v>42</v>
      </c>
      <c r="B8808" s="534"/>
      <c r="C8808" s="260" t="s">
        <v>11743</v>
      </c>
      <c r="D8808" s="260" t="s">
        <v>11744</v>
      </c>
      <c r="E8808" s="236" t="s">
        <v>11747</v>
      </c>
      <c r="F8808" s="372">
        <v>10060</v>
      </c>
      <c r="G8808" s="373" t="s">
        <v>1584</v>
      </c>
      <c r="H8808" s="407" t="s">
        <v>1149</v>
      </c>
      <c r="I8808" s="425">
        <v>35</v>
      </c>
      <c r="J8808" s="427">
        <v>5.1387600000000004</v>
      </c>
      <c r="K8808" s="427">
        <v>4.8256199999999998</v>
      </c>
      <c r="L8808" s="427">
        <f t="shared" si="120"/>
        <v>0.31314000000000064</v>
      </c>
      <c r="M8808" s="337"/>
    </row>
    <row r="8809" spans="1:13" s="71" customFormat="1" ht="26.4" customHeight="1">
      <c r="A8809" s="282">
        <v>43</v>
      </c>
      <c r="B8809" s="534"/>
      <c r="C8809" s="260" t="s">
        <v>11743</v>
      </c>
      <c r="D8809" s="260" t="s">
        <v>11744</v>
      </c>
      <c r="E8809" s="236" t="s">
        <v>11748</v>
      </c>
      <c r="F8809" s="372">
        <v>10070</v>
      </c>
      <c r="G8809" s="373" t="s">
        <v>1584</v>
      </c>
      <c r="H8809" s="407" t="s">
        <v>1149</v>
      </c>
      <c r="I8809" s="425">
        <v>12</v>
      </c>
      <c r="J8809" s="427">
        <v>115.01235</v>
      </c>
      <c r="K8809" s="427">
        <v>110.73511000000001</v>
      </c>
      <c r="L8809" s="427">
        <f t="shared" si="120"/>
        <v>4.2772399999999919</v>
      </c>
      <c r="M8809" s="337"/>
    </row>
    <row r="8810" spans="1:13" s="71" customFormat="1" ht="26.4" customHeight="1">
      <c r="A8810" s="282">
        <v>44</v>
      </c>
      <c r="B8810" s="534"/>
      <c r="C8810" s="260" t="s">
        <v>11743</v>
      </c>
      <c r="D8810" s="260" t="s">
        <v>11744</v>
      </c>
      <c r="E8810" s="236" t="s">
        <v>11749</v>
      </c>
      <c r="F8810" s="372">
        <v>10233</v>
      </c>
      <c r="G8810" s="373" t="s">
        <v>1539</v>
      </c>
      <c r="H8810" s="407" t="s">
        <v>1149</v>
      </c>
      <c r="I8810" s="425">
        <v>100</v>
      </c>
      <c r="J8810" s="427">
        <v>33.021210000000004</v>
      </c>
      <c r="K8810" s="427">
        <v>30.259</v>
      </c>
      <c r="L8810" s="427">
        <f t="shared" si="120"/>
        <v>2.7622100000000032</v>
      </c>
      <c r="M8810" s="337"/>
    </row>
    <row r="8811" spans="1:13" s="71" customFormat="1" ht="26.4" customHeight="1">
      <c r="A8811" s="282">
        <v>45</v>
      </c>
      <c r="B8811" s="534"/>
      <c r="C8811" s="260" t="s">
        <v>11743</v>
      </c>
      <c r="D8811" s="260" t="s">
        <v>11744</v>
      </c>
      <c r="E8811" s="236" t="s">
        <v>11750</v>
      </c>
      <c r="F8811" s="372">
        <v>10247</v>
      </c>
      <c r="G8811" s="373" t="s">
        <v>1139</v>
      </c>
      <c r="H8811" s="407" t="s">
        <v>1149</v>
      </c>
      <c r="I8811" s="425">
        <v>451</v>
      </c>
      <c r="J8811" s="426">
        <v>315.73809</v>
      </c>
      <c r="K8811" s="426">
        <v>311.71622000000002</v>
      </c>
      <c r="L8811" s="427">
        <f t="shared" si="120"/>
        <v>4.0218699999999785</v>
      </c>
      <c r="M8811" s="337"/>
    </row>
    <row r="8812" spans="1:13" s="71" customFormat="1" ht="26.4" customHeight="1">
      <c r="A8812" s="282">
        <v>46</v>
      </c>
      <c r="B8812" s="534"/>
      <c r="C8812" s="260" t="s">
        <v>11743</v>
      </c>
      <c r="D8812" s="260" t="s">
        <v>11744</v>
      </c>
      <c r="E8812" s="260" t="s">
        <v>11751</v>
      </c>
      <c r="F8812" s="387">
        <v>20254</v>
      </c>
      <c r="G8812" s="373" t="s">
        <v>1584</v>
      </c>
      <c r="H8812" s="396" t="s">
        <v>1136</v>
      </c>
      <c r="I8812" s="425">
        <v>1200</v>
      </c>
      <c r="J8812" s="427">
        <v>246.90683000000001</v>
      </c>
      <c r="K8812" s="427">
        <v>239.00462999999999</v>
      </c>
      <c r="L8812" s="427">
        <f t="shared" si="120"/>
        <v>7.9022000000000219</v>
      </c>
      <c r="M8812" s="337"/>
    </row>
    <row r="8813" spans="1:13" s="71" customFormat="1" ht="40.5" customHeight="1">
      <c r="A8813" s="282">
        <v>47</v>
      </c>
      <c r="B8813" s="534"/>
      <c r="C8813" s="260" t="s">
        <v>11743</v>
      </c>
      <c r="D8813" s="260" t="s">
        <v>11744</v>
      </c>
      <c r="E8813" s="260" t="s">
        <v>13193</v>
      </c>
      <c r="F8813" s="387">
        <v>20257</v>
      </c>
      <c r="G8813" s="373" t="s">
        <v>1584</v>
      </c>
      <c r="H8813" s="396" t="s">
        <v>1136</v>
      </c>
      <c r="I8813" s="425">
        <v>300</v>
      </c>
      <c r="J8813" s="427">
        <v>76.774500000000003</v>
      </c>
      <c r="K8813" s="427">
        <v>75.072789999999998</v>
      </c>
      <c r="L8813" s="427">
        <f t="shared" si="120"/>
        <v>1.7017100000000056</v>
      </c>
      <c r="M8813" s="337"/>
    </row>
    <row r="8814" spans="1:13" s="71" customFormat="1" ht="26.4" customHeight="1">
      <c r="A8814" s="282">
        <v>48</v>
      </c>
      <c r="B8814" s="534"/>
      <c r="C8814" s="260" t="s">
        <v>11743</v>
      </c>
      <c r="D8814" s="260" t="s">
        <v>11744</v>
      </c>
      <c r="E8814" s="260" t="s">
        <v>13192</v>
      </c>
      <c r="F8814" s="387">
        <v>20265</v>
      </c>
      <c r="G8814" s="373" t="s">
        <v>1584</v>
      </c>
      <c r="H8814" s="396" t="s">
        <v>1136</v>
      </c>
      <c r="I8814" s="425">
        <v>300</v>
      </c>
      <c r="J8814" s="427">
        <v>51.28539</v>
      </c>
      <c r="K8814" s="427">
        <v>50.14817</v>
      </c>
      <c r="L8814" s="427">
        <f t="shared" si="120"/>
        <v>1.1372199999999992</v>
      </c>
      <c r="M8814" s="337"/>
    </row>
    <row r="8815" spans="1:13" s="71" customFormat="1" ht="26.4" customHeight="1">
      <c r="A8815" s="282">
        <v>49</v>
      </c>
      <c r="B8815" s="534"/>
      <c r="C8815" s="260" t="s">
        <v>11743</v>
      </c>
      <c r="D8815" s="260" t="s">
        <v>11744</v>
      </c>
      <c r="E8815" s="260" t="s">
        <v>13216</v>
      </c>
      <c r="F8815" s="387">
        <v>20266</v>
      </c>
      <c r="G8815" s="373" t="s">
        <v>1584</v>
      </c>
      <c r="H8815" s="396" t="s">
        <v>1136</v>
      </c>
      <c r="I8815" s="425">
        <v>300</v>
      </c>
      <c r="J8815" s="427">
        <v>51.28539</v>
      </c>
      <c r="K8815" s="427">
        <v>50.14817</v>
      </c>
      <c r="L8815" s="427">
        <f t="shared" si="120"/>
        <v>1.1372199999999992</v>
      </c>
      <c r="M8815" s="337"/>
    </row>
    <row r="8816" spans="1:13" s="71" customFormat="1" ht="26.4" customHeight="1">
      <c r="A8816" s="282">
        <v>50</v>
      </c>
      <c r="B8816" s="534"/>
      <c r="C8816" s="260" t="s">
        <v>11743</v>
      </c>
      <c r="D8816" s="260" t="s">
        <v>11744</v>
      </c>
      <c r="E8816" s="236" t="s">
        <v>11752</v>
      </c>
      <c r="F8816" s="372">
        <v>20321</v>
      </c>
      <c r="G8816" s="373" t="s">
        <v>1584</v>
      </c>
      <c r="H8816" s="407" t="s">
        <v>1149</v>
      </c>
      <c r="I8816" s="425">
        <v>3000</v>
      </c>
      <c r="J8816" s="427">
        <v>1411.6476</v>
      </c>
      <c r="K8816" s="427">
        <v>1397.0020099999999</v>
      </c>
      <c r="L8816" s="427">
        <f t="shared" si="120"/>
        <v>14.645590000000084</v>
      </c>
      <c r="M8816" s="337"/>
    </row>
    <row r="8817" spans="1:13" s="71" customFormat="1" ht="26.4" customHeight="1">
      <c r="A8817" s="282">
        <v>51</v>
      </c>
      <c r="B8817" s="534"/>
      <c r="C8817" s="260" t="s">
        <v>11743</v>
      </c>
      <c r="D8817" s="260" t="s">
        <v>11744</v>
      </c>
      <c r="E8817" s="236" t="s">
        <v>11753</v>
      </c>
      <c r="F8817" s="372">
        <v>20341</v>
      </c>
      <c r="G8817" s="373" t="s">
        <v>1566</v>
      </c>
      <c r="H8817" s="407" t="s">
        <v>1149</v>
      </c>
      <c r="I8817" s="425">
        <v>600</v>
      </c>
      <c r="J8817" s="427">
        <v>789.28896999999995</v>
      </c>
      <c r="K8817" s="427">
        <v>780.20455000000004</v>
      </c>
      <c r="L8817" s="427">
        <f t="shared" si="120"/>
        <v>9.0844199999999091</v>
      </c>
      <c r="M8817" s="337"/>
    </row>
    <row r="8818" spans="1:13" s="71" customFormat="1" ht="26.4" customHeight="1">
      <c r="A8818" s="282">
        <v>52</v>
      </c>
      <c r="B8818" s="534"/>
      <c r="C8818" s="260" t="s">
        <v>11743</v>
      </c>
      <c r="D8818" s="260" t="s">
        <v>11744</v>
      </c>
      <c r="E8818" s="260" t="s">
        <v>11754</v>
      </c>
      <c r="F8818" s="387">
        <v>20342</v>
      </c>
      <c r="G8818" s="373" t="s">
        <v>1566</v>
      </c>
      <c r="H8818" s="396" t="s">
        <v>1136</v>
      </c>
      <c r="I8818" s="425">
        <v>1200</v>
      </c>
      <c r="J8818" s="427">
        <v>348.68723999999997</v>
      </c>
      <c r="K8818" s="427">
        <v>344.82718999999997</v>
      </c>
      <c r="L8818" s="427">
        <f t="shared" si="120"/>
        <v>3.8600500000000011</v>
      </c>
      <c r="M8818" s="337"/>
    </row>
    <row r="8819" spans="1:13" s="71" customFormat="1" ht="26.4" customHeight="1">
      <c r="A8819" s="282">
        <v>53</v>
      </c>
      <c r="B8819" s="534"/>
      <c r="C8819" s="236" t="s">
        <v>11755</v>
      </c>
      <c r="D8819" s="260" t="s">
        <v>12903</v>
      </c>
      <c r="E8819" s="236" t="s">
        <v>11756</v>
      </c>
      <c r="F8819" s="372">
        <v>10007</v>
      </c>
      <c r="G8819" s="373" t="s">
        <v>11757</v>
      </c>
      <c r="H8819" s="407" t="s">
        <v>1149</v>
      </c>
      <c r="I8819" s="425">
        <v>92</v>
      </c>
      <c r="J8819" s="427">
        <v>30.660720000000001</v>
      </c>
      <c r="K8819" s="427">
        <v>29.159880000000001</v>
      </c>
      <c r="L8819" s="427">
        <f t="shared" si="120"/>
        <v>1.5008400000000002</v>
      </c>
      <c r="M8819" s="337"/>
    </row>
    <row r="8820" spans="1:13" s="71" customFormat="1" ht="26.4" customHeight="1">
      <c r="A8820" s="282">
        <v>54</v>
      </c>
      <c r="B8820" s="534"/>
      <c r="C8820" s="236" t="s">
        <v>11755</v>
      </c>
      <c r="D8820" s="260" t="s">
        <v>12904</v>
      </c>
      <c r="E8820" s="236" t="s">
        <v>11758</v>
      </c>
      <c r="F8820" s="372">
        <v>10040</v>
      </c>
      <c r="G8820" s="373" t="s">
        <v>1568</v>
      </c>
      <c r="H8820" s="407" t="s">
        <v>1149</v>
      </c>
      <c r="I8820" s="425">
        <v>10</v>
      </c>
      <c r="J8820" s="427">
        <v>3.1701600000000001</v>
      </c>
      <c r="K8820" s="427">
        <v>3.0551599999999999</v>
      </c>
      <c r="L8820" s="427">
        <f t="shared" si="120"/>
        <v>0.11500000000000021</v>
      </c>
      <c r="M8820" s="337"/>
    </row>
    <row r="8821" spans="1:13" s="71" customFormat="1" ht="26.4" customHeight="1">
      <c r="A8821" s="282">
        <v>55</v>
      </c>
      <c r="B8821" s="534"/>
      <c r="C8821" s="236" t="s">
        <v>11755</v>
      </c>
      <c r="D8821" s="260" t="s">
        <v>12905</v>
      </c>
      <c r="E8821" s="236" t="s">
        <v>11759</v>
      </c>
      <c r="F8821" s="372">
        <v>10047</v>
      </c>
      <c r="G8821" s="373" t="s">
        <v>11757</v>
      </c>
      <c r="H8821" s="407" t="s">
        <v>1149</v>
      </c>
      <c r="I8821" s="425">
        <v>56</v>
      </c>
      <c r="J8821" s="427">
        <v>18.358319999999999</v>
      </c>
      <c r="K8821" s="427">
        <v>17.6113</v>
      </c>
      <c r="L8821" s="427">
        <f t="shared" si="120"/>
        <v>0.74701999999999913</v>
      </c>
      <c r="M8821" s="337"/>
    </row>
    <row r="8822" spans="1:13" s="71" customFormat="1" ht="26.4" customHeight="1">
      <c r="A8822" s="282">
        <v>56</v>
      </c>
      <c r="B8822" s="534"/>
      <c r="C8822" s="236" t="s">
        <v>11755</v>
      </c>
      <c r="D8822" s="260" t="s">
        <v>12906</v>
      </c>
      <c r="E8822" s="236" t="s">
        <v>11760</v>
      </c>
      <c r="F8822" s="372">
        <v>10067</v>
      </c>
      <c r="G8822" s="373" t="s">
        <v>5299</v>
      </c>
      <c r="H8822" s="407" t="s">
        <v>1149</v>
      </c>
      <c r="I8822" s="425">
        <v>4</v>
      </c>
      <c r="J8822" s="427">
        <v>2.7925900000000001</v>
      </c>
      <c r="K8822" s="427">
        <v>2.5625900000000001</v>
      </c>
      <c r="L8822" s="427">
        <f t="shared" si="120"/>
        <v>0.22999999999999998</v>
      </c>
      <c r="M8822" s="337"/>
    </row>
    <row r="8823" spans="1:13" s="71" customFormat="1" ht="26.4" customHeight="1">
      <c r="A8823" s="282">
        <v>57</v>
      </c>
      <c r="B8823" s="534"/>
      <c r="C8823" s="236" t="s">
        <v>11755</v>
      </c>
      <c r="D8823" s="260" t="s">
        <v>12907</v>
      </c>
      <c r="E8823" s="236" t="s">
        <v>11761</v>
      </c>
      <c r="F8823" s="372">
        <v>10239</v>
      </c>
      <c r="G8823" s="373" t="s">
        <v>1529</v>
      </c>
      <c r="H8823" s="407" t="s">
        <v>1149</v>
      </c>
      <c r="I8823" s="425">
        <v>30</v>
      </c>
      <c r="J8823" s="427">
        <v>23.789870000000001</v>
      </c>
      <c r="K8823" s="427">
        <v>21.520029999999998</v>
      </c>
      <c r="L8823" s="427">
        <f t="shared" si="120"/>
        <v>2.2698400000000021</v>
      </c>
      <c r="M8823" s="337"/>
    </row>
    <row r="8824" spans="1:13" s="71" customFormat="1" ht="26.4" customHeight="1">
      <c r="A8824" s="282">
        <v>58</v>
      </c>
      <c r="B8824" s="534"/>
      <c r="C8824" s="236" t="s">
        <v>11755</v>
      </c>
      <c r="D8824" s="260" t="s">
        <v>12908</v>
      </c>
      <c r="E8824" s="236" t="s">
        <v>11762</v>
      </c>
      <c r="F8824" s="372">
        <v>10240</v>
      </c>
      <c r="G8824" s="373" t="s">
        <v>1529</v>
      </c>
      <c r="H8824" s="407" t="s">
        <v>1149</v>
      </c>
      <c r="I8824" s="425">
        <v>13</v>
      </c>
      <c r="J8824" s="427">
        <v>24.93027</v>
      </c>
      <c r="K8824" s="427">
        <v>22.551570000000002</v>
      </c>
      <c r="L8824" s="427">
        <f t="shared" si="120"/>
        <v>2.3786999999999985</v>
      </c>
      <c r="M8824" s="337"/>
    </row>
    <row r="8825" spans="1:13" s="71" customFormat="1" ht="26.4" customHeight="1">
      <c r="A8825" s="282">
        <v>59</v>
      </c>
      <c r="B8825" s="534"/>
      <c r="C8825" s="236" t="s">
        <v>11755</v>
      </c>
      <c r="D8825" s="260" t="s">
        <v>12909</v>
      </c>
      <c r="E8825" s="236" t="s">
        <v>11763</v>
      </c>
      <c r="F8825" s="372">
        <v>10241</v>
      </c>
      <c r="G8825" s="373" t="s">
        <v>1529</v>
      </c>
      <c r="H8825" s="407" t="s">
        <v>1149</v>
      </c>
      <c r="I8825" s="425">
        <v>270</v>
      </c>
      <c r="J8825" s="427">
        <v>184.13015999999999</v>
      </c>
      <c r="K8825" s="427">
        <v>181.96946</v>
      </c>
      <c r="L8825" s="427">
        <f t="shared" si="120"/>
        <v>2.1606999999999914</v>
      </c>
      <c r="M8825" s="337"/>
    </row>
    <row r="8826" spans="1:13" s="71" customFormat="1" ht="26.4" customHeight="1">
      <c r="A8826" s="282">
        <v>60</v>
      </c>
      <c r="B8826" s="534"/>
      <c r="C8826" s="236" t="s">
        <v>11755</v>
      </c>
      <c r="D8826" s="260" t="s">
        <v>12910</v>
      </c>
      <c r="E8826" s="260" t="s">
        <v>11764</v>
      </c>
      <c r="F8826" s="387">
        <v>20343</v>
      </c>
      <c r="G8826" s="373" t="s">
        <v>1529</v>
      </c>
      <c r="H8826" s="396" t="s">
        <v>1136</v>
      </c>
      <c r="I8826" s="425">
        <v>200</v>
      </c>
      <c r="J8826" s="427">
        <v>88.997039999999998</v>
      </c>
      <c r="K8826" s="427">
        <v>81.626440000000002</v>
      </c>
      <c r="L8826" s="427">
        <f t="shared" si="120"/>
        <v>7.370599999999996</v>
      </c>
      <c r="M8826" s="337"/>
    </row>
    <row r="8827" spans="1:13" s="71" customFormat="1" ht="26.4" customHeight="1">
      <c r="A8827" s="282">
        <v>61</v>
      </c>
      <c r="B8827" s="534"/>
      <c r="C8827" s="236" t="s">
        <v>11755</v>
      </c>
      <c r="D8827" s="260" t="s">
        <v>12911</v>
      </c>
      <c r="E8827" s="236" t="s">
        <v>11765</v>
      </c>
      <c r="F8827" s="372">
        <v>20344</v>
      </c>
      <c r="G8827" s="373" t="s">
        <v>1529</v>
      </c>
      <c r="H8827" s="407" t="s">
        <v>1149</v>
      </c>
      <c r="I8827" s="425">
        <v>40</v>
      </c>
      <c r="J8827" s="427">
        <v>61.202060000000003</v>
      </c>
      <c r="K8827" s="427">
        <v>61.090139999999998</v>
      </c>
      <c r="L8827" s="427">
        <f t="shared" si="120"/>
        <v>0.1119200000000049</v>
      </c>
      <c r="M8827" s="337"/>
    </row>
    <row r="8828" spans="1:13" s="71" customFormat="1" ht="26.4" customHeight="1">
      <c r="A8828" s="282">
        <v>62</v>
      </c>
      <c r="B8828" s="534"/>
      <c r="C8828" s="236" t="s">
        <v>25</v>
      </c>
      <c r="D8828" s="260" t="s">
        <v>12912</v>
      </c>
      <c r="E8828" s="236" t="s">
        <v>11767</v>
      </c>
      <c r="F8828" s="372">
        <v>10005</v>
      </c>
      <c r="G8828" s="373" t="s">
        <v>11768</v>
      </c>
      <c r="H8828" s="407" t="s">
        <v>1149</v>
      </c>
      <c r="I8828" s="425">
        <v>440</v>
      </c>
      <c r="J8828" s="427">
        <v>174.52991</v>
      </c>
      <c r="K8828" s="427">
        <v>167.94438</v>
      </c>
      <c r="L8828" s="427">
        <f t="shared" si="120"/>
        <v>6.5855300000000057</v>
      </c>
      <c r="M8828" s="337"/>
    </row>
    <row r="8829" spans="1:13" s="71" customFormat="1" ht="26.4" customHeight="1">
      <c r="A8829" s="282">
        <v>63</v>
      </c>
      <c r="B8829" s="534"/>
      <c r="C8829" s="236" t="s">
        <v>25</v>
      </c>
      <c r="D8829" s="260" t="s">
        <v>12913</v>
      </c>
      <c r="E8829" s="236" t="s">
        <v>11769</v>
      </c>
      <c r="F8829" s="372">
        <v>10045</v>
      </c>
      <c r="G8829" s="373" t="s">
        <v>5291</v>
      </c>
      <c r="H8829" s="407" t="s">
        <v>1149</v>
      </c>
      <c r="I8829" s="425">
        <v>120</v>
      </c>
      <c r="J8829" s="427">
        <v>10.613300000000001</v>
      </c>
      <c r="K8829" s="427">
        <v>10.008609999999999</v>
      </c>
      <c r="L8829" s="427">
        <f t="shared" si="120"/>
        <v>0.6046900000000015</v>
      </c>
      <c r="M8829" s="337"/>
    </row>
    <row r="8830" spans="1:13" s="71" customFormat="1" ht="26.4" customHeight="1">
      <c r="A8830" s="282">
        <v>64</v>
      </c>
      <c r="B8830" s="534"/>
      <c r="C8830" s="236" t="s">
        <v>25</v>
      </c>
      <c r="D8830" s="260" t="s">
        <v>12914</v>
      </c>
      <c r="E8830" s="236" t="s">
        <v>11770</v>
      </c>
      <c r="F8830" s="372">
        <v>10052</v>
      </c>
      <c r="G8830" s="373" t="s">
        <v>1584</v>
      </c>
      <c r="H8830" s="407" t="s">
        <v>1149</v>
      </c>
      <c r="I8830" s="425">
        <v>120</v>
      </c>
      <c r="J8830" s="427">
        <v>8.6601900000000001</v>
      </c>
      <c r="K8830" s="427">
        <v>8.1301799999999993</v>
      </c>
      <c r="L8830" s="427">
        <f t="shared" si="120"/>
        <v>0.53001000000000076</v>
      </c>
      <c r="M8830" s="337"/>
    </row>
    <row r="8831" spans="1:13" s="71" customFormat="1" ht="26.4" customHeight="1">
      <c r="A8831" s="282">
        <v>65</v>
      </c>
      <c r="B8831" s="534"/>
      <c r="C8831" s="236" t="s">
        <v>25</v>
      </c>
      <c r="D8831" s="260" t="s">
        <v>12915</v>
      </c>
      <c r="E8831" s="236" t="s">
        <v>11771</v>
      </c>
      <c r="F8831" s="372">
        <v>10064</v>
      </c>
      <c r="G8831" s="373" t="s">
        <v>1543</v>
      </c>
      <c r="H8831" s="407" t="s">
        <v>1149</v>
      </c>
      <c r="I8831" s="425">
        <v>20</v>
      </c>
      <c r="J8831" s="427">
        <v>3.6831299999999998</v>
      </c>
      <c r="K8831" s="427">
        <v>3.3986399999999999</v>
      </c>
      <c r="L8831" s="427">
        <f t="shared" ref="L8831:L8894" si="121">J8831-K8831</f>
        <v>0.28448999999999991</v>
      </c>
      <c r="M8831" s="337"/>
    </row>
    <row r="8832" spans="1:13" s="71" customFormat="1" ht="26.4" customHeight="1">
      <c r="A8832" s="282">
        <v>66</v>
      </c>
      <c r="B8832" s="534"/>
      <c r="C8832" s="236" t="s">
        <v>25</v>
      </c>
      <c r="D8832" s="260" t="s">
        <v>12916</v>
      </c>
      <c r="E8832" s="236" t="s">
        <v>11772</v>
      </c>
      <c r="F8832" s="372">
        <v>20306</v>
      </c>
      <c r="G8832" s="373" t="s">
        <v>1584</v>
      </c>
      <c r="H8832" s="407" t="s">
        <v>1149</v>
      </c>
      <c r="I8832" s="425">
        <v>28</v>
      </c>
      <c r="J8832" s="427">
        <v>20.677969999999998</v>
      </c>
      <c r="K8832" s="427">
        <v>20.331389999999999</v>
      </c>
      <c r="L8832" s="427">
        <f t="shared" si="121"/>
        <v>0.34657999999999944</v>
      </c>
      <c r="M8832" s="337"/>
    </row>
    <row r="8833" spans="1:13" s="71" customFormat="1" ht="26.4" customHeight="1">
      <c r="A8833" s="282">
        <v>67</v>
      </c>
      <c r="B8833" s="534"/>
      <c r="C8833" s="236" t="s">
        <v>25</v>
      </c>
      <c r="D8833" s="260" t="s">
        <v>12917</v>
      </c>
      <c r="E8833" s="260" t="s">
        <v>11773</v>
      </c>
      <c r="F8833" s="387">
        <v>20285</v>
      </c>
      <c r="G8833" s="373" t="s">
        <v>11774</v>
      </c>
      <c r="H8833" s="407" t="s">
        <v>1149</v>
      </c>
      <c r="I8833" s="425">
        <v>1800</v>
      </c>
      <c r="J8833" s="427">
        <v>351.62720999999999</v>
      </c>
      <c r="K8833" s="427">
        <v>346.90393999999998</v>
      </c>
      <c r="L8833" s="427">
        <f t="shared" si="121"/>
        <v>4.7232700000000136</v>
      </c>
      <c r="M8833" s="337"/>
    </row>
    <row r="8834" spans="1:13" s="71" customFormat="1" ht="26.4" customHeight="1">
      <c r="A8834" s="282">
        <v>68</v>
      </c>
      <c r="B8834" s="534"/>
      <c r="C8834" s="236" t="s">
        <v>25</v>
      </c>
      <c r="D8834" s="260" t="s">
        <v>12918</v>
      </c>
      <c r="E8834" s="260" t="s">
        <v>11775</v>
      </c>
      <c r="F8834" s="387">
        <v>30502</v>
      </c>
      <c r="G8834" s="373" t="s">
        <v>1566</v>
      </c>
      <c r="H8834" s="396" t="s">
        <v>3243</v>
      </c>
      <c r="I8834" s="429" t="s">
        <v>3243</v>
      </c>
      <c r="J8834" s="427">
        <v>4616.1378800000002</v>
      </c>
      <c r="K8834" s="427">
        <v>4611.73704</v>
      </c>
      <c r="L8834" s="427">
        <f t="shared" si="121"/>
        <v>4.4008400000002439</v>
      </c>
      <c r="M8834" s="337"/>
    </row>
    <row r="8835" spans="1:13" s="71" customFormat="1" ht="26.4" customHeight="1">
      <c r="A8835" s="282">
        <v>69</v>
      </c>
      <c r="B8835" s="534"/>
      <c r="C8835" s="236" t="s">
        <v>8325</v>
      </c>
      <c r="D8835" s="260" t="s">
        <v>11776</v>
      </c>
      <c r="E8835" s="260" t="s">
        <v>11777</v>
      </c>
      <c r="F8835" s="387">
        <v>91032</v>
      </c>
      <c r="G8835" s="373" t="s">
        <v>1569</v>
      </c>
      <c r="H8835" s="396" t="s">
        <v>1149</v>
      </c>
      <c r="I8835" s="429">
        <v>567.6</v>
      </c>
      <c r="J8835" s="427">
        <v>51.579590000000003</v>
      </c>
      <c r="K8835" s="427">
        <v>49.924790000000002</v>
      </c>
      <c r="L8835" s="427">
        <f t="shared" si="121"/>
        <v>1.6548000000000016</v>
      </c>
      <c r="M8835" s="337"/>
    </row>
    <row r="8836" spans="1:13" s="71" customFormat="1" ht="26.4" customHeight="1">
      <c r="A8836" s="282">
        <v>70</v>
      </c>
      <c r="B8836" s="534"/>
      <c r="C8836" s="236" t="s">
        <v>8325</v>
      </c>
      <c r="D8836" s="260" t="s">
        <v>11778</v>
      </c>
      <c r="E8836" s="236" t="s">
        <v>13194</v>
      </c>
      <c r="F8836" s="372">
        <v>91088</v>
      </c>
      <c r="G8836" s="373" t="s">
        <v>1549</v>
      </c>
      <c r="H8836" s="407" t="s">
        <v>1149</v>
      </c>
      <c r="I8836" s="425">
        <v>6944.41</v>
      </c>
      <c r="J8836" s="427">
        <v>359.29908999999998</v>
      </c>
      <c r="K8836" s="427">
        <v>359.21699999999998</v>
      </c>
      <c r="L8836" s="427">
        <f t="shared" si="121"/>
        <v>8.2089999999993779E-2</v>
      </c>
      <c r="M8836" s="337"/>
    </row>
    <row r="8837" spans="1:13" s="71" customFormat="1" ht="26.4" customHeight="1">
      <c r="A8837" s="282">
        <v>71</v>
      </c>
      <c r="B8837" s="534"/>
      <c r="C8837" s="236" t="s">
        <v>8325</v>
      </c>
      <c r="D8837" s="260" t="s">
        <v>11779</v>
      </c>
      <c r="E8837" s="236" t="s">
        <v>13217</v>
      </c>
      <c r="F8837" s="372">
        <v>91089</v>
      </c>
      <c r="G8837" s="373" t="s">
        <v>1530</v>
      </c>
      <c r="H8837" s="407" t="s">
        <v>1149</v>
      </c>
      <c r="I8837" s="425">
        <v>2916.77</v>
      </c>
      <c r="J8837" s="427">
        <v>138.67106000000001</v>
      </c>
      <c r="K8837" s="427">
        <v>132.12196</v>
      </c>
      <c r="L8837" s="427">
        <f t="shared" si="121"/>
        <v>6.5491000000000099</v>
      </c>
      <c r="M8837" s="337"/>
    </row>
    <row r="8838" spans="1:13" s="71" customFormat="1" ht="26.4" customHeight="1">
      <c r="A8838" s="282">
        <v>72</v>
      </c>
      <c r="B8838" s="534"/>
      <c r="C8838" s="260" t="s">
        <v>10229</v>
      </c>
      <c r="D8838" s="260" t="s">
        <v>11780</v>
      </c>
      <c r="E8838" s="236" t="s">
        <v>11781</v>
      </c>
      <c r="F8838" s="372">
        <v>20317</v>
      </c>
      <c r="G8838" s="373" t="s">
        <v>1584</v>
      </c>
      <c r="H8838" s="407" t="s">
        <v>1149</v>
      </c>
      <c r="I8838" s="429">
        <v>235</v>
      </c>
      <c r="J8838" s="427">
        <v>112.72087999999999</v>
      </c>
      <c r="K8838" s="427">
        <v>112.72087999999999</v>
      </c>
      <c r="L8838" s="427">
        <f t="shared" si="121"/>
        <v>0</v>
      </c>
      <c r="M8838" s="337"/>
    </row>
    <row r="8839" spans="1:13" s="71" customFormat="1" ht="26.4" customHeight="1">
      <c r="A8839" s="282">
        <v>73</v>
      </c>
      <c r="B8839" s="534"/>
      <c r="C8839" s="260" t="s">
        <v>10229</v>
      </c>
      <c r="D8839" s="260" t="s">
        <v>11780</v>
      </c>
      <c r="E8839" s="236" t="s">
        <v>11782</v>
      </c>
      <c r="F8839" s="372">
        <v>10013</v>
      </c>
      <c r="G8839" s="373" t="s">
        <v>5299</v>
      </c>
      <c r="H8839" s="407" t="s">
        <v>1149</v>
      </c>
      <c r="I8839" s="425">
        <v>347</v>
      </c>
      <c r="J8839" s="427">
        <v>63.550780000000003</v>
      </c>
      <c r="K8839" s="427">
        <v>59.736269999999998</v>
      </c>
      <c r="L8839" s="427">
        <f t="shared" si="121"/>
        <v>3.8145100000000056</v>
      </c>
      <c r="M8839" s="337"/>
    </row>
    <row r="8840" spans="1:13" s="71" customFormat="1" ht="26.4" customHeight="1">
      <c r="A8840" s="282">
        <v>74</v>
      </c>
      <c r="B8840" s="534"/>
      <c r="C8840" s="260" t="s">
        <v>10229</v>
      </c>
      <c r="D8840" s="260" t="s">
        <v>11780</v>
      </c>
      <c r="E8840" s="236" t="s">
        <v>11783</v>
      </c>
      <c r="F8840" s="372">
        <v>10024</v>
      </c>
      <c r="G8840" s="373" t="s">
        <v>1568</v>
      </c>
      <c r="H8840" s="407" t="s">
        <v>1149</v>
      </c>
      <c r="I8840" s="425">
        <v>631.79999999999995</v>
      </c>
      <c r="J8840" s="427">
        <v>70.745159999999998</v>
      </c>
      <c r="K8840" s="427">
        <v>66.579650000000001</v>
      </c>
      <c r="L8840" s="427">
        <f t="shared" si="121"/>
        <v>4.1655099999999976</v>
      </c>
      <c r="M8840" s="337"/>
    </row>
    <row r="8841" spans="1:13" s="71" customFormat="1" ht="26.4" customHeight="1">
      <c r="A8841" s="282">
        <v>75</v>
      </c>
      <c r="B8841" s="534"/>
      <c r="C8841" s="260" t="s">
        <v>10229</v>
      </c>
      <c r="D8841" s="260" t="s">
        <v>11780</v>
      </c>
      <c r="E8841" s="236" t="s">
        <v>11784</v>
      </c>
      <c r="F8841" s="372">
        <v>10028</v>
      </c>
      <c r="G8841" s="373" t="s">
        <v>1568</v>
      </c>
      <c r="H8841" s="407" t="s">
        <v>1149</v>
      </c>
      <c r="I8841" s="429">
        <v>254</v>
      </c>
      <c r="J8841" s="427">
        <v>41.62612</v>
      </c>
      <c r="K8841" s="427">
        <v>39.175699999999999</v>
      </c>
      <c r="L8841" s="427">
        <f t="shared" si="121"/>
        <v>2.4504200000000012</v>
      </c>
      <c r="M8841" s="337"/>
    </row>
    <row r="8842" spans="1:13" s="71" customFormat="1" ht="26.4" customHeight="1">
      <c r="A8842" s="282">
        <v>76</v>
      </c>
      <c r="B8842" s="534"/>
      <c r="C8842" s="260" t="s">
        <v>10229</v>
      </c>
      <c r="D8842" s="260" t="s">
        <v>11780</v>
      </c>
      <c r="E8842" s="236" t="s">
        <v>11785</v>
      </c>
      <c r="F8842" s="372">
        <v>10034</v>
      </c>
      <c r="G8842" s="373" t="s">
        <v>1568</v>
      </c>
      <c r="H8842" s="407" t="s">
        <v>1149</v>
      </c>
      <c r="I8842" s="429">
        <v>65</v>
      </c>
      <c r="J8842" s="427">
        <v>8.7421199999999999</v>
      </c>
      <c r="K8842" s="427">
        <v>8.2626200000000001</v>
      </c>
      <c r="L8842" s="427">
        <f t="shared" si="121"/>
        <v>0.47949999999999982</v>
      </c>
      <c r="M8842" s="337"/>
    </row>
    <row r="8843" spans="1:13" s="71" customFormat="1" ht="26.4" customHeight="1">
      <c r="A8843" s="282">
        <v>77</v>
      </c>
      <c r="B8843" s="534"/>
      <c r="C8843" s="260" t="s">
        <v>10229</v>
      </c>
      <c r="D8843" s="260" t="s">
        <v>11780</v>
      </c>
      <c r="E8843" s="236" t="s">
        <v>11786</v>
      </c>
      <c r="F8843" s="372">
        <v>10063</v>
      </c>
      <c r="G8843" s="373" t="s">
        <v>1588</v>
      </c>
      <c r="H8843" s="407" t="s">
        <v>1149</v>
      </c>
      <c r="I8843" s="429">
        <v>12</v>
      </c>
      <c r="J8843" s="427">
        <v>3.44943</v>
      </c>
      <c r="K8843" s="427">
        <v>3.2193299999999998</v>
      </c>
      <c r="L8843" s="427">
        <f t="shared" si="121"/>
        <v>0.23010000000000019</v>
      </c>
      <c r="M8843" s="337"/>
    </row>
    <row r="8844" spans="1:13" s="71" customFormat="1" ht="26.4" customHeight="1">
      <c r="A8844" s="282">
        <v>78</v>
      </c>
      <c r="B8844" s="534"/>
      <c r="C8844" s="260" t="s">
        <v>10229</v>
      </c>
      <c r="D8844" s="260" t="s">
        <v>11780</v>
      </c>
      <c r="E8844" s="236" t="s">
        <v>11787</v>
      </c>
      <c r="F8844" s="372">
        <v>10066</v>
      </c>
      <c r="G8844" s="373" t="s">
        <v>1588</v>
      </c>
      <c r="H8844" s="407" t="s">
        <v>1149</v>
      </c>
      <c r="I8844" s="429">
        <v>4</v>
      </c>
      <c r="J8844" s="427">
        <v>4.8047500000000003</v>
      </c>
      <c r="K8844" s="427">
        <v>3.8471700000000002</v>
      </c>
      <c r="L8844" s="427">
        <f t="shared" si="121"/>
        <v>0.9575800000000001</v>
      </c>
      <c r="M8844" s="337"/>
    </row>
    <row r="8845" spans="1:13" s="71" customFormat="1" ht="26.4" customHeight="1">
      <c r="A8845" s="282">
        <v>79</v>
      </c>
      <c r="B8845" s="534"/>
      <c r="C8845" s="236" t="s">
        <v>1169</v>
      </c>
      <c r="D8845" s="260" t="s">
        <v>11788</v>
      </c>
      <c r="E8845" s="260" t="s">
        <v>11789</v>
      </c>
      <c r="F8845" s="387">
        <v>20261</v>
      </c>
      <c r="G8845" s="373" t="s">
        <v>11790</v>
      </c>
      <c r="H8845" s="396" t="s">
        <v>3243</v>
      </c>
      <c r="I8845" s="425" t="s">
        <v>3285</v>
      </c>
      <c r="J8845" s="427">
        <v>21.529389999999999</v>
      </c>
      <c r="K8845" s="427">
        <v>21.529389999999999</v>
      </c>
      <c r="L8845" s="427">
        <f t="shared" si="121"/>
        <v>0</v>
      </c>
      <c r="M8845" s="337"/>
    </row>
    <row r="8846" spans="1:13" s="71" customFormat="1" ht="26.4" customHeight="1">
      <c r="A8846" s="282">
        <v>80</v>
      </c>
      <c r="B8846" s="534"/>
      <c r="C8846" s="236" t="s">
        <v>25</v>
      </c>
      <c r="D8846" s="260" t="s">
        <v>11766</v>
      </c>
      <c r="E8846" s="260" t="s">
        <v>11791</v>
      </c>
      <c r="F8846" s="387">
        <v>20272</v>
      </c>
      <c r="G8846" s="373" t="s">
        <v>1561</v>
      </c>
      <c r="H8846" s="396" t="s">
        <v>5462</v>
      </c>
      <c r="I8846" s="429">
        <v>317</v>
      </c>
      <c r="J8846" s="427">
        <v>108.00026</v>
      </c>
      <c r="K8846" s="427">
        <v>100.3045</v>
      </c>
      <c r="L8846" s="427">
        <f t="shared" si="121"/>
        <v>7.6957599999999928</v>
      </c>
      <c r="M8846" s="337"/>
    </row>
    <row r="8847" spans="1:13" s="71" customFormat="1" ht="26.4" customHeight="1">
      <c r="A8847" s="282">
        <v>81</v>
      </c>
      <c r="B8847" s="534"/>
      <c r="C8847" s="236" t="s">
        <v>11792</v>
      </c>
      <c r="D8847" s="375" t="s">
        <v>11793</v>
      </c>
      <c r="E8847" s="260" t="s">
        <v>11794</v>
      </c>
      <c r="F8847" s="387">
        <v>61448</v>
      </c>
      <c r="G8847" s="373" t="s">
        <v>1569</v>
      </c>
      <c r="H8847" s="396" t="s">
        <v>3243</v>
      </c>
      <c r="I8847" s="425" t="s">
        <v>3285</v>
      </c>
      <c r="J8847" s="427">
        <v>6.0252100000000004</v>
      </c>
      <c r="K8847" s="427">
        <v>5.36212</v>
      </c>
      <c r="L8847" s="427">
        <f t="shared" si="121"/>
        <v>0.6630900000000004</v>
      </c>
      <c r="M8847" s="337"/>
    </row>
    <row r="8848" spans="1:13" s="71" customFormat="1" ht="26.4">
      <c r="A8848" s="282">
        <v>82</v>
      </c>
      <c r="B8848" s="534"/>
      <c r="C8848" s="236" t="s">
        <v>11795</v>
      </c>
      <c r="D8848" s="375" t="s">
        <v>11796</v>
      </c>
      <c r="E8848" s="260" t="s">
        <v>11797</v>
      </c>
      <c r="F8848" s="387">
        <v>61461</v>
      </c>
      <c r="G8848" s="373" t="s">
        <v>1569</v>
      </c>
      <c r="H8848" s="396" t="s">
        <v>3243</v>
      </c>
      <c r="I8848" s="425" t="s">
        <v>3285</v>
      </c>
      <c r="J8848" s="427">
        <v>5.9582100000000002</v>
      </c>
      <c r="K8848" s="427">
        <v>5.2951199999999998</v>
      </c>
      <c r="L8848" s="427">
        <f t="shared" si="121"/>
        <v>0.6630900000000004</v>
      </c>
      <c r="M8848" s="337"/>
    </row>
    <row r="8849" spans="1:13" s="71" customFormat="1" ht="26.4">
      <c r="A8849" s="282">
        <v>83</v>
      </c>
      <c r="B8849" s="534"/>
      <c r="C8849" s="236" t="s">
        <v>11795</v>
      </c>
      <c r="D8849" s="375" t="s">
        <v>12843</v>
      </c>
      <c r="E8849" s="260" t="s">
        <v>11798</v>
      </c>
      <c r="F8849" s="387">
        <v>61462</v>
      </c>
      <c r="G8849" s="373" t="s">
        <v>1569</v>
      </c>
      <c r="H8849" s="396" t="s">
        <v>1149</v>
      </c>
      <c r="I8849" s="425">
        <v>2</v>
      </c>
      <c r="J8849" s="427">
        <v>1.9248000000000001</v>
      </c>
      <c r="K8849" s="427">
        <v>1.4592799999999999</v>
      </c>
      <c r="L8849" s="427">
        <f t="shared" si="121"/>
        <v>0.46552000000000016</v>
      </c>
      <c r="M8849" s="337"/>
    </row>
    <row r="8850" spans="1:13" s="71" customFormat="1" ht="26.4">
      <c r="A8850" s="282">
        <v>84</v>
      </c>
      <c r="B8850" s="534"/>
      <c r="C8850" s="236" t="s">
        <v>11795</v>
      </c>
      <c r="D8850" s="375" t="s">
        <v>12843</v>
      </c>
      <c r="E8850" s="260" t="s">
        <v>11797</v>
      </c>
      <c r="F8850" s="387">
        <v>61464</v>
      </c>
      <c r="G8850" s="373" t="s">
        <v>1569</v>
      </c>
      <c r="H8850" s="396" t="s">
        <v>3243</v>
      </c>
      <c r="I8850" s="425" t="s">
        <v>3285</v>
      </c>
      <c r="J8850" s="427">
        <v>122.55821</v>
      </c>
      <c r="K8850" s="427">
        <v>121.89512000000001</v>
      </c>
      <c r="L8850" s="427">
        <f t="shared" si="121"/>
        <v>0.66308999999999685</v>
      </c>
      <c r="M8850" s="337"/>
    </row>
    <row r="8851" spans="1:13" s="71" customFormat="1" ht="26.4">
      <c r="A8851" s="282">
        <v>85</v>
      </c>
      <c r="B8851" s="534"/>
      <c r="C8851" s="236" t="s">
        <v>11795</v>
      </c>
      <c r="D8851" s="375" t="s">
        <v>12844</v>
      </c>
      <c r="E8851" s="260" t="s">
        <v>11798</v>
      </c>
      <c r="F8851" s="387">
        <v>61465</v>
      </c>
      <c r="G8851" s="373" t="s">
        <v>1569</v>
      </c>
      <c r="H8851" s="396" t="s">
        <v>1149</v>
      </c>
      <c r="I8851" s="425">
        <v>2</v>
      </c>
      <c r="J8851" s="427">
        <v>4.4311999999999996</v>
      </c>
      <c r="K8851" s="427">
        <v>3.9656799999999999</v>
      </c>
      <c r="L8851" s="427">
        <f t="shared" si="121"/>
        <v>0.46551999999999971</v>
      </c>
      <c r="M8851" s="337"/>
    </row>
    <row r="8852" spans="1:13" s="71" customFormat="1" ht="36.75" customHeight="1">
      <c r="A8852" s="282">
        <v>86</v>
      </c>
      <c r="B8852" s="534"/>
      <c r="C8852" s="236" t="s">
        <v>11799</v>
      </c>
      <c r="D8852" s="375" t="s">
        <v>11800</v>
      </c>
      <c r="E8852" s="260" t="s">
        <v>11801</v>
      </c>
      <c r="F8852" s="387">
        <v>61466</v>
      </c>
      <c r="G8852" s="373" t="s">
        <v>1569</v>
      </c>
      <c r="H8852" s="396" t="s">
        <v>3243</v>
      </c>
      <c r="I8852" s="425" t="s">
        <v>3285</v>
      </c>
      <c r="J8852" s="427">
        <v>132.25521000000001</v>
      </c>
      <c r="K8852" s="427">
        <v>131.59211999999999</v>
      </c>
      <c r="L8852" s="427">
        <f t="shared" si="121"/>
        <v>0.66309000000001106</v>
      </c>
      <c r="M8852" s="337"/>
    </row>
    <row r="8853" spans="1:13" s="71" customFormat="1" ht="26.4" customHeight="1">
      <c r="A8853" s="282">
        <v>87</v>
      </c>
      <c r="B8853" s="534"/>
      <c r="C8853" s="236" t="s">
        <v>11802</v>
      </c>
      <c r="D8853" s="375" t="s">
        <v>12990</v>
      </c>
      <c r="E8853" s="260" t="s">
        <v>11803</v>
      </c>
      <c r="F8853" s="387">
        <v>61468</v>
      </c>
      <c r="G8853" s="373" t="s">
        <v>1569</v>
      </c>
      <c r="H8853" s="396" t="s">
        <v>3243</v>
      </c>
      <c r="I8853" s="425" t="s">
        <v>3285</v>
      </c>
      <c r="J8853" s="427">
        <v>64.004450000000006</v>
      </c>
      <c r="K8853" s="427">
        <v>64.004450000000006</v>
      </c>
      <c r="L8853" s="427">
        <f t="shared" si="121"/>
        <v>0</v>
      </c>
      <c r="M8853" s="337"/>
    </row>
    <row r="8854" spans="1:13" s="71" customFormat="1" ht="26.4" customHeight="1">
      <c r="A8854" s="282">
        <v>88</v>
      </c>
      <c r="B8854" s="534"/>
      <c r="C8854" s="236" t="s">
        <v>11802</v>
      </c>
      <c r="D8854" s="375" t="s">
        <v>11804</v>
      </c>
      <c r="E8854" s="260" t="s">
        <v>13195</v>
      </c>
      <c r="F8854" s="387">
        <v>61469</v>
      </c>
      <c r="G8854" s="373" t="s">
        <v>1569</v>
      </c>
      <c r="H8854" s="396" t="s">
        <v>1149</v>
      </c>
      <c r="I8854" s="425">
        <v>2</v>
      </c>
      <c r="J8854" s="427">
        <v>19.602</v>
      </c>
      <c r="K8854" s="427">
        <v>19.50215</v>
      </c>
      <c r="L8854" s="427">
        <f t="shared" si="121"/>
        <v>9.9849999999999994E-2</v>
      </c>
      <c r="M8854" s="337"/>
    </row>
    <row r="8855" spans="1:13" s="71" customFormat="1" ht="26.4" customHeight="1">
      <c r="A8855" s="282">
        <v>89</v>
      </c>
      <c r="B8855" s="534"/>
      <c r="C8855" s="260" t="s">
        <v>11805</v>
      </c>
      <c r="D8855" s="444" t="s">
        <v>11806</v>
      </c>
      <c r="E8855" s="260" t="s">
        <v>11807</v>
      </c>
      <c r="F8855" s="387">
        <v>61509</v>
      </c>
      <c r="G8855" s="373" t="s">
        <v>1569</v>
      </c>
      <c r="H8855" s="396" t="s">
        <v>1149</v>
      </c>
      <c r="I8855" s="429">
        <v>1.5</v>
      </c>
      <c r="J8855" s="427">
        <v>14.578950000000001</v>
      </c>
      <c r="K8855" s="427">
        <v>13.82368</v>
      </c>
      <c r="L8855" s="427">
        <f t="shared" si="121"/>
        <v>0.75527000000000122</v>
      </c>
      <c r="M8855" s="337"/>
    </row>
    <row r="8856" spans="1:13" s="71" customFormat="1" ht="26.4" customHeight="1">
      <c r="A8856" s="282">
        <v>90</v>
      </c>
      <c r="B8856" s="534"/>
      <c r="C8856" s="260" t="s">
        <v>11808</v>
      </c>
      <c r="D8856" s="444" t="s">
        <v>11809</v>
      </c>
      <c r="E8856" s="260" t="s">
        <v>11810</v>
      </c>
      <c r="F8856" s="387">
        <v>61510</v>
      </c>
      <c r="G8856" s="373" t="s">
        <v>1569</v>
      </c>
      <c r="H8856" s="396" t="s">
        <v>1149</v>
      </c>
      <c r="I8856" s="429">
        <v>1.5</v>
      </c>
      <c r="J8856" s="427">
        <v>8.4842200000000005</v>
      </c>
      <c r="K8856" s="427">
        <v>8.4842200000000005</v>
      </c>
      <c r="L8856" s="427">
        <f t="shared" si="121"/>
        <v>0</v>
      </c>
      <c r="M8856" s="337"/>
    </row>
    <row r="8857" spans="1:13" s="71" customFormat="1" ht="26.4" customHeight="1">
      <c r="A8857" s="282">
        <v>91</v>
      </c>
      <c r="B8857" s="534"/>
      <c r="C8857" s="260" t="s">
        <v>11811</v>
      </c>
      <c r="D8857" s="444" t="s">
        <v>11812</v>
      </c>
      <c r="E8857" s="260" t="s">
        <v>11813</v>
      </c>
      <c r="F8857" s="387">
        <v>61515</v>
      </c>
      <c r="G8857" s="373" t="s">
        <v>1569</v>
      </c>
      <c r="H8857" s="396" t="s">
        <v>1149</v>
      </c>
      <c r="I8857" s="429">
        <v>1.5</v>
      </c>
      <c r="J8857" s="427">
        <v>7.16364</v>
      </c>
      <c r="K8857" s="427">
        <v>6.5888799999999996</v>
      </c>
      <c r="L8857" s="427">
        <f t="shared" si="121"/>
        <v>0.57476000000000038</v>
      </c>
      <c r="M8857" s="337"/>
    </row>
    <row r="8858" spans="1:13" s="71" customFormat="1" ht="26.4" customHeight="1">
      <c r="A8858" s="282">
        <v>92</v>
      </c>
      <c r="B8858" s="534"/>
      <c r="C8858" s="260" t="s">
        <v>11814</v>
      </c>
      <c r="D8858" s="444" t="s">
        <v>11815</v>
      </c>
      <c r="E8858" s="260" t="s">
        <v>11816</v>
      </c>
      <c r="F8858" s="387">
        <v>61517</v>
      </c>
      <c r="G8858" s="373" t="s">
        <v>1569</v>
      </c>
      <c r="H8858" s="396" t="s">
        <v>1149</v>
      </c>
      <c r="I8858" s="429">
        <v>1.5</v>
      </c>
      <c r="J8858" s="427">
        <v>8.7985600000000002</v>
      </c>
      <c r="K8858" s="427">
        <v>8.7985600000000002</v>
      </c>
      <c r="L8858" s="427">
        <f t="shared" si="121"/>
        <v>0</v>
      </c>
      <c r="M8858" s="337"/>
    </row>
    <row r="8859" spans="1:13" s="71" customFormat="1" ht="26.4" customHeight="1">
      <c r="A8859" s="282">
        <v>93</v>
      </c>
      <c r="B8859" s="534"/>
      <c r="C8859" s="260" t="s">
        <v>11814</v>
      </c>
      <c r="D8859" s="444" t="s">
        <v>11817</v>
      </c>
      <c r="E8859" s="260" t="s">
        <v>11816</v>
      </c>
      <c r="F8859" s="387">
        <v>61518</v>
      </c>
      <c r="G8859" s="373" t="s">
        <v>1569</v>
      </c>
      <c r="H8859" s="396" t="s">
        <v>1149</v>
      </c>
      <c r="I8859" s="429">
        <v>1.5</v>
      </c>
      <c r="J8859" s="427">
        <v>1.6919999999999999</v>
      </c>
      <c r="K8859" s="427">
        <v>1.6545000000000001</v>
      </c>
      <c r="L8859" s="427">
        <f t="shared" si="121"/>
        <v>3.7499999999999867E-2</v>
      </c>
      <c r="M8859" s="337"/>
    </row>
    <row r="8860" spans="1:13" s="71" customFormat="1" ht="26.4" customHeight="1">
      <c r="A8860" s="282">
        <v>94</v>
      </c>
      <c r="B8860" s="534"/>
      <c r="C8860" s="260" t="s">
        <v>11808</v>
      </c>
      <c r="D8860" s="444" t="s">
        <v>11809</v>
      </c>
      <c r="E8860" s="260" t="s">
        <v>13256</v>
      </c>
      <c r="F8860" s="387">
        <v>61532</v>
      </c>
      <c r="G8860" s="373" t="s">
        <v>1569</v>
      </c>
      <c r="H8860" s="396" t="s">
        <v>1149</v>
      </c>
      <c r="I8860" s="429">
        <v>1.5</v>
      </c>
      <c r="J8860" s="427">
        <v>11.060460000000001</v>
      </c>
      <c r="K8860" s="427">
        <v>8.484</v>
      </c>
      <c r="L8860" s="427">
        <f t="shared" si="121"/>
        <v>2.5764600000000009</v>
      </c>
      <c r="M8860" s="337"/>
    </row>
    <row r="8861" spans="1:13" s="71" customFormat="1" ht="26.4" customHeight="1">
      <c r="A8861" s="282">
        <v>95</v>
      </c>
      <c r="B8861" s="534"/>
      <c r="C8861" s="260" t="s">
        <v>11808</v>
      </c>
      <c r="D8861" s="444" t="s">
        <v>11809</v>
      </c>
      <c r="E8861" s="260" t="s">
        <v>13256</v>
      </c>
      <c r="F8861" s="387">
        <v>61533</v>
      </c>
      <c r="G8861" s="373" t="s">
        <v>1569</v>
      </c>
      <c r="H8861" s="396" t="s">
        <v>1149</v>
      </c>
      <c r="I8861" s="429">
        <v>1.5</v>
      </c>
      <c r="J8861" s="427">
        <v>9.69346</v>
      </c>
      <c r="K8861" s="427">
        <v>7.117</v>
      </c>
      <c r="L8861" s="427">
        <f t="shared" si="121"/>
        <v>2.57646</v>
      </c>
      <c r="M8861" s="337"/>
    </row>
    <row r="8862" spans="1:13" s="71" customFormat="1" ht="26.4" customHeight="1">
      <c r="A8862" s="282">
        <v>96</v>
      </c>
      <c r="B8862" s="534"/>
      <c r="C8862" s="260" t="s">
        <v>11808</v>
      </c>
      <c r="D8862" s="444" t="s">
        <v>11809</v>
      </c>
      <c r="E8862" s="260" t="s">
        <v>13256</v>
      </c>
      <c r="F8862" s="387">
        <v>61534</v>
      </c>
      <c r="G8862" s="373" t="s">
        <v>1569</v>
      </c>
      <c r="H8862" s="396" t="s">
        <v>1149</v>
      </c>
      <c r="I8862" s="429">
        <v>1.5</v>
      </c>
      <c r="J8862" s="427">
        <v>9.69346</v>
      </c>
      <c r="K8862" s="427">
        <v>7.117</v>
      </c>
      <c r="L8862" s="427">
        <f t="shared" si="121"/>
        <v>2.57646</v>
      </c>
      <c r="M8862" s="337"/>
    </row>
    <row r="8863" spans="1:13" s="71" customFormat="1" ht="26.4" customHeight="1">
      <c r="A8863" s="282">
        <v>97</v>
      </c>
      <c r="B8863" s="534"/>
      <c r="C8863" s="260" t="s">
        <v>3304</v>
      </c>
      <c r="D8863" s="444" t="s">
        <v>11818</v>
      </c>
      <c r="E8863" s="260" t="s">
        <v>13316</v>
      </c>
      <c r="F8863" s="387">
        <v>90943</v>
      </c>
      <c r="G8863" s="373" t="s">
        <v>1569</v>
      </c>
      <c r="H8863" s="396" t="s">
        <v>1136</v>
      </c>
      <c r="I8863" s="425">
        <v>100</v>
      </c>
      <c r="J8863" s="427">
        <v>43.425370000000001</v>
      </c>
      <c r="K8863" s="427">
        <v>41.042000000000002</v>
      </c>
      <c r="L8863" s="427">
        <f t="shared" si="121"/>
        <v>2.3833699999999993</v>
      </c>
      <c r="M8863" s="337"/>
    </row>
    <row r="8864" spans="1:13" s="71" customFormat="1" ht="26.4" customHeight="1">
      <c r="A8864" s="282">
        <v>98</v>
      </c>
      <c r="B8864" s="534"/>
      <c r="C8864" s="260" t="s">
        <v>11819</v>
      </c>
      <c r="D8864" s="428" t="s">
        <v>11820</v>
      </c>
      <c r="E8864" s="236" t="s">
        <v>11821</v>
      </c>
      <c r="F8864" s="372">
        <v>43313</v>
      </c>
      <c r="G8864" s="373" t="s">
        <v>1576</v>
      </c>
      <c r="H8864" s="407" t="s">
        <v>1149</v>
      </c>
      <c r="I8864" s="425" t="s">
        <v>3285</v>
      </c>
      <c r="J8864" s="427">
        <v>4.1108099999999999</v>
      </c>
      <c r="K8864" s="427">
        <v>3.1573600000000002</v>
      </c>
      <c r="L8864" s="427">
        <f t="shared" si="121"/>
        <v>0.95344999999999969</v>
      </c>
      <c r="M8864" s="337"/>
    </row>
    <row r="8865" spans="1:13" s="71" customFormat="1" ht="26.4" customHeight="1">
      <c r="A8865" s="282">
        <v>99</v>
      </c>
      <c r="B8865" s="534"/>
      <c r="C8865" s="260" t="s">
        <v>11819</v>
      </c>
      <c r="D8865" s="428" t="s">
        <v>11820</v>
      </c>
      <c r="E8865" s="236" t="s">
        <v>11822</v>
      </c>
      <c r="F8865" s="372">
        <v>43317</v>
      </c>
      <c r="G8865" s="373" t="s">
        <v>1576</v>
      </c>
      <c r="H8865" s="407" t="s">
        <v>1149</v>
      </c>
      <c r="I8865" s="425" t="s">
        <v>3285</v>
      </c>
      <c r="J8865" s="427">
        <v>1.24135</v>
      </c>
      <c r="K8865" s="427">
        <v>1.00298</v>
      </c>
      <c r="L8865" s="427">
        <f t="shared" si="121"/>
        <v>0.23836999999999997</v>
      </c>
      <c r="M8865" s="337"/>
    </row>
    <row r="8866" spans="1:13" s="71" customFormat="1" ht="26.4" customHeight="1">
      <c r="A8866" s="282">
        <v>100</v>
      </c>
      <c r="B8866" s="534"/>
      <c r="C8866" s="260" t="s">
        <v>11823</v>
      </c>
      <c r="D8866" s="236" t="s">
        <v>11824</v>
      </c>
      <c r="E8866" s="236" t="s">
        <v>12991</v>
      </c>
      <c r="F8866" s="372">
        <v>91235</v>
      </c>
      <c r="G8866" s="373" t="s">
        <v>5291</v>
      </c>
      <c r="H8866" s="407" t="s">
        <v>1149</v>
      </c>
      <c r="I8866" s="425">
        <v>36.9</v>
      </c>
      <c r="J8866" s="427">
        <v>63.500190000000003</v>
      </c>
      <c r="K8866" s="427">
        <v>61.18356</v>
      </c>
      <c r="L8866" s="427">
        <f t="shared" si="121"/>
        <v>2.3166300000000035</v>
      </c>
      <c r="M8866" s="337"/>
    </row>
    <row r="8867" spans="1:13" s="71" customFormat="1" ht="26.4" customHeight="1">
      <c r="A8867" s="282">
        <v>101</v>
      </c>
      <c r="B8867" s="534"/>
      <c r="C8867" s="260" t="s">
        <v>11819</v>
      </c>
      <c r="D8867" s="236" t="s">
        <v>11825</v>
      </c>
      <c r="E8867" s="236" t="s">
        <v>11826</v>
      </c>
      <c r="F8867" s="372">
        <v>912371</v>
      </c>
      <c r="G8867" s="373" t="s">
        <v>1555</v>
      </c>
      <c r="H8867" s="407" t="s">
        <v>1149</v>
      </c>
      <c r="I8867" s="425">
        <v>58.6</v>
      </c>
      <c r="J8867" s="427">
        <v>19.043099999999999</v>
      </c>
      <c r="K8867" s="427">
        <v>19.043099999999999</v>
      </c>
      <c r="L8867" s="427">
        <f t="shared" si="121"/>
        <v>0</v>
      </c>
      <c r="M8867" s="337"/>
    </row>
    <row r="8868" spans="1:13" s="71" customFormat="1" ht="26.4" customHeight="1">
      <c r="A8868" s="282">
        <v>102</v>
      </c>
      <c r="B8868" s="534"/>
      <c r="C8868" s="260" t="s">
        <v>11819</v>
      </c>
      <c r="D8868" s="236" t="s">
        <v>11827</v>
      </c>
      <c r="E8868" s="236" t="s">
        <v>11828</v>
      </c>
      <c r="F8868" s="372">
        <v>91238</v>
      </c>
      <c r="G8868" s="373" t="s">
        <v>1539</v>
      </c>
      <c r="H8868" s="407" t="s">
        <v>1149</v>
      </c>
      <c r="I8868" s="425">
        <v>85</v>
      </c>
      <c r="J8868" s="427">
        <v>33.18159</v>
      </c>
      <c r="K8868" s="427">
        <v>33.18159</v>
      </c>
      <c r="L8868" s="427">
        <f t="shared" si="121"/>
        <v>0</v>
      </c>
      <c r="M8868" s="337"/>
    </row>
    <row r="8869" spans="1:13" s="71" customFormat="1" ht="26.4" customHeight="1">
      <c r="A8869" s="282">
        <v>103</v>
      </c>
      <c r="B8869" s="534"/>
      <c r="C8869" s="260" t="s">
        <v>11823</v>
      </c>
      <c r="D8869" s="236" t="s">
        <v>11829</v>
      </c>
      <c r="E8869" s="260" t="s">
        <v>11830</v>
      </c>
      <c r="F8869" s="387">
        <v>91239</v>
      </c>
      <c r="G8869" s="373" t="s">
        <v>1569</v>
      </c>
      <c r="H8869" s="407" t="s">
        <v>1149</v>
      </c>
      <c r="I8869" s="425">
        <v>12</v>
      </c>
      <c r="J8869" s="427">
        <v>14.065200000000001</v>
      </c>
      <c r="K8869" s="427">
        <v>12.651109999999999</v>
      </c>
      <c r="L8869" s="427">
        <f t="shared" si="121"/>
        <v>1.4140900000000016</v>
      </c>
      <c r="M8869" s="337"/>
    </row>
    <row r="8870" spans="1:13" s="71" customFormat="1" ht="26.4" customHeight="1">
      <c r="A8870" s="282">
        <v>104</v>
      </c>
      <c r="B8870" s="534"/>
      <c r="C8870" s="260" t="s">
        <v>11823</v>
      </c>
      <c r="D8870" s="236" t="s">
        <v>11829</v>
      </c>
      <c r="E8870" s="236" t="s">
        <v>11831</v>
      </c>
      <c r="F8870" s="372">
        <v>91240</v>
      </c>
      <c r="G8870" s="373" t="s">
        <v>1535</v>
      </c>
      <c r="H8870" s="407" t="s">
        <v>1149</v>
      </c>
      <c r="I8870" s="425">
        <v>36.9</v>
      </c>
      <c r="J8870" s="427">
        <v>210.38533000000001</v>
      </c>
      <c r="K8870" s="427">
        <v>207.11593999999999</v>
      </c>
      <c r="L8870" s="427">
        <f t="shared" si="121"/>
        <v>3.2693900000000156</v>
      </c>
      <c r="M8870" s="337"/>
    </row>
    <row r="8871" spans="1:13" s="71" customFormat="1" ht="39.6">
      <c r="A8871" s="282">
        <v>105</v>
      </c>
      <c r="B8871" s="534"/>
      <c r="C8871" s="260" t="s">
        <v>11823</v>
      </c>
      <c r="D8871" s="236" t="s">
        <v>11832</v>
      </c>
      <c r="E8871" s="236" t="s">
        <v>11833</v>
      </c>
      <c r="F8871" s="372">
        <v>91241</v>
      </c>
      <c r="G8871" s="373" t="s">
        <v>5291</v>
      </c>
      <c r="H8871" s="407" t="s">
        <v>1149</v>
      </c>
      <c r="I8871" s="425">
        <v>5</v>
      </c>
      <c r="J8871" s="427">
        <v>9.2280800000000003</v>
      </c>
      <c r="K8871" s="427">
        <v>7.7843299999999997</v>
      </c>
      <c r="L8871" s="427">
        <f t="shared" si="121"/>
        <v>1.4437500000000005</v>
      </c>
      <c r="M8871" s="337"/>
    </row>
    <row r="8872" spans="1:13" s="71" customFormat="1" ht="26.4" customHeight="1">
      <c r="A8872" s="282">
        <v>106</v>
      </c>
      <c r="B8872" s="534"/>
      <c r="C8872" s="260" t="s">
        <v>11823</v>
      </c>
      <c r="D8872" s="236" t="s">
        <v>11832</v>
      </c>
      <c r="E8872" s="260" t="s">
        <v>11834</v>
      </c>
      <c r="F8872" s="387">
        <v>91243</v>
      </c>
      <c r="G8872" s="373" t="s">
        <v>1569</v>
      </c>
      <c r="H8872" s="396" t="s">
        <v>1136</v>
      </c>
      <c r="I8872" s="425">
        <v>692</v>
      </c>
      <c r="J8872" s="427">
        <v>120.72145999999999</v>
      </c>
      <c r="K8872" s="427">
        <v>115.10813</v>
      </c>
      <c r="L8872" s="427">
        <f t="shared" si="121"/>
        <v>5.6133299999999906</v>
      </c>
      <c r="M8872" s="337"/>
    </row>
    <row r="8873" spans="1:13" s="71" customFormat="1" ht="26.4" customHeight="1">
      <c r="A8873" s="282">
        <v>107</v>
      </c>
      <c r="B8873" s="534"/>
      <c r="C8873" s="260" t="s">
        <v>11823</v>
      </c>
      <c r="D8873" s="236" t="s">
        <v>11832</v>
      </c>
      <c r="E8873" s="260" t="s">
        <v>11835</v>
      </c>
      <c r="F8873" s="387">
        <v>91244</v>
      </c>
      <c r="G8873" s="373" t="s">
        <v>1569</v>
      </c>
      <c r="H8873" s="396" t="s">
        <v>1136</v>
      </c>
      <c r="I8873" s="425">
        <v>400</v>
      </c>
      <c r="J8873" s="427">
        <v>238.90575999999999</v>
      </c>
      <c r="K8873" s="427">
        <v>234.34365</v>
      </c>
      <c r="L8873" s="427">
        <f t="shared" si="121"/>
        <v>4.5621099999999899</v>
      </c>
      <c r="M8873" s="337"/>
    </row>
    <row r="8874" spans="1:13" s="71" customFormat="1" ht="26.4" customHeight="1">
      <c r="A8874" s="282">
        <v>108</v>
      </c>
      <c r="B8874" s="534"/>
      <c r="C8874" s="260" t="s">
        <v>11819</v>
      </c>
      <c r="D8874" s="236" t="s">
        <v>11836</v>
      </c>
      <c r="E8874" s="236" t="s">
        <v>11837</v>
      </c>
      <c r="F8874" s="372">
        <v>91245</v>
      </c>
      <c r="G8874" s="373" t="s">
        <v>1539</v>
      </c>
      <c r="H8874" s="407" t="s">
        <v>1149</v>
      </c>
      <c r="I8874" s="425">
        <v>68.8</v>
      </c>
      <c r="J8874" s="427">
        <v>31.57986</v>
      </c>
      <c r="K8874" s="427">
        <v>28.013850000000001</v>
      </c>
      <c r="L8874" s="427">
        <f t="shared" si="121"/>
        <v>3.5660099999999986</v>
      </c>
      <c r="M8874" s="337"/>
    </row>
    <row r="8875" spans="1:13" s="71" customFormat="1" ht="26.4" customHeight="1">
      <c r="A8875" s="282">
        <v>109</v>
      </c>
      <c r="B8875" s="534"/>
      <c r="C8875" s="260" t="s">
        <v>11823</v>
      </c>
      <c r="D8875" s="236" t="s">
        <v>11832</v>
      </c>
      <c r="E8875" s="236" t="s">
        <v>11838</v>
      </c>
      <c r="F8875" s="372">
        <v>91246</v>
      </c>
      <c r="G8875" s="373" t="s">
        <v>5291</v>
      </c>
      <c r="H8875" s="407" t="s">
        <v>1149</v>
      </c>
      <c r="I8875" s="425">
        <v>53.8</v>
      </c>
      <c r="J8875" s="427">
        <v>63.520319999999998</v>
      </c>
      <c r="K8875" s="427">
        <v>59.509219999999999</v>
      </c>
      <c r="L8875" s="427">
        <f t="shared" si="121"/>
        <v>4.011099999999999</v>
      </c>
      <c r="M8875" s="337"/>
    </row>
    <row r="8876" spans="1:13" s="71" customFormat="1" ht="26.4" customHeight="1">
      <c r="A8876" s="282">
        <v>110</v>
      </c>
      <c r="B8876" s="534"/>
      <c r="C8876" s="260" t="s">
        <v>11819</v>
      </c>
      <c r="D8876" s="236" t="s">
        <v>11839</v>
      </c>
      <c r="E8876" s="236" t="s">
        <v>11840</v>
      </c>
      <c r="F8876" s="372">
        <v>91273</v>
      </c>
      <c r="G8876" s="373" t="s">
        <v>5294</v>
      </c>
      <c r="H8876" s="407" t="s">
        <v>1149</v>
      </c>
      <c r="I8876" s="425">
        <v>86</v>
      </c>
      <c r="J8876" s="427">
        <v>16.07732</v>
      </c>
      <c r="K8876" s="427">
        <v>14.87776</v>
      </c>
      <c r="L8876" s="427">
        <f t="shared" si="121"/>
        <v>1.19956</v>
      </c>
      <c r="M8876" s="337"/>
    </row>
    <row r="8877" spans="1:13" s="71" customFormat="1" ht="26.4" customHeight="1">
      <c r="A8877" s="282">
        <v>111</v>
      </c>
      <c r="B8877" s="534"/>
      <c r="C8877" s="260" t="s">
        <v>11819</v>
      </c>
      <c r="D8877" s="236" t="s">
        <v>11839</v>
      </c>
      <c r="E8877" s="236" t="s">
        <v>11841</v>
      </c>
      <c r="F8877" s="372">
        <v>91277</v>
      </c>
      <c r="G8877" s="373" t="s">
        <v>1530</v>
      </c>
      <c r="H8877" s="407" t="s">
        <v>1149</v>
      </c>
      <c r="I8877" s="425">
        <v>85</v>
      </c>
      <c r="J8877" s="426">
        <v>75.124039999999994</v>
      </c>
      <c r="K8877" s="426">
        <v>69.983999999999995</v>
      </c>
      <c r="L8877" s="427">
        <f t="shared" si="121"/>
        <v>5.1400399999999991</v>
      </c>
      <c r="M8877" s="337"/>
    </row>
    <row r="8878" spans="1:13" s="71" customFormat="1" ht="26.4" customHeight="1">
      <c r="A8878" s="282">
        <v>112</v>
      </c>
      <c r="B8878" s="534"/>
      <c r="C8878" s="260" t="s">
        <v>11819</v>
      </c>
      <c r="D8878" s="236" t="s">
        <v>11839</v>
      </c>
      <c r="E8878" s="260" t="s">
        <v>11842</v>
      </c>
      <c r="F8878" s="387">
        <v>91278</v>
      </c>
      <c r="G8878" s="373" t="s">
        <v>1569</v>
      </c>
      <c r="H8878" s="407" t="s">
        <v>1149</v>
      </c>
      <c r="I8878" s="425">
        <v>314</v>
      </c>
      <c r="J8878" s="427">
        <v>50.60689</v>
      </c>
      <c r="K8878" s="427">
        <v>46.43535</v>
      </c>
      <c r="L8878" s="427">
        <f t="shared" si="121"/>
        <v>4.1715400000000002</v>
      </c>
      <c r="M8878" s="337"/>
    </row>
    <row r="8879" spans="1:13" s="71" customFormat="1" ht="26.4" customHeight="1">
      <c r="A8879" s="282">
        <v>113</v>
      </c>
      <c r="B8879" s="534"/>
      <c r="C8879" s="260" t="s">
        <v>11819</v>
      </c>
      <c r="D8879" s="236" t="s">
        <v>11839</v>
      </c>
      <c r="E8879" s="260" t="s">
        <v>11843</v>
      </c>
      <c r="F8879" s="387">
        <v>91279</v>
      </c>
      <c r="G8879" s="373" t="s">
        <v>1569</v>
      </c>
      <c r="H8879" s="407" t="s">
        <v>1149</v>
      </c>
      <c r="I8879" s="425">
        <v>56</v>
      </c>
      <c r="J8879" s="427">
        <v>54.783810000000003</v>
      </c>
      <c r="K8879" s="427">
        <v>50.193199999999997</v>
      </c>
      <c r="L8879" s="427">
        <f t="shared" si="121"/>
        <v>4.5906100000000052</v>
      </c>
      <c r="M8879" s="337"/>
    </row>
    <row r="8880" spans="1:13" s="71" customFormat="1" ht="39.6">
      <c r="A8880" s="282">
        <v>114</v>
      </c>
      <c r="B8880" s="534"/>
      <c r="C8880" s="260" t="s">
        <v>11819</v>
      </c>
      <c r="D8880" s="236" t="s">
        <v>11839</v>
      </c>
      <c r="E8880" s="236" t="s">
        <v>11844</v>
      </c>
      <c r="F8880" s="372">
        <v>91280</v>
      </c>
      <c r="G8880" s="373" t="s">
        <v>1530</v>
      </c>
      <c r="H8880" s="407" t="s">
        <v>1149</v>
      </c>
      <c r="I8880" s="425">
        <v>236.1</v>
      </c>
      <c r="J8880" s="427">
        <v>169.21669</v>
      </c>
      <c r="K8880" s="427">
        <v>164.33515</v>
      </c>
      <c r="L8880" s="427">
        <f t="shared" si="121"/>
        <v>4.8815400000000011</v>
      </c>
      <c r="M8880" s="337"/>
    </row>
    <row r="8881" spans="1:13" s="71" customFormat="1" ht="26.4" customHeight="1">
      <c r="A8881" s="282">
        <v>115</v>
      </c>
      <c r="B8881" s="534"/>
      <c r="C8881" s="260" t="s">
        <v>11819</v>
      </c>
      <c r="D8881" s="236" t="s">
        <v>11839</v>
      </c>
      <c r="E8881" s="236" t="s">
        <v>11845</v>
      </c>
      <c r="F8881" s="372">
        <v>91282</v>
      </c>
      <c r="G8881" s="373" t="s">
        <v>1530</v>
      </c>
      <c r="H8881" s="407" t="s">
        <v>1149</v>
      </c>
      <c r="I8881" s="425">
        <v>28</v>
      </c>
      <c r="J8881" s="427">
        <v>93.828190000000006</v>
      </c>
      <c r="K8881" s="427">
        <v>89.823989999999995</v>
      </c>
      <c r="L8881" s="427">
        <f t="shared" si="121"/>
        <v>4.0042000000000115</v>
      </c>
      <c r="M8881" s="337"/>
    </row>
    <row r="8882" spans="1:13" s="71" customFormat="1" ht="26.4" customHeight="1">
      <c r="A8882" s="282">
        <v>116</v>
      </c>
      <c r="B8882" s="534"/>
      <c r="C8882" s="260" t="s">
        <v>11819</v>
      </c>
      <c r="D8882" s="236" t="s">
        <v>11839</v>
      </c>
      <c r="E8882" s="236" t="s">
        <v>11846</v>
      </c>
      <c r="F8882" s="372">
        <v>91283</v>
      </c>
      <c r="G8882" s="373" t="s">
        <v>1530</v>
      </c>
      <c r="H8882" s="407" t="s">
        <v>1149</v>
      </c>
      <c r="I8882" s="425">
        <v>1461.1</v>
      </c>
      <c r="J8882" s="427">
        <v>50.623449999999998</v>
      </c>
      <c r="K8882" s="427">
        <v>50.623449999999998</v>
      </c>
      <c r="L8882" s="427">
        <f t="shared" si="121"/>
        <v>0</v>
      </c>
      <c r="M8882" s="337"/>
    </row>
    <row r="8883" spans="1:13" s="71" customFormat="1" ht="39" customHeight="1">
      <c r="A8883" s="282">
        <v>117</v>
      </c>
      <c r="B8883" s="534"/>
      <c r="C8883" s="260" t="s">
        <v>11819</v>
      </c>
      <c r="D8883" s="236" t="s">
        <v>11847</v>
      </c>
      <c r="E8883" s="236" t="s">
        <v>11848</v>
      </c>
      <c r="F8883" s="372">
        <v>91288</v>
      </c>
      <c r="G8883" s="373" t="s">
        <v>1530</v>
      </c>
      <c r="H8883" s="407" t="s">
        <v>1149</v>
      </c>
      <c r="I8883" s="425">
        <v>319.39999999999998</v>
      </c>
      <c r="J8883" s="427">
        <v>162.29383000000001</v>
      </c>
      <c r="K8883" s="427">
        <v>162.29383000000001</v>
      </c>
      <c r="L8883" s="427">
        <f t="shared" si="121"/>
        <v>0</v>
      </c>
      <c r="M8883" s="337"/>
    </row>
    <row r="8884" spans="1:13" s="71" customFormat="1" ht="26.4" customHeight="1">
      <c r="A8884" s="282">
        <v>118</v>
      </c>
      <c r="B8884" s="534"/>
      <c r="C8884" s="260" t="s">
        <v>11819</v>
      </c>
      <c r="D8884" s="236" t="s">
        <v>11839</v>
      </c>
      <c r="E8884" s="260" t="s">
        <v>11849</v>
      </c>
      <c r="F8884" s="387">
        <v>91290</v>
      </c>
      <c r="G8884" s="373" t="s">
        <v>1530</v>
      </c>
      <c r="H8884" s="407" t="s">
        <v>1149</v>
      </c>
      <c r="I8884" s="425">
        <v>56</v>
      </c>
      <c r="J8884" s="427">
        <v>69.115260000000006</v>
      </c>
      <c r="K8884" s="427">
        <v>61.556600000000003</v>
      </c>
      <c r="L8884" s="427">
        <f t="shared" si="121"/>
        <v>7.5586600000000033</v>
      </c>
      <c r="M8884" s="337"/>
    </row>
    <row r="8885" spans="1:13" s="71" customFormat="1" ht="26.4" customHeight="1">
      <c r="A8885" s="282">
        <v>119</v>
      </c>
      <c r="B8885" s="534"/>
      <c r="C8885" s="260" t="s">
        <v>11819</v>
      </c>
      <c r="D8885" s="236" t="s">
        <v>11839</v>
      </c>
      <c r="E8885" s="260" t="s">
        <v>11850</v>
      </c>
      <c r="F8885" s="387">
        <v>91291</v>
      </c>
      <c r="G8885" s="373" t="s">
        <v>1530</v>
      </c>
      <c r="H8885" s="407" t="s">
        <v>1149</v>
      </c>
      <c r="I8885" s="425">
        <v>26</v>
      </c>
      <c r="J8885" s="427">
        <v>38.922260000000001</v>
      </c>
      <c r="K8885" s="427">
        <v>32.359059999999999</v>
      </c>
      <c r="L8885" s="427">
        <f t="shared" si="121"/>
        <v>6.5632000000000019</v>
      </c>
      <c r="M8885" s="337"/>
    </row>
    <row r="8886" spans="1:13" s="71" customFormat="1" ht="26.4" customHeight="1">
      <c r="A8886" s="282">
        <v>120</v>
      </c>
      <c r="B8886" s="534"/>
      <c r="C8886" s="260" t="s">
        <v>11819</v>
      </c>
      <c r="D8886" s="236" t="s">
        <v>11851</v>
      </c>
      <c r="E8886" s="236" t="s">
        <v>11852</v>
      </c>
      <c r="F8886" s="372">
        <v>91295</v>
      </c>
      <c r="G8886" s="373" t="s">
        <v>1530</v>
      </c>
      <c r="H8886" s="407" t="s">
        <v>1149</v>
      </c>
      <c r="I8886" s="425">
        <v>153.9</v>
      </c>
      <c r="J8886" s="427">
        <v>80.125879999999995</v>
      </c>
      <c r="K8886" s="427">
        <v>80.125879999999995</v>
      </c>
      <c r="L8886" s="427">
        <f t="shared" si="121"/>
        <v>0</v>
      </c>
      <c r="M8886" s="337"/>
    </row>
    <row r="8887" spans="1:13" s="71" customFormat="1" ht="26.4" customHeight="1">
      <c r="A8887" s="282">
        <v>121</v>
      </c>
      <c r="B8887" s="534"/>
      <c r="C8887" s="260" t="s">
        <v>11819</v>
      </c>
      <c r="D8887" s="236" t="s">
        <v>11820</v>
      </c>
      <c r="E8887" s="236" t="s">
        <v>11853</v>
      </c>
      <c r="F8887" s="372">
        <v>91309</v>
      </c>
      <c r="G8887" s="373" t="s">
        <v>1530</v>
      </c>
      <c r="H8887" s="407" t="s">
        <v>1149</v>
      </c>
      <c r="I8887" s="425">
        <v>290</v>
      </c>
      <c r="J8887" s="427">
        <v>269.23142999999999</v>
      </c>
      <c r="K8887" s="427">
        <v>266.05068</v>
      </c>
      <c r="L8887" s="427">
        <f t="shared" si="121"/>
        <v>3.1807499999999891</v>
      </c>
      <c r="M8887" s="337"/>
    </row>
    <row r="8888" spans="1:13" s="71" customFormat="1" ht="26.4" customHeight="1">
      <c r="A8888" s="282">
        <v>122</v>
      </c>
      <c r="B8888" s="534"/>
      <c r="C8888" s="260" t="s">
        <v>11819</v>
      </c>
      <c r="D8888" s="236" t="s">
        <v>11820</v>
      </c>
      <c r="E8888" s="260" t="s">
        <v>11854</v>
      </c>
      <c r="F8888" s="387">
        <v>91310</v>
      </c>
      <c r="G8888" s="373" t="s">
        <v>1530</v>
      </c>
      <c r="H8888" s="407" t="s">
        <v>3243</v>
      </c>
      <c r="I8888" s="425" t="s">
        <v>3243</v>
      </c>
      <c r="J8888" s="427">
        <v>5.1768200000000002</v>
      </c>
      <c r="K8888" s="427">
        <v>4.7905199999999999</v>
      </c>
      <c r="L8888" s="427">
        <f t="shared" si="121"/>
        <v>0.38630000000000031</v>
      </c>
      <c r="M8888" s="337"/>
    </row>
    <row r="8889" spans="1:13" s="71" customFormat="1" ht="26.4" customHeight="1">
      <c r="A8889" s="282">
        <v>123</v>
      </c>
      <c r="B8889" s="534"/>
      <c r="C8889" s="260" t="s">
        <v>11819</v>
      </c>
      <c r="D8889" s="236" t="s">
        <v>11855</v>
      </c>
      <c r="E8889" s="236" t="s">
        <v>11856</v>
      </c>
      <c r="F8889" s="372">
        <v>91534</v>
      </c>
      <c r="G8889" s="373" t="s">
        <v>1578</v>
      </c>
      <c r="H8889" s="407" t="s">
        <v>1149</v>
      </c>
      <c r="I8889" s="425">
        <v>43.7</v>
      </c>
      <c r="J8889" s="427">
        <v>14.713200000000001</v>
      </c>
      <c r="K8889" s="427">
        <v>13.61544</v>
      </c>
      <c r="L8889" s="427">
        <f t="shared" si="121"/>
        <v>1.097760000000001</v>
      </c>
      <c r="M8889" s="337"/>
    </row>
    <row r="8890" spans="1:13" s="71" customFormat="1" ht="26.4" customHeight="1">
      <c r="A8890" s="282">
        <v>124</v>
      </c>
      <c r="B8890" s="534"/>
      <c r="C8890" s="260" t="s">
        <v>11819</v>
      </c>
      <c r="D8890" s="236" t="s">
        <v>11855</v>
      </c>
      <c r="E8890" s="260" t="s">
        <v>11857</v>
      </c>
      <c r="F8890" s="387">
        <v>91535</v>
      </c>
      <c r="G8890" s="373" t="s">
        <v>1578</v>
      </c>
      <c r="H8890" s="407" t="s">
        <v>1136</v>
      </c>
      <c r="I8890" s="425">
        <v>50</v>
      </c>
      <c r="J8890" s="427">
        <v>9.7880000000000003</v>
      </c>
      <c r="K8890" s="427">
        <v>8.2840000000000007</v>
      </c>
      <c r="L8890" s="427">
        <f t="shared" si="121"/>
        <v>1.5039999999999996</v>
      </c>
      <c r="M8890" s="337"/>
    </row>
    <row r="8891" spans="1:13" s="71" customFormat="1" ht="26.4" customHeight="1">
      <c r="A8891" s="282">
        <v>125</v>
      </c>
      <c r="B8891" s="534"/>
      <c r="C8891" s="260" t="s">
        <v>11819</v>
      </c>
      <c r="D8891" s="236" t="s">
        <v>11820</v>
      </c>
      <c r="E8891" s="236" t="s">
        <v>11858</v>
      </c>
      <c r="F8891" s="372">
        <v>91579</v>
      </c>
      <c r="G8891" s="373" t="s">
        <v>1536</v>
      </c>
      <c r="H8891" s="407" t="s">
        <v>1149</v>
      </c>
      <c r="I8891" s="425">
        <v>615.6</v>
      </c>
      <c r="J8891" s="427">
        <v>8.4290099999999999</v>
      </c>
      <c r="K8891" s="427">
        <v>6.8922800000000004</v>
      </c>
      <c r="L8891" s="427">
        <f t="shared" si="121"/>
        <v>1.5367299999999995</v>
      </c>
      <c r="M8891" s="337"/>
    </row>
    <row r="8892" spans="1:13" s="71" customFormat="1" ht="26.4" customHeight="1">
      <c r="A8892" s="282">
        <v>126</v>
      </c>
      <c r="B8892" s="534"/>
      <c r="C8892" s="236" t="s">
        <v>11859</v>
      </c>
      <c r="D8892" s="375" t="s">
        <v>13365</v>
      </c>
      <c r="E8892" s="236" t="s">
        <v>11860</v>
      </c>
      <c r="F8892" s="372">
        <v>61439</v>
      </c>
      <c r="G8892" s="373" t="s">
        <v>1534</v>
      </c>
      <c r="H8892" s="407" t="s">
        <v>1149</v>
      </c>
      <c r="I8892" s="425">
        <v>8.6</v>
      </c>
      <c r="J8892" s="427">
        <v>9.3000000000000007</v>
      </c>
      <c r="K8892" s="427">
        <v>7.68</v>
      </c>
      <c r="L8892" s="427">
        <f t="shared" si="121"/>
        <v>1.620000000000001</v>
      </c>
      <c r="M8892" s="337"/>
    </row>
    <row r="8893" spans="1:13" s="71" customFormat="1" ht="26.4" customHeight="1">
      <c r="A8893" s="282">
        <v>127</v>
      </c>
      <c r="B8893" s="534"/>
      <c r="C8893" s="236" t="s">
        <v>11859</v>
      </c>
      <c r="D8893" s="375" t="s">
        <v>13365</v>
      </c>
      <c r="E8893" s="260" t="s">
        <v>11861</v>
      </c>
      <c r="F8893" s="387">
        <v>61440</v>
      </c>
      <c r="G8893" s="373" t="s">
        <v>1569</v>
      </c>
      <c r="H8893" s="407" t="s">
        <v>1149</v>
      </c>
      <c r="I8893" s="425">
        <v>8.6</v>
      </c>
      <c r="J8893" s="427">
        <v>63.091999999999999</v>
      </c>
      <c r="K8893" s="427">
        <v>61.657150000000001</v>
      </c>
      <c r="L8893" s="427">
        <f t="shared" si="121"/>
        <v>1.4348499999999973</v>
      </c>
      <c r="M8893" s="337"/>
    </row>
    <row r="8894" spans="1:13" s="71" customFormat="1" ht="26.4" customHeight="1">
      <c r="A8894" s="282">
        <v>128</v>
      </c>
      <c r="B8894" s="534"/>
      <c r="C8894" s="236" t="s">
        <v>11862</v>
      </c>
      <c r="D8894" s="375" t="s">
        <v>12992</v>
      </c>
      <c r="E8894" s="236" t="s">
        <v>13218</v>
      </c>
      <c r="F8894" s="372">
        <v>61441</v>
      </c>
      <c r="G8894" s="373" t="s">
        <v>1569</v>
      </c>
      <c r="H8894" s="407" t="s">
        <v>1149</v>
      </c>
      <c r="I8894" s="425">
        <v>23</v>
      </c>
      <c r="J8894" s="427">
        <v>242.941</v>
      </c>
      <c r="K8894" s="427">
        <v>239.70099999999999</v>
      </c>
      <c r="L8894" s="427">
        <f t="shared" si="121"/>
        <v>3.2400000000000091</v>
      </c>
      <c r="M8894" s="337"/>
    </row>
    <row r="8895" spans="1:13" s="71" customFormat="1" ht="26.4" customHeight="1">
      <c r="A8895" s="282">
        <v>129</v>
      </c>
      <c r="B8895" s="534"/>
      <c r="C8895" s="430" t="s">
        <v>25</v>
      </c>
      <c r="D8895" s="375" t="s">
        <v>11863</v>
      </c>
      <c r="E8895" s="260" t="s">
        <v>11864</v>
      </c>
      <c r="F8895" s="387">
        <v>61444</v>
      </c>
      <c r="G8895" s="373" t="s">
        <v>1569</v>
      </c>
      <c r="H8895" s="407" t="s">
        <v>1149</v>
      </c>
      <c r="I8895" s="425">
        <v>6</v>
      </c>
      <c r="J8895" s="427">
        <v>41.062049999999999</v>
      </c>
      <c r="K8895" s="427">
        <v>41.011220000000002</v>
      </c>
      <c r="L8895" s="427">
        <f t="shared" ref="L8895:L8958" si="122">J8895-K8895</f>
        <v>5.082999999999771E-2</v>
      </c>
      <c r="M8895" s="337"/>
    </row>
    <row r="8896" spans="1:13" s="71" customFormat="1" ht="26.4" customHeight="1">
      <c r="A8896" s="282">
        <v>130</v>
      </c>
      <c r="B8896" s="534"/>
      <c r="C8896" s="430" t="s">
        <v>11865</v>
      </c>
      <c r="D8896" s="431" t="s">
        <v>12919</v>
      </c>
      <c r="E8896" s="260" t="s">
        <v>11866</v>
      </c>
      <c r="F8896" s="387">
        <v>61446</v>
      </c>
      <c r="G8896" s="373" t="s">
        <v>1569</v>
      </c>
      <c r="H8896" s="407" t="s">
        <v>1149</v>
      </c>
      <c r="I8896" s="425">
        <v>5</v>
      </c>
      <c r="J8896" s="427">
        <v>3.4976600000000002</v>
      </c>
      <c r="K8896" s="427">
        <v>3.0901399999999999</v>
      </c>
      <c r="L8896" s="427">
        <f t="shared" si="122"/>
        <v>0.40752000000000033</v>
      </c>
      <c r="M8896" s="337"/>
    </row>
    <row r="8897" spans="1:13" s="71" customFormat="1" ht="26.4" customHeight="1">
      <c r="A8897" s="282">
        <v>131</v>
      </c>
      <c r="B8897" s="534"/>
      <c r="C8897" s="430" t="s">
        <v>11865</v>
      </c>
      <c r="D8897" s="431" t="s">
        <v>12920</v>
      </c>
      <c r="E8897" s="236" t="s">
        <v>11867</v>
      </c>
      <c r="F8897" s="372">
        <v>61447</v>
      </c>
      <c r="G8897" s="373" t="s">
        <v>1543</v>
      </c>
      <c r="H8897" s="407" t="s">
        <v>1149</v>
      </c>
      <c r="I8897" s="425">
        <v>41.5</v>
      </c>
      <c r="J8897" s="427">
        <v>4.9416599999999997</v>
      </c>
      <c r="K8897" s="427">
        <v>3.3216600000000001</v>
      </c>
      <c r="L8897" s="427">
        <f t="shared" si="122"/>
        <v>1.6199999999999997</v>
      </c>
      <c r="M8897" s="337"/>
    </row>
    <row r="8898" spans="1:13" s="71" customFormat="1" ht="26.4" customHeight="1">
      <c r="A8898" s="282">
        <v>132</v>
      </c>
      <c r="B8898" s="534"/>
      <c r="C8898" s="236" t="s">
        <v>11868</v>
      </c>
      <c r="D8898" s="375" t="s">
        <v>11869</v>
      </c>
      <c r="E8898" s="236" t="s">
        <v>11870</v>
      </c>
      <c r="F8898" s="372">
        <v>61474</v>
      </c>
      <c r="G8898" s="373" t="s">
        <v>1528</v>
      </c>
      <c r="H8898" s="407" t="s">
        <v>1149</v>
      </c>
      <c r="I8898" s="425">
        <v>6.3</v>
      </c>
      <c r="J8898" s="427">
        <v>2.64</v>
      </c>
      <c r="K8898" s="427">
        <v>2.2275</v>
      </c>
      <c r="L8898" s="427">
        <f t="shared" si="122"/>
        <v>0.41250000000000009</v>
      </c>
      <c r="M8898" s="337"/>
    </row>
    <row r="8899" spans="1:13" s="71" customFormat="1" ht="26.4" customHeight="1">
      <c r="A8899" s="282">
        <v>133</v>
      </c>
      <c r="B8899" s="534"/>
      <c r="C8899" s="236" t="s">
        <v>11868</v>
      </c>
      <c r="D8899" s="375" t="s">
        <v>12921</v>
      </c>
      <c r="E8899" s="260" t="s">
        <v>11871</v>
      </c>
      <c r="F8899" s="387">
        <v>61478</v>
      </c>
      <c r="G8899" s="373" t="s">
        <v>1569</v>
      </c>
      <c r="H8899" s="407" t="s">
        <v>1149</v>
      </c>
      <c r="I8899" s="425">
        <v>5</v>
      </c>
      <c r="J8899" s="427">
        <v>24.88</v>
      </c>
      <c r="K8899" s="427">
        <v>24.77</v>
      </c>
      <c r="L8899" s="427">
        <f t="shared" si="122"/>
        <v>0.10999999999999943</v>
      </c>
      <c r="M8899" s="337"/>
    </row>
    <row r="8900" spans="1:13" s="71" customFormat="1" ht="26.4" customHeight="1">
      <c r="A8900" s="282">
        <v>134</v>
      </c>
      <c r="B8900" s="534"/>
      <c r="C8900" s="236" t="s">
        <v>11872</v>
      </c>
      <c r="D8900" s="375" t="s">
        <v>11873</v>
      </c>
      <c r="E8900" s="236" t="s">
        <v>11874</v>
      </c>
      <c r="F8900" s="372">
        <v>61480</v>
      </c>
      <c r="G8900" s="373" t="s">
        <v>5506</v>
      </c>
      <c r="H8900" s="407" t="s">
        <v>1149</v>
      </c>
      <c r="I8900" s="425">
        <v>24</v>
      </c>
      <c r="J8900" s="427">
        <v>8.42</v>
      </c>
      <c r="K8900" s="427">
        <v>7.87</v>
      </c>
      <c r="L8900" s="427">
        <f t="shared" si="122"/>
        <v>0.54999999999999982</v>
      </c>
      <c r="M8900" s="337"/>
    </row>
    <row r="8901" spans="1:13" s="71" customFormat="1" ht="26.4" customHeight="1">
      <c r="A8901" s="282">
        <v>135</v>
      </c>
      <c r="B8901" s="534"/>
      <c r="C8901" s="236" t="s">
        <v>11872</v>
      </c>
      <c r="D8901" s="375" t="s">
        <v>11875</v>
      </c>
      <c r="E8901" s="260" t="s">
        <v>11876</v>
      </c>
      <c r="F8901" s="387">
        <v>61482</v>
      </c>
      <c r="G8901" s="373" t="s">
        <v>1569</v>
      </c>
      <c r="H8901" s="407" t="s">
        <v>1149</v>
      </c>
      <c r="I8901" s="425" t="s">
        <v>3285</v>
      </c>
      <c r="J8901" s="427">
        <v>4.5419999999999998</v>
      </c>
      <c r="K8901" s="427">
        <v>4.5419999999999998</v>
      </c>
      <c r="L8901" s="427">
        <f t="shared" si="122"/>
        <v>0</v>
      </c>
      <c r="M8901" s="337"/>
    </row>
    <row r="8902" spans="1:13" s="71" customFormat="1" ht="26.4" customHeight="1">
      <c r="A8902" s="282">
        <v>136</v>
      </c>
      <c r="B8902" s="534"/>
      <c r="C8902" s="260" t="s">
        <v>11877</v>
      </c>
      <c r="D8902" s="444" t="s">
        <v>11878</v>
      </c>
      <c r="E8902" s="260" t="s">
        <v>11879</v>
      </c>
      <c r="F8902" s="387">
        <v>61503</v>
      </c>
      <c r="G8902" s="373" t="s">
        <v>1569</v>
      </c>
      <c r="H8902" s="407" t="s">
        <v>1149</v>
      </c>
      <c r="I8902" s="425" t="s">
        <v>3285</v>
      </c>
      <c r="J8902" s="427">
        <v>79.55</v>
      </c>
      <c r="K8902" s="427">
        <v>77.742500000000007</v>
      </c>
      <c r="L8902" s="427">
        <f t="shared" si="122"/>
        <v>1.8074999999999903</v>
      </c>
      <c r="M8902" s="337"/>
    </row>
    <row r="8903" spans="1:13" s="71" customFormat="1" ht="39.6">
      <c r="A8903" s="282">
        <v>137</v>
      </c>
      <c r="B8903" s="534"/>
      <c r="C8903" s="236" t="s">
        <v>11880</v>
      </c>
      <c r="D8903" s="375" t="s">
        <v>11881</v>
      </c>
      <c r="E8903" s="236" t="s">
        <v>11882</v>
      </c>
      <c r="F8903" s="372">
        <v>90955</v>
      </c>
      <c r="G8903" s="373" t="s">
        <v>1569</v>
      </c>
      <c r="H8903" s="407" t="s">
        <v>1149</v>
      </c>
      <c r="I8903" s="425">
        <v>124</v>
      </c>
      <c r="J8903" s="427">
        <v>27.729299999999999</v>
      </c>
      <c r="K8903" s="427">
        <v>24.103999999999999</v>
      </c>
      <c r="L8903" s="427">
        <f t="shared" si="122"/>
        <v>3.6252999999999993</v>
      </c>
      <c r="M8903" s="337"/>
    </row>
    <row r="8904" spans="1:13" s="71" customFormat="1" ht="26.4" customHeight="1">
      <c r="A8904" s="282">
        <v>138</v>
      </c>
      <c r="B8904" s="534"/>
      <c r="C8904" s="236" t="s">
        <v>11883</v>
      </c>
      <c r="D8904" s="375" t="s">
        <v>11884</v>
      </c>
      <c r="E8904" s="236" t="s">
        <v>11885</v>
      </c>
      <c r="F8904" s="372">
        <v>90985</v>
      </c>
      <c r="G8904" s="373" t="s">
        <v>5299</v>
      </c>
      <c r="H8904" s="407" t="s">
        <v>1149</v>
      </c>
      <c r="I8904" s="425">
        <v>3</v>
      </c>
      <c r="J8904" s="427">
        <v>6.2103999999999999</v>
      </c>
      <c r="K8904" s="427">
        <v>5.1688000000000001</v>
      </c>
      <c r="L8904" s="427">
        <f t="shared" si="122"/>
        <v>1.0415999999999999</v>
      </c>
      <c r="M8904" s="337"/>
    </row>
    <row r="8905" spans="1:13" s="71" customFormat="1" ht="26.4" customHeight="1">
      <c r="A8905" s="282">
        <v>139</v>
      </c>
      <c r="B8905" s="534"/>
      <c r="C8905" s="236" t="s">
        <v>11880</v>
      </c>
      <c r="D8905" s="375" t="s">
        <v>11886</v>
      </c>
      <c r="E8905" s="236" t="s">
        <v>11887</v>
      </c>
      <c r="F8905" s="372">
        <v>90995</v>
      </c>
      <c r="G8905" s="373" t="s">
        <v>1569</v>
      </c>
      <c r="H8905" s="407" t="s">
        <v>1149</v>
      </c>
      <c r="I8905" s="425">
        <v>8</v>
      </c>
      <c r="J8905" s="427">
        <v>2.5071400000000001</v>
      </c>
      <c r="K8905" s="427">
        <v>2.12832</v>
      </c>
      <c r="L8905" s="427">
        <f t="shared" si="122"/>
        <v>0.37882000000000016</v>
      </c>
      <c r="M8905" s="337"/>
    </row>
    <row r="8906" spans="1:13" s="71" customFormat="1" ht="26.4" customHeight="1">
      <c r="A8906" s="282">
        <v>140</v>
      </c>
      <c r="B8906" s="534"/>
      <c r="C8906" s="236" t="s">
        <v>11880</v>
      </c>
      <c r="D8906" s="375" t="s">
        <v>11888</v>
      </c>
      <c r="E8906" s="260" t="s">
        <v>11889</v>
      </c>
      <c r="F8906" s="387">
        <v>90999</v>
      </c>
      <c r="G8906" s="373" t="s">
        <v>1569</v>
      </c>
      <c r="H8906" s="407" t="s">
        <v>1149</v>
      </c>
      <c r="I8906" s="425">
        <v>12</v>
      </c>
      <c r="J8906" s="427">
        <v>9.4909300000000005</v>
      </c>
      <c r="K8906" s="427">
        <v>8.9565400000000004</v>
      </c>
      <c r="L8906" s="427">
        <f t="shared" si="122"/>
        <v>0.53439000000000014</v>
      </c>
      <c r="M8906" s="337"/>
    </row>
    <row r="8907" spans="1:13" s="71" customFormat="1" ht="26.4" customHeight="1">
      <c r="A8907" s="282">
        <v>141</v>
      </c>
      <c r="B8907" s="534"/>
      <c r="C8907" s="260" t="s">
        <v>11890</v>
      </c>
      <c r="D8907" s="375" t="s">
        <v>11891</v>
      </c>
      <c r="E8907" s="236" t="s">
        <v>11892</v>
      </c>
      <c r="F8907" s="372">
        <v>91024</v>
      </c>
      <c r="G8907" s="373" t="s">
        <v>1533</v>
      </c>
      <c r="H8907" s="407" t="s">
        <v>1149</v>
      </c>
      <c r="I8907" s="425">
        <v>37</v>
      </c>
      <c r="J8907" s="427">
        <v>51.890160000000002</v>
      </c>
      <c r="K8907" s="427">
        <v>47.215719999999997</v>
      </c>
      <c r="L8907" s="427">
        <f t="shared" si="122"/>
        <v>4.6744400000000041</v>
      </c>
      <c r="M8907" s="337"/>
    </row>
    <row r="8908" spans="1:13" s="71" customFormat="1" ht="26.4" customHeight="1">
      <c r="A8908" s="282">
        <v>142</v>
      </c>
      <c r="B8908" s="534"/>
      <c r="C8908" s="260" t="s">
        <v>11890</v>
      </c>
      <c r="D8908" s="375" t="s">
        <v>11891</v>
      </c>
      <c r="E8908" s="236" t="s">
        <v>11893</v>
      </c>
      <c r="F8908" s="372">
        <v>91025</v>
      </c>
      <c r="G8908" s="373" t="s">
        <v>1533</v>
      </c>
      <c r="H8908" s="407" t="s">
        <v>1149</v>
      </c>
      <c r="I8908" s="425" t="s">
        <v>3285</v>
      </c>
      <c r="J8908" s="427">
        <v>24.84442</v>
      </c>
      <c r="K8908" s="427">
        <v>21.838000000000001</v>
      </c>
      <c r="L8908" s="427">
        <f t="shared" si="122"/>
        <v>3.0064199999999985</v>
      </c>
      <c r="M8908" s="337"/>
    </row>
    <row r="8909" spans="1:13" s="71" customFormat="1" ht="26.4" customHeight="1">
      <c r="A8909" s="282">
        <v>143</v>
      </c>
      <c r="B8909" s="534"/>
      <c r="C8909" s="260" t="s">
        <v>11890</v>
      </c>
      <c r="D8909" s="375" t="s">
        <v>11891</v>
      </c>
      <c r="E8909" s="236" t="s">
        <v>11894</v>
      </c>
      <c r="F8909" s="372">
        <v>91026</v>
      </c>
      <c r="G8909" s="373" t="s">
        <v>1533</v>
      </c>
      <c r="H8909" s="407" t="s">
        <v>1149</v>
      </c>
      <c r="I8909" s="425">
        <v>6</v>
      </c>
      <c r="J8909" s="427">
        <v>7.1287399999999996</v>
      </c>
      <c r="K8909" s="427">
        <v>6.7912800000000004</v>
      </c>
      <c r="L8909" s="427">
        <f t="shared" si="122"/>
        <v>0.33745999999999921</v>
      </c>
      <c r="M8909" s="337"/>
    </row>
    <row r="8910" spans="1:13" s="71" customFormat="1" ht="26.4" customHeight="1">
      <c r="A8910" s="282">
        <v>144</v>
      </c>
      <c r="B8910" s="534"/>
      <c r="C8910" s="260" t="s">
        <v>11890</v>
      </c>
      <c r="D8910" s="375" t="s">
        <v>11891</v>
      </c>
      <c r="E8910" s="236" t="s">
        <v>11895</v>
      </c>
      <c r="F8910" s="372">
        <v>91027</v>
      </c>
      <c r="G8910" s="373" t="s">
        <v>1533</v>
      </c>
      <c r="H8910" s="407" t="s">
        <v>1149</v>
      </c>
      <c r="I8910" s="425">
        <v>7</v>
      </c>
      <c r="J8910" s="427">
        <v>11.78628</v>
      </c>
      <c r="K8910" s="427">
        <v>11.111359999999999</v>
      </c>
      <c r="L8910" s="427">
        <f t="shared" si="122"/>
        <v>0.67492000000000019</v>
      </c>
      <c r="M8910" s="337"/>
    </row>
    <row r="8911" spans="1:13" s="71" customFormat="1" ht="26.4" customHeight="1">
      <c r="A8911" s="282">
        <v>145</v>
      </c>
      <c r="B8911" s="534"/>
      <c r="C8911" s="260" t="s">
        <v>11890</v>
      </c>
      <c r="D8911" s="375" t="s">
        <v>11891</v>
      </c>
      <c r="E8911" s="236" t="s">
        <v>11896</v>
      </c>
      <c r="F8911" s="372">
        <v>91028</v>
      </c>
      <c r="G8911" s="373" t="s">
        <v>1533</v>
      </c>
      <c r="H8911" s="407" t="s">
        <v>1149</v>
      </c>
      <c r="I8911" s="425">
        <v>37</v>
      </c>
      <c r="J8911" s="427">
        <v>28.865849999999998</v>
      </c>
      <c r="K8911" s="427">
        <v>28.568300000000001</v>
      </c>
      <c r="L8911" s="427">
        <f t="shared" si="122"/>
        <v>0.29754999999999754</v>
      </c>
      <c r="M8911" s="337"/>
    </row>
    <row r="8912" spans="1:13" s="71" customFormat="1" ht="26.4" customHeight="1">
      <c r="A8912" s="282">
        <v>146</v>
      </c>
      <c r="B8912" s="534"/>
      <c r="C8912" s="236" t="s">
        <v>8325</v>
      </c>
      <c r="D8912" s="260" t="s">
        <v>11776</v>
      </c>
      <c r="E8912" s="260" t="s">
        <v>11897</v>
      </c>
      <c r="F8912" s="387">
        <v>91030</v>
      </c>
      <c r="G8912" s="373" t="s">
        <v>1533</v>
      </c>
      <c r="H8912" s="407" t="s">
        <v>1136</v>
      </c>
      <c r="I8912" s="425">
        <v>250</v>
      </c>
      <c r="J8912" s="427">
        <v>61.856319999999997</v>
      </c>
      <c r="K8912" s="427">
        <v>59.87182</v>
      </c>
      <c r="L8912" s="427">
        <f t="shared" si="122"/>
        <v>1.984499999999997</v>
      </c>
      <c r="M8912" s="337"/>
    </row>
    <row r="8913" spans="1:13" s="71" customFormat="1" ht="26.4" customHeight="1">
      <c r="A8913" s="282">
        <v>147</v>
      </c>
      <c r="B8913" s="534"/>
      <c r="C8913" s="236" t="s">
        <v>11883</v>
      </c>
      <c r="D8913" s="375" t="s">
        <v>11898</v>
      </c>
      <c r="E8913" s="236" t="s">
        <v>11899</v>
      </c>
      <c r="F8913" s="372">
        <v>91031</v>
      </c>
      <c r="G8913" s="373" t="s">
        <v>8248</v>
      </c>
      <c r="H8913" s="407" t="s">
        <v>3243</v>
      </c>
      <c r="I8913" s="425" t="s">
        <v>3243</v>
      </c>
      <c r="J8913" s="427">
        <v>31.805109999999999</v>
      </c>
      <c r="K8913" s="427">
        <v>31.805109999999999</v>
      </c>
      <c r="L8913" s="427">
        <f t="shared" si="122"/>
        <v>0</v>
      </c>
      <c r="M8913" s="337"/>
    </row>
    <row r="8914" spans="1:13" s="71" customFormat="1" ht="26.4" customHeight="1">
      <c r="A8914" s="282">
        <v>148</v>
      </c>
      <c r="B8914" s="534"/>
      <c r="C8914" s="260" t="s">
        <v>11890</v>
      </c>
      <c r="D8914" s="375" t="s">
        <v>11900</v>
      </c>
      <c r="E8914" s="260" t="s">
        <v>11901</v>
      </c>
      <c r="F8914" s="387">
        <v>91033</v>
      </c>
      <c r="G8914" s="373" t="s">
        <v>1569</v>
      </c>
      <c r="H8914" s="396" t="s">
        <v>1136</v>
      </c>
      <c r="I8914" s="425">
        <v>400</v>
      </c>
      <c r="J8914" s="427">
        <v>88.93186</v>
      </c>
      <c r="K8914" s="427">
        <v>88.308009999999996</v>
      </c>
      <c r="L8914" s="427">
        <f t="shared" si="122"/>
        <v>0.62385000000000446</v>
      </c>
      <c r="M8914" s="337"/>
    </row>
    <row r="8915" spans="1:13" s="71" customFormat="1" ht="26.4" customHeight="1">
      <c r="A8915" s="282">
        <v>149</v>
      </c>
      <c r="B8915" s="534"/>
      <c r="C8915" s="260" t="s">
        <v>11890</v>
      </c>
      <c r="D8915" s="375" t="s">
        <v>11902</v>
      </c>
      <c r="E8915" s="260" t="s">
        <v>11903</v>
      </c>
      <c r="F8915" s="387">
        <v>91034</v>
      </c>
      <c r="G8915" s="373" t="s">
        <v>1569</v>
      </c>
      <c r="H8915" s="396" t="s">
        <v>3243</v>
      </c>
      <c r="I8915" s="425" t="s">
        <v>3285</v>
      </c>
      <c r="J8915" s="427">
        <v>52.539479999999998</v>
      </c>
      <c r="K8915" s="427">
        <v>51.997839999999997</v>
      </c>
      <c r="L8915" s="427">
        <f t="shared" si="122"/>
        <v>0.54164000000000101</v>
      </c>
      <c r="M8915" s="337"/>
    </row>
    <row r="8916" spans="1:13" s="71" customFormat="1" ht="26.4" customHeight="1">
      <c r="A8916" s="282">
        <v>150</v>
      </c>
      <c r="B8916" s="534"/>
      <c r="C8916" s="236" t="s">
        <v>11883</v>
      </c>
      <c r="D8916" s="375" t="s">
        <v>11904</v>
      </c>
      <c r="E8916" s="260" t="s">
        <v>11905</v>
      </c>
      <c r="F8916" s="387">
        <v>91035</v>
      </c>
      <c r="G8916" s="373" t="s">
        <v>1569</v>
      </c>
      <c r="H8916" s="396" t="s">
        <v>1149</v>
      </c>
      <c r="I8916" s="425">
        <v>1</v>
      </c>
      <c r="J8916" s="427">
        <v>10.305580000000001</v>
      </c>
      <c r="K8916" s="427">
        <v>10.197979999999999</v>
      </c>
      <c r="L8916" s="427">
        <f t="shared" si="122"/>
        <v>0.10760000000000147</v>
      </c>
      <c r="M8916" s="337"/>
    </row>
    <row r="8917" spans="1:13" s="71" customFormat="1" ht="26.4" customHeight="1">
      <c r="A8917" s="282">
        <v>151</v>
      </c>
      <c r="B8917" s="534"/>
      <c r="C8917" s="236" t="s">
        <v>11883</v>
      </c>
      <c r="D8917" s="375" t="s">
        <v>11906</v>
      </c>
      <c r="E8917" s="260" t="s">
        <v>11907</v>
      </c>
      <c r="F8917" s="387">
        <v>91036</v>
      </c>
      <c r="G8917" s="373" t="s">
        <v>1569</v>
      </c>
      <c r="H8917" s="396" t="s">
        <v>1149</v>
      </c>
      <c r="I8917" s="425">
        <v>1</v>
      </c>
      <c r="J8917" s="427">
        <v>5.5635700000000003</v>
      </c>
      <c r="K8917" s="427">
        <v>5.5054699999999999</v>
      </c>
      <c r="L8917" s="427">
        <f t="shared" si="122"/>
        <v>5.8100000000000485E-2</v>
      </c>
      <c r="M8917" s="337"/>
    </row>
    <row r="8918" spans="1:13" s="71" customFormat="1" ht="26.4" customHeight="1">
      <c r="A8918" s="282">
        <v>152</v>
      </c>
      <c r="B8918" s="534"/>
      <c r="C8918" s="468" t="s">
        <v>11890</v>
      </c>
      <c r="D8918" s="469" t="s">
        <v>11908</v>
      </c>
      <c r="E8918" s="468" t="s">
        <v>11909</v>
      </c>
      <c r="F8918" s="387">
        <v>91037</v>
      </c>
      <c r="G8918" s="373" t="s">
        <v>1569</v>
      </c>
      <c r="H8918" s="396" t="s">
        <v>1149</v>
      </c>
      <c r="I8918" s="425">
        <v>100</v>
      </c>
      <c r="J8918" s="427">
        <v>51.686630000000001</v>
      </c>
      <c r="K8918" s="427">
        <v>50.028329999999997</v>
      </c>
      <c r="L8918" s="427">
        <f t="shared" si="122"/>
        <v>1.6583000000000041</v>
      </c>
      <c r="M8918" s="337"/>
    </row>
    <row r="8919" spans="1:13" s="71" customFormat="1" ht="26.4" customHeight="1">
      <c r="A8919" s="282">
        <v>153</v>
      </c>
      <c r="B8919" s="534"/>
      <c r="C8919" s="236" t="s">
        <v>8325</v>
      </c>
      <c r="D8919" s="260" t="s">
        <v>11706</v>
      </c>
      <c r="E8919" s="260" t="s">
        <v>11910</v>
      </c>
      <c r="F8919" s="387">
        <v>91138</v>
      </c>
      <c r="G8919" s="373" t="s">
        <v>1569</v>
      </c>
      <c r="H8919" s="396" t="s">
        <v>1136</v>
      </c>
      <c r="I8919" s="425">
        <v>35.4</v>
      </c>
      <c r="J8919" s="427">
        <v>79.220140000000001</v>
      </c>
      <c r="K8919" s="427">
        <v>77.415679999999995</v>
      </c>
      <c r="L8919" s="427">
        <f t="shared" si="122"/>
        <v>1.8044600000000059</v>
      </c>
      <c r="M8919" s="337"/>
    </row>
    <row r="8920" spans="1:13" s="71" customFormat="1" ht="26.4" customHeight="1">
      <c r="A8920" s="282">
        <v>154</v>
      </c>
      <c r="B8920" s="534"/>
      <c r="C8920" s="236" t="s">
        <v>8325</v>
      </c>
      <c r="D8920" s="260" t="s">
        <v>11911</v>
      </c>
      <c r="E8920" s="236" t="s">
        <v>11912</v>
      </c>
      <c r="F8920" s="372">
        <v>91146</v>
      </c>
      <c r="G8920" s="373" t="s">
        <v>1588</v>
      </c>
      <c r="H8920" s="407" t="s">
        <v>11913</v>
      </c>
      <c r="I8920" s="471" t="s">
        <v>3285</v>
      </c>
      <c r="J8920" s="427">
        <v>35.538550000000001</v>
      </c>
      <c r="K8920" s="427">
        <v>29.031279999999999</v>
      </c>
      <c r="L8920" s="427">
        <f t="shared" si="122"/>
        <v>6.5072700000000019</v>
      </c>
      <c r="M8920" s="337"/>
    </row>
    <row r="8921" spans="1:13" s="71" customFormat="1" ht="26.4" customHeight="1">
      <c r="A8921" s="282">
        <v>155</v>
      </c>
      <c r="B8921" s="534"/>
      <c r="C8921" s="236" t="s">
        <v>8325</v>
      </c>
      <c r="D8921" s="260" t="s">
        <v>11911</v>
      </c>
      <c r="E8921" s="236" t="s">
        <v>11914</v>
      </c>
      <c r="F8921" s="372">
        <v>91147</v>
      </c>
      <c r="G8921" s="373" t="s">
        <v>1588</v>
      </c>
      <c r="H8921" s="407" t="s">
        <v>1149</v>
      </c>
      <c r="I8921" s="471">
        <v>139.5</v>
      </c>
      <c r="J8921" s="427">
        <v>68.650769999999994</v>
      </c>
      <c r="K8921" s="427">
        <v>64.776439999999994</v>
      </c>
      <c r="L8921" s="427">
        <f t="shared" si="122"/>
        <v>3.8743300000000005</v>
      </c>
      <c r="M8921" s="337"/>
    </row>
    <row r="8922" spans="1:13" s="71" customFormat="1" ht="26.4" customHeight="1">
      <c r="A8922" s="282">
        <v>156</v>
      </c>
      <c r="B8922" s="534"/>
      <c r="C8922" s="236" t="s">
        <v>8325</v>
      </c>
      <c r="D8922" s="260" t="s">
        <v>11911</v>
      </c>
      <c r="E8922" s="236" t="s">
        <v>11915</v>
      </c>
      <c r="F8922" s="372">
        <v>91148</v>
      </c>
      <c r="G8922" s="373" t="s">
        <v>1533</v>
      </c>
      <c r="H8922" s="407" t="s">
        <v>1149</v>
      </c>
      <c r="I8922" s="471">
        <v>78.8</v>
      </c>
      <c r="J8922" s="427">
        <v>53.119320000000002</v>
      </c>
      <c r="K8922" s="427">
        <v>47.738639999999997</v>
      </c>
      <c r="L8922" s="427">
        <f t="shared" si="122"/>
        <v>5.3806800000000052</v>
      </c>
      <c r="M8922" s="337"/>
    </row>
    <row r="8923" spans="1:13" s="71" customFormat="1" ht="26.4" customHeight="1">
      <c r="A8923" s="282">
        <v>157</v>
      </c>
      <c r="B8923" s="534"/>
      <c r="C8923" s="236" t="s">
        <v>8325</v>
      </c>
      <c r="D8923" s="260" t="s">
        <v>11911</v>
      </c>
      <c r="E8923" s="236" t="s">
        <v>11916</v>
      </c>
      <c r="F8923" s="372">
        <v>91149</v>
      </c>
      <c r="G8923" s="373" t="s">
        <v>1533</v>
      </c>
      <c r="H8923" s="407" t="s">
        <v>1149</v>
      </c>
      <c r="I8923" s="471">
        <v>73.3</v>
      </c>
      <c r="J8923" s="427">
        <v>45.047490000000003</v>
      </c>
      <c r="K8923" s="427">
        <v>40.295200000000001</v>
      </c>
      <c r="L8923" s="427">
        <f t="shared" si="122"/>
        <v>4.7522900000000021</v>
      </c>
      <c r="M8923" s="337"/>
    </row>
    <row r="8924" spans="1:13" s="71" customFormat="1" ht="26.4" customHeight="1">
      <c r="A8924" s="282">
        <v>158</v>
      </c>
      <c r="B8924" s="534"/>
      <c r="C8924" s="236" t="s">
        <v>8325</v>
      </c>
      <c r="D8924" s="260" t="s">
        <v>11911</v>
      </c>
      <c r="E8924" s="236" t="s">
        <v>11917</v>
      </c>
      <c r="F8924" s="372">
        <v>91150</v>
      </c>
      <c r="G8924" s="373" t="s">
        <v>1549</v>
      </c>
      <c r="H8924" s="407" t="s">
        <v>1149</v>
      </c>
      <c r="I8924" s="471">
        <v>42.9</v>
      </c>
      <c r="J8924" s="427">
        <v>40.73789</v>
      </c>
      <c r="K8924" s="427">
        <v>35.346400000000003</v>
      </c>
      <c r="L8924" s="427">
        <f t="shared" si="122"/>
        <v>5.3914899999999975</v>
      </c>
      <c r="M8924" s="337"/>
    </row>
    <row r="8925" spans="1:13" s="71" customFormat="1" ht="26.4" customHeight="1">
      <c r="A8925" s="282">
        <v>159</v>
      </c>
      <c r="B8925" s="534"/>
      <c r="C8925" s="236" t="s">
        <v>8325</v>
      </c>
      <c r="D8925" s="260" t="s">
        <v>11911</v>
      </c>
      <c r="E8925" s="236" t="s">
        <v>11918</v>
      </c>
      <c r="F8925" s="372">
        <v>91151</v>
      </c>
      <c r="G8925" s="373" t="s">
        <v>1549</v>
      </c>
      <c r="H8925" s="407" t="s">
        <v>1149</v>
      </c>
      <c r="I8925" s="471" t="s">
        <v>3285</v>
      </c>
      <c r="J8925" s="427">
        <v>300.97413</v>
      </c>
      <c r="K8925" s="427">
        <v>293.92072000000002</v>
      </c>
      <c r="L8925" s="427">
        <f t="shared" si="122"/>
        <v>7.0534099999999853</v>
      </c>
      <c r="M8925" s="337"/>
    </row>
    <row r="8926" spans="1:13" s="71" customFormat="1" ht="26.4" customHeight="1">
      <c r="A8926" s="282">
        <v>160</v>
      </c>
      <c r="B8926" s="534"/>
      <c r="C8926" s="236" t="s">
        <v>8325</v>
      </c>
      <c r="D8926" s="260" t="s">
        <v>11911</v>
      </c>
      <c r="E8926" s="236" t="s">
        <v>11919</v>
      </c>
      <c r="F8926" s="372">
        <v>91152</v>
      </c>
      <c r="G8926" s="373" t="s">
        <v>1549</v>
      </c>
      <c r="H8926" s="407" t="s">
        <v>1149</v>
      </c>
      <c r="I8926" s="471">
        <v>120.3</v>
      </c>
      <c r="J8926" s="427">
        <v>127.53534000000001</v>
      </c>
      <c r="K8926" s="427">
        <v>123.29300000000001</v>
      </c>
      <c r="L8926" s="427">
        <f t="shared" si="122"/>
        <v>4.2423399999999987</v>
      </c>
      <c r="M8926" s="337"/>
    </row>
    <row r="8927" spans="1:13" s="71" customFormat="1" ht="26.4" customHeight="1">
      <c r="A8927" s="282">
        <v>161</v>
      </c>
      <c r="B8927" s="534"/>
      <c r="C8927" s="236" t="s">
        <v>8325</v>
      </c>
      <c r="D8927" s="260" t="s">
        <v>11911</v>
      </c>
      <c r="E8927" s="236" t="s">
        <v>11920</v>
      </c>
      <c r="F8927" s="372">
        <v>91153</v>
      </c>
      <c r="G8927" s="373" t="s">
        <v>1549</v>
      </c>
      <c r="H8927" s="407" t="s">
        <v>1149</v>
      </c>
      <c r="I8927" s="471">
        <v>83.2</v>
      </c>
      <c r="J8927" s="427">
        <v>33.606999999999999</v>
      </c>
      <c r="K8927" s="427">
        <v>30.157119999999999</v>
      </c>
      <c r="L8927" s="427">
        <f t="shared" si="122"/>
        <v>3.4498800000000003</v>
      </c>
      <c r="M8927" s="337"/>
    </row>
    <row r="8928" spans="1:13" s="71" customFormat="1" ht="26.4" customHeight="1">
      <c r="A8928" s="282">
        <v>162</v>
      </c>
      <c r="B8928" s="534"/>
      <c r="C8928" s="236" t="s">
        <v>8325</v>
      </c>
      <c r="D8928" s="260" t="s">
        <v>11911</v>
      </c>
      <c r="E8928" s="260" t="s">
        <v>11921</v>
      </c>
      <c r="F8928" s="387">
        <v>91157</v>
      </c>
      <c r="G8928" s="373" t="s">
        <v>1569</v>
      </c>
      <c r="H8928" s="396" t="s">
        <v>3243</v>
      </c>
      <c r="I8928" s="471" t="s">
        <v>3285</v>
      </c>
      <c r="J8928" s="427">
        <v>45.985349999999997</v>
      </c>
      <c r="K8928" s="427">
        <v>42.218179999999997</v>
      </c>
      <c r="L8928" s="427">
        <f t="shared" si="122"/>
        <v>3.7671700000000001</v>
      </c>
      <c r="M8928" s="337"/>
    </row>
    <row r="8929" spans="1:13" s="71" customFormat="1" ht="26.4" customHeight="1">
      <c r="A8929" s="282">
        <v>163</v>
      </c>
      <c r="B8929" s="534"/>
      <c r="C8929" s="236" t="s">
        <v>8325</v>
      </c>
      <c r="D8929" s="260" t="s">
        <v>11911</v>
      </c>
      <c r="E8929" s="260" t="s">
        <v>11922</v>
      </c>
      <c r="F8929" s="387">
        <v>91166</v>
      </c>
      <c r="G8929" s="373" t="s">
        <v>1569</v>
      </c>
      <c r="H8929" s="396" t="s">
        <v>3243</v>
      </c>
      <c r="I8929" s="471" t="s">
        <v>3285</v>
      </c>
      <c r="J8929" s="427">
        <v>10.050000000000001</v>
      </c>
      <c r="K8929" s="427">
        <v>10.050000000000001</v>
      </c>
      <c r="L8929" s="427">
        <f t="shared" si="122"/>
        <v>0</v>
      </c>
      <c r="M8929" s="337"/>
    </row>
    <row r="8930" spans="1:13" s="71" customFormat="1" ht="26.4" customHeight="1">
      <c r="A8930" s="282">
        <v>164</v>
      </c>
      <c r="B8930" s="534"/>
      <c r="C8930" s="236" t="s">
        <v>8325</v>
      </c>
      <c r="D8930" s="260" t="s">
        <v>11911</v>
      </c>
      <c r="E8930" s="260" t="s">
        <v>11923</v>
      </c>
      <c r="F8930" s="387">
        <v>91169</v>
      </c>
      <c r="G8930" s="373" t="s">
        <v>1569</v>
      </c>
      <c r="H8930" s="396" t="s">
        <v>1149</v>
      </c>
      <c r="I8930" s="471">
        <v>28.3</v>
      </c>
      <c r="J8930" s="427">
        <v>20.172830000000001</v>
      </c>
      <c r="K8930" s="427">
        <v>18.303640000000001</v>
      </c>
      <c r="L8930" s="427">
        <f t="shared" si="122"/>
        <v>1.8691899999999997</v>
      </c>
      <c r="M8930" s="337"/>
    </row>
    <row r="8931" spans="1:13" s="71" customFormat="1" ht="26.4" customHeight="1">
      <c r="A8931" s="282">
        <v>165</v>
      </c>
      <c r="B8931" s="534"/>
      <c r="C8931" s="236" t="s">
        <v>8325</v>
      </c>
      <c r="D8931" s="260" t="s">
        <v>11911</v>
      </c>
      <c r="E8931" s="260" t="s">
        <v>11849</v>
      </c>
      <c r="F8931" s="387">
        <v>91170</v>
      </c>
      <c r="G8931" s="373" t="s">
        <v>1569</v>
      </c>
      <c r="H8931" s="396" t="s">
        <v>1149</v>
      </c>
      <c r="I8931" s="471">
        <v>127</v>
      </c>
      <c r="J8931" s="427">
        <v>64.204520000000002</v>
      </c>
      <c r="K8931" s="427">
        <v>63.385899999999999</v>
      </c>
      <c r="L8931" s="427">
        <f t="shared" si="122"/>
        <v>0.81862000000000279</v>
      </c>
      <c r="M8931" s="337"/>
    </row>
    <row r="8932" spans="1:13" s="71" customFormat="1" ht="26.4" customHeight="1">
      <c r="A8932" s="282">
        <v>166</v>
      </c>
      <c r="B8932" s="534"/>
      <c r="C8932" s="236" t="s">
        <v>8325</v>
      </c>
      <c r="D8932" s="260" t="s">
        <v>11911</v>
      </c>
      <c r="E8932" s="260" t="s">
        <v>11924</v>
      </c>
      <c r="F8932" s="387">
        <v>91172</v>
      </c>
      <c r="G8932" s="373" t="s">
        <v>1569</v>
      </c>
      <c r="H8932" s="396" t="s">
        <v>3243</v>
      </c>
      <c r="I8932" s="471" t="s">
        <v>3243</v>
      </c>
      <c r="J8932" s="427">
        <v>6.7662399999999998</v>
      </c>
      <c r="K8932" s="427">
        <v>6.6657000000000002</v>
      </c>
      <c r="L8932" s="427">
        <f t="shared" si="122"/>
        <v>0.10053999999999963</v>
      </c>
      <c r="M8932" s="337"/>
    </row>
    <row r="8933" spans="1:13" s="71" customFormat="1" ht="26.4" customHeight="1">
      <c r="A8933" s="282">
        <v>167</v>
      </c>
      <c r="B8933" s="534"/>
      <c r="C8933" s="236" t="s">
        <v>8325</v>
      </c>
      <c r="D8933" s="260" t="s">
        <v>11911</v>
      </c>
      <c r="E8933" s="260" t="s">
        <v>11849</v>
      </c>
      <c r="F8933" s="387">
        <v>91178</v>
      </c>
      <c r="G8933" s="373" t="s">
        <v>1569</v>
      </c>
      <c r="H8933" s="396" t="s">
        <v>1149</v>
      </c>
      <c r="I8933" s="471">
        <v>127</v>
      </c>
      <c r="J8933" s="427">
        <v>12.763339999999999</v>
      </c>
      <c r="K8933" s="427">
        <v>10.457700000000001</v>
      </c>
      <c r="L8933" s="427">
        <f t="shared" si="122"/>
        <v>2.3056399999999986</v>
      </c>
      <c r="M8933" s="337"/>
    </row>
    <row r="8934" spans="1:13" s="71" customFormat="1" ht="26.4" customHeight="1">
      <c r="A8934" s="282">
        <v>168</v>
      </c>
      <c r="B8934" s="534"/>
      <c r="C8934" s="236" t="s">
        <v>8325</v>
      </c>
      <c r="D8934" s="260" t="s">
        <v>11911</v>
      </c>
      <c r="E8934" s="260" t="s">
        <v>11925</v>
      </c>
      <c r="F8934" s="387">
        <v>91179</v>
      </c>
      <c r="G8934" s="373" t="s">
        <v>1569</v>
      </c>
      <c r="H8934" s="396" t="s">
        <v>1149</v>
      </c>
      <c r="I8934" s="471">
        <v>254.3</v>
      </c>
      <c r="J8934" s="427">
        <v>173.52518000000001</v>
      </c>
      <c r="K8934" s="427">
        <v>172.54640000000001</v>
      </c>
      <c r="L8934" s="427">
        <f t="shared" si="122"/>
        <v>0.97878000000000043</v>
      </c>
      <c r="M8934" s="337"/>
    </row>
    <row r="8935" spans="1:13" s="71" customFormat="1" ht="26.4" customHeight="1">
      <c r="A8935" s="282">
        <v>169</v>
      </c>
      <c r="B8935" s="534"/>
      <c r="C8935" s="236" t="s">
        <v>8325</v>
      </c>
      <c r="D8935" s="260" t="s">
        <v>11911</v>
      </c>
      <c r="E8935" s="260" t="s">
        <v>11923</v>
      </c>
      <c r="F8935" s="387">
        <v>91180</v>
      </c>
      <c r="G8935" s="373" t="s">
        <v>1569</v>
      </c>
      <c r="H8935" s="396" t="s">
        <v>1149</v>
      </c>
      <c r="I8935" s="471">
        <v>191</v>
      </c>
      <c r="J8935" s="427">
        <v>94.078969999999998</v>
      </c>
      <c r="K8935" s="427">
        <v>90.533640000000005</v>
      </c>
      <c r="L8935" s="427">
        <f t="shared" si="122"/>
        <v>3.5453299999999928</v>
      </c>
      <c r="M8935" s="337"/>
    </row>
    <row r="8936" spans="1:13" s="71" customFormat="1" ht="26.4" customHeight="1">
      <c r="A8936" s="282">
        <v>170</v>
      </c>
      <c r="B8936" s="534"/>
      <c r="C8936" s="236" t="s">
        <v>8325</v>
      </c>
      <c r="D8936" s="260" t="s">
        <v>11911</v>
      </c>
      <c r="E8936" s="236" t="s">
        <v>11926</v>
      </c>
      <c r="F8936" s="372">
        <v>91168</v>
      </c>
      <c r="G8936" s="373" t="s">
        <v>1549</v>
      </c>
      <c r="H8936" s="407" t="s">
        <v>1149</v>
      </c>
      <c r="I8936" s="471">
        <v>119.2</v>
      </c>
      <c r="J8936" s="427">
        <v>68.816999999999993</v>
      </c>
      <c r="K8936" s="427">
        <v>68.816999999999993</v>
      </c>
      <c r="L8936" s="427">
        <f t="shared" si="122"/>
        <v>0</v>
      </c>
      <c r="M8936" s="337"/>
    </row>
    <row r="8937" spans="1:13" s="71" customFormat="1" ht="26.4" customHeight="1">
      <c r="A8937" s="282">
        <v>171</v>
      </c>
      <c r="B8937" s="534"/>
      <c r="C8937" s="236" t="s">
        <v>11927</v>
      </c>
      <c r="D8937" s="260" t="s">
        <v>3</v>
      </c>
      <c r="E8937" s="236" t="s">
        <v>11928</v>
      </c>
      <c r="F8937" s="372">
        <v>92258</v>
      </c>
      <c r="G8937" s="373" t="s">
        <v>1548</v>
      </c>
      <c r="H8937" s="407" t="s">
        <v>3243</v>
      </c>
      <c r="I8937" s="471" t="s">
        <v>3243</v>
      </c>
      <c r="J8937" s="427">
        <v>621.70047999999997</v>
      </c>
      <c r="K8937" s="427">
        <v>612.36500000000001</v>
      </c>
      <c r="L8937" s="427">
        <f t="shared" si="122"/>
        <v>9.3354799999999614</v>
      </c>
      <c r="M8937" s="337"/>
    </row>
    <row r="8938" spans="1:13" s="71" customFormat="1" ht="26.4" customHeight="1">
      <c r="A8938" s="282">
        <v>172</v>
      </c>
      <c r="B8938" s="534"/>
      <c r="C8938" s="236" t="s">
        <v>11927</v>
      </c>
      <c r="D8938" s="260" t="s">
        <v>3</v>
      </c>
      <c r="E8938" s="236" t="s">
        <v>13219</v>
      </c>
      <c r="F8938" s="387">
        <v>92253</v>
      </c>
      <c r="G8938" s="373" t="s">
        <v>1544</v>
      </c>
      <c r="H8938" s="407" t="s">
        <v>1149</v>
      </c>
      <c r="I8938" s="471">
        <v>19.3</v>
      </c>
      <c r="J8938" s="427">
        <v>23.975899999999999</v>
      </c>
      <c r="K8938" s="427">
        <v>20.359100000000002</v>
      </c>
      <c r="L8938" s="427">
        <f t="shared" si="122"/>
        <v>3.6167999999999978</v>
      </c>
      <c r="M8938" s="337"/>
    </row>
    <row r="8939" spans="1:13" s="71" customFormat="1" ht="26.4" customHeight="1">
      <c r="A8939" s="282">
        <v>173</v>
      </c>
      <c r="B8939" s="534"/>
      <c r="C8939" s="236" t="s">
        <v>11927</v>
      </c>
      <c r="D8939" s="260" t="s">
        <v>3</v>
      </c>
      <c r="E8939" s="236" t="s">
        <v>13220</v>
      </c>
      <c r="F8939" s="387">
        <v>92254</v>
      </c>
      <c r="G8939" s="373" t="s">
        <v>1544</v>
      </c>
      <c r="H8939" s="407" t="s">
        <v>1149</v>
      </c>
      <c r="I8939" s="471">
        <v>16</v>
      </c>
      <c r="J8939" s="427">
        <v>87.814679999999996</v>
      </c>
      <c r="K8939" s="427">
        <v>82.183999999999997</v>
      </c>
      <c r="L8939" s="427">
        <f t="shared" si="122"/>
        <v>5.6306799999999981</v>
      </c>
      <c r="M8939" s="337"/>
    </row>
    <row r="8940" spans="1:13" s="71" customFormat="1" ht="26.4" customHeight="1">
      <c r="A8940" s="282">
        <v>174</v>
      </c>
      <c r="B8940" s="534"/>
      <c r="C8940" s="236" t="s">
        <v>11929</v>
      </c>
      <c r="D8940" s="260" t="s">
        <v>11930</v>
      </c>
      <c r="E8940" s="236" t="s">
        <v>11931</v>
      </c>
      <c r="F8940" s="372">
        <v>43318</v>
      </c>
      <c r="G8940" s="373" t="s">
        <v>1576</v>
      </c>
      <c r="H8940" s="407" t="s">
        <v>3243</v>
      </c>
      <c r="I8940" s="471" t="s">
        <v>3285</v>
      </c>
      <c r="J8940" s="427">
        <v>1.78193</v>
      </c>
      <c r="K8940" s="427">
        <v>1.44045</v>
      </c>
      <c r="L8940" s="427">
        <f t="shared" si="122"/>
        <v>0.34148000000000001</v>
      </c>
      <c r="M8940" s="337"/>
    </row>
    <row r="8941" spans="1:13" s="71" customFormat="1" ht="26.4" customHeight="1">
      <c r="A8941" s="282">
        <v>175</v>
      </c>
      <c r="B8941" s="534"/>
      <c r="C8941" s="260" t="s">
        <v>11932</v>
      </c>
      <c r="D8941" s="260" t="s">
        <v>11933</v>
      </c>
      <c r="E8941" s="236" t="s">
        <v>11934</v>
      </c>
      <c r="F8941" s="372">
        <v>91957</v>
      </c>
      <c r="G8941" s="373" t="s">
        <v>1569</v>
      </c>
      <c r="H8941" s="396" t="s">
        <v>1149</v>
      </c>
      <c r="I8941" s="471">
        <v>9</v>
      </c>
      <c r="J8941" s="427">
        <v>1.45</v>
      </c>
      <c r="K8941" s="427">
        <v>1.36</v>
      </c>
      <c r="L8941" s="427">
        <f t="shared" si="122"/>
        <v>8.9999999999999858E-2</v>
      </c>
      <c r="M8941" s="337"/>
    </row>
    <row r="8942" spans="1:13" s="71" customFormat="1" ht="26.4" customHeight="1">
      <c r="A8942" s="282">
        <v>176</v>
      </c>
      <c r="B8942" s="534"/>
      <c r="C8942" s="260" t="s">
        <v>11932</v>
      </c>
      <c r="D8942" s="260" t="s">
        <v>11933</v>
      </c>
      <c r="E8942" s="260" t="s">
        <v>11935</v>
      </c>
      <c r="F8942" s="387">
        <v>91959</v>
      </c>
      <c r="G8942" s="373" t="s">
        <v>1569</v>
      </c>
      <c r="H8942" s="396" t="s">
        <v>1149</v>
      </c>
      <c r="I8942" s="471">
        <v>10</v>
      </c>
      <c r="J8942" s="427">
        <v>1.458</v>
      </c>
      <c r="K8942" s="427">
        <v>0.97960000000000003</v>
      </c>
      <c r="L8942" s="427">
        <f t="shared" si="122"/>
        <v>0.47839999999999994</v>
      </c>
      <c r="M8942" s="337"/>
    </row>
    <row r="8943" spans="1:13" s="71" customFormat="1" ht="26.4" customHeight="1">
      <c r="A8943" s="282">
        <v>177</v>
      </c>
      <c r="B8943" s="534"/>
      <c r="C8943" s="236" t="s">
        <v>11936</v>
      </c>
      <c r="D8943" s="260" t="s">
        <v>11937</v>
      </c>
      <c r="E8943" s="236" t="s">
        <v>11938</v>
      </c>
      <c r="F8943" s="372">
        <v>91961</v>
      </c>
      <c r="G8943" s="373" t="s">
        <v>1569</v>
      </c>
      <c r="H8943" s="396" t="s">
        <v>1149</v>
      </c>
      <c r="I8943" s="471">
        <v>140</v>
      </c>
      <c r="J8943" s="427">
        <v>32.746000000000002</v>
      </c>
      <c r="K8943" s="427">
        <v>30.946000000000002</v>
      </c>
      <c r="L8943" s="427">
        <f t="shared" si="122"/>
        <v>1.8000000000000007</v>
      </c>
      <c r="M8943" s="337"/>
    </row>
    <row r="8944" spans="1:13" s="71" customFormat="1" ht="26.4" customHeight="1">
      <c r="A8944" s="282">
        <v>178</v>
      </c>
      <c r="B8944" s="534"/>
      <c r="C8944" s="236" t="s">
        <v>11939</v>
      </c>
      <c r="D8944" s="260" t="s">
        <v>11937</v>
      </c>
      <c r="E8944" s="236" t="s">
        <v>11940</v>
      </c>
      <c r="F8944" s="372">
        <v>91966</v>
      </c>
      <c r="G8944" s="373" t="s">
        <v>1546</v>
      </c>
      <c r="H8944" s="396" t="s">
        <v>1149</v>
      </c>
      <c r="I8944" s="471">
        <v>1400</v>
      </c>
      <c r="J8944" s="427">
        <v>20.895</v>
      </c>
      <c r="K8944" s="427">
        <v>19.995000000000001</v>
      </c>
      <c r="L8944" s="427">
        <f t="shared" si="122"/>
        <v>0.89999999999999858</v>
      </c>
      <c r="M8944" s="337"/>
    </row>
    <row r="8945" spans="1:13" s="71" customFormat="1" ht="26.4" customHeight="1">
      <c r="A8945" s="282">
        <v>179</v>
      </c>
      <c r="B8945" s="534"/>
      <c r="C8945" s="236" t="s">
        <v>11929</v>
      </c>
      <c r="D8945" s="260" t="s">
        <v>11930</v>
      </c>
      <c r="E8945" s="260" t="s">
        <v>11941</v>
      </c>
      <c r="F8945" s="372">
        <v>92080</v>
      </c>
      <c r="G8945" s="373" t="s">
        <v>1550</v>
      </c>
      <c r="H8945" s="407" t="s">
        <v>1136</v>
      </c>
      <c r="I8945" s="471">
        <v>120</v>
      </c>
      <c r="J8945" s="427">
        <v>22</v>
      </c>
      <c r="K8945" s="427">
        <v>21.594940000000001</v>
      </c>
      <c r="L8945" s="427">
        <f t="shared" si="122"/>
        <v>0.40505999999999887</v>
      </c>
      <c r="M8945" s="337"/>
    </row>
    <row r="8946" spans="1:13" s="71" customFormat="1" ht="26.4" customHeight="1">
      <c r="A8946" s="282">
        <v>180</v>
      </c>
      <c r="B8946" s="534"/>
      <c r="C8946" s="236" t="s">
        <v>11929</v>
      </c>
      <c r="D8946" s="260" t="s">
        <v>11930</v>
      </c>
      <c r="E8946" s="260" t="s">
        <v>11942</v>
      </c>
      <c r="F8946" s="387">
        <v>92083</v>
      </c>
      <c r="G8946" s="373" t="s">
        <v>1550</v>
      </c>
      <c r="H8946" s="407" t="s">
        <v>1149</v>
      </c>
      <c r="I8946" s="471">
        <v>100</v>
      </c>
      <c r="J8946" s="427">
        <v>203.84374</v>
      </c>
      <c r="K8946" s="427">
        <v>201.50675000000001</v>
      </c>
      <c r="L8946" s="427">
        <f t="shared" si="122"/>
        <v>2.3369899999999859</v>
      </c>
      <c r="M8946" s="337"/>
    </row>
    <row r="8947" spans="1:13" s="71" customFormat="1" ht="26.4" customHeight="1">
      <c r="A8947" s="282">
        <v>181</v>
      </c>
      <c r="B8947" s="534"/>
      <c r="C8947" s="236" t="s">
        <v>11943</v>
      </c>
      <c r="D8947" s="444" t="s">
        <v>12993</v>
      </c>
      <c r="E8947" s="375" t="s">
        <v>13221</v>
      </c>
      <c r="F8947" s="372">
        <v>92144</v>
      </c>
      <c r="G8947" s="373" t="s">
        <v>1569</v>
      </c>
      <c r="H8947" s="407" t="s">
        <v>1149</v>
      </c>
      <c r="I8947" s="471">
        <v>38.5</v>
      </c>
      <c r="J8947" s="427">
        <v>51.582999999999998</v>
      </c>
      <c r="K8947" s="427">
        <v>49.582850000000001</v>
      </c>
      <c r="L8947" s="427">
        <f t="shared" si="122"/>
        <v>2.0001499999999979</v>
      </c>
      <c r="M8947" s="337"/>
    </row>
    <row r="8948" spans="1:13" s="71" customFormat="1" ht="26.4" customHeight="1">
      <c r="A8948" s="282">
        <v>182</v>
      </c>
      <c r="B8948" s="534"/>
      <c r="C8948" s="236" t="s">
        <v>8325</v>
      </c>
      <c r="D8948" s="236" t="s">
        <v>11944</v>
      </c>
      <c r="E8948" s="236" t="s">
        <v>11945</v>
      </c>
      <c r="F8948" s="372">
        <v>10108</v>
      </c>
      <c r="G8948" s="373" t="s">
        <v>8248</v>
      </c>
      <c r="H8948" s="407" t="s">
        <v>1149</v>
      </c>
      <c r="I8948" s="471">
        <v>1039</v>
      </c>
      <c r="J8948" s="427">
        <v>631.03607</v>
      </c>
      <c r="K8948" s="427">
        <v>631.03607</v>
      </c>
      <c r="L8948" s="427">
        <f t="shared" si="122"/>
        <v>0</v>
      </c>
      <c r="M8948" s="337"/>
    </row>
    <row r="8949" spans="1:13" s="71" customFormat="1" ht="26.4" customHeight="1">
      <c r="A8949" s="282">
        <v>183</v>
      </c>
      <c r="B8949" s="534"/>
      <c r="C8949" s="236" t="s">
        <v>25</v>
      </c>
      <c r="D8949" s="236" t="s">
        <v>3</v>
      </c>
      <c r="E8949" s="236" t="s">
        <v>13222</v>
      </c>
      <c r="F8949" s="372">
        <v>10233</v>
      </c>
      <c r="G8949" s="373" t="s">
        <v>1566</v>
      </c>
      <c r="H8949" s="407" t="s">
        <v>1149</v>
      </c>
      <c r="I8949" s="471">
        <v>519.4</v>
      </c>
      <c r="J8949" s="427">
        <v>267.46526</v>
      </c>
      <c r="K8949" s="427">
        <v>267.46526</v>
      </c>
      <c r="L8949" s="427">
        <f t="shared" si="122"/>
        <v>0</v>
      </c>
      <c r="M8949" s="337"/>
    </row>
    <row r="8950" spans="1:13" s="71" customFormat="1" ht="26.4" customHeight="1">
      <c r="A8950" s="282">
        <v>184</v>
      </c>
      <c r="B8950" s="534"/>
      <c r="C8950" s="260" t="s">
        <v>11743</v>
      </c>
      <c r="D8950" s="260" t="s">
        <v>11744</v>
      </c>
      <c r="E8950" s="260" t="s">
        <v>11946</v>
      </c>
      <c r="F8950" s="387">
        <v>20239</v>
      </c>
      <c r="G8950" s="373" t="s">
        <v>1539</v>
      </c>
      <c r="H8950" s="396" t="s">
        <v>3243</v>
      </c>
      <c r="I8950" s="470" t="s">
        <v>3285</v>
      </c>
      <c r="J8950" s="427">
        <v>46.468380000000003</v>
      </c>
      <c r="K8950" s="427">
        <v>45.223619999999997</v>
      </c>
      <c r="L8950" s="427">
        <f t="shared" si="122"/>
        <v>1.2447600000000065</v>
      </c>
      <c r="M8950" s="337"/>
    </row>
    <row r="8951" spans="1:13" s="71" customFormat="1" ht="26.4" customHeight="1">
      <c r="A8951" s="282">
        <v>185</v>
      </c>
      <c r="B8951" s="534"/>
      <c r="C8951" s="236" t="s">
        <v>1169</v>
      </c>
      <c r="D8951" s="260" t="s">
        <v>11947</v>
      </c>
      <c r="E8951" s="260" t="s">
        <v>11948</v>
      </c>
      <c r="F8951" s="387">
        <v>20273</v>
      </c>
      <c r="G8951" s="373" t="s">
        <v>1561</v>
      </c>
      <c r="H8951" s="396" t="s">
        <v>3243</v>
      </c>
      <c r="I8951" s="470" t="s">
        <v>3285</v>
      </c>
      <c r="J8951" s="427">
        <v>583.51990000000001</v>
      </c>
      <c r="K8951" s="427">
        <v>582.41966000000002</v>
      </c>
      <c r="L8951" s="427">
        <f t="shared" si="122"/>
        <v>1.1002399999999852</v>
      </c>
      <c r="M8951" s="337"/>
    </row>
    <row r="8952" spans="1:13" s="71" customFormat="1" ht="26.4" customHeight="1">
      <c r="A8952" s="282">
        <v>186</v>
      </c>
      <c r="B8952" s="534"/>
      <c r="C8952" s="260" t="s">
        <v>10229</v>
      </c>
      <c r="D8952" s="260" t="s">
        <v>11949</v>
      </c>
      <c r="E8952" s="260" t="s">
        <v>11950</v>
      </c>
      <c r="F8952" s="387">
        <v>20274</v>
      </c>
      <c r="G8952" s="373" t="s">
        <v>1584</v>
      </c>
      <c r="H8952" s="396" t="s">
        <v>3243</v>
      </c>
      <c r="I8952" s="470" t="s">
        <v>3285</v>
      </c>
      <c r="J8952" s="427">
        <v>321.59332000000001</v>
      </c>
      <c r="K8952" s="427">
        <v>315.98989</v>
      </c>
      <c r="L8952" s="427">
        <f t="shared" si="122"/>
        <v>5.603430000000003</v>
      </c>
      <c r="M8952" s="337"/>
    </row>
    <row r="8953" spans="1:13" s="71" customFormat="1" ht="26.4" customHeight="1">
      <c r="A8953" s="282">
        <v>187</v>
      </c>
      <c r="B8953" s="534"/>
      <c r="C8953" s="236" t="s">
        <v>8325</v>
      </c>
      <c r="D8953" s="260" t="s">
        <v>11951</v>
      </c>
      <c r="E8953" s="260" t="s">
        <v>11952</v>
      </c>
      <c r="F8953" s="387">
        <v>20275</v>
      </c>
      <c r="G8953" s="373" t="s">
        <v>1561</v>
      </c>
      <c r="H8953" s="396" t="s">
        <v>3243</v>
      </c>
      <c r="I8953" s="470" t="s">
        <v>3285</v>
      </c>
      <c r="J8953" s="427">
        <v>99.990979999999993</v>
      </c>
      <c r="K8953" s="427">
        <v>98.249539999999996</v>
      </c>
      <c r="L8953" s="427">
        <f t="shared" si="122"/>
        <v>1.7414399999999972</v>
      </c>
      <c r="M8953" s="337"/>
    </row>
    <row r="8954" spans="1:13" s="71" customFormat="1" ht="26.4" customHeight="1">
      <c r="A8954" s="282">
        <v>188</v>
      </c>
      <c r="B8954" s="534"/>
      <c r="C8954" s="236" t="s">
        <v>8325</v>
      </c>
      <c r="D8954" s="260" t="s">
        <v>11778</v>
      </c>
      <c r="E8954" s="260" t="s">
        <v>11953</v>
      </c>
      <c r="F8954" s="387">
        <v>20276</v>
      </c>
      <c r="G8954" s="373" t="s">
        <v>1588</v>
      </c>
      <c r="H8954" s="396" t="s">
        <v>3243</v>
      </c>
      <c r="I8954" s="470" t="s">
        <v>3285</v>
      </c>
      <c r="J8954" s="427">
        <v>73.703199999999995</v>
      </c>
      <c r="K8954" s="427">
        <v>72.419560000000004</v>
      </c>
      <c r="L8954" s="427">
        <f t="shared" si="122"/>
        <v>1.2836399999999912</v>
      </c>
      <c r="M8954" s="337"/>
    </row>
    <row r="8955" spans="1:13" s="71" customFormat="1" ht="26.4" customHeight="1">
      <c r="A8955" s="282">
        <v>189</v>
      </c>
      <c r="B8955" s="534"/>
      <c r="C8955" s="236" t="s">
        <v>8325</v>
      </c>
      <c r="D8955" s="260" t="s">
        <v>12994</v>
      </c>
      <c r="E8955" s="260" t="s">
        <v>11954</v>
      </c>
      <c r="F8955" s="387">
        <v>20277</v>
      </c>
      <c r="G8955" s="373" t="s">
        <v>1584</v>
      </c>
      <c r="H8955" s="396" t="s">
        <v>3243</v>
      </c>
      <c r="I8955" s="470" t="s">
        <v>3285</v>
      </c>
      <c r="J8955" s="427">
        <v>12.7979</v>
      </c>
      <c r="K8955" s="427">
        <v>12.261509999999999</v>
      </c>
      <c r="L8955" s="427">
        <f t="shared" si="122"/>
        <v>0.53639000000000081</v>
      </c>
      <c r="M8955" s="337"/>
    </row>
    <row r="8956" spans="1:13" s="71" customFormat="1" ht="26.4" customHeight="1">
      <c r="A8956" s="282">
        <v>190</v>
      </c>
      <c r="B8956" s="534"/>
      <c r="C8956" s="444" t="s">
        <v>11955</v>
      </c>
      <c r="D8956" s="444" t="s">
        <v>12995</v>
      </c>
      <c r="E8956" s="444" t="s">
        <v>11956</v>
      </c>
      <c r="F8956" s="387">
        <v>20279</v>
      </c>
      <c r="G8956" s="373" t="s">
        <v>1584</v>
      </c>
      <c r="H8956" s="396" t="s">
        <v>3243</v>
      </c>
      <c r="I8956" s="470" t="s">
        <v>3285</v>
      </c>
      <c r="J8956" s="427">
        <v>139.30974000000001</v>
      </c>
      <c r="K8956" s="427">
        <v>139.30974000000001</v>
      </c>
      <c r="L8956" s="427">
        <f t="shared" si="122"/>
        <v>0</v>
      </c>
      <c r="M8956" s="337"/>
    </row>
    <row r="8957" spans="1:13" s="71" customFormat="1" ht="26.4" customHeight="1">
      <c r="A8957" s="282">
        <v>191</v>
      </c>
      <c r="B8957" s="534"/>
      <c r="C8957" s="260" t="s">
        <v>11957</v>
      </c>
      <c r="D8957" s="260" t="s">
        <v>11958</v>
      </c>
      <c r="E8957" s="260" t="s">
        <v>11959</v>
      </c>
      <c r="F8957" s="387">
        <v>20280</v>
      </c>
      <c r="G8957" s="373" t="s">
        <v>1584</v>
      </c>
      <c r="H8957" s="396" t="s">
        <v>3243</v>
      </c>
      <c r="I8957" s="470" t="s">
        <v>3285</v>
      </c>
      <c r="J8957" s="427">
        <v>146.98740000000001</v>
      </c>
      <c r="K8957" s="427">
        <v>146.98740000000001</v>
      </c>
      <c r="L8957" s="427">
        <f t="shared" si="122"/>
        <v>0</v>
      </c>
      <c r="M8957" s="337"/>
    </row>
    <row r="8958" spans="1:13" s="71" customFormat="1" ht="26.4" customHeight="1">
      <c r="A8958" s="282">
        <v>192</v>
      </c>
      <c r="B8958" s="534"/>
      <c r="C8958" s="444" t="s">
        <v>11960</v>
      </c>
      <c r="D8958" s="444" t="s">
        <v>11961</v>
      </c>
      <c r="E8958" s="444" t="s">
        <v>11962</v>
      </c>
      <c r="F8958" s="387">
        <v>20308</v>
      </c>
      <c r="G8958" s="373" t="s">
        <v>5299</v>
      </c>
      <c r="H8958" s="396" t="s">
        <v>3243</v>
      </c>
      <c r="I8958" s="470" t="s">
        <v>3285</v>
      </c>
      <c r="J8958" s="427">
        <v>33.67183</v>
      </c>
      <c r="K8958" s="427">
        <v>32.611190000000001</v>
      </c>
      <c r="L8958" s="427">
        <f t="shared" si="122"/>
        <v>1.0606399999999994</v>
      </c>
      <c r="M8958" s="337"/>
    </row>
    <row r="8959" spans="1:13" s="71" customFormat="1" ht="26.4" customHeight="1">
      <c r="A8959" s="282">
        <v>193</v>
      </c>
      <c r="B8959" s="534"/>
      <c r="C8959" s="236" t="s">
        <v>8325</v>
      </c>
      <c r="D8959" s="236" t="s">
        <v>11963</v>
      </c>
      <c r="E8959" s="260" t="s">
        <v>11964</v>
      </c>
      <c r="F8959" s="387">
        <v>20323</v>
      </c>
      <c r="G8959" s="373" t="s">
        <v>1588</v>
      </c>
      <c r="H8959" s="396" t="s">
        <v>3243</v>
      </c>
      <c r="I8959" s="470" t="s">
        <v>3285</v>
      </c>
      <c r="J8959" s="427">
        <v>35.629089999999998</v>
      </c>
      <c r="K8959" s="427">
        <v>35.454090000000001</v>
      </c>
      <c r="L8959" s="427">
        <f t="shared" ref="L8959:L9022" si="123">J8959-K8959</f>
        <v>0.17499999999999716</v>
      </c>
      <c r="M8959" s="337"/>
    </row>
    <row r="8960" spans="1:13" s="71" customFormat="1" ht="26.4" customHeight="1">
      <c r="A8960" s="282">
        <v>194</v>
      </c>
      <c r="B8960" s="534"/>
      <c r="C8960" s="260" t="s">
        <v>10229</v>
      </c>
      <c r="D8960" s="260" t="s">
        <v>11780</v>
      </c>
      <c r="E8960" s="260" t="s">
        <v>11965</v>
      </c>
      <c r="F8960" s="387">
        <v>20325</v>
      </c>
      <c r="G8960" s="373" t="s">
        <v>1588</v>
      </c>
      <c r="H8960" s="396" t="s">
        <v>3243</v>
      </c>
      <c r="I8960" s="470" t="s">
        <v>3285</v>
      </c>
      <c r="J8960" s="427">
        <v>33.43338</v>
      </c>
      <c r="K8960" s="427">
        <v>32.016939999999998</v>
      </c>
      <c r="L8960" s="427">
        <f t="shared" si="123"/>
        <v>1.4164400000000015</v>
      </c>
      <c r="M8960" s="337"/>
    </row>
    <row r="8961" spans="1:13" s="71" customFormat="1" ht="26.4" customHeight="1">
      <c r="A8961" s="282">
        <v>195</v>
      </c>
      <c r="B8961" s="534"/>
      <c r="C8961" s="236" t="s">
        <v>8325</v>
      </c>
      <c r="D8961" s="260" t="s">
        <v>11733</v>
      </c>
      <c r="E8961" s="260" t="s">
        <v>11966</v>
      </c>
      <c r="F8961" s="387">
        <v>20327</v>
      </c>
      <c r="G8961" s="373" t="s">
        <v>1584</v>
      </c>
      <c r="H8961" s="396" t="s">
        <v>3243</v>
      </c>
      <c r="I8961" s="470" t="s">
        <v>3285</v>
      </c>
      <c r="J8961" s="427">
        <v>78.392939999999996</v>
      </c>
      <c r="K8961" s="427">
        <v>71.551670000000001</v>
      </c>
      <c r="L8961" s="427">
        <f t="shared" si="123"/>
        <v>6.8412699999999944</v>
      </c>
      <c r="M8961" s="337"/>
    </row>
    <row r="8962" spans="1:13" s="71" customFormat="1" ht="26.4" customHeight="1">
      <c r="A8962" s="282">
        <v>196</v>
      </c>
      <c r="B8962" s="534"/>
      <c r="C8962" s="260" t="s">
        <v>11743</v>
      </c>
      <c r="D8962" s="260" t="s">
        <v>11744</v>
      </c>
      <c r="E8962" s="260" t="s">
        <v>11967</v>
      </c>
      <c r="F8962" s="387">
        <v>20328</v>
      </c>
      <c r="G8962" s="373" t="s">
        <v>1584</v>
      </c>
      <c r="H8962" s="396" t="s">
        <v>3243</v>
      </c>
      <c r="I8962" s="470" t="s">
        <v>3285</v>
      </c>
      <c r="J8962" s="427">
        <v>97.68629</v>
      </c>
      <c r="K8962" s="427">
        <v>91.488119999999995</v>
      </c>
      <c r="L8962" s="427">
        <f t="shared" si="123"/>
        <v>6.1981700000000046</v>
      </c>
      <c r="M8962" s="337"/>
    </row>
    <row r="8963" spans="1:13" s="71" customFormat="1" ht="26.4" customHeight="1">
      <c r="A8963" s="282">
        <v>197</v>
      </c>
      <c r="B8963" s="534"/>
      <c r="C8963" s="260" t="s">
        <v>11743</v>
      </c>
      <c r="D8963" s="260" t="s">
        <v>11744</v>
      </c>
      <c r="E8963" s="260" t="s">
        <v>11968</v>
      </c>
      <c r="F8963" s="387">
        <v>20334</v>
      </c>
      <c r="G8963" s="373" t="s">
        <v>1584</v>
      </c>
      <c r="H8963" s="396" t="s">
        <v>3243</v>
      </c>
      <c r="I8963" s="470" t="s">
        <v>3285</v>
      </c>
      <c r="J8963" s="427">
        <v>1.70387</v>
      </c>
      <c r="K8963" s="427">
        <v>1.5888199999999999</v>
      </c>
      <c r="L8963" s="427">
        <f t="shared" si="123"/>
        <v>0.1150500000000001</v>
      </c>
      <c r="M8963" s="337"/>
    </row>
    <row r="8964" spans="1:13" s="71" customFormat="1" ht="26.4" customHeight="1">
      <c r="A8964" s="282">
        <v>198</v>
      </c>
      <c r="B8964" s="534"/>
      <c r="C8964" s="236" t="s">
        <v>8325</v>
      </c>
      <c r="D8964" s="236" t="s">
        <v>11963</v>
      </c>
      <c r="E8964" s="260" t="s">
        <v>11969</v>
      </c>
      <c r="F8964" s="387">
        <v>20338</v>
      </c>
      <c r="G8964" s="373" t="s">
        <v>1578</v>
      </c>
      <c r="H8964" s="396" t="s">
        <v>3243</v>
      </c>
      <c r="I8964" s="470" t="s">
        <v>3285</v>
      </c>
      <c r="J8964" s="427">
        <v>1.27887</v>
      </c>
      <c r="K8964" s="427">
        <v>1.1038699999999999</v>
      </c>
      <c r="L8964" s="427">
        <f t="shared" si="123"/>
        <v>0.17500000000000004</v>
      </c>
      <c r="M8964" s="337"/>
    </row>
    <row r="8965" spans="1:13" s="71" customFormat="1" ht="26.4" customHeight="1">
      <c r="A8965" s="282">
        <v>199</v>
      </c>
      <c r="B8965" s="534"/>
      <c r="C8965" s="260" t="s">
        <v>11743</v>
      </c>
      <c r="D8965" s="260" t="s">
        <v>11744</v>
      </c>
      <c r="E8965" s="260" t="s">
        <v>11970</v>
      </c>
      <c r="F8965" s="387">
        <v>20339</v>
      </c>
      <c r="G8965" s="373" t="s">
        <v>1539</v>
      </c>
      <c r="H8965" s="396" t="s">
        <v>3243</v>
      </c>
      <c r="I8965" s="470" t="s">
        <v>3285</v>
      </c>
      <c r="J8965" s="427">
        <v>123.74028</v>
      </c>
      <c r="K8965" s="427">
        <v>115.04218</v>
      </c>
      <c r="L8965" s="427">
        <f t="shared" si="123"/>
        <v>8.6980999999999966</v>
      </c>
      <c r="M8965" s="337"/>
    </row>
    <row r="8966" spans="1:13" s="71" customFormat="1" ht="26.4" customHeight="1">
      <c r="A8966" s="282">
        <v>200</v>
      </c>
      <c r="B8966" s="534"/>
      <c r="C8966" s="236" t="s">
        <v>11697</v>
      </c>
      <c r="D8966" s="260" t="s">
        <v>11698</v>
      </c>
      <c r="E8966" s="260" t="s">
        <v>11971</v>
      </c>
      <c r="F8966" s="387">
        <v>20350</v>
      </c>
      <c r="G8966" s="373" t="s">
        <v>1584</v>
      </c>
      <c r="H8966" s="396" t="s">
        <v>3243</v>
      </c>
      <c r="I8966" s="470" t="s">
        <v>3285</v>
      </c>
      <c r="J8966" s="427">
        <v>28.330829999999999</v>
      </c>
      <c r="K8966" s="427">
        <v>27.678159999999998</v>
      </c>
      <c r="L8966" s="427">
        <f t="shared" si="123"/>
        <v>0.65267000000000053</v>
      </c>
      <c r="M8966" s="337"/>
    </row>
    <row r="8967" spans="1:13" s="71" customFormat="1" ht="26.4" customHeight="1">
      <c r="A8967" s="282">
        <v>201</v>
      </c>
      <c r="B8967" s="534"/>
      <c r="C8967" s="236" t="s">
        <v>8325</v>
      </c>
      <c r="D8967" s="236" t="s">
        <v>11963</v>
      </c>
      <c r="E8967" s="260" t="s">
        <v>11972</v>
      </c>
      <c r="F8967" s="387">
        <v>20351</v>
      </c>
      <c r="G8967" s="373" t="s">
        <v>1541</v>
      </c>
      <c r="H8967" s="396" t="s">
        <v>3243</v>
      </c>
      <c r="I8967" s="470" t="s">
        <v>3285</v>
      </c>
      <c r="J8967" s="427">
        <v>4.6719999999999997</v>
      </c>
      <c r="K8967" s="427">
        <v>1.8876200000000001</v>
      </c>
      <c r="L8967" s="427">
        <f t="shared" si="123"/>
        <v>2.7843799999999996</v>
      </c>
      <c r="M8967" s="337"/>
    </row>
    <row r="8968" spans="1:13" s="71" customFormat="1" ht="26.4" customHeight="1">
      <c r="A8968" s="282">
        <v>202</v>
      </c>
      <c r="B8968" s="534"/>
      <c r="C8968" s="236" t="s">
        <v>8325</v>
      </c>
      <c r="D8968" s="236" t="s">
        <v>11963</v>
      </c>
      <c r="E8968" s="260" t="s">
        <v>963</v>
      </c>
      <c r="F8968" s="387">
        <v>20351</v>
      </c>
      <c r="G8968" s="373" t="s">
        <v>1570</v>
      </c>
      <c r="H8968" s="396" t="s">
        <v>3243</v>
      </c>
      <c r="I8968" s="470" t="s">
        <v>3285</v>
      </c>
      <c r="J8968" s="427">
        <v>60</v>
      </c>
      <c r="K8968" s="427">
        <v>57</v>
      </c>
      <c r="L8968" s="427">
        <f t="shared" si="123"/>
        <v>3</v>
      </c>
      <c r="M8968" s="337"/>
    </row>
    <row r="8969" spans="1:13" s="71" customFormat="1" ht="26.4" customHeight="1">
      <c r="A8969" s="282">
        <v>203</v>
      </c>
      <c r="B8969" s="534"/>
      <c r="C8969" s="260" t="s">
        <v>25</v>
      </c>
      <c r="D8969" s="236" t="s">
        <v>11963</v>
      </c>
      <c r="E8969" s="260" t="s">
        <v>11973</v>
      </c>
      <c r="F8969" s="387">
        <v>20352</v>
      </c>
      <c r="G8969" s="373" t="s">
        <v>1570</v>
      </c>
      <c r="H8969" s="396" t="s">
        <v>3243</v>
      </c>
      <c r="I8969" s="470" t="s">
        <v>3285</v>
      </c>
      <c r="J8969" s="427">
        <v>52.5</v>
      </c>
      <c r="K8969" s="427">
        <v>47.40625</v>
      </c>
      <c r="L8969" s="427">
        <f t="shared" si="123"/>
        <v>5.09375</v>
      </c>
      <c r="M8969" s="337"/>
    </row>
    <row r="8970" spans="1:13" s="71" customFormat="1" ht="26.4" customHeight="1">
      <c r="A8970" s="282">
        <v>204</v>
      </c>
      <c r="B8970" s="534"/>
      <c r="C8970" s="236" t="s">
        <v>8325</v>
      </c>
      <c r="D8970" s="236" t="s">
        <v>11963</v>
      </c>
      <c r="E8970" s="260" t="s">
        <v>11974</v>
      </c>
      <c r="F8970" s="387">
        <v>20360</v>
      </c>
      <c r="G8970" s="373" t="s">
        <v>1536</v>
      </c>
      <c r="H8970" s="396" t="s">
        <v>3243</v>
      </c>
      <c r="I8970" s="470" t="s">
        <v>3285</v>
      </c>
      <c r="J8970" s="427">
        <v>66.571190000000001</v>
      </c>
      <c r="K8970" s="427">
        <v>66.571190000000001</v>
      </c>
      <c r="L8970" s="427">
        <f t="shared" si="123"/>
        <v>0</v>
      </c>
      <c r="M8970" s="337"/>
    </row>
    <row r="8971" spans="1:13" s="71" customFormat="1" ht="26.4" customHeight="1">
      <c r="A8971" s="282">
        <v>205</v>
      </c>
      <c r="B8971" s="534"/>
      <c r="C8971" s="236" t="s">
        <v>8325</v>
      </c>
      <c r="D8971" s="236" t="s">
        <v>11963</v>
      </c>
      <c r="E8971" s="260" t="s">
        <v>11974</v>
      </c>
      <c r="F8971" s="387">
        <v>20361</v>
      </c>
      <c r="G8971" s="373" t="s">
        <v>1536</v>
      </c>
      <c r="H8971" s="396" t="s">
        <v>3243</v>
      </c>
      <c r="I8971" s="470" t="s">
        <v>3285</v>
      </c>
      <c r="J8971" s="427">
        <v>51.453629999999997</v>
      </c>
      <c r="K8971" s="427">
        <v>51.453629999999997</v>
      </c>
      <c r="L8971" s="427">
        <f t="shared" si="123"/>
        <v>0</v>
      </c>
      <c r="M8971" s="337"/>
    </row>
    <row r="8972" spans="1:13" s="71" customFormat="1" ht="26.4" customHeight="1">
      <c r="A8972" s="282">
        <v>206</v>
      </c>
      <c r="B8972" s="534"/>
      <c r="C8972" s="236" t="s">
        <v>8325</v>
      </c>
      <c r="D8972" s="236" t="s">
        <v>11963</v>
      </c>
      <c r="E8972" s="260" t="s">
        <v>11974</v>
      </c>
      <c r="F8972" s="387">
        <v>20362</v>
      </c>
      <c r="G8972" s="373" t="s">
        <v>1536</v>
      </c>
      <c r="H8972" s="396" t="s">
        <v>3243</v>
      </c>
      <c r="I8972" s="470" t="s">
        <v>3285</v>
      </c>
      <c r="J8972" s="427">
        <v>28.879529999999999</v>
      </c>
      <c r="K8972" s="427">
        <v>28.879529999999999</v>
      </c>
      <c r="L8972" s="427">
        <f t="shared" si="123"/>
        <v>0</v>
      </c>
      <c r="M8972" s="337"/>
    </row>
    <row r="8973" spans="1:13" s="71" customFormat="1" ht="26.4" customHeight="1">
      <c r="A8973" s="282">
        <v>207</v>
      </c>
      <c r="B8973" s="534"/>
      <c r="C8973" s="236" t="s">
        <v>8325</v>
      </c>
      <c r="D8973" s="236" t="s">
        <v>11963</v>
      </c>
      <c r="E8973" s="260" t="s">
        <v>11974</v>
      </c>
      <c r="F8973" s="387">
        <v>20363</v>
      </c>
      <c r="G8973" s="373" t="s">
        <v>1536</v>
      </c>
      <c r="H8973" s="396" t="s">
        <v>3243</v>
      </c>
      <c r="I8973" s="470" t="s">
        <v>3285</v>
      </c>
      <c r="J8973" s="427">
        <v>43.072890000000001</v>
      </c>
      <c r="K8973" s="427">
        <v>43.072890000000001</v>
      </c>
      <c r="L8973" s="427">
        <f t="shared" si="123"/>
        <v>0</v>
      </c>
      <c r="M8973" s="337"/>
    </row>
    <row r="8974" spans="1:13" s="71" customFormat="1" ht="26.4" customHeight="1">
      <c r="A8974" s="282">
        <v>208</v>
      </c>
      <c r="B8974" s="534"/>
      <c r="C8974" s="236" t="s">
        <v>8325</v>
      </c>
      <c r="D8974" s="236" t="s">
        <v>11963</v>
      </c>
      <c r="E8974" s="260" t="s">
        <v>11975</v>
      </c>
      <c r="F8974" s="387">
        <v>20367</v>
      </c>
      <c r="G8974" s="373" t="s">
        <v>1548</v>
      </c>
      <c r="H8974" s="396" t="s">
        <v>3243</v>
      </c>
      <c r="I8974" s="470" t="s">
        <v>3285</v>
      </c>
      <c r="J8974" s="427">
        <v>161.24942999999999</v>
      </c>
      <c r="K8974" s="427">
        <v>158.69999999999999</v>
      </c>
      <c r="L8974" s="427">
        <f t="shared" si="123"/>
        <v>2.549430000000001</v>
      </c>
      <c r="M8974" s="337"/>
    </row>
    <row r="8975" spans="1:13" s="71" customFormat="1" ht="26.4" customHeight="1">
      <c r="A8975" s="282">
        <v>209</v>
      </c>
      <c r="B8975" s="534"/>
      <c r="C8975" s="236" t="s">
        <v>8325</v>
      </c>
      <c r="D8975" s="236" t="s">
        <v>11963</v>
      </c>
      <c r="E8975" s="260" t="s">
        <v>11976</v>
      </c>
      <c r="F8975" s="387">
        <v>20368</v>
      </c>
      <c r="G8975" s="373" t="s">
        <v>1558</v>
      </c>
      <c r="H8975" s="396" t="s">
        <v>3243</v>
      </c>
      <c r="I8975" s="470" t="s">
        <v>3285</v>
      </c>
      <c r="J8975" s="427">
        <v>11.75447</v>
      </c>
      <c r="K8975" s="427">
        <v>11.31596</v>
      </c>
      <c r="L8975" s="427">
        <f t="shared" si="123"/>
        <v>0.43850999999999907</v>
      </c>
      <c r="M8975" s="337"/>
    </row>
    <row r="8976" spans="1:13" s="71" customFormat="1" ht="26.4" customHeight="1">
      <c r="A8976" s="282">
        <v>210</v>
      </c>
      <c r="B8976" s="534"/>
      <c r="C8976" s="236" t="s">
        <v>8325</v>
      </c>
      <c r="D8976" s="260" t="s">
        <v>11977</v>
      </c>
      <c r="E8976" s="260" t="s">
        <v>11978</v>
      </c>
      <c r="F8976" s="387">
        <v>30401</v>
      </c>
      <c r="G8976" s="373" t="s">
        <v>1584</v>
      </c>
      <c r="H8976" s="396" t="s">
        <v>5462</v>
      </c>
      <c r="I8976" s="470">
        <v>700</v>
      </c>
      <c r="J8976" s="427">
        <v>72.527770000000004</v>
      </c>
      <c r="K8976" s="427">
        <v>68.518720000000002</v>
      </c>
      <c r="L8976" s="427">
        <f t="shared" si="123"/>
        <v>4.009050000000002</v>
      </c>
      <c r="M8976" s="337"/>
    </row>
    <row r="8977" spans="1:13" s="71" customFormat="1" ht="26.4" customHeight="1">
      <c r="A8977" s="282">
        <v>211</v>
      </c>
      <c r="B8977" s="534"/>
      <c r="C8977" s="236" t="s">
        <v>11883</v>
      </c>
      <c r="D8977" s="260" t="s">
        <v>11979</v>
      </c>
      <c r="E8977" s="260" t="s">
        <v>11980</v>
      </c>
      <c r="F8977" s="387">
        <v>30402</v>
      </c>
      <c r="G8977" s="373" t="s">
        <v>1582</v>
      </c>
      <c r="H8977" s="396" t="s">
        <v>5462</v>
      </c>
      <c r="I8977" s="470">
        <v>900</v>
      </c>
      <c r="J8977" s="427">
        <v>41.274009999999997</v>
      </c>
      <c r="K8977" s="427">
        <v>38.421379999999999</v>
      </c>
      <c r="L8977" s="427">
        <f t="shared" si="123"/>
        <v>2.8526299999999978</v>
      </c>
      <c r="M8977" s="337"/>
    </row>
    <row r="8978" spans="1:13" s="71" customFormat="1" ht="26.4" customHeight="1">
      <c r="A8978" s="282">
        <v>212</v>
      </c>
      <c r="B8978" s="534"/>
      <c r="C8978" s="236" t="s">
        <v>8325</v>
      </c>
      <c r="D8978" s="260" t="s">
        <v>11981</v>
      </c>
      <c r="E8978" s="260" t="s">
        <v>11982</v>
      </c>
      <c r="F8978" s="387">
        <v>30403</v>
      </c>
      <c r="G8978" s="373" t="s">
        <v>1584</v>
      </c>
      <c r="H8978" s="396" t="s">
        <v>5462</v>
      </c>
      <c r="I8978" s="470">
        <v>3370</v>
      </c>
      <c r="J8978" s="427">
        <v>236.233</v>
      </c>
      <c r="K8978" s="427">
        <v>227.18535</v>
      </c>
      <c r="L8978" s="427">
        <f t="shared" si="123"/>
        <v>9.0476500000000044</v>
      </c>
      <c r="M8978" s="337"/>
    </row>
    <row r="8979" spans="1:13" s="71" customFormat="1" ht="26.4" customHeight="1">
      <c r="A8979" s="282">
        <v>213</v>
      </c>
      <c r="B8979" s="534"/>
      <c r="C8979" s="236" t="s">
        <v>8325</v>
      </c>
      <c r="D8979" s="260" t="s">
        <v>11983</v>
      </c>
      <c r="E8979" s="260" t="s">
        <v>11984</v>
      </c>
      <c r="F8979" s="387">
        <v>30404</v>
      </c>
      <c r="G8979" s="373" t="s">
        <v>5506</v>
      </c>
      <c r="H8979" s="396" t="s">
        <v>5462</v>
      </c>
      <c r="I8979" s="470">
        <v>1800</v>
      </c>
      <c r="J8979" s="427">
        <v>48.644309999999997</v>
      </c>
      <c r="K8979" s="427">
        <v>41.400379999999998</v>
      </c>
      <c r="L8979" s="427">
        <f t="shared" si="123"/>
        <v>7.2439299999999989</v>
      </c>
      <c r="M8979" s="337"/>
    </row>
    <row r="8980" spans="1:13" s="71" customFormat="1" ht="26.4" customHeight="1">
      <c r="A8980" s="282">
        <v>214</v>
      </c>
      <c r="B8980" s="534"/>
      <c r="C8980" s="236" t="s">
        <v>8325</v>
      </c>
      <c r="D8980" s="260" t="s">
        <v>11985</v>
      </c>
      <c r="E8980" s="260" t="s">
        <v>11986</v>
      </c>
      <c r="F8980" s="387">
        <v>30406</v>
      </c>
      <c r="G8980" s="373" t="s">
        <v>1578</v>
      </c>
      <c r="H8980" s="396" t="s">
        <v>5462</v>
      </c>
      <c r="I8980" s="470">
        <v>10470</v>
      </c>
      <c r="J8980" s="427">
        <v>355.56499000000002</v>
      </c>
      <c r="K8980" s="427">
        <v>354.06499000000002</v>
      </c>
      <c r="L8980" s="427">
        <f t="shared" si="123"/>
        <v>1.5</v>
      </c>
      <c r="M8980" s="337"/>
    </row>
    <row r="8981" spans="1:13" s="71" customFormat="1" ht="26.4" customHeight="1">
      <c r="A8981" s="282">
        <v>215</v>
      </c>
      <c r="B8981" s="534"/>
      <c r="C8981" s="236" t="s">
        <v>11987</v>
      </c>
      <c r="D8981" s="260" t="s">
        <v>11988</v>
      </c>
      <c r="E8981" s="260" t="s">
        <v>11989</v>
      </c>
      <c r="F8981" s="387">
        <v>30406</v>
      </c>
      <c r="G8981" s="373" t="s">
        <v>1578</v>
      </c>
      <c r="H8981" s="396" t="s">
        <v>5462</v>
      </c>
      <c r="I8981" s="470">
        <v>870</v>
      </c>
      <c r="J8981" s="427">
        <v>695.69398000000001</v>
      </c>
      <c r="K8981" s="427">
        <v>689.86039000000005</v>
      </c>
      <c r="L8981" s="427">
        <f t="shared" si="123"/>
        <v>5.8335899999999583</v>
      </c>
      <c r="M8981" s="337"/>
    </row>
    <row r="8982" spans="1:13" s="71" customFormat="1" ht="26.4" customHeight="1">
      <c r="A8982" s="282">
        <v>216</v>
      </c>
      <c r="B8982" s="534"/>
      <c r="C8982" s="236" t="s">
        <v>8325</v>
      </c>
      <c r="D8982" s="260" t="s">
        <v>12922</v>
      </c>
      <c r="E8982" s="260" t="s">
        <v>11989</v>
      </c>
      <c r="F8982" s="387">
        <v>30407</v>
      </c>
      <c r="G8982" s="373" t="s">
        <v>1584</v>
      </c>
      <c r="H8982" s="396" t="s">
        <v>5462</v>
      </c>
      <c r="I8982" s="470">
        <v>980</v>
      </c>
      <c r="J8982" s="427">
        <v>497.22340000000003</v>
      </c>
      <c r="K8982" s="427">
        <v>491.38981000000001</v>
      </c>
      <c r="L8982" s="427">
        <f t="shared" si="123"/>
        <v>5.8335900000000152</v>
      </c>
      <c r="M8982" s="337"/>
    </row>
    <row r="8983" spans="1:13" s="71" customFormat="1" ht="26.4" customHeight="1">
      <c r="A8983" s="282">
        <v>217</v>
      </c>
      <c r="B8983" s="534"/>
      <c r="C8983" s="236" t="s">
        <v>11697</v>
      </c>
      <c r="D8983" s="260" t="s">
        <v>12923</v>
      </c>
      <c r="E8983" s="260" t="s">
        <v>11990</v>
      </c>
      <c r="F8983" s="387">
        <v>30408</v>
      </c>
      <c r="G8983" s="373" t="s">
        <v>1584</v>
      </c>
      <c r="H8983" s="396" t="s">
        <v>5462</v>
      </c>
      <c r="I8983" s="470">
        <v>2100</v>
      </c>
      <c r="J8983" s="427">
        <v>305.59780999999998</v>
      </c>
      <c r="K8983" s="427">
        <v>305.30365</v>
      </c>
      <c r="L8983" s="427">
        <f t="shared" si="123"/>
        <v>0.29415999999997666</v>
      </c>
      <c r="M8983" s="337"/>
    </row>
    <row r="8984" spans="1:13" s="71" customFormat="1" ht="26.4">
      <c r="A8984" s="282">
        <v>218</v>
      </c>
      <c r="B8984" s="534"/>
      <c r="C8984" s="260" t="s">
        <v>12996</v>
      </c>
      <c r="D8984" s="260" t="s">
        <v>11991</v>
      </c>
      <c r="E8984" s="260" t="s">
        <v>11992</v>
      </c>
      <c r="F8984" s="387">
        <v>30409</v>
      </c>
      <c r="G8984" s="373" t="s">
        <v>1584</v>
      </c>
      <c r="H8984" s="396" t="s">
        <v>5462</v>
      </c>
      <c r="I8984" s="470">
        <v>2100</v>
      </c>
      <c r="J8984" s="427">
        <v>305.59780999999998</v>
      </c>
      <c r="K8984" s="427">
        <v>305.30365</v>
      </c>
      <c r="L8984" s="427">
        <f t="shared" si="123"/>
        <v>0.29415999999997666</v>
      </c>
      <c r="M8984" s="337"/>
    </row>
    <row r="8985" spans="1:13" s="71" customFormat="1" ht="26.4" customHeight="1">
      <c r="A8985" s="282">
        <v>219</v>
      </c>
      <c r="B8985" s="534"/>
      <c r="C8985" s="260" t="s">
        <v>11955</v>
      </c>
      <c r="D8985" s="260" t="s">
        <v>11993</v>
      </c>
      <c r="E8985" s="260" t="s">
        <v>11994</v>
      </c>
      <c r="F8985" s="387">
        <v>30411</v>
      </c>
      <c r="G8985" s="373" t="s">
        <v>1584</v>
      </c>
      <c r="H8985" s="396" t="s">
        <v>5462</v>
      </c>
      <c r="I8985" s="470">
        <v>2500</v>
      </c>
      <c r="J8985" s="427">
        <v>213.7346</v>
      </c>
      <c r="K8985" s="427">
        <v>206.93385000000001</v>
      </c>
      <c r="L8985" s="427">
        <f t="shared" si="123"/>
        <v>6.8007499999999936</v>
      </c>
      <c r="M8985" s="337"/>
    </row>
    <row r="8986" spans="1:13" s="71" customFormat="1" ht="26.4" customHeight="1">
      <c r="A8986" s="282">
        <v>220</v>
      </c>
      <c r="B8986" s="534"/>
      <c r="C8986" s="260" t="s">
        <v>11955</v>
      </c>
      <c r="D8986" s="260" t="s">
        <v>11995</v>
      </c>
      <c r="E8986" s="260" t="s">
        <v>11994</v>
      </c>
      <c r="F8986" s="387">
        <v>30412</v>
      </c>
      <c r="G8986" s="373" t="s">
        <v>1573</v>
      </c>
      <c r="H8986" s="396" t="s">
        <v>5462</v>
      </c>
      <c r="I8986" s="470">
        <v>2819</v>
      </c>
      <c r="J8986" s="427">
        <v>200.12553</v>
      </c>
      <c r="K8986" s="427">
        <v>199.75487000000001</v>
      </c>
      <c r="L8986" s="427">
        <f t="shared" si="123"/>
        <v>0.37065999999998667</v>
      </c>
      <c r="M8986" s="337"/>
    </row>
    <row r="8987" spans="1:13" s="71" customFormat="1" ht="26.4" customHeight="1">
      <c r="A8987" s="282">
        <v>221</v>
      </c>
      <c r="B8987" s="534"/>
      <c r="C8987" s="260" t="s">
        <v>11743</v>
      </c>
      <c r="D8987" s="260" t="s">
        <v>11744</v>
      </c>
      <c r="E8987" s="260" t="s">
        <v>13388</v>
      </c>
      <c r="F8987" s="387">
        <v>30413</v>
      </c>
      <c r="G8987" s="373" t="s">
        <v>1584</v>
      </c>
      <c r="H8987" s="396" t="s">
        <v>5462</v>
      </c>
      <c r="I8987" s="470">
        <v>600</v>
      </c>
      <c r="J8987" s="427">
        <v>103.49936</v>
      </c>
      <c r="K8987" s="427">
        <v>95.981859999999998</v>
      </c>
      <c r="L8987" s="427">
        <f t="shared" si="123"/>
        <v>7.5174999999999983</v>
      </c>
      <c r="M8987" s="337"/>
    </row>
    <row r="8988" spans="1:13" s="71" customFormat="1" ht="26.4" customHeight="1">
      <c r="A8988" s="282">
        <v>222</v>
      </c>
      <c r="B8988" s="534"/>
      <c r="C8988" s="444" t="s">
        <v>25</v>
      </c>
      <c r="D8988" s="432" t="s">
        <v>11996</v>
      </c>
      <c r="E8988" s="444" t="s">
        <v>11997</v>
      </c>
      <c r="F8988" s="387">
        <v>30414</v>
      </c>
      <c r="G8988" s="373" t="s">
        <v>11998</v>
      </c>
      <c r="H8988" s="396" t="s">
        <v>5462</v>
      </c>
      <c r="I8988" s="470">
        <v>800</v>
      </c>
      <c r="J8988" s="427">
        <v>78.617059999999995</v>
      </c>
      <c r="K8988" s="427">
        <v>77.979579999999999</v>
      </c>
      <c r="L8988" s="427">
        <f t="shared" si="123"/>
        <v>0.63747999999999649</v>
      </c>
      <c r="M8988" s="337"/>
    </row>
    <row r="8989" spans="1:13" s="71" customFormat="1" ht="26.4" customHeight="1">
      <c r="A8989" s="282">
        <v>223</v>
      </c>
      <c r="B8989" s="534"/>
      <c r="C8989" s="236" t="s">
        <v>11755</v>
      </c>
      <c r="D8989" s="260" t="s">
        <v>11999</v>
      </c>
      <c r="E8989" s="260" t="s">
        <v>12000</v>
      </c>
      <c r="F8989" s="387">
        <v>30420</v>
      </c>
      <c r="G8989" s="373" t="s">
        <v>11757</v>
      </c>
      <c r="H8989" s="396" t="s">
        <v>5462</v>
      </c>
      <c r="I8989" s="470">
        <v>15046</v>
      </c>
      <c r="J8989" s="427">
        <v>1069.33375</v>
      </c>
      <c r="K8989" s="427">
        <v>1069.33375</v>
      </c>
      <c r="L8989" s="427">
        <f t="shared" si="123"/>
        <v>0</v>
      </c>
      <c r="M8989" s="337"/>
    </row>
    <row r="8990" spans="1:13" s="71" customFormat="1" ht="26.4" customHeight="1">
      <c r="A8990" s="282">
        <v>224</v>
      </c>
      <c r="B8990" s="534"/>
      <c r="C8990" s="260" t="s">
        <v>10229</v>
      </c>
      <c r="D8990" s="260" t="s">
        <v>12001</v>
      </c>
      <c r="E8990" s="260" t="s">
        <v>12002</v>
      </c>
      <c r="F8990" s="387">
        <v>30430</v>
      </c>
      <c r="G8990" s="373" t="s">
        <v>1585</v>
      </c>
      <c r="H8990" s="396" t="s">
        <v>5462</v>
      </c>
      <c r="I8990" s="433">
        <v>10150</v>
      </c>
      <c r="J8990" s="427">
        <v>1022.0320400000001</v>
      </c>
      <c r="K8990" s="427">
        <v>1012.12483</v>
      </c>
      <c r="L8990" s="427">
        <f t="shared" si="123"/>
        <v>9.9072100000000773</v>
      </c>
      <c r="M8990" s="337"/>
    </row>
    <row r="8991" spans="1:13" s="71" customFormat="1" ht="26.4" customHeight="1">
      <c r="A8991" s="282">
        <v>225</v>
      </c>
      <c r="B8991" s="534"/>
      <c r="C8991" s="260" t="s">
        <v>12003</v>
      </c>
      <c r="D8991" s="260" t="s">
        <v>12004</v>
      </c>
      <c r="E8991" s="260" t="s">
        <v>12005</v>
      </c>
      <c r="F8991" s="387">
        <v>30435</v>
      </c>
      <c r="G8991" s="373" t="s">
        <v>1556</v>
      </c>
      <c r="H8991" s="396" t="s">
        <v>5462</v>
      </c>
      <c r="I8991" s="470">
        <v>14900</v>
      </c>
      <c r="J8991" s="427">
        <v>1497.4846399999999</v>
      </c>
      <c r="K8991" s="427">
        <v>1491.93589</v>
      </c>
      <c r="L8991" s="427">
        <f t="shared" si="123"/>
        <v>5.5487499999999272</v>
      </c>
      <c r="M8991" s="337"/>
    </row>
    <row r="8992" spans="1:13" s="71" customFormat="1" ht="26.4" customHeight="1">
      <c r="A8992" s="282">
        <v>226</v>
      </c>
      <c r="B8992" s="534"/>
      <c r="C8992" s="260" t="s">
        <v>10229</v>
      </c>
      <c r="D8992" s="260" t="s">
        <v>12001</v>
      </c>
      <c r="E8992" s="260" t="s">
        <v>12006</v>
      </c>
      <c r="F8992" s="387">
        <v>30436</v>
      </c>
      <c r="G8992" s="373" t="s">
        <v>5281</v>
      </c>
      <c r="H8992" s="396" t="s">
        <v>5462</v>
      </c>
      <c r="I8992" s="470">
        <v>4250</v>
      </c>
      <c r="J8992" s="427">
        <v>241.23024000000001</v>
      </c>
      <c r="K8992" s="427">
        <v>234.17793</v>
      </c>
      <c r="L8992" s="427">
        <f t="shared" si="123"/>
        <v>7.0523100000000056</v>
      </c>
      <c r="M8992" s="337"/>
    </row>
    <row r="8993" spans="1:13" s="71" customFormat="1" ht="26.4" customHeight="1">
      <c r="A8993" s="282">
        <v>227</v>
      </c>
      <c r="B8993" s="534"/>
      <c r="C8993" s="260" t="s">
        <v>10229</v>
      </c>
      <c r="D8993" s="260" t="s">
        <v>12001</v>
      </c>
      <c r="E8993" s="260" t="s">
        <v>12006</v>
      </c>
      <c r="F8993" s="387">
        <v>30436</v>
      </c>
      <c r="G8993" s="373" t="s">
        <v>5281</v>
      </c>
      <c r="H8993" s="396" t="s">
        <v>5462</v>
      </c>
      <c r="I8993" s="470">
        <v>4250</v>
      </c>
      <c r="J8993" s="427">
        <v>120.79053</v>
      </c>
      <c r="K8993" s="427">
        <v>112.62651</v>
      </c>
      <c r="L8993" s="427">
        <f t="shared" si="123"/>
        <v>8.1640200000000078</v>
      </c>
      <c r="M8993" s="337"/>
    </row>
    <row r="8994" spans="1:13" s="71" customFormat="1" ht="26.4" customHeight="1">
      <c r="A8994" s="282">
        <v>228</v>
      </c>
      <c r="B8994" s="534"/>
      <c r="C8994" s="236" t="s">
        <v>8325</v>
      </c>
      <c r="D8994" s="260" t="s">
        <v>12007</v>
      </c>
      <c r="E8994" s="260" t="s">
        <v>12008</v>
      </c>
      <c r="F8994" s="387">
        <v>30437</v>
      </c>
      <c r="G8994" s="373" t="s">
        <v>1588</v>
      </c>
      <c r="H8994" s="396" t="s">
        <v>5462</v>
      </c>
      <c r="I8994" s="470">
        <v>2240</v>
      </c>
      <c r="J8994" s="427">
        <v>99.751919999999998</v>
      </c>
      <c r="K8994" s="427">
        <v>99.240020000000001</v>
      </c>
      <c r="L8994" s="427">
        <f t="shared" si="123"/>
        <v>0.51189999999999714</v>
      </c>
      <c r="M8994" s="337"/>
    </row>
    <row r="8995" spans="1:13" s="71" customFormat="1" ht="26.4" customHeight="1">
      <c r="A8995" s="282">
        <v>229</v>
      </c>
      <c r="B8995" s="534"/>
      <c r="C8995" s="236" t="s">
        <v>1169</v>
      </c>
      <c r="D8995" s="260" t="s">
        <v>12009</v>
      </c>
      <c r="E8995" s="260" t="s">
        <v>12010</v>
      </c>
      <c r="F8995" s="387">
        <v>30441</v>
      </c>
      <c r="G8995" s="373" t="s">
        <v>1545</v>
      </c>
      <c r="H8995" s="396" t="s">
        <v>3243</v>
      </c>
      <c r="I8995" s="470" t="s">
        <v>3285</v>
      </c>
      <c r="J8995" s="427">
        <v>11.3423</v>
      </c>
      <c r="K8995" s="427">
        <v>11.3423</v>
      </c>
      <c r="L8995" s="427">
        <f t="shared" si="123"/>
        <v>0</v>
      </c>
      <c r="M8995" s="337"/>
    </row>
    <row r="8996" spans="1:13" s="71" customFormat="1" ht="26.4" customHeight="1">
      <c r="A8996" s="282">
        <v>230</v>
      </c>
      <c r="B8996" s="534"/>
      <c r="C8996" s="444" t="s">
        <v>25</v>
      </c>
      <c r="D8996" s="375" t="s">
        <v>12924</v>
      </c>
      <c r="E8996" s="444" t="s">
        <v>12010</v>
      </c>
      <c r="F8996" s="387">
        <v>30442</v>
      </c>
      <c r="G8996" s="373" t="s">
        <v>11774</v>
      </c>
      <c r="H8996" s="396" t="s">
        <v>3243</v>
      </c>
      <c r="I8996" s="470" t="s">
        <v>3285</v>
      </c>
      <c r="J8996" s="427">
        <v>7.6625300000000003</v>
      </c>
      <c r="K8996" s="427">
        <v>6.7425300000000004</v>
      </c>
      <c r="L8996" s="427">
        <f t="shared" si="123"/>
        <v>0.91999999999999993</v>
      </c>
      <c r="M8996" s="337"/>
    </row>
    <row r="8997" spans="1:13" s="71" customFormat="1" ht="26.4" customHeight="1">
      <c r="A8997" s="282">
        <v>231</v>
      </c>
      <c r="B8997" s="534"/>
      <c r="C8997" s="260" t="s">
        <v>10229</v>
      </c>
      <c r="D8997" s="260" t="s">
        <v>12001</v>
      </c>
      <c r="E8997" s="260" t="s">
        <v>12011</v>
      </c>
      <c r="F8997" s="387">
        <v>30445</v>
      </c>
      <c r="G8997" s="373" t="s">
        <v>5299</v>
      </c>
      <c r="H8997" s="396" t="s">
        <v>3243</v>
      </c>
      <c r="I8997" s="470" t="s">
        <v>3285</v>
      </c>
      <c r="J8997" s="427">
        <v>51.724890000000002</v>
      </c>
      <c r="K8997" s="427">
        <v>43.359389999999998</v>
      </c>
      <c r="L8997" s="427">
        <f t="shared" si="123"/>
        <v>8.3655000000000044</v>
      </c>
      <c r="M8997" s="337"/>
    </row>
    <row r="8998" spans="1:13" s="71" customFormat="1" ht="26.4" customHeight="1">
      <c r="A8998" s="282">
        <v>232</v>
      </c>
      <c r="B8998" s="534"/>
      <c r="C8998" s="260" t="s">
        <v>10229</v>
      </c>
      <c r="D8998" s="260" t="s">
        <v>12001</v>
      </c>
      <c r="E8998" s="260" t="s">
        <v>12011</v>
      </c>
      <c r="F8998" s="387">
        <v>30445</v>
      </c>
      <c r="G8998" s="373" t="s">
        <v>5299</v>
      </c>
      <c r="H8998" s="396" t="s">
        <v>3243</v>
      </c>
      <c r="I8998" s="470" t="s">
        <v>3285</v>
      </c>
      <c r="J8998" s="427">
        <v>20.850210000000001</v>
      </c>
      <c r="K8998" s="427">
        <v>13.576230000000001</v>
      </c>
      <c r="L8998" s="427">
        <f t="shared" si="123"/>
        <v>7.2739799999999999</v>
      </c>
      <c r="M8998" s="337"/>
    </row>
    <row r="8999" spans="1:13" s="71" customFormat="1" ht="26.4" customHeight="1">
      <c r="A8999" s="282">
        <v>233</v>
      </c>
      <c r="B8999" s="534"/>
      <c r="C8999" s="260" t="s">
        <v>10229</v>
      </c>
      <c r="D8999" s="260" t="s">
        <v>12001</v>
      </c>
      <c r="E8999" s="260" t="s">
        <v>12012</v>
      </c>
      <c r="F8999" s="387">
        <v>30446</v>
      </c>
      <c r="G8999" s="373" t="s">
        <v>1585</v>
      </c>
      <c r="H8999" s="396" t="s">
        <v>3243</v>
      </c>
      <c r="I8999" s="470" t="s">
        <v>3285</v>
      </c>
      <c r="J8999" s="427">
        <v>46.469700000000003</v>
      </c>
      <c r="K8999" s="427">
        <v>45.693449999999999</v>
      </c>
      <c r="L8999" s="427">
        <f t="shared" si="123"/>
        <v>0.77625000000000455</v>
      </c>
      <c r="M8999" s="337"/>
    </row>
    <row r="9000" spans="1:13" s="71" customFormat="1" ht="26.4" customHeight="1">
      <c r="A9000" s="282">
        <v>234</v>
      </c>
      <c r="B9000" s="534"/>
      <c r="C9000" s="260" t="s">
        <v>25</v>
      </c>
      <c r="D9000" s="430" t="s">
        <v>12013</v>
      </c>
      <c r="E9000" s="260" t="s">
        <v>12014</v>
      </c>
      <c r="F9000" s="387">
        <v>30450</v>
      </c>
      <c r="G9000" s="373" t="s">
        <v>5506</v>
      </c>
      <c r="H9000" s="396" t="s">
        <v>3243</v>
      </c>
      <c r="I9000" s="470" t="s">
        <v>3285</v>
      </c>
      <c r="J9000" s="427">
        <v>10.318379999999999</v>
      </c>
      <c r="K9000" s="427">
        <v>9.8583800000000004</v>
      </c>
      <c r="L9000" s="427">
        <f t="shared" si="123"/>
        <v>0.45999999999999908</v>
      </c>
      <c r="M9000" s="337"/>
    </row>
    <row r="9001" spans="1:13" s="71" customFormat="1" ht="26.4" customHeight="1">
      <c r="A9001" s="282">
        <v>235</v>
      </c>
      <c r="B9001" s="534"/>
      <c r="C9001" s="260" t="s">
        <v>25</v>
      </c>
      <c r="D9001" s="430" t="s">
        <v>12013</v>
      </c>
      <c r="E9001" s="260" t="s">
        <v>12014</v>
      </c>
      <c r="F9001" s="387">
        <v>30450</v>
      </c>
      <c r="G9001" s="373" t="s">
        <v>5506</v>
      </c>
      <c r="H9001" s="396" t="s">
        <v>3243</v>
      </c>
      <c r="I9001" s="470" t="s">
        <v>3285</v>
      </c>
      <c r="J9001" s="427">
        <v>102.64762</v>
      </c>
      <c r="K9001" s="427">
        <v>102.64762</v>
      </c>
      <c r="L9001" s="427">
        <f t="shared" si="123"/>
        <v>0</v>
      </c>
      <c r="M9001" s="337"/>
    </row>
    <row r="9002" spans="1:13" s="71" customFormat="1" ht="26.4" customHeight="1">
      <c r="A9002" s="282">
        <v>236</v>
      </c>
      <c r="B9002" s="534"/>
      <c r="C9002" s="375" t="s">
        <v>8325</v>
      </c>
      <c r="D9002" s="444" t="s">
        <v>12015</v>
      </c>
      <c r="E9002" s="444" t="s">
        <v>12016</v>
      </c>
      <c r="F9002" s="387">
        <v>30451</v>
      </c>
      <c r="G9002" s="373" t="s">
        <v>1584</v>
      </c>
      <c r="H9002" s="396" t="s">
        <v>5462</v>
      </c>
      <c r="I9002" s="470">
        <v>5500</v>
      </c>
      <c r="J9002" s="427">
        <v>54.904989999999998</v>
      </c>
      <c r="K9002" s="427">
        <v>54.247169999999997</v>
      </c>
      <c r="L9002" s="427">
        <f t="shared" si="123"/>
        <v>0.65782000000000096</v>
      </c>
      <c r="M9002" s="337"/>
    </row>
    <row r="9003" spans="1:13" s="71" customFormat="1" ht="26.4" customHeight="1">
      <c r="A9003" s="282">
        <v>237</v>
      </c>
      <c r="B9003" s="534"/>
      <c r="C9003" s="444" t="s">
        <v>450</v>
      </c>
      <c r="D9003" s="444" t="s">
        <v>12015</v>
      </c>
      <c r="E9003" s="444" t="s">
        <v>12016</v>
      </c>
      <c r="F9003" s="387">
        <v>30451</v>
      </c>
      <c r="G9003" s="373" t="s">
        <v>1584</v>
      </c>
      <c r="H9003" s="396" t="s">
        <v>5462</v>
      </c>
      <c r="I9003" s="470">
        <v>5500</v>
      </c>
      <c r="J9003" s="427">
        <v>26.09517</v>
      </c>
      <c r="K9003" s="427">
        <v>25.482800000000001</v>
      </c>
      <c r="L9003" s="427">
        <f t="shared" si="123"/>
        <v>0.61236999999999853</v>
      </c>
      <c r="M9003" s="337"/>
    </row>
    <row r="9004" spans="1:13" s="71" customFormat="1" ht="26.4" customHeight="1">
      <c r="A9004" s="282">
        <v>238</v>
      </c>
      <c r="B9004" s="534"/>
      <c r="C9004" s="375" t="s">
        <v>8325</v>
      </c>
      <c r="D9004" s="444" t="s">
        <v>12017</v>
      </c>
      <c r="E9004" s="444" t="s">
        <v>12018</v>
      </c>
      <c r="F9004" s="387">
        <v>30452</v>
      </c>
      <c r="G9004" s="373" t="s">
        <v>1578</v>
      </c>
      <c r="H9004" s="396" t="s">
        <v>5462</v>
      </c>
      <c r="I9004" s="470">
        <v>2000</v>
      </c>
      <c r="J9004" s="427">
        <v>11.978009999999999</v>
      </c>
      <c r="K9004" s="427">
        <v>11.68038</v>
      </c>
      <c r="L9004" s="427">
        <f t="shared" si="123"/>
        <v>0.29762999999999984</v>
      </c>
      <c r="M9004" s="337"/>
    </row>
    <row r="9005" spans="1:13" s="71" customFormat="1" ht="26.4" customHeight="1">
      <c r="A9005" s="282">
        <v>239</v>
      </c>
      <c r="B9005" s="534"/>
      <c r="C9005" s="375" t="s">
        <v>8325</v>
      </c>
      <c r="D9005" s="444" t="s">
        <v>12017</v>
      </c>
      <c r="E9005" s="444" t="s">
        <v>12018</v>
      </c>
      <c r="F9005" s="387">
        <v>30452</v>
      </c>
      <c r="G9005" s="373" t="s">
        <v>1578</v>
      </c>
      <c r="H9005" s="396" t="s">
        <v>5462</v>
      </c>
      <c r="I9005" s="470">
        <v>2000</v>
      </c>
      <c r="J9005" s="427">
        <v>6.2308199999999996</v>
      </c>
      <c r="K9005" s="427">
        <v>5.9743500000000003</v>
      </c>
      <c r="L9005" s="427">
        <f t="shared" si="123"/>
        <v>0.25646999999999931</v>
      </c>
      <c r="M9005" s="337"/>
    </row>
    <row r="9006" spans="1:13" s="71" customFormat="1" ht="26.4" customHeight="1">
      <c r="A9006" s="282">
        <v>240</v>
      </c>
      <c r="B9006" s="534"/>
      <c r="C9006" s="375" t="s">
        <v>8325</v>
      </c>
      <c r="D9006" s="444" t="s">
        <v>12019</v>
      </c>
      <c r="E9006" s="444" t="s">
        <v>12020</v>
      </c>
      <c r="F9006" s="387">
        <v>30454</v>
      </c>
      <c r="G9006" s="373" t="s">
        <v>1578</v>
      </c>
      <c r="H9006" s="396" t="s">
        <v>5462</v>
      </c>
      <c r="I9006" s="470">
        <v>300</v>
      </c>
      <c r="J9006" s="427">
        <v>4.0291399999999999</v>
      </c>
      <c r="K9006" s="427">
        <v>3.8970799999999999</v>
      </c>
      <c r="L9006" s="427">
        <f t="shared" si="123"/>
        <v>0.13206000000000007</v>
      </c>
      <c r="M9006" s="337"/>
    </row>
    <row r="9007" spans="1:13" s="71" customFormat="1" ht="26.4">
      <c r="A9007" s="282">
        <v>241</v>
      </c>
      <c r="B9007" s="534"/>
      <c r="C9007" s="444" t="s">
        <v>12996</v>
      </c>
      <c r="D9007" s="444" t="s">
        <v>12925</v>
      </c>
      <c r="E9007" s="444" t="s">
        <v>12021</v>
      </c>
      <c r="F9007" s="387">
        <v>30455</v>
      </c>
      <c r="G9007" s="373" t="s">
        <v>1584</v>
      </c>
      <c r="H9007" s="396" t="s">
        <v>5462</v>
      </c>
      <c r="I9007" s="470">
        <v>3500</v>
      </c>
      <c r="J9007" s="427">
        <v>136.28735</v>
      </c>
      <c r="K9007" s="427">
        <v>135.37099000000001</v>
      </c>
      <c r="L9007" s="427">
        <f t="shared" si="123"/>
        <v>0.9163599999999974</v>
      </c>
      <c r="M9007" s="337"/>
    </row>
    <row r="9008" spans="1:13" s="71" customFormat="1" ht="26.4" customHeight="1">
      <c r="A9008" s="282">
        <v>242</v>
      </c>
      <c r="B9008" s="534"/>
      <c r="C9008" s="236" t="s">
        <v>11697</v>
      </c>
      <c r="D9008" s="482" t="s">
        <v>12926</v>
      </c>
      <c r="E9008" s="260" t="s">
        <v>12022</v>
      </c>
      <c r="F9008" s="387">
        <v>30459</v>
      </c>
      <c r="G9008" s="373" t="s">
        <v>1584</v>
      </c>
      <c r="H9008" s="396" t="s">
        <v>3243</v>
      </c>
      <c r="I9008" s="470" t="s">
        <v>3285</v>
      </c>
      <c r="J9008" s="427">
        <v>55.32038</v>
      </c>
      <c r="K9008" s="427">
        <v>55.32038</v>
      </c>
      <c r="L9008" s="427">
        <f t="shared" si="123"/>
        <v>0</v>
      </c>
      <c r="M9008" s="337"/>
    </row>
    <row r="9009" spans="1:13" s="71" customFormat="1" ht="26.4" customHeight="1">
      <c r="A9009" s="282">
        <v>243</v>
      </c>
      <c r="B9009" s="534"/>
      <c r="C9009" s="236" t="s">
        <v>11697</v>
      </c>
      <c r="D9009" s="482" t="s">
        <v>12927</v>
      </c>
      <c r="E9009" s="260" t="s">
        <v>12023</v>
      </c>
      <c r="F9009" s="387">
        <v>30464</v>
      </c>
      <c r="G9009" s="373" t="s">
        <v>1584</v>
      </c>
      <c r="H9009" s="396" t="s">
        <v>5462</v>
      </c>
      <c r="I9009" s="470">
        <v>4200</v>
      </c>
      <c r="J9009" s="427">
        <v>16.38794</v>
      </c>
      <c r="K9009" s="427">
        <v>15.770350000000001</v>
      </c>
      <c r="L9009" s="427">
        <f t="shared" si="123"/>
        <v>0.61758999999999986</v>
      </c>
      <c r="M9009" s="337"/>
    </row>
    <row r="9010" spans="1:13" s="71" customFormat="1" ht="26.4" customHeight="1">
      <c r="A9010" s="282">
        <v>244</v>
      </c>
      <c r="B9010" s="534"/>
      <c r="C9010" s="236" t="s">
        <v>11697</v>
      </c>
      <c r="D9010" s="482" t="s">
        <v>12928</v>
      </c>
      <c r="E9010" s="260" t="s">
        <v>12024</v>
      </c>
      <c r="F9010" s="387">
        <v>30465</v>
      </c>
      <c r="G9010" s="373" t="s">
        <v>1584</v>
      </c>
      <c r="H9010" s="396" t="s">
        <v>5462</v>
      </c>
      <c r="I9010" s="470">
        <v>4200</v>
      </c>
      <c r="J9010" s="427">
        <v>102.29364</v>
      </c>
      <c r="K9010" s="427">
        <v>91.054230000000004</v>
      </c>
      <c r="L9010" s="427">
        <f t="shared" si="123"/>
        <v>11.239409999999992</v>
      </c>
      <c r="M9010" s="337"/>
    </row>
    <row r="9011" spans="1:13" s="71" customFormat="1" ht="26.4" customHeight="1">
      <c r="A9011" s="282">
        <v>245</v>
      </c>
      <c r="B9011" s="534"/>
      <c r="C9011" s="444" t="s">
        <v>12929</v>
      </c>
      <c r="D9011" s="444" t="s">
        <v>13317</v>
      </c>
      <c r="E9011" s="444" t="s">
        <v>12024</v>
      </c>
      <c r="F9011" s="387">
        <v>30467</v>
      </c>
      <c r="G9011" s="373" t="s">
        <v>11757</v>
      </c>
      <c r="H9011" s="396" t="s">
        <v>5462</v>
      </c>
      <c r="I9011" s="470">
        <v>23103</v>
      </c>
      <c r="J9011" s="427">
        <v>50.130319999999998</v>
      </c>
      <c r="K9011" s="427">
        <v>45.25432</v>
      </c>
      <c r="L9011" s="427">
        <f t="shared" si="123"/>
        <v>4.8759999999999977</v>
      </c>
      <c r="M9011" s="337"/>
    </row>
    <row r="9012" spans="1:13" s="71" customFormat="1" ht="26.4" customHeight="1">
      <c r="A9012" s="282">
        <v>246</v>
      </c>
      <c r="B9012" s="534"/>
      <c r="C9012" s="236" t="s">
        <v>1169</v>
      </c>
      <c r="D9012" s="260" t="s">
        <v>12025</v>
      </c>
      <c r="E9012" s="260" t="s">
        <v>12026</v>
      </c>
      <c r="F9012" s="387">
        <v>30468</v>
      </c>
      <c r="G9012" s="373" t="s">
        <v>11757</v>
      </c>
      <c r="H9012" s="396" t="s">
        <v>5462</v>
      </c>
      <c r="I9012" s="470">
        <v>4240</v>
      </c>
      <c r="J9012" s="427">
        <v>8.8021499999999993</v>
      </c>
      <c r="K9012" s="427">
        <v>8.8021499999999993</v>
      </c>
      <c r="L9012" s="427">
        <f t="shared" si="123"/>
        <v>0</v>
      </c>
      <c r="M9012" s="337"/>
    </row>
    <row r="9013" spans="1:13" s="71" customFormat="1" ht="26.4" customHeight="1">
      <c r="A9013" s="282">
        <v>247</v>
      </c>
      <c r="B9013" s="534"/>
      <c r="C9013" s="236" t="s">
        <v>8325</v>
      </c>
      <c r="D9013" s="260" t="s">
        <v>12027</v>
      </c>
      <c r="E9013" s="260" t="s">
        <v>12026</v>
      </c>
      <c r="F9013" s="387">
        <v>30469</v>
      </c>
      <c r="G9013" s="373" t="s">
        <v>1584</v>
      </c>
      <c r="H9013" s="396" t="s">
        <v>5462</v>
      </c>
      <c r="I9013" s="470">
        <v>2243</v>
      </c>
      <c r="J9013" s="427">
        <v>15.059810000000001</v>
      </c>
      <c r="K9013" s="427">
        <v>13.043810000000001</v>
      </c>
      <c r="L9013" s="427">
        <f t="shared" si="123"/>
        <v>2.016</v>
      </c>
      <c r="M9013" s="337"/>
    </row>
    <row r="9014" spans="1:13" s="71" customFormat="1" ht="26.4" customHeight="1">
      <c r="A9014" s="282">
        <v>248</v>
      </c>
      <c r="B9014" s="534"/>
      <c r="C9014" s="236" t="s">
        <v>8325</v>
      </c>
      <c r="D9014" s="260" t="s">
        <v>12027</v>
      </c>
      <c r="E9014" s="260" t="s">
        <v>12028</v>
      </c>
      <c r="F9014" s="387">
        <v>30470</v>
      </c>
      <c r="G9014" s="373" t="s">
        <v>1584</v>
      </c>
      <c r="H9014" s="396" t="s">
        <v>5462</v>
      </c>
      <c r="I9014" s="470">
        <v>2244</v>
      </c>
      <c r="J9014" s="427">
        <v>8.49057</v>
      </c>
      <c r="K9014" s="427">
        <v>7.9038199999999996</v>
      </c>
      <c r="L9014" s="427">
        <f t="shared" si="123"/>
        <v>0.58675000000000033</v>
      </c>
      <c r="M9014" s="337"/>
    </row>
    <row r="9015" spans="1:13" s="71" customFormat="1" ht="26.4" customHeight="1">
      <c r="A9015" s="282">
        <v>249</v>
      </c>
      <c r="B9015" s="534"/>
      <c r="C9015" s="236" t="s">
        <v>8325</v>
      </c>
      <c r="D9015" s="260" t="s">
        <v>12027</v>
      </c>
      <c r="E9015" s="260" t="s">
        <v>12028</v>
      </c>
      <c r="F9015" s="387">
        <v>30471</v>
      </c>
      <c r="G9015" s="373" t="s">
        <v>1584</v>
      </c>
      <c r="H9015" s="396" t="s">
        <v>5462</v>
      </c>
      <c r="I9015" s="470">
        <v>2243</v>
      </c>
      <c r="J9015" s="427">
        <v>3.6363599999999998</v>
      </c>
      <c r="K9015" s="427">
        <v>3.38523</v>
      </c>
      <c r="L9015" s="427">
        <f t="shared" si="123"/>
        <v>0.25112999999999985</v>
      </c>
      <c r="M9015" s="337"/>
    </row>
    <row r="9016" spans="1:13" s="71" customFormat="1" ht="26.4" customHeight="1">
      <c r="A9016" s="282">
        <v>250</v>
      </c>
      <c r="B9016" s="534"/>
      <c r="C9016" s="236" t="s">
        <v>8325</v>
      </c>
      <c r="D9016" s="260" t="s">
        <v>12027</v>
      </c>
      <c r="E9016" s="260" t="s">
        <v>12029</v>
      </c>
      <c r="F9016" s="387">
        <v>30475</v>
      </c>
      <c r="G9016" s="373" t="s">
        <v>1584</v>
      </c>
      <c r="H9016" s="396" t="s">
        <v>3243</v>
      </c>
      <c r="I9016" s="470" t="s">
        <v>3285</v>
      </c>
      <c r="J9016" s="427">
        <v>17.056329999999999</v>
      </c>
      <c r="K9016" s="427">
        <v>14.716329999999999</v>
      </c>
      <c r="L9016" s="427">
        <f t="shared" si="123"/>
        <v>2.34</v>
      </c>
      <c r="M9016" s="337"/>
    </row>
    <row r="9017" spans="1:13" s="71" customFormat="1" ht="26.4" customHeight="1">
      <c r="A9017" s="282">
        <v>251</v>
      </c>
      <c r="B9017" s="534"/>
      <c r="C9017" s="236" t="s">
        <v>11697</v>
      </c>
      <c r="D9017" s="260" t="s">
        <v>12923</v>
      </c>
      <c r="E9017" s="260" t="s">
        <v>12030</v>
      </c>
      <c r="F9017" s="387">
        <v>30476</v>
      </c>
      <c r="G9017" s="373" t="s">
        <v>1584</v>
      </c>
      <c r="H9017" s="396" t="s">
        <v>3243</v>
      </c>
      <c r="I9017" s="470" t="s">
        <v>3285</v>
      </c>
      <c r="J9017" s="427">
        <v>108.54897</v>
      </c>
      <c r="K9017" s="427">
        <v>102.21711000000001</v>
      </c>
      <c r="L9017" s="427">
        <f t="shared" si="123"/>
        <v>6.3318599999999918</v>
      </c>
      <c r="M9017" s="337"/>
    </row>
    <row r="9018" spans="1:13" s="71" customFormat="1" ht="26.4" customHeight="1">
      <c r="A9018" s="282">
        <v>252</v>
      </c>
      <c r="B9018" s="534"/>
      <c r="C9018" s="260" t="s">
        <v>10229</v>
      </c>
      <c r="D9018" s="260" t="s">
        <v>11949</v>
      </c>
      <c r="E9018" s="260" t="s">
        <v>12031</v>
      </c>
      <c r="F9018" s="387">
        <v>30477</v>
      </c>
      <c r="G9018" s="373" t="s">
        <v>5299</v>
      </c>
      <c r="H9018" s="396" t="s">
        <v>5462</v>
      </c>
      <c r="I9018" s="470">
        <v>2840</v>
      </c>
      <c r="J9018" s="427">
        <v>172.47127</v>
      </c>
      <c r="K9018" s="427">
        <v>168.12791999999999</v>
      </c>
      <c r="L9018" s="427">
        <f t="shared" si="123"/>
        <v>4.3433500000000151</v>
      </c>
      <c r="M9018" s="337"/>
    </row>
    <row r="9019" spans="1:13" s="71" customFormat="1" ht="26.4" customHeight="1">
      <c r="A9019" s="282">
        <v>253</v>
      </c>
      <c r="B9019" s="534"/>
      <c r="C9019" s="236" t="s">
        <v>8325</v>
      </c>
      <c r="D9019" s="260" t="s">
        <v>12027</v>
      </c>
      <c r="E9019" s="260" t="s">
        <v>12032</v>
      </c>
      <c r="F9019" s="387">
        <v>30478</v>
      </c>
      <c r="G9019" s="373" t="s">
        <v>1588</v>
      </c>
      <c r="H9019" s="396" t="s">
        <v>5462</v>
      </c>
      <c r="I9019" s="470">
        <v>7048</v>
      </c>
      <c r="J9019" s="427">
        <v>102.30246</v>
      </c>
      <c r="K9019" s="427">
        <v>97.783609999999996</v>
      </c>
      <c r="L9019" s="427">
        <f t="shared" si="123"/>
        <v>4.5188500000000005</v>
      </c>
      <c r="M9019" s="337"/>
    </row>
    <row r="9020" spans="1:13" s="71" customFormat="1" ht="26.4" customHeight="1">
      <c r="A9020" s="282">
        <v>254</v>
      </c>
      <c r="B9020" s="534"/>
      <c r="C9020" s="236" t="s">
        <v>8325</v>
      </c>
      <c r="D9020" s="260" t="s">
        <v>12027</v>
      </c>
      <c r="E9020" s="260" t="s">
        <v>12033</v>
      </c>
      <c r="F9020" s="387">
        <v>30480</v>
      </c>
      <c r="G9020" s="373" t="s">
        <v>1566</v>
      </c>
      <c r="H9020" s="396" t="s">
        <v>3243</v>
      </c>
      <c r="I9020" s="470" t="s">
        <v>3285</v>
      </c>
      <c r="J9020" s="427">
        <v>50.591329999999999</v>
      </c>
      <c r="K9020" s="427">
        <v>49.19764</v>
      </c>
      <c r="L9020" s="427">
        <f t="shared" si="123"/>
        <v>1.3936899999999994</v>
      </c>
      <c r="M9020" s="337"/>
    </row>
    <row r="9021" spans="1:13" s="71" customFormat="1" ht="26.4" customHeight="1">
      <c r="A9021" s="282">
        <v>255</v>
      </c>
      <c r="B9021" s="534"/>
      <c r="C9021" s="375" t="s">
        <v>11697</v>
      </c>
      <c r="D9021" s="444" t="s">
        <v>12925</v>
      </c>
      <c r="E9021" s="260" t="s">
        <v>12034</v>
      </c>
      <c r="F9021" s="387">
        <v>30481</v>
      </c>
      <c r="G9021" s="373" t="s">
        <v>1588</v>
      </c>
      <c r="H9021" s="396" t="s">
        <v>3243</v>
      </c>
      <c r="I9021" s="470" t="s">
        <v>3285</v>
      </c>
      <c r="J9021" s="427">
        <v>14.78509</v>
      </c>
      <c r="K9021" s="427">
        <v>14.78501</v>
      </c>
      <c r="L9021" s="427">
        <f t="shared" si="123"/>
        <v>8.0000000000524096E-5</v>
      </c>
      <c r="M9021" s="337"/>
    </row>
    <row r="9022" spans="1:13" s="71" customFormat="1" ht="26.4" customHeight="1">
      <c r="A9022" s="282">
        <v>256</v>
      </c>
      <c r="B9022" s="534"/>
      <c r="C9022" s="375" t="s">
        <v>8325</v>
      </c>
      <c r="D9022" s="444" t="s">
        <v>12997</v>
      </c>
      <c r="E9022" s="260" t="s">
        <v>12035</v>
      </c>
      <c r="F9022" s="387">
        <v>30482</v>
      </c>
      <c r="G9022" s="373" t="s">
        <v>1561</v>
      </c>
      <c r="H9022" s="396" t="s">
        <v>3243</v>
      </c>
      <c r="I9022" s="470" t="s">
        <v>3285</v>
      </c>
      <c r="J9022" s="427">
        <v>8.9882399999999993</v>
      </c>
      <c r="K9022" s="427">
        <v>8.9881600000000006</v>
      </c>
      <c r="L9022" s="427">
        <f t="shared" si="123"/>
        <v>7.9999999998747739E-5</v>
      </c>
      <c r="M9022" s="337"/>
    </row>
    <row r="9023" spans="1:13" s="71" customFormat="1" ht="26.4" customHeight="1">
      <c r="A9023" s="282">
        <v>257</v>
      </c>
      <c r="B9023" s="534"/>
      <c r="C9023" s="375" t="s">
        <v>11697</v>
      </c>
      <c r="D9023" s="444" t="s">
        <v>12036</v>
      </c>
      <c r="E9023" s="260" t="s">
        <v>12037</v>
      </c>
      <c r="F9023" s="387">
        <v>30483</v>
      </c>
      <c r="G9023" s="373" t="s">
        <v>1584</v>
      </c>
      <c r="H9023" s="396" t="s">
        <v>3243</v>
      </c>
      <c r="I9023" s="470" t="s">
        <v>3285</v>
      </c>
      <c r="J9023" s="427">
        <v>61.626339999999999</v>
      </c>
      <c r="K9023" s="427">
        <v>61.352580000000003</v>
      </c>
      <c r="L9023" s="427">
        <f t="shared" ref="L9023:L9086" si="124">J9023-K9023</f>
        <v>0.27375999999999578</v>
      </c>
      <c r="M9023" s="337"/>
    </row>
    <row r="9024" spans="1:13" s="71" customFormat="1" ht="26.4" customHeight="1">
      <c r="A9024" s="282">
        <v>258</v>
      </c>
      <c r="B9024" s="534"/>
      <c r="C9024" s="375" t="s">
        <v>8325</v>
      </c>
      <c r="D9024" s="444" t="s">
        <v>12038</v>
      </c>
      <c r="E9024" s="260" t="s">
        <v>12039</v>
      </c>
      <c r="F9024" s="387">
        <v>30484</v>
      </c>
      <c r="G9024" s="373" t="s">
        <v>1584</v>
      </c>
      <c r="H9024" s="396" t="s">
        <v>3243</v>
      </c>
      <c r="I9024" s="470" t="s">
        <v>3285</v>
      </c>
      <c r="J9024" s="427">
        <v>54.219169999999998</v>
      </c>
      <c r="K9024" s="427">
        <v>52.066299999999998</v>
      </c>
      <c r="L9024" s="427">
        <f t="shared" si="124"/>
        <v>2.1528700000000001</v>
      </c>
      <c r="M9024" s="337"/>
    </row>
    <row r="9025" spans="1:13" s="71" customFormat="1" ht="26.4" customHeight="1">
      <c r="A9025" s="282">
        <v>259</v>
      </c>
      <c r="B9025" s="534"/>
      <c r="C9025" s="375" t="s">
        <v>11697</v>
      </c>
      <c r="D9025" s="444" t="s">
        <v>11698</v>
      </c>
      <c r="E9025" s="260" t="s">
        <v>12040</v>
      </c>
      <c r="F9025" s="387">
        <v>30485</v>
      </c>
      <c r="G9025" s="373" t="s">
        <v>1584</v>
      </c>
      <c r="H9025" s="396" t="s">
        <v>3243</v>
      </c>
      <c r="I9025" s="470" t="s">
        <v>3285</v>
      </c>
      <c r="J9025" s="427">
        <v>14.469989999999999</v>
      </c>
      <c r="K9025" s="427">
        <v>14.46991</v>
      </c>
      <c r="L9025" s="427">
        <f t="shared" si="124"/>
        <v>7.9999999998747739E-5</v>
      </c>
      <c r="M9025" s="337"/>
    </row>
    <row r="9026" spans="1:13" s="71" customFormat="1" ht="26.4" customHeight="1">
      <c r="A9026" s="282">
        <v>260</v>
      </c>
      <c r="B9026" s="534"/>
      <c r="C9026" s="260" t="s">
        <v>12041</v>
      </c>
      <c r="D9026" s="444" t="s">
        <v>11766</v>
      </c>
      <c r="E9026" s="260" t="s">
        <v>12042</v>
      </c>
      <c r="F9026" s="387">
        <v>30490</v>
      </c>
      <c r="G9026" s="373" t="s">
        <v>11757</v>
      </c>
      <c r="H9026" s="396" t="s">
        <v>3243</v>
      </c>
      <c r="I9026" s="470" t="s">
        <v>3285</v>
      </c>
      <c r="J9026" s="427">
        <v>53.760550000000002</v>
      </c>
      <c r="K9026" s="427">
        <v>52.861960000000003</v>
      </c>
      <c r="L9026" s="427">
        <f t="shared" si="124"/>
        <v>0.89858999999999867</v>
      </c>
      <c r="M9026" s="337"/>
    </row>
    <row r="9027" spans="1:13" s="71" customFormat="1" ht="26.4" customHeight="1">
      <c r="A9027" s="282">
        <v>261</v>
      </c>
      <c r="B9027" s="534"/>
      <c r="C9027" s="236" t="s">
        <v>8325</v>
      </c>
      <c r="D9027" s="260" t="s">
        <v>12043</v>
      </c>
      <c r="E9027" s="260" t="s">
        <v>12044</v>
      </c>
      <c r="F9027" s="387">
        <v>30491</v>
      </c>
      <c r="G9027" s="373" t="s">
        <v>1584</v>
      </c>
      <c r="H9027" s="396" t="s">
        <v>3243</v>
      </c>
      <c r="I9027" s="470" t="s">
        <v>3285</v>
      </c>
      <c r="J9027" s="427">
        <v>47.203040000000001</v>
      </c>
      <c r="K9027" s="427">
        <v>45.308259999999997</v>
      </c>
      <c r="L9027" s="427">
        <f t="shared" si="124"/>
        <v>1.8947800000000043</v>
      </c>
      <c r="M9027" s="337"/>
    </row>
    <row r="9028" spans="1:13" s="71" customFormat="1" ht="26.4" customHeight="1">
      <c r="A9028" s="282">
        <v>262</v>
      </c>
      <c r="B9028" s="534"/>
      <c r="C9028" s="260" t="s">
        <v>11743</v>
      </c>
      <c r="D9028" s="260" t="s">
        <v>11744</v>
      </c>
      <c r="E9028" s="260" t="s">
        <v>12045</v>
      </c>
      <c r="F9028" s="387">
        <v>30494</v>
      </c>
      <c r="G9028" s="373" t="s">
        <v>1566</v>
      </c>
      <c r="H9028" s="396" t="s">
        <v>5462</v>
      </c>
      <c r="I9028" s="470">
        <v>2260</v>
      </c>
      <c r="J9028" s="427">
        <v>944.05128999999999</v>
      </c>
      <c r="K9028" s="427">
        <v>938.98303999999996</v>
      </c>
      <c r="L9028" s="427">
        <f t="shared" si="124"/>
        <v>5.0682500000000346</v>
      </c>
      <c r="M9028" s="337"/>
    </row>
    <row r="9029" spans="1:13" s="71" customFormat="1" ht="26.4" customHeight="1">
      <c r="A9029" s="282">
        <v>263</v>
      </c>
      <c r="B9029" s="534"/>
      <c r="C9029" s="260" t="s">
        <v>11743</v>
      </c>
      <c r="D9029" s="260" t="s">
        <v>11744</v>
      </c>
      <c r="E9029" s="260" t="s">
        <v>12046</v>
      </c>
      <c r="F9029" s="387">
        <v>30496</v>
      </c>
      <c r="G9029" s="373" t="s">
        <v>1550</v>
      </c>
      <c r="H9029" s="396" t="s">
        <v>3243</v>
      </c>
      <c r="I9029" s="470" t="s">
        <v>3285</v>
      </c>
      <c r="J9029" s="427">
        <v>561.90187000000003</v>
      </c>
      <c r="K9029" s="427">
        <v>556.14982999999995</v>
      </c>
      <c r="L9029" s="427">
        <f t="shared" si="124"/>
        <v>5.7520400000000791</v>
      </c>
      <c r="M9029" s="337"/>
    </row>
    <row r="9030" spans="1:13" s="71" customFormat="1" ht="26.4" customHeight="1">
      <c r="A9030" s="282">
        <v>264</v>
      </c>
      <c r="B9030" s="534"/>
      <c r="C9030" s="260" t="s">
        <v>11743</v>
      </c>
      <c r="D9030" s="260" t="s">
        <v>11744</v>
      </c>
      <c r="E9030" s="260" t="s">
        <v>12047</v>
      </c>
      <c r="F9030" s="387">
        <v>30497</v>
      </c>
      <c r="G9030" s="373" t="s">
        <v>1550</v>
      </c>
      <c r="H9030" s="396" t="s">
        <v>5462</v>
      </c>
      <c r="I9030" s="470">
        <v>3500</v>
      </c>
      <c r="J9030" s="427">
        <v>34.794280000000001</v>
      </c>
      <c r="K9030" s="427">
        <v>33.719279999999998</v>
      </c>
      <c r="L9030" s="427">
        <f t="shared" si="124"/>
        <v>1.0750000000000028</v>
      </c>
      <c r="M9030" s="337"/>
    </row>
    <row r="9031" spans="1:13" s="71" customFormat="1" ht="26.4" customHeight="1">
      <c r="A9031" s="282">
        <v>265</v>
      </c>
      <c r="B9031" s="534"/>
      <c r="C9031" s="260" t="s">
        <v>11743</v>
      </c>
      <c r="D9031" s="260" t="s">
        <v>11744</v>
      </c>
      <c r="E9031" s="260" t="s">
        <v>12048</v>
      </c>
      <c r="F9031" s="387">
        <v>30499</v>
      </c>
      <c r="G9031" s="373" t="s">
        <v>1550</v>
      </c>
      <c r="H9031" s="396" t="s">
        <v>3243</v>
      </c>
      <c r="I9031" s="470" t="s">
        <v>3285</v>
      </c>
      <c r="J9031" s="427">
        <v>60.498309999999996</v>
      </c>
      <c r="K9031" s="427">
        <v>56.718919999999997</v>
      </c>
      <c r="L9031" s="427">
        <f t="shared" si="124"/>
        <v>3.7793899999999994</v>
      </c>
      <c r="M9031" s="337"/>
    </row>
    <row r="9032" spans="1:13" s="71" customFormat="1" ht="26.4" customHeight="1">
      <c r="A9032" s="282">
        <v>266</v>
      </c>
      <c r="B9032" s="534"/>
      <c r="C9032" s="236" t="s">
        <v>1169</v>
      </c>
      <c r="D9032" s="260" t="s">
        <v>12049</v>
      </c>
      <c r="E9032" s="260" t="s">
        <v>12050</v>
      </c>
      <c r="F9032" s="387">
        <v>30500</v>
      </c>
      <c r="G9032" s="373" t="s">
        <v>1550</v>
      </c>
      <c r="H9032" s="396" t="s">
        <v>5462</v>
      </c>
      <c r="I9032" s="470">
        <v>1000</v>
      </c>
      <c r="J9032" s="427">
        <v>123.69255</v>
      </c>
      <c r="K9032" s="427">
        <v>120.58035</v>
      </c>
      <c r="L9032" s="427">
        <f t="shared" si="124"/>
        <v>3.1122000000000014</v>
      </c>
      <c r="M9032" s="337"/>
    </row>
    <row r="9033" spans="1:13" s="71" customFormat="1" ht="26.4" customHeight="1">
      <c r="A9033" s="282">
        <v>267</v>
      </c>
      <c r="B9033" s="534"/>
      <c r="C9033" s="260" t="s">
        <v>11743</v>
      </c>
      <c r="D9033" s="260" t="s">
        <v>11744</v>
      </c>
      <c r="E9033" s="260" t="s">
        <v>12051</v>
      </c>
      <c r="F9033" s="387">
        <v>30501</v>
      </c>
      <c r="G9033" s="373" t="s">
        <v>1550</v>
      </c>
      <c r="H9033" s="396" t="s">
        <v>5462</v>
      </c>
      <c r="I9033" s="470">
        <v>4200</v>
      </c>
      <c r="J9033" s="427">
        <v>246.60409000000001</v>
      </c>
      <c r="K9033" s="427">
        <v>240.24564000000001</v>
      </c>
      <c r="L9033" s="427">
        <f t="shared" si="124"/>
        <v>6.3584500000000048</v>
      </c>
      <c r="M9033" s="337"/>
    </row>
    <row r="9034" spans="1:13" s="71" customFormat="1" ht="26.4" customHeight="1">
      <c r="A9034" s="282">
        <v>268</v>
      </c>
      <c r="B9034" s="534"/>
      <c r="C9034" s="444" t="s">
        <v>12052</v>
      </c>
      <c r="D9034" s="444" t="s">
        <v>12930</v>
      </c>
      <c r="E9034" s="444" t="s">
        <v>12053</v>
      </c>
      <c r="F9034" s="387">
        <v>30503</v>
      </c>
      <c r="G9034" s="373" t="s">
        <v>1566</v>
      </c>
      <c r="H9034" s="396" t="s">
        <v>5462</v>
      </c>
      <c r="I9034" s="470">
        <v>5000</v>
      </c>
      <c r="J9034" s="427">
        <v>22.028700000000001</v>
      </c>
      <c r="K9034" s="427">
        <v>21.44266</v>
      </c>
      <c r="L9034" s="427">
        <f t="shared" si="124"/>
        <v>0.58604000000000056</v>
      </c>
      <c r="M9034" s="337"/>
    </row>
    <row r="9035" spans="1:13" s="71" customFormat="1" ht="26.4" customHeight="1">
      <c r="A9035" s="282">
        <v>269</v>
      </c>
      <c r="B9035" s="534"/>
      <c r="C9035" s="260" t="s">
        <v>10229</v>
      </c>
      <c r="D9035" s="260" t="s">
        <v>12054</v>
      </c>
      <c r="E9035" s="260" t="s">
        <v>12055</v>
      </c>
      <c r="F9035" s="387">
        <v>30510</v>
      </c>
      <c r="G9035" s="373" t="s">
        <v>1529</v>
      </c>
      <c r="H9035" s="396" t="s">
        <v>5462</v>
      </c>
      <c r="I9035" s="470">
        <v>3000</v>
      </c>
      <c r="J9035" s="427">
        <v>52.542430000000003</v>
      </c>
      <c r="K9035" s="427">
        <v>52.542430000000003</v>
      </c>
      <c r="L9035" s="427">
        <f t="shared" si="124"/>
        <v>0</v>
      </c>
      <c r="M9035" s="337"/>
    </row>
    <row r="9036" spans="1:13" s="71" customFormat="1" ht="26.4" customHeight="1">
      <c r="A9036" s="282">
        <v>270</v>
      </c>
      <c r="B9036" s="534"/>
      <c r="C9036" s="260" t="s">
        <v>10229</v>
      </c>
      <c r="D9036" s="260" t="s">
        <v>12054</v>
      </c>
      <c r="E9036" s="260" t="s">
        <v>12055</v>
      </c>
      <c r="F9036" s="387">
        <v>30510</v>
      </c>
      <c r="G9036" s="373" t="s">
        <v>1529</v>
      </c>
      <c r="H9036" s="396" t="s">
        <v>5462</v>
      </c>
      <c r="I9036" s="470">
        <v>2400</v>
      </c>
      <c r="J9036" s="427">
        <v>850.09807000000001</v>
      </c>
      <c r="K9036" s="427">
        <v>850.09807000000001</v>
      </c>
      <c r="L9036" s="427">
        <f t="shared" si="124"/>
        <v>0</v>
      </c>
      <c r="M9036" s="337"/>
    </row>
    <row r="9037" spans="1:13" s="71" customFormat="1" ht="26.4" customHeight="1">
      <c r="A9037" s="282">
        <v>271</v>
      </c>
      <c r="B9037" s="534"/>
      <c r="C9037" s="444" t="s">
        <v>25</v>
      </c>
      <c r="D9037" s="444" t="s">
        <v>12998</v>
      </c>
      <c r="E9037" s="444" t="s">
        <v>12056</v>
      </c>
      <c r="F9037" s="387">
        <v>30511</v>
      </c>
      <c r="G9037" s="373" t="s">
        <v>1566</v>
      </c>
      <c r="H9037" s="396" t="s">
        <v>3243</v>
      </c>
      <c r="I9037" s="470" t="s">
        <v>3285</v>
      </c>
      <c r="J9037" s="427">
        <v>58.438679999999998</v>
      </c>
      <c r="K9037" s="427">
        <v>54.528680000000001</v>
      </c>
      <c r="L9037" s="427">
        <f t="shared" si="124"/>
        <v>3.9099999999999966</v>
      </c>
      <c r="M9037" s="337"/>
    </row>
    <row r="9038" spans="1:13" s="71" customFormat="1" ht="26.4" customHeight="1">
      <c r="A9038" s="282">
        <v>272</v>
      </c>
      <c r="B9038" s="534"/>
      <c r="C9038" s="444" t="s">
        <v>25</v>
      </c>
      <c r="D9038" s="444" t="s">
        <v>12999</v>
      </c>
      <c r="E9038" s="444" t="s">
        <v>12057</v>
      </c>
      <c r="F9038" s="387">
        <v>30512</v>
      </c>
      <c r="G9038" s="373" t="s">
        <v>1529</v>
      </c>
      <c r="H9038" s="396" t="s">
        <v>5462</v>
      </c>
      <c r="I9038" s="470">
        <v>1270</v>
      </c>
      <c r="J9038" s="427">
        <v>103.13938</v>
      </c>
      <c r="K9038" s="427">
        <v>99.68938</v>
      </c>
      <c r="L9038" s="427">
        <f t="shared" si="124"/>
        <v>3.4500000000000028</v>
      </c>
      <c r="M9038" s="337"/>
    </row>
    <row r="9039" spans="1:13" s="71" customFormat="1" ht="26.4" customHeight="1">
      <c r="A9039" s="282">
        <v>273</v>
      </c>
      <c r="B9039" s="534"/>
      <c r="C9039" s="236" t="s">
        <v>11755</v>
      </c>
      <c r="D9039" s="260" t="s">
        <v>13000</v>
      </c>
      <c r="E9039" s="260" t="s">
        <v>12058</v>
      </c>
      <c r="F9039" s="387">
        <v>30513</v>
      </c>
      <c r="G9039" s="373" t="s">
        <v>1529</v>
      </c>
      <c r="H9039" s="396" t="s">
        <v>5462</v>
      </c>
      <c r="I9039" s="470">
        <v>4200</v>
      </c>
      <c r="J9039" s="427">
        <v>184.12430000000001</v>
      </c>
      <c r="K9039" s="427">
        <v>182.91587999999999</v>
      </c>
      <c r="L9039" s="427">
        <f t="shared" si="124"/>
        <v>1.208420000000018</v>
      </c>
      <c r="M9039" s="337"/>
    </row>
    <row r="9040" spans="1:13" s="71" customFormat="1" ht="26.4" customHeight="1">
      <c r="A9040" s="282">
        <v>274</v>
      </c>
      <c r="B9040" s="534"/>
      <c r="C9040" s="236" t="s">
        <v>11755</v>
      </c>
      <c r="D9040" s="260" t="s">
        <v>13000</v>
      </c>
      <c r="E9040" s="260" t="s">
        <v>12058</v>
      </c>
      <c r="F9040" s="387">
        <v>30513</v>
      </c>
      <c r="G9040" s="373" t="s">
        <v>1529</v>
      </c>
      <c r="H9040" s="396" t="s">
        <v>5462</v>
      </c>
      <c r="I9040" s="470">
        <v>5250</v>
      </c>
      <c r="J9040" s="427">
        <v>267.79286000000002</v>
      </c>
      <c r="K9040" s="427">
        <v>261.30700000000002</v>
      </c>
      <c r="L9040" s="427">
        <f t="shared" si="124"/>
        <v>6.4858600000000024</v>
      </c>
      <c r="M9040" s="337"/>
    </row>
    <row r="9041" spans="1:13" s="71" customFormat="1" ht="26.4" customHeight="1">
      <c r="A9041" s="282">
        <v>275</v>
      </c>
      <c r="B9041" s="534"/>
      <c r="C9041" s="236" t="s">
        <v>11755</v>
      </c>
      <c r="D9041" s="260" t="s">
        <v>13000</v>
      </c>
      <c r="E9041" s="260" t="s">
        <v>12059</v>
      </c>
      <c r="F9041" s="387">
        <v>30514</v>
      </c>
      <c r="G9041" s="373" t="s">
        <v>1529</v>
      </c>
      <c r="H9041" s="396" t="s">
        <v>5462</v>
      </c>
      <c r="I9041" s="470">
        <v>250</v>
      </c>
      <c r="J9041" s="427">
        <v>21.086130000000001</v>
      </c>
      <c r="K9041" s="427">
        <v>21.086130000000001</v>
      </c>
      <c r="L9041" s="427">
        <f t="shared" si="124"/>
        <v>0</v>
      </c>
      <c r="M9041" s="337"/>
    </row>
    <row r="9042" spans="1:13" s="71" customFormat="1" ht="26.4" customHeight="1">
      <c r="A9042" s="282">
        <v>276</v>
      </c>
      <c r="B9042" s="534"/>
      <c r="C9042" s="236" t="s">
        <v>8325</v>
      </c>
      <c r="D9042" s="260" t="s">
        <v>12060</v>
      </c>
      <c r="E9042" s="260" t="s">
        <v>12061</v>
      </c>
      <c r="F9042" s="387">
        <v>30519</v>
      </c>
      <c r="G9042" s="373" t="s">
        <v>1538</v>
      </c>
      <c r="H9042" s="396" t="s">
        <v>5462</v>
      </c>
      <c r="I9042" s="470">
        <v>724</v>
      </c>
      <c r="J9042" s="427">
        <v>202.77180000000001</v>
      </c>
      <c r="K9042" s="427">
        <v>200.07258999999999</v>
      </c>
      <c r="L9042" s="427">
        <f t="shared" si="124"/>
        <v>2.6992100000000221</v>
      </c>
      <c r="M9042" s="337"/>
    </row>
    <row r="9043" spans="1:13" s="71" customFormat="1" ht="26.4" customHeight="1">
      <c r="A9043" s="282">
        <v>277</v>
      </c>
      <c r="B9043" s="534"/>
      <c r="C9043" s="236" t="s">
        <v>1169</v>
      </c>
      <c r="D9043" s="260" t="s">
        <v>12009</v>
      </c>
      <c r="E9043" s="260" t="s">
        <v>12062</v>
      </c>
      <c r="F9043" s="387">
        <v>30520</v>
      </c>
      <c r="G9043" s="373" t="s">
        <v>1581</v>
      </c>
      <c r="H9043" s="396" t="s">
        <v>3243</v>
      </c>
      <c r="I9043" s="470" t="s">
        <v>3285</v>
      </c>
      <c r="J9043" s="427">
        <v>229.33199999999999</v>
      </c>
      <c r="K9043" s="427">
        <v>224.06977000000001</v>
      </c>
      <c r="L9043" s="427">
        <f t="shared" si="124"/>
        <v>5.2622299999999882</v>
      </c>
      <c r="M9043" s="337"/>
    </row>
    <row r="9044" spans="1:13" s="71" customFormat="1" ht="26.4" customHeight="1">
      <c r="A9044" s="282">
        <v>278</v>
      </c>
      <c r="B9044" s="534"/>
      <c r="C9044" s="236" t="s">
        <v>8325</v>
      </c>
      <c r="D9044" s="236" t="s">
        <v>11709</v>
      </c>
      <c r="E9044" s="260" t="s">
        <v>12063</v>
      </c>
      <c r="F9044" s="387">
        <v>43269</v>
      </c>
      <c r="G9044" s="373" t="s">
        <v>1569</v>
      </c>
      <c r="H9044" s="396" t="s">
        <v>3243</v>
      </c>
      <c r="I9044" s="470" t="s">
        <v>3285</v>
      </c>
      <c r="J9044" s="427">
        <v>69.879829999999998</v>
      </c>
      <c r="K9044" s="427">
        <v>64.638630000000006</v>
      </c>
      <c r="L9044" s="427">
        <f t="shared" si="124"/>
        <v>5.2411999999999921</v>
      </c>
      <c r="M9044" s="337"/>
    </row>
    <row r="9045" spans="1:13" s="71" customFormat="1" ht="26.4" customHeight="1">
      <c r="A9045" s="282">
        <v>279</v>
      </c>
      <c r="B9045" s="534"/>
      <c r="C9045" s="260" t="s">
        <v>11819</v>
      </c>
      <c r="D9045" s="260" t="s">
        <v>12064</v>
      </c>
      <c r="E9045" s="260" t="s">
        <v>12065</v>
      </c>
      <c r="F9045" s="387">
        <v>43314</v>
      </c>
      <c r="G9045" s="373" t="s">
        <v>1576</v>
      </c>
      <c r="H9045" s="396" t="s">
        <v>3243</v>
      </c>
      <c r="I9045" s="470" t="s">
        <v>3285</v>
      </c>
      <c r="J9045" s="427">
        <v>3.2477999999999998</v>
      </c>
      <c r="K9045" s="427">
        <v>3.0503999999999998</v>
      </c>
      <c r="L9045" s="427">
        <f t="shared" si="124"/>
        <v>0.19740000000000002</v>
      </c>
      <c r="M9045" s="337"/>
    </row>
    <row r="9046" spans="1:13" s="71" customFormat="1" ht="26.4" customHeight="1">
      <c r="A9046" s="282">
        <v>280</v>
      </c>
      <c r="B9046" s="534"/>
      <c r="C9046" s="236" t="s">
        <v>8325</v>
      </c>
      <c r="D9046" s="260" t="s">
        <v>12066</v>
      </c>
      <c r="E9046" s="260" t="s">
        <v>12067</v>
      </c>
      <c r="F9046" s="387">
        <v>43413</v>
      </c>
      <c r="G9046" s="373" t="s">
        <v>1547</v>
      </c>
      <c r="H9046" s="396" t="s">
        <v>3243</v>
      </c>
      <c r="I9046" s="470" t="s">
        <v>3285</v>
      </c>
      <c r="J9046" s="427">
        <v>171.01146</v>
      </c>
      <c r="K9046" s="427">
        <v>163.75596999999999</v>
      </c>
      <c r="L9046" s="427">
        <f t="shared" si="124"/>
        <v>7.2554900000000089</v>
      </c>
      <c r="M9046" s="337"/>
    </row>
    <row r="9047" spans="1:13" s="71" customFormat="1" ht="26.4" customHeight="1">
      <c r="A9047" s="282">
        <v>281</v>
      </c>
      <c r="B9047" s="534"/>
      <c r="C9047" s="236" t="s">
        <v>8325</v>
      </c>
      <c r="D9047" s="236" t="s">
        <v>11709</v>
      </c>
      <c r="E9047" s="260" t="s">
        <v>12068</v>
      </c>
      <c r="F9047" s="387">
        <v>43516</v>
      </c>
      <c r="G9047" s="373" t="s">
        <v>1537</v>
      </c>
      <c r="H9047" s="396" t="s">
        <v>3243</v>
      </c>
      <c r="I9047" s="470" t="s">
        <v>3285</v>
      </c>
      <c r="J9047" s="427">
        <v>3.87609</v>
      </c>
      <c r="K9047" s="427">
        <v>0.59755000000000003</v>
      </c>
      <c r="L9047" s="427">
        <f t="shared" si="124"/>
        <v>3.27854</v>
      </c>
      <c r="M9047" s="337"/>
    </row>
    <row r="9048" spans="1:13" s="71" customFormat="1" ht="26.4" customHeight="1">
      <c r="A9048" s="282">
        <v>282</v>
      </c>
      <c r="B9048" s="534"/>
      <c r="C9048" s="236" t="s">
        <v>11862</v>
      </c>
      <c r="D9048" s="444" t="s">
        <v>3</v>
      </c>
      <c r="E9048" s="260" t="s">
        <v>12069</v>
      </c>
      <c r="F9048" s="387">
        <v>61433</v>
      </c>
      <c r="G9048" s="373" t="s">
        <v>1569</v>
      </c>
      <c r="H9048" s="396" t="s">
        <v>5462</v>
      </c>
      <c r="I9048" s="470">
        <v>1240</v>
      </c>
      <c r="J9048" s="427">
        <v>11.733000000000001</v>
      </c>
      <c r="K9048" s="427">
        <v>10.113</v>
      </c>
      <c r="L9048" s="427">
        <f t="shared" si="124"/>
        <v>1.620000000000001</v>
      </c>
      <c r="M9048" s="337"/>
    </row>
    <row r="9049" spans="1:13" s="71" customFormat="1" ht="26.4" customHeight="1">
      <c r="A9049" s="282">
        <v>283</v>
      </c>
      <c r="B9049" s="534"/>
      <c r="C9049" s="260" t="s">
        <v>12070</v>
      </c>
      <c r="D9049" s="444" t="s">
        <v>3</v>
      </c>
      <c r="E9049" s="260" t="s">
        <v>12071</v>
      </c>
      <c r="F9049" s="387">
        <v>61434</v>
      </c>
      <c r="G9049" s="373" t="s">
        <v>1569</v>
      </c>
      <c r="H9049" s="396" t="s">
        <v>5462</v>
      </c>
      <c r="I9049" s="470">
        <v>4240</v>
      </c>
      <c r="J9049" s="427">
        <v>44.826999999999998</v>
      </c>
      <c r="K9049" s="427">
        <v>44.826999999999998</v>
      </c>
      <c r="L9049" s="427">
        <f t="shared" si="124"/>
        <v>0</v>
      </c>
      <c r="M9049" s="337"/>
    </row>
    <row r="9050" spans="1:13" s="71" customFormat="1" ht="26.4" customHeight="1">
      <c r="A9050" s="282">
        <v>284</v>
      </c>
      <c r="B9050" s="534"/>
      <c r="C9050" s="236" t="s">
        <v>11859</v>
      </c>
      <c r="D9050" s="444" t="s">
        <v>3</v>
      </c>
      <c r="E9050" s="260" t="s">
        <v>12072</v>
      </c>
      <c r="F9050" s="387">
        <v>61435</v>
      </c>
      <c r="G9050" s="373" t="s">
        <v>1569</v>
      </c>
      <c r="H9050" s="396" t="s">
        <v>5462</v>
      </c>
      <c r="I9050" s="470">
        <v>1310</v>
      </c>
      <c r="J9050" s="427">
        <v>12.366</v>
      </c>
      <c r="K9050" s="427">
        <v>10.746</v>
      </c>
      <c r="L9050" s="427">
        <f t="shared" si="124"/>
        <v>1.6199999999999992</v>
      </c>
      <c r="M9050" s="337"/>
    </row>
    <row r="9051" spans="1:13" s="71" customFormat="1" ht="26.4" customHeight="1">
      <c r="A9051" s="282">
        <v>285</v>
      </c>
      <c r="B9051" s="534"/>
      <c r="C9051" s="260" t="s">
        <v>12073</v>
      </c>
      <c r="D9051" s="444" t="s">
        <v>3</v>
      </c>
      <c r="E9051" s="260" t="s">
        <v>12074</v>
      </c>
      <c r="F9051" s="387">
        <v>61436</v>
      </c>
      <c r="G9051" s="373" t="s">
        <v>1569</v>
      </c>
      <c r="H9051" s="396" t="s">
        <v>5462</v>
      </c>
      <c r="I9051" s="470">
        <v>4250</v>
      </c>
      <c r="J9051" s="427">
        <v>6.4160000000000004</v>
      </c>
      <c r="K9051" s="427">
        <v>6.4160000000000004</v>
      </c>
      <c r="L9051" s="427">
        <f t="shared" si="124"/>
        <v>0</v>
      </c>
      <c r="M9051" s="337"/>
    </row>
    <row r="9052" spans="1:13" s="71" customFormat="1" ht="26.4" customHeight="1">
      <c r="A9052" s="282">
        <v>286</v>
      </c>
      <c r="B9052" s="534"/>
      <c r="C9052" s="260" t="s">
        <v>12075</v>
      </c>
      <c r="D9052" s="444" t="s">
        <v>3</v>
      </c>
      <c r="E9052" s="260" t="s">
        <v>12076</v>
      </c>
      <c r="F9052" s="387">
        <v>61437</v>
      </c>
      <c r="G9052" s="373" t="s">
        <v>1569</v>
      </c>
      <c r="H9052" s="396" t="s">
        <v>5462</v>
      </c>
      <c r="I9052" s="470">
        <v>4250</v>
      </c>
      <c r="J9052" s="427">
        <v>3.2869999999999999</v>
      </c>
      <c r="K9052" s="427">
        <v>3.2869999999999999</v>
      </c>
      <c r="L9052" s="427">
        <f t="shared" si="124"/>
        <v>0</v>
      </c>
      <c r="M9052" s="337"/>
    </row>
    <row r="9053" spans="1:13" s="71" customFormat="1" ht="26.4" customHeight="1">
      <c r="A9053" s="282">
        <v>287</v>
      </c>
      <c r="B9053" s="534"/>
      <c r="C9053" s="236" t="s">
        <v>11880</v>
      </c>
      <c r="D9053" s="444" t="s">
        <v>3</v>
      </c>
      <c r="E9053" s="260" t="s">
        <v>12077</v>
      </c>
      <c r="F9053" s="387">
        <v>61438</v>
      </c>
      <c r="G9053" s="373" t="s">
        <v>1569</v>
      </c>
      <c r="H9053" s="396" t="s">
        <v>5462</v>
      </c>
      <c r="I9053" s="470">
        <v>1270</v>
      </c>
      <c r="J9053" s="427">
        <v>20.761050000000001</v>
      </c>
      <c r="K9053" s="427">
        <v>16.911159999999999</v>
      </c>
      <c r="L9053" s="427">
        <f t="shared" si="124"/>
        <v>3.849890000000002</v>
      </c>
      <c r="M9053" s="337"/>
    </row>
    <row r="9054" spans="1:13" s="71" customFormat="1" ht="26.4" customHeight="1">
      <c r="A9054" s="282">
        <v>288</v>
      </c>
      <c r="B9054" s="534"/>
      <c r="C9054" s="236" t="s">
        <v>11862</v>
      </c>
      <c r="D9054" s="444" t="s">
        <v>3</v>
      </c>
      <c r="E9054" s="260" t="s">
        <v>12078</v>
      </c>
      <c r="F9054" s="387">
        <v>61442</v>
      </c>
      <c r="G9054" s="373" t="s">
        <v>1569</v>
      </c>
      <c r="H9054" s="396" t="s">
        <v>5462</v>
      </c>
      <c r="I9054" s="470">
        <v>5000</v>
      </c>
      <c r="J9054" s="427">
        <v>82.71</v>
      </c>
      <c r="K9054" s="427">
        <v>80.117999999999995</v>
      </c>
      <c r="L9054" s="427">
        <f t="shared" si="124"/>
        <v>2.5919999999999987</v>
      </c>
      <c r="M9054" s="337"/>
    </row>
    <row r="9055" spans="1:13" s="71" customFormat="1" ht="26.4" customHeight="1">
      <c r="A9055" s="282">
        <v>289</v>
      </c>
      <c r="B9055" s="534"/>
      <c r="C9055" s="430" t="s">
        <v>11865</v>
      </c>
      <c r="D9055" s="444" t="s">
        <v>3</v>
      </c>
      <c r="E9055" s="260" t="s">
        <v>12079</v>
      </c>
      <c r="F9055" s="387">
        <v>61443</v>
      </c>
      <c r="G9055" s="373" t="s">
        <v>1569</v>
      </c>
      <c r="H9055" s="396" t="s">
        <v>5462</v>
      </c>
      <c r="I9055" s="470">
        <v>1285</v>
      </c>
      <c r="J9055" s="427">
        <v>487.32053999999999</v>
      </c>
      <c r="K9055" s="427">
        <v>485.70053999999999</v>
      </c>
      <c r="L9055" s="427">
        <f t="shared" si="124"/>
        <v>1.6200000000000045</v>
      </c>
      <c r="M9055" s="337"/>
    </row>
    <row r="9056" spans="1:13" s="71" customFormat="1" ht="26.4" customHeight="1">
      <c r="A9056" s="282">
        <v>290</v>
      </c>
      <c r="B9056" s="534"/>
      <c r="C9056" s="430" t="s">
        <v>11865</v>
      </c>
      <c r="D9056" s="444" t="s">
        <v>3</v>
      </c>
      <c r="E9056" s="260" t="s">
        <v>12079</v>
      </c>
      <c r="F9056" s="387">
        <v>61445</v>
      </c>
      <c r="G9056" s="373" t="s">
        <v>1569</v>
      </c>
      <c r="H9056" s="396" t="s">
        <v>5462</v>
      </c>
      <c r="I9056" s="470">
        <v>1285</v>
      </c>
      <c r="J9056" s="427">
        <v>19.244959999999999</v>
      </c>
      <c r="K9056" s="427">
        <v>17.624960000000002</v>
      </c>
      <c r="L9056" s="427">
        <f t="shared" si="124"/>
        <v>1.6199999999999974</v>
      </c>
      <c r="M9056" s="337"/>
    </row>
    <row r="9057" spans="1:13" s="71" customFormat="1" ht="26.4" customHeight="1">
      <c r="A9057" s="282">
        <v>291</v>
      </c>
      <c r="B9057" s="534"/>
      <c r="C9057" s="444" t="s">
        <v>12080</v>
      </c>
      <c r="D9057" s="444" t="s">
        <v>12081</v>
      </c>
      <c r="E9057" s="444" t="s">
        <v>12082</v>
      </c>
      <c r="F9057" s="387">
        <v>61449</v>
      </c>
      <c r="G9057" s="373" t="s">
        <v>1569</v>
      </c>
      <c r="H9057" s="396" t="s">
        <v>3243</v>
      </c>
      <c r="I9057" s="470" t="s">
        <v>3285</v>
      </c>
      <c r="J9057" s="427">
        <v>2.4320200000000001</v>
      </c>
      <c r="K9057" s="427">
        <v>2.1466799999999999</v>
      </c>
      <c r="L9057" s="427">
        <f t="shared" si="124"/>
        <v>0.28534000000000015</v>
      </c>
      <c r="M9057" s="337"/>
    </row>
    <row r="9058" spans="1:13" s="71" customFormat="1" ht="26.4" customHeight="1">
      <c r="A9058" s="282">
        <v>292</v>
      </c>
      <c r="B9058" s="534"/>
      <c r="C9058" s="236" t="s">
        <v>11792</v>
      </c>
      <c r="D9058" s="260" t="s">
        <v>12083</v>
      </c>
      <c r="E9058" s="260" t="s">
        <v>12084</v>
      </c>
      <c r="F9058" s="387">
        <v>61450</v>
      </c>
      <c r="G9058" s="373" t="s">
        <v>1569</v>
      </c>
      <c r="H9058" s="396" t="s">
        <v>3243</v>
      </c>
      <c r="I9058" s="470" t="s">
        <v>3285</v>
      </c>
      <c r="J9058" s="427">
        <v>3.1187200000000002</v>
      </c>
      <c r="K9058" s="427">
        <v>2.65848</v>
      </c>
      <c r="L9058" s="427">
        <f t="shared" si="124"/>
        <v>0.4602400000000002</v>
      </c>
      <c r="M9058" s="337"/>
    </row>
    <row r="9059" spans="1:13" s="71" customFormat="1" ht="26.4" customHeight="1">
      <c r="A9059" s="282">
        <v>293</v>
      </c>
      <c r="B9059" s="534"/>
      <c r="C9059" s="236" t="s">
        <v>11792</v>
      </c>
      <c r="D9059" s="260" t="s">
        <v>12085</v>
      </c>
      <c r="E9059" s="260" t="s">
        <v>12086</v>
      </c>
      <c r="F9059" s="387">
        <v>61451</v>
      </c>
      <c r="G9059" s="373" t="s">
        <v>1569</v>
      </c>
      <c r="H9059" s="396" t="s">
        <v>3243</v>
      </c>
      <c r="I9059" s="470" t="s">
        <v>3285</v>
      </c>
      <c r="J9059" s="427">
        <v>2.0822400000000001</v>
      </c>
      <c r="K9059" s="427">
        <v>1.8151600000000001</v>
      </c>
      <c r="L9059" s="427">
        <f t="shared" si="124"/>
        <v>0.26707999999999998</v>
      </c>
      <c r="M9059" s="337"/>
    </row>
    <row r="9060" spans="1:13" s="71" customFormat="1" ht="26.4" customHeight="1">
      <c r="A9060" s="282">
        <v>294</v>
      </c>
      <c r="B9060" s="534"/>
      <c r="C9060" s="236" t="s">
        <v>11792</v>
      </c>
      <c r="D9060" s="260" t="s">
        <v>12087</v>
      </c>
      <c r="E9060" s="260" t="s">
        <v>12088</v>
      </c>
      <c r="F9060" s="387">
        <v>61452</v>
      </c>
      <c r="G9060" s="373" t="s">
        <v>1569</v>
      </c>
      <c r="H9060" s="396" t="s">
        <v>3243</v>
      </c>
      <c r="I9060" s="470" t="s">
        <v>3285</v>
      </c>
      <c r="J9060" s="427">
        <v>2.7416</v>
      </c>
      <c r="K9060" s="427">
        <v>2.5524</v>
      </c>
      <c r="L9060" s="427">
        <f t="shared" si="124"/>
        <v>0.18920000000000003</v>
      </c>
      <c r="M9060" s="337"/>
    </row>
    <row r="9061" spans="1:13" s="71" customFormat="1" ht="26.4" customHeight="1">
      <c r="A9061" s="282">
        <v>295</v>
      </c>
      <c r="B9061" s="534"/>
      <c r="C9061" s="236" t="s">
        <v>11792</v>
      </c>
      <c r="D9061" s="260" t="s">
        <v>3</v>
      </c>
      <c r="E9061" s="260" t="s">
        <v>12089</v>
      </c>
      <c r="F9061" s="387">
        <v>61453</v>
      </c>
      <c r="G9061" s="373" t="s">
        <v>1569</v>
      </c>
      <c r="H9061" s="396" t="s">
        <v>5462</v>
      </c>
      <c r="I9061" s="470">
        <v>4230</v>
      </c>
      <c r="J9061" s="427">
        <v>26.782699999999998</v>
      </c>
      <c r="K9061" s="427">
        <v>26.103560000000002</v>
      </c>
      <c r="L9061" s="427">
        <f t="shared" si="124"/>
        <v>0.67913999999999675</v>
      </c>
      <c r="M9061" s="337"/>
    </row>
    <row r="9062" spans="1:13" s="71" customFormat="1" ht="26.4" customHeight="1">
      <c r="A9062" s="282">
        <v>296</v>
      </c>
      <c r="B9062" s="534"/>
      <c r="C9062" s="260" t="s">
        <v>12080</v>
      </c>
      <c r="D9062" s="260" t="s">
        <v>3</v>
      </c>
      <c r="E9062" s="260" t="s">
        <v>12090</v>
      </c>
      <c r="F9062" s="387">
        <v>61454</v>
      </c>
      <c r="G9062" s="373" t="s">
        <v>1569</v>
      </c>
      <c r="H9062" s="396" t="s">
        <v>5462</v>
      </c>
      <c r="I9062" s="470">
        <v>4240</v>
      </c>
      <c r="J9062" s="427">
        <v>17.728750000000002</v>
      </c>
      <c r="K9062" s="427">
        <v>16.764600000000002</v>
      </c>
      <c r="L9062" s="427">
        <f t="shared" si="124"/>
        <v>0.96415000000000006</v>
      </c>
      <c r="M9062" s="337"/>
    </row>
    <row r="9063" spans="1:13" s="71" customFormat="1" ht="26.4" customHeight="1">
      <c r="A9063" s="282">
        <v>297</v>
      </c>
      <c r="B9063" s="534"/>
      <c r="C9063" s="236" t="s">
        <v>11792</v>
      </c>
      <c r="D9063" s="260" t="s">
        <v>3</v>
      </c>
      <c r="E9063" s="260" t="s">
        <v>12089</v>
      </c>
      <c r="F9063" s="387">
        <v>61455</v>
      </c>
      <c r="G9063" s="373" t="s">
        <v>1569</v>
      </c>
      <c r="H9063" s="396" t="s">
        <v>5462</v>
      </c>
      <c r="I9063" s="470">
        <v>4240</v>
      </c>
      <c r="J9063" s="427">
        <v>16.249140000000001</v>
      </c>
      <c r="K9063" s="427">
        <v>14.889760000000001</v>
      </c>
      <c r="L9063" s="427">
        <f t="shared" si="124"/>
        <v>1.3593799999999998</v>
      </c>
      <c r="M9063" s="337"/>
    </row>
    <row r="9064" spans="1:13" s="71" customFormat="1" ht="26.4" customHeight="1">
      <c r="A9064" s="282">
        <v>298</v>
      </c>
      <c r="B9064" s="534"/>
      <c r="C9064" s="236" t="s">
        <v>11792</v>
      </c>
      <c r="D9064" s="260" t="s">
        <v>3</v>
      </c>
      <c r="E9064" s="260" t="s">
        <v>12089</v>
      </c>
      <c r="F9064" s="387">
        <v>61456</v>
      </c>
      <c r="G9064" s="373" t="s">
        <v>1569</v>
      </c>
      <c r="H9064" s="396" t="s">
        <v>5462</v>
      </c>
      <c r="I9064" s="470">
        <v>4240</v>
      </c>
      <c r="J9064" s="427">
        <v>12.26277</v>
      </c>
      <c r="K9064" s="427">
        <v>11.38618</v>
      </c>
      <c r="L9064" s="427">
        <f t="shared" si="124"/>
        <v>0.8765900000000002</v>
      </c>
      <c r="M9064" s="337"/>
    </row>
    <row r="9065" spans="1:13" s="71" customFormat="1" ht="26.4" customHeight="1">
      <c r="A9065" s="282">
        <v>299</v>
      </c>
      <c r="B9065" s="534"/>
      <c r="C9065" s="260" t="s">
        <v>12091</v>
      </c>
      <c r="D9065" s="260" t="s">
        <v>3</v>
      </c>
      <c r="E9065" s="260" t="s">
        <v>12092</v>
      </c>
      <c r="F9065" s="387">
        <v>61457</v>
      </c>
      <c r="G9065" s="373" t="s">
        <v>1569</v>
      </c>
      <c r="H9065" s="396" t="s">
        <v>5462</v>
      </c>
      <c r="I9065" s="470">
        <v>4240</v>
      </c>
      <c r="J9065" s="427">
        <v>38.743699999999997</v>
      </c>
      <c r="K9065" s="427">
        <v>30.167380000000001</v>
      </c>
      <c r="L9065" s="427">
        <f t="shared" si="124"/>
        <v>8.5763199999999955</v>
      </c>
      <c r="M9065" s="337"/>
    </row>
    <row r="9066" spans="1:13" s="71" customFormat="1" ht="26.4" customHeight="1">
      <c r="A9066" s="282">
        <v>300</v>
      </c>
      <c r="B9066" s="534"/>
      <c r="C9066" s="236" t="s">
        <v>11795</v>
      </c>
      <c r="D9066" s="260" t="s">
        <v>13001</v>
      </c>
      <c r="E9066" s="260" t="s">
        <v>12093</v>
      </c>
      <c r="F9066" s="387">
        <v>61458</v>
      </c>
      <c r="G9066" s="373" t="s">
        <v>1569</v>
      </c>
      <c r="H9066" s="396" t="s">
        <v>5462</v>
      </c>
      <c r="I9066" s="470">
        <v>4241</v>
      </c>
      <c r="J9066" s="427">
        <v>250.55206000000001</v>
      </c>
      <c r="K9066" s="427">
        <v>246.816</v>
      </c>
      <c r="L9066" s="427">
        <f t="shared" si="124"/>
        <v>3.736060000000009</v>
      </c>
      <c r="M9066" s="337"/>
    </row>
    <row r="9067" spans="1:13" s="71" customFormat="1" ht="26.4" customHeight="1">
      <c r="A9067" s="282">
        <v>301</v>
      </c>
      <c r="B9067" s="534"/>
      <c r="C9067" s="236" t="s">
        <v>11795</v>
      </c>
      <c r="D9067" s="260" t="s">
        <v>3</v>
      </c>
      <c r="E9067" s="260" t="s">
        <v>12094</v>
      </c>
      <c r="F9067" s="387">
        <v>61459</v>
      </c>
      <c r="G9067" s="373" t="s">
        <v>1569</v>
      </c>
      <c r="H9067" s="396" t="s">
        <v>5462</v>
      </c>
      <c r="I9067" s="470">
        <v>4242</v>
      </c>
      <c r="J9067" s="427">
        <v>117.82153</v>
      </c>
      <c r="K9067" s="427">
        <v>111.35599999999999</v>
      </c>
      <c r="L9067" s="427">
        <f t="shared" si="124"/>
        <v>6.4655300000000011</v>
      </c>
      <c r="M9067" s="337"/>
    </row>
    <row r="9068" spans="1:13" s="71" customFormat="1" ht="26.4" customHeight="1">
      <c r="A9068" s="282">
        <v>302</v>
      </c>
      <c r="B9068" s="534"/>
      <c r="C9068" s="260" t="s">
        <v>12095</v>
      </c>
      <c r="D9068" s="260" t="s">
        <v>3</v>
      </c>
      <c r="E9068" s="260" t="s">
        <v>12096</v>
      </c>
      <c r="F9068" s="387">
        <v>61460</v>
      </c>
      <c r="G9068" s="373" t="s">
        <v>1569</v>
      </c>
      <c r="H9068" s="396" t="s">
        <v>5462</v>
      </c>
      <c r="I9068" s="470">
        <v>4243</v>
      </c>
      <c r="J9068" s="427">
        <v>23.217199999999998</v>
      </c>
      <c r="K9068" s="427">
        <v>21.943000000000001</v>
      </c>
      <c r="L9068" s="427">
        <f t="shared" si="124"/>
        <v>1.2741999999999969</v>
      </c>
      <c r="M9068" s="337"/>
    </row>
    <row r="9069" spans="1:13" s="71" customFormat="1" ht="26.4" customHeight="1">
      <c r="A9069" s="282">
        <v>303</v>
      </c>
      <c r="B9069" s="534"/>
      <c r="C9069" s="236" t="s">
        <v>11802</v>
      </c>
      <c r="D9069" s="260" t="s">
        <v>3</v>
      </c>
      <c r="E9069" s="260" t="s">
        <v>12097</v>
      </c>
      <c r="F9069" s="387">
        <v>61467</v>
      </c>
      <c r="G9069" s="373" t="s">
        <v>1569</v>
      </c>
      <c r="H9069" s="396" t="s">
        <v>5462</v>
      </c>
      <c r="I9069" s="470">
        <v>4244</v>
      </c>
      <c r="J9069" s="427">
        <v>86.333119999999994</v>
      </c>
      <c r="K9069" s="427">
        <v>86.333119999999994</v>
      </c>
      <c r="L9069" s="427">
        <f t="shared" si="124"/>
        <v>0</v>
      </c>
      <c r="M9069" s="337"/>
    </row>
    <row r="9070" spans="1:13" s="71" customFormat="1" ht="26.4" customHeight="1">
      <c r="A9070" s="282">
        <v>304</v>
      </c>
      <c r="B9070" s="534"/>
      <c r="C9070" s="236" t="s">
        <v>11868</v>
      </c>
      <c r="D9070" s="375" t="s">
        <v>12098</v>
      </c>
      <c r="E9070" s="260" t="s">
        <v>12099</v>
      </c>
      <c r="F9070" s="387">
        <v>61471</v>
      </c>
      <c r="G9070" s="373" t="s">
        <v>1569</v>
      </c>
      <c r="H9070" s="396" t="s">
        <v>3243</v>
      </c>
      <c r="I9070" s="470" t="s">
        <v>3285</v>
      </c>
      <c r="J9070" s="427">
        <v>71.930000000000007</v>
      </c>
      <c r="K9070" s="427">
        <v>71.38</v>
      </c>
      <c r="L9070" s="427">
        <f t="shared" si="124"/>
        <v>0.55000000000001137</v>
      </c>
      <c r="M9070" s="337"/>
    </row>
    <row r="9071" spans="1:13" s="71" customFormat="1" ht="26.4" customHeight="1">
      <c r="A9071" s="282">
        <v>305</v>
      </c>
      <c r="B9071" s="534"/>
      <c r="C9071" s="236" t="s">
        <v>11868</v>
      </c>
      <c r="D9071" s="375" t="s">
        <v>3</v>
      </c>
      <c r="E9071" s="260" t="s">
        <v>12100</v>
      </c>
      <c r="F9071" s="387">
        <v>61472</v>
      </c>
      <c r="G9071" s="373" t="s">
        <v>1569</v>
      </c>
      <c r="H9071" s="396" t="s">
        <v>5462</v>
      </c>
      <c r="I9071" s="470">
        <v>4250</v>
      </c>
      <c r="J9071" s="427">
        <v>60.506999999999998</v>
      </c>
      <c r="K9071" s="427">
        <v>60.506999999999998</v>
      </c>
      <c r="L9071" s="427">
        <f t="shared" si="124"/>
        <v>0</v>
      </c>
      <c r="M9071" s="337"/>
    </row>
    <row r="9072" spans="1:13" s="71" customFormat="1" ht="26.4" customHeight="1">
      <c r="A9072" s="282">
        <v>306</v>
      </c>
      <c r="B9072" s="534"/>
      <c r="C9072" s="236" t="s">
        <v>11868</v>
      </c>
      <c r="D9072" s="375" t="s">
        <v>3</v>
      </c>
      <c r="E9072" s="260" t="s">
        <v>12100</v>
      </c>
      <c r="F9072" s="387">
        <v>61473</v>
      </c>
      <c r="G9072" s="373" t="s">
        <v>1569</v>
      </c>
      <c r="H9072" s="396" t="s">
        <v>5462</v>
      </c>
      <c r="I9072" s="470">
        <v>4250</v>
      </c>
      <c r="J9072" s="427">
        <v>630.55799999999999</v>
      </c>
      <c r="K9072" s="427">
        <v>630.55799999999999</v>
      </c>
      <c r="L9072" s="427">
        <f t="shared" si="124"/>
        <v>0</v>
      </c>
      <c r="M9072" s="337"/>
    </row>
    <row r="9073" spans="1:13" s="71" customFormat="1" ht="26.4" customHeight="1">
      <c r="A9073" s="282">
        <v>307</v>
      </c>
      <c r="B9073" s="534"/>
      <c r="C9073" s="236" t="s">
        <v>11868</v>
      </c>
      <c r="D9073" s="375" t="s">
        <v>12101</v>
      </c>
      <c r="E9073" s="260" t="s">
        <v>12102</v>
      </c>
      <c r="F9073" s="387">
        <v>61475</v>
      </c>
      <c r="G9073" s="373" t="s">
        <v>1569</v>
      </c>
      <c r="H9073" s="396" t="s">
        <v>3243</v>
      </c>
      <c r="I9073" s="470" t="s">
        <v>3243</v>
      </c>
      <c r="J9073" s="427">
        <v>5.48</v>
      </c>
      <c r="K9073" s="427">
        <v>5.37</v>
      </c>
      <c r="L9073" s="427">
        <f t="shared" si="124"/>
        <v>0.11000000000000032</v>
      </c>
      <c r="M9073" s="337"/>
    </row>
    <row r="9074" spans="1:13" s="71" customFormat="1" ht="26.4" customHeight="1">
      <c r="A9074" s="282">
        <v>308</v>
      </c>
      <c r="B9074" s="534"/>
      <c r="C9074" s="236" t="s">
        <v>11872</v>
      </c>
      <c r="D9074" s="260" t="s">
        <v>3</v>
      </c>
      <c r="E9074" s="260" t="s">
        <v>12103</v>
      </c>
      <c r="F9074" s="387">
        <v>61481</v>
      </c>
      <c r="G9074" s="373" t="s">
        <v>1569</v>
      </c>
      <c r="H9074" s="396" t="s">
        <v>5462</v>
      </c>
      <c r="I9074" s="470">
        <v>4230</v>
      </c>
      <c r="J9074" s="427">
        <v>60.441000000000003</v>
      </c>
      <c r="K9074" s="427">
        <v>60.441000000000003</v>
      </c>
      <c r="L9074" s="427">
        <f t="shared" si="124"/>
        <v>0</v>
      </c>
      <c r="M9074" s="337"/>
    </row>
    <row r="9075" spans="1:13" s="71" customFormat="1" ht="26.4" customHeight="1">
      <c r="A9075" s="282">
        <v>309</v>
      </c>
      <c r="B9075" s="534"/>
      <c r="C9075" s="260" t="s">
        <v>12104</v>
      </c>
      <c r="D9075" s="260" t="s">
        <v>3</v>
      </c>
      <c r="E9075" s="260" t="s">
        <v>12105</v>
      </c>
      <c r="F9075" s="387">
        <v>61484</v>
      </c>
      <c r="G9075" s="373" t="s">
        <v>1569</v>
      </c>
      <c r="H9075" s="396" t="s">
        <v>5462</v>
      </c>
      <c r="I9075" s="470">
        <v>4240</v>
      </c>
      <c r="J9075" s="427">
        <v>39.028449999999999</v>
      </c>
      <c r="K9075" s="427">
        <v>38.201680000000003</v>
      </c>
      <c r="L9075" s="427">
        <f t="shared" si="124"/>
        <v>0.82676999999999623</v>
      </c>
      <c r="M9075" s="337"/>
    </row>
    <row r="9076" spans="1:13" s="71" customFormat="1" ht="26.4" customHeight="1">
      <c r="A9076" s="282">
        <v>310</v>
      </c>
      <c r="B9076" s="534"/>
      <c r="C9076" s="260" t="s">
        <v>12104</v>
      </c>
      <c r="D9076" s="260" t="s">
        <v>3</v>
      </c>
      <c r="E9076" s="260" t="s">
        <v>12106</v>
      </c>
      <c r="F9076" s="387">
        <v>61485</v>
      </c>
      <c r="G9076" s="373" t="s">
        <v>1569</v>
      </c>
      <c r="H9076" s="396" t="s">
        <v>5462</v>
      </c>
      <c r="I9076" s="470">
        <v>4241</v>
      </c>
      <c r="J9076" s="427">
        <v>491.46105999999997</v>
      </c>
      <c r="K9076" s="427">
        <v>484.5</v>
      </c>
      <c r="L9076" s="427">
        <f t="shared" si="124"/>
        <v>6.9610599999999749</v>
      </c>
      <c r="M9076" s="337"/>
    </row>
    <row r="9077" spans="1:13" s="71" customFormat="1" ht="26.4" customHeight="1">
      <c r="A9077" s="282">
        <v>311</v>
      </c>
      <c r="B9077" s="534"/>
      <c r="C9077" s="260" t="s">
        <v>12104</v>
      </c>
      <c r="D9077" s="260" t="s">
        <v>3</v>
      </c>
      <c r="E9077" s="260" t="s">
        <v>12107</v>
      </c>
      <c r="F9077" s="387">
        <v>61486</v>
      </c>
      <c r="G9077" s="373" t="s">
        <v>1569</v>
      </c>
      <c r="H9077" s="396" t="s">
        <v>5462</v>
      </c>
      <c r="I9077" s="470">
        <v>4242</v>
      </c>
      <c r="J9077" s="427">
        <v>50.62809</v>
      </c>
      <c r="K9077" s="427">
        <v>47.85</v>
      </c>
      <c r="L9077" s="427">
        <f t="shared" si="124"/>
        <v>2.7780899999999988</v>
      </c>
      <c r="M9077" s="337"/>
    </row>
    <row r="9078" spans="1:13" s="71" customFormat="1" ht="26.4" customHeight="1">
      <c r="A9078" s="282">
        <v>312</v>
      </c>
      <c r="B9078" s="534"/>
      <c r="C9078" s="260" t="s">
        <v>12104</v>
      </c>
      <c r="D9078" s="260" t="s">
        <v>3</v>
      </c>
      <c r="E9078" s="260" t="s">
        <v>12108</v>
      </c>
      <c r="F9078" s="387">
        <v>61487</v>
      </c>
      <c r="G9078" s="373" t="s">
        <v>1569</v>
      </c>
      <c r="H9078" s="396" t="s">
        <v>5462</v>
      </c>
      <c r="I9078" s="470">
        <v>4243</v>
      </c>
      <c r="J9078" s="427">
        <v>60.405909999999999</v>
      </c>
      <c r="K9078" s="427">
        <v>57.09</v>
      </c>
      <c r="L9078" s="427">
        <f t="shared" si="124"/>
        <v>3.3159099999999953</v>
      </c>
      <c r="M9078" s="337"/>
    </row>
    <row r="9079" spans="1:13" s="71" customFormat="1" ht="26.4" customHeight="1">
      <c r="A9079" s="282">
        <v>313</v>
      </c>
      <c r="B9079" s="534"/>
      <c r="C9079" s="260" t="s">
        <v>12109</v>
      </c>
      <c r="D9079" s="260" t="s">
        <v>3</v>
      </c>
      <c r="E9079" s="260" t="s">
        <v>12110</v>
      </c>
      <c r="F9079" s="387">
        <v>61493</v>
      </c>
      <c r="G9079" s="373" t="s">
        <v>1569</v>
      </c>
      <c r="H9079" s="396" t="s">
        <v>5462</v>
      </c>
      <c r="I9079" s="470">
        <v>4244</v>
      </c>
      <c r="J9079" s="427">
        <v>31.179120000000001</v>
      </c>
      <c r="K9079" s="427">
        <v>29.466999999999999</v>
      </c>
      <c r="L9079" s="427">
        <f t="shared" si="124"/>
        <v>1.7121200000000023</v>
      </c>
      <c r="M9079" s="337"/>
    </row>
    <row r="9080" spans="1:13" s="71" customFormat="1" ht="26.4" customHeight="1">
      <c r="A9080" s="282">
        <v>314</v>
      </c>
      <c r="B9080" s="534"/>
      <c r="C9080" s="260" t="s">
        <v>12109</v>
      </c>
      <c r="D9080" s="260" t="s">
        <v>3</v>
      </c>
      <c r="E9080" s="260" t="s">
        <v>12110</v>
      </c>
      <c r="F9080" s="387">
        <v>61494</v>
      </c>
      <c r="G9080" s="373" t="s">
        <v>1569</v>
      </c>
      <c r="H9080" s="396" t="s">
        <v>5462</v>
      </c>
      <c r="I9080" s="470">
        <v>4245</v>
      </c>
      <c r="J9080" s="427">
        <v>104.22747</v>
      </c>
      <c r="K9080" s="427">
        <v>98.503</v>
      </c>
      <c r="L9080" s="427">
        <f t="shared" si="124"/>
        <v>5.7244699999999966</v>
      </c>
      <c r="M9080" s="337"/>
    </row>
    <row r="9081" spans="1:13" s="71" customFormat="1" ht="26.4" customHeight="1">
      <c r="A9081" s="282">
        <v>315</v>
      </c>
      <c r="B9081" s="534"/>
      <c r="C9081" s="260" t="s">
        <v>12111</v>
      </c>
      <c r="D9081" s="260" t="s">
        <v>3</v>
      </c>
      <c r="E9081" s="260" t="s">
        <v>12112</v>
      </c>
      <c r="F9081" s="387">
        <v>61495</v>
      </c>
      <c r="G9081" s="373" t="s">
        <v>1569</v>
      </c>
      <c r="H9081" s="396" t="s">
        <v>5462</v>
      </c>
      <c r="I9081" s="470">
        <v>4246</v>
      </c>
      <c r="J9081" s="427">
        <v>10.03279</v>
      </c>
      <c r="K9081" s="427">
        <v>9.3260000000000005</v>
      </c>
      <c r="L9081" s="427">
        <f t="shared" si="124"/>
        <v>0.70678999999999981</v>
      </c>
      <c r="M9081" s="337"/>
    </row>
    <row r="9082" spans="1:13" s="71" customFormat="1" ht="26.4" customHeight="1">
      <c r="A9082" s="282">
        <v>316</v>
      </c>
      <c r="B9082" s="534"/>
      <c r="C9082" s="236" t="s">
        <v>11755</v>
      </c>
      <c r="D9082" s="260" t="s">
        <v>12113</v>
      </c>
      <c r="E9082" s="260" t="s">
        <v>12114</v>
      </c>
      <c r="F9082" s="387">
        <v>61496</v>
      </c>
      <c r="G9082" s="373" t="s">
        <v>1569</v>
      </c>
      <c r="H9082" s="396" t="s">
        <v>5462</v>
      </c>
      <c r="I9082" s="470">
        <v>4247</v>
      </c>
      <c r="J9082" s="427">
        <v>149.50971999999999</v>
      </c>
      <c r="K9082" s="427">
        <v>149.50971999999999</v>
      </c>
      <c r="L9082" s="427">
        <f t="shared" si="124"/>
        <v>0</v>
      </c>
      <c r="M9082" s="337"/>
    </row>
    <row r="9083" spans="1:13" s="71" customFormat="1" ht="26.4" customHeight="1">
      <c r="A9083" s="282">
        <v>317</v>
      </c>
      <c r="B9083" s="534"/>
      <c r="C9083" s="236" t="s">
        <v>11755</v>
      </c>
      <c r="D9083" s="260" t="s">
        <v>12113</v>
      </c>
      <c r="E9083" s="260" t="s">
        <v>12115</v>
      </c>
      <c r="F9083" s="387">
        <v>61497</v>
      </c>
      <c r="G9083" s="373" t="s">
        <v>1569</v>
      </c>
      <c r="H9083" s="396" t="s">
        <v>5462</v>
      </c>
      <c r="I9083" s="470">
        <v>4248</v>
      </c>
      <c r="J9083" s="427">
        <v>456.97</v>
      </c>
      <c r="K9083" s="427">
        <v>456.97</v>
      </c>
      <c r="L9083" s="427">
        <f t="shared" si="124"/>
        <v>0</v>
      </c>
      <c r="M9083" s="337"/>
    </row>
    <row r="9084" spans="1:13" s="71" customFormat="1" ht="26.4" customHeight="1">
      <c r="A9084" s="282">
        <v>318</v>
      </c>
      <c r="B9084" s="534"/>
      <c r="C9084" s="260" t="s">
        <v>12116</v>
      </c>
      <c r="D9084" s="260" t="s">
        <v>3</v>
      </c>
      <c r="E9084" s="260" t="s">
        <v>12117</v>
      </c>
      <c r="F9084" s="387">
        <v>61498</v>
      </c>
      <c r="G9084" s="373" t="s">
        <v>1569</v>
      </c>
      <c r="H9084" s="396" t="s">
        <v>5462</v>
      </c>
      <c r="I9084" s="470">
        <v>4249</v>
      </c>
      <c r="J9084" s="427">
        <v>173.4</v>
      </c>
      <c r="K9084" s="427">
        <v>173.4</v>
      </c>
      <c r="L9084" s="427">
        <f t="shared" si="124"/>
        <v>0</v>
      </c>
      <c r="M9084" s="337"/>
    </row>
    <row r="9085" spans="1:13" s="71" customFormat="1" ht="26.4" customHeight="1">
      <c r="A9085" s="282">
        <v>319</v>
      </c>
      <c r="B9085" s="534"/>
      <c r="C9085" s="260" t="s">
        <v>12116</v>
      </c>
      <c r="D9085" s="260" t="s">
        <v>3</v>
      </c>
      <c r="E9085" s="260" t="s">
        <v>12118</v>
      </c>
      <c r="F9085" s="387">
        <v>61501</v>
      </c>
      <c r="G9085" s="373" t="s">
        <v>1569</v>
      </c>
      <c r="H9085" s="396" t="s">
        <v>3</v>
      </c>
      <c r="I9085" s="470">
        <v>1000</v>
      </c>
      <c r="J9085" s="427">
        <v>30.271999999999998</v>
      </c>
      <c r="K9085" s="427">
        <v>30.271999999999998</v>
      </c>
      <c r="L9085" s="427">
        <f t="shared" si="124"/>
        <v>0</v>
      </c>
      <c r="M9085" s="337"/>
    </row>
    <row r="9086" spans="1:13" s="71" customFormat="1" ht="26.4" customHeight="1">
      <c r="A9086" s="282">
        <v>320</v>
      </c>
      <c r="B9086" s="534"/>
      <c r="C9086" s="260" t="s">
        <v>11877</v>
      </c>
      <c r="D9086" s="260" t="s">
        <v>3</v>
      </c>
      <c r="E9086" s="260" t="s">
        <v>12119</v>
      </c>
      <c r="F9086" s="387">
        <v>61502</v>
      </c>
      <c r="G9086" s="373" t="s">
        <v>1569</v>
      </c>
      <c r="H9086" s="396" t="s">
        <v>5462</v>
      </c>
      <c r="I9086" s="470">
        <v>4250</v>
      </c>
      <c r="J9086" s="427">
        <v>75.150000000000006</v>
      </c>
      <c r="K9086" s="427">
        <v>73.442350000000005</v>
      </c>
      <c r="L9086" s="427">
        <f t="shared" si="124"/>
        <v>1.707650000000001</v>
      </c>
      <c r="M9086" s="337"/>
    </row>
    <row r="9087" spans="1:13" s="71" customFormat="1" ht="26.4" customHeight="1">
      <c r="A9087" s="282">
        <v>321</v>
      </c>
      <c r="B9087" s="534"/>
      <c r="C9087" s="260" t="s">
        <v>11805</v>
      </c>
      <c r="D9087" s="260" t="s">
        <v>3</v>
      </c>
      <c r="E9087" s="260" t="s">
        <v>12120</v>
      </c>
      <c r="F9087" s="387">
        <v>61504</v>
      </c>
      <c r="G9087" s="373" t="s">
        <v>1569</v>
      </c>
      <c r="H9087" s="396" t="s">
        <v>5462</v>
      </c>
      <c r="I9087" s="470">
        <v>4250</v>
      </c>
      <c r="J9087" s="427">
        <v>93.7</v>
      </c>
      <c r="K9087" s="427">
        <v>93.7</v>
      </c>
      <c r="L9087" s="427">
        <f t="shared" ref="L9087:L9150" si="125">J9087-K9087</f>
        <v>0</v>
      </c>
      <c r="M9087" s="337"/>
    </row>
    <row r="9088" spans="1:13" s="71" customFormat="1" ht="26.4" customHeight="1">
      <c r="A9088" s="282">
        <v>322</v>
      </c>
      <c r="B9088" s="534"/>
      <c r="C9088" s="444" t="s">
        <v>11805</v>
      </c>
      <c r="D9088" s="444" t="s">
        <v>12121</v>
      </c>
      <c r="E9088" s="444" t="s">
        <v>12122</v>
      </c>
      <c r="F9088" s="387">
        <v>61505</v>
      </c>
      <c r="G9088" s="373" t="s">
        <v>1569</v>
      </c>
      <c r="H9088" s="396" t="s">
        <v>3243</v>
      </c>
      <c r="I9088" s="470" t="s">
        <v>3285</v>
      </c>
      <c r="J9088" s="427">
        <v>67.099999999999994</v>
      </c>
      <c r="K9088" s="427">
        <v>67.099999999999994</v>
      </c>
      <c r="L9088" s="427">
        <f t="shared" si="125"/>
        <v>0</v>
      </c>
      <c r="M9088" s="337"/>
    </row>
    <row r="9089" spans="1:13" s="71" customFormat="1" ht="26.4" customHeight="1">
      <c r="A9089" s="282">
        <v>323</v>
      </c>
      <c r="B9089" s="534"/>
      <c r="C9089" s="444" t="s">
        <v>11808</v>
      </c>
      <c r="D9089" s="444" t="s">
        <v>12123</v>
      </c>
      <c r="E9089" s="444" t="s">
        <v>13389</v>
      </c>
      <c r="F9089" s="387">
        <v>61506</v>
      </c>
      <c r="G9089" s="373" t="s">
        <v>1569</v>
      </c>
      <c r="H9089" s="396" t="s">
        <v>5462</v>
      </c>
      <c r="I9089" s="470">
        <v>4240</v>
      </c>
      <c r="J9089" s="427">
        <v>19.579999999999998</v>
      </c>
      <c r="K9089" s="427">
        <v>19.135149999999999</v>
      </c>
      <c r="L9089" s="427">
        <f t="shared" si="125"/>
        <v>0.44484999999999886</v>
      </c>
      <c r="M9089" s="337"/>
    </row>
    <row r="9090" spans="1:13" s="71" customFormat="1" ht="26.4" customHeight="1">
      <c r="A9090" s="282">
        <v>324</v>
      </c>
      <c r="B9090" s="534"/>
      <c r="C9090" s="444" t="s">
        <v>11808</v>
      </c>
      <c r="D9090" s="444" t="s">
        <v>13366</v>
      </c>
      <c r="E9090" s="444" t="s">
        <v>13257</v>
      </c>
      <c r="F9090" s="387">
        <v>61507</v>
      </c>
      <c r="G9090" s="373" t="s">
        <v>1569</v>
      </c>
      <c r="H9090" s="396" t="s">
        <v>3243</v>
      </c>
      <c r="I9090" s="470" t="s">
        <v>3285</v>
      </c>
      <c r="J9090" s="427">
        <v>59.99</v>
      </c>
      <c r="K9090" s="427">
        <v>58.62735</v>
      </c>
      <c r="L9090" s="427">
        <f t="shared" si="125"/>
        <v>1.3626500000000021</v>
      </c>
      <c r="M9090" s="337"/>
    </row>
    <row r="9091" spans="1:13" s="71" customFormat="1" ht="26.4" customHeight="1">
      <c r="A9091" s="282">
        <v>325</v>
      </c>
      <c r="B9091" s="534"/>
      <c r="C9091" s="444" t="s">
        <v>11877</v>
      </c>
      <c r="D9091" s="444" t="s">
        <v>12124</v>
      </c>
      <c r="E9091" s="444" t="s">
        <v>12125</v>
      </c>
      <c r="F9091" s="387">
        <v>61508</v>
      </c>
      <c r="G9091" s="373" t="s">
        <v>1569</v>
      </c>
      <c r="H9091" s="396" t="s">
        <v>3243</v>
      </c>
      <c r="I9091" s="470" t="s">
        <v>3285</v>
      </c>
      <c r="J9091" s="427">
        <v>9.6</v>
      </c>
      <c r="K9091" s="427">
        <v>9.6</v>
      </c>
      <c r="L9091" s="427">
        <f t="shared" si="125"/>
        <v>0</v>
      </c>
      <c r="M9091" s="337"/>
    </row>
    <row r="9092" spans="1:13" s="71" customFormat="1" ht="66">
      <c r="A9092" s="282">
        <v>326</v>
      </c>
      <c r="B9092" s="534"/>
      <c r="C9092" s="444" t="s">
        <v>12126</v>
      </c>
      <c r="D9092" s="444" t="s">
        <v>13402</v>
      </c>
      <c r="E9092" s="444" t="s">
        <v>12127</v>
      </c>
      <c r="F9092" s="387">
        <v>61511</v>
      </c>
      <c r="G9092" s="373" t="s">
        <v>1569</v>
      </c>
      <c r="H9092" s="396" t="s">
        <v>5462</v>
      </c>
      <c r="I9092" s="470">
        <v>4238</v>
      </c>
      <c r="J9092" s="427">
        <v>3.9233799999999999</v>
      </c>
      <c r="K9092" s="427">
        <v>3.4826000000000001</v>
      </c>
      <c r="L9092" s="427">
        <f t="shared" si="125"/>
        <v>0.44077999999999973</v>
      </c>
      <c r="M9092" s="337"/>
    </row>
    <row r="9093" spans="1:13" s="71" customFormat="1" ht="39.6">
      <c r="A9093" s="282">
        <v>327</v>
      </c>
      <c r="B9093" s="534"/>
      <c r="C9093" s="444" t="s">
        <v>12128</v>
      </c>
      <c r="D9093" s="444" t="s">
        <v>12129</v>
      </c>
      <c r="E9093" s="444" t="s">
        <v>12130</v>
      </c>
      <c r="F9093" s="387">
        <v>61512</v>
      </c>
      <c r="G9093" s="373" t="s">
        <v>1569</v>
      </c>
      <c r="H9093" s="396" t="s">
        <v>5462</v>
      </c>
      <c r="I9093" s="470">
        <v>4239</v>
      </c>
      <c r="J9093" s="427">
        <v>3.8633799999999998</v>
      </c>
      <c r="K9093" s="427">
        <v>3.4226000000000001</v>
      </c>
      <c r="L9093" s="427">
        <f t="shared" si="125"/>
        <v>0.44077999999999973</v>
      </c>
      <c r="M9093" s="337"/>
    </row>
    <row r="9094" spans="1:13" s="71" customFormat="1" ht="26.4" customHeight="1">
      <c r="A9094" s="282">
        <v>328</v>
      </c>
      <c r="B9094" s="534"/>
      <c r="C9094" s="444" t="s">
        <v>11811</v>
      </c>
      <c r="D9094" s="444" t="s">
        <v>12131</v>
      </c>
      <c r="E9094" s="444" t="s">
        <v>12132</v>
      </c>
      <c r="F9094" s="387">
        <v>61513</v>
      </c>
      <c r="G9094" s="373" t="s">
        <v>1569</v>
      </c>
      <c r="H9094" s="396" t="s">
        <v>5462</v>
      </c>
      <c r="I9094" s="470">
        <v>4240</v>
      </c>
      <c r="J9094" s="427">
        <v>51.272970000000001</v>
      </c>
      <c r="K9094" s="427">
        <v>50.080440000000003</v>
      </c>
      <c r="L9094" s="427">
        <f t="shared" si="125"/>
        <v>1.1925299999999979</v>
      </c>
      <c r="M9094" s="337"/>
    </row>
    <row r="9095" spans="1:13" s="71" customFormat="1" ht="26.4" customHeight="1">
      <c r="A9095" s="282">
        <v>329</v>
      </c>
      <c r="B9095" s="534"/>
      <c r="C9095" s="444" t="s">
        <v>11811</v>
      </c>
      <c r="D9095" s="444" t="s">
        <v>12133</v>
      </c>
      <c r="E9095" s="444" t="s">
        <v>12132</v>
      </c>
      <c r="F9095" s="387">
        <v>61514</v>
      </c>
      <c r="G9095" s="373" t="s">
        <v>1569</v>
      </c>
      <c r="H9095" s="396" t="s">
        <v>5462</v>
      </c>
      <c r="I9095" s="470">
        <v>4241</v>
      </c>
      <c r="J9095" s="427">
        <v>69.142790000000005</v>
      </c>
      <c r="K9095" s="427">
        <v>68.248360000000005</v>
      </c>
      <c r="L9095" s="427">
        <f t="shared" si="125"/>
        <v>0.89442999999999984</v>
      </c>
      <c r="M9095" s="337"/>
    </row>
    <row r="9096" spans="1:13" s="71" customFormat="1" ht="39.6">
      <c r="A9096" s="282">
        <v>330</v>
      </c>
      <c r="B9096" s="534"/>
      <c r="C9096" s="444" t="s">
        <v>11814</v>
      </c>
      <c r="D9096" s="444" t="s">
        <v>12134</v>
      </c>
      <c r="E9096" s="444" t="s">
        <v>12135</v>
      </c>
      <c r="F9096" s="387">
        <v>61516</v>
      </c>
      <c r="G9096" s="373" t="s">
        <v>1569</v>
      </c>
      <c r="H9096" s="396" t="s">
        <v>5462</v>
      </c>
      <c r="I9096" s="470">
        <v>4242</v>
      </c>
      <c r="J9096" s="427">
        <v>50.486969999999999</v>
      </c>
      <c r="K9096" s="427">
        <v>49.294440000000002</v>
      </c>
      <c r="L9096" s="427">
        <f t="shared" si="125"/>
        <v>1.1925299999999979</v>
      </c>
      <c r="M9096" s="337"/>
    </row>
    <row r="9097" spans="1:13" s="71" customFormat="1" ht="26.4">
      <c r="A9097" s="282">
        <v>331</v>
      </c>
      <c r="B9097" s="534"/>
      <c r="C9097" s="260" t="s">
        <v>1803</v>
      </c>
      <c r="D9097" s="260" t="s">
        <v>12931</v>
      </c>
      <c r="E9097" s="260" t="s">
        <v>12136</v>
      </c>
      <c r="F9097" s="387">
        <v>90001</v>
      </c>
      <c r="G9097" s="373" t="s">
        <v>1569</v>
      </c>
      <c r="H9097" s="396" t="s">
        <v>3243</v>
      </c>
      <c r="I9097" s="470" t="s">
        <v>3243</v>
      </c>
      <c r="J9097" s="427">
        <v>72.096670000000003</v>
      </c>
      <c r="K9097" s="427">
        <v>72.09648</v>
      </c>
      <c r="L9097" s="427">
        <f t="shared" si="125"/>
        <v>1.9000000000346517E-4</v>
      </c>
      <c r="M9097" s="337"/>
    </row>
    <row r="9098" spans="1:13" s="71" customFormat="1" ht="26.4" customHeight="1">
      <c r="A9098" s="282">
        <v>332</v>
      </c>
      <c r="B9098" s="534"/>
      <c r="C9098" s="236" t="s">
        <v>12640</v>
      </c>
      <c r="D9098" s="260" t="s">
        <v>12137</v>
      </c>
      <c r="E9098" s="260" t="s">
        <v>13223</v>
      </c>
      <c r="F9098" s="387">
        <v>90925</v>
      </c>
      <c r="G9098" s="373" t="s">
        <v>1569</v>
      </c>
      <c r="H9098" s="396" t="s">
        <v>5462</v>
      </c>
      <c r="I9098" s="470">
        <v>1200</v>
      </c>
      <c r="J9098" s="427">
        <v>16.491720000000001</v>
      </c>
      <c r="K9098" s="427">
        <v>14.881399999999999</v>
      </c>
      <c r="L9098" s="427">
        <f t="shared" si="125"/>
        <v>1.6103200000000015</v>
      </c>
      <c r="M9098" s="337"/>
    </row>
    <row r="9099" spans="1:13" s="71" customFormat="1" ht="39.6">
      <c r="A9099" s="282">
        <v>333</v>
      </c>
      <c r="B9099" s="534"/>
      <c r="C9099" s="236" t="s">
        <v>8325</v>
      </c>
      <c r="D9099" s="260" t="s">
        <v>12138</v>
      </c>
      <c r="E9099" s="260" t="s">
        <v>12139</v>
      </c>
      <c r="F9099" s="387">
        <v>90926</v>
      </c>
      <c r="G9099" s="373" t="s">
        <v>1569</v>
      </c>
      <c r="H9099" s="396" t="s">
        <v>5462</v>
      </c>
      <c r="I9099" s="470">
        <v>1200</v>
      </c>
      <c r="J9099" s="427">
        <v>39.438000000000002</v>
      </c>
      <c r="K9099" s="427">
        <v>36.438000000000002</v>
      </c>
      <c r="L9099" s="427">
        <f t="shared" si="125"/>
        <v>3</v>
      </c>
      <c r="M9099" s="337"/>
    </row>
    <row r="9100" spans="1:13" s="71" customFormat="1" ht="26.4" customHeight="1">
      <c r="A9100" s="282">
        <v>334</v>
      </c>
      <c r="B9100" s="534"/>
      <c r="C9100" s="236" t="s">
        <v>8325</v>
      </c>
      <c r="D9100" s="260" t="s">
        <v>11776</v>
      </c>
      <c r="E9100" s="260" t="s">
        <v>12140</v>
      </c>
      <c r="F9100" s="387">
        <v>90927</v>
      </c>
      <c r="G9100" s="373" t="s">
        <v>1569</v>
      </c>
      <c r="H9100" s="396" t="s">
        <v>5462</v>
      </c>
      <c r="I9100" s="470">
        <v>1300</v>
      </c>
      <c r="J9100" s="427">
        <v>3.7650000000000001</v>
      </c>
      <c r="K9100" s="427">
        <v>3.4649999999999999</v>
      </c>
      <c r="L9100" s="427">
        <f t="shared" si="125"/>
        <v>0.30000000000000027</v>
      </c>
      <c r="M9100" s="337"/>
    </row>
    <row r="9101" spans="1:13" s="71" customFormat="1" ht="26.4" customHeight="1">
      <c r="A9101" s="282">
        <v>335</v>
      </c>
      <c r="B9101" s="534"/>
      <c r="C9101" s="260" t="s">
        <v>12141</v>
      </c>
      <c r="D9101" s="260" t="s">
        <v>3</v>
      </c>
      <c r="E9101" s="260" t="s">
        <v>12142</v>
      </c>
      <c r="F9101" s="387">
        <v>90928</v>
      </c>
      <c r="G9101" s="373" t="s">
        <v>1569</v>
      </c>
      <c r="H9101" s="396" t="s">
        <v>5462</v>
      </c>
      <c r="I9101" s="470">
        <v>1270</v>
      </c>
      <c r="J9101" s="427">
        <v>9.6989999999999998</v>
      </c>
      <c r="K9101" s="427">
        <v>8.9489999999999998</v>
      </c>
      <c r="L9101" s="427">
        <f t="shared" si="125"/>
        <v>0.75</v>
      </c>
      <c r="M9101" s="337"/>
    </row>
    <row r="9102" spans="1:13" s="71" customFormat="1" ht="26.4" customHeight="1">
      <c r="A9102" s="282">
        <v>336</v>
      </c>
      <c r="B9102" s="534"/>
      <c r="C9102" s="260" t="s">
        <v>12141</v>
      </c>
      <c r="D9102" s="260" t="s">
        <v>3</v>
      </c>
      <c r="E9102" s="260" t="s">
        <v>12143</v>
      </c>
      <c r="F9102" s="387">
        <v>90929</v>
      </c>
      <c r="G9102" s="373" t="s">
        <v>1569</v>
      </c>
      <c r="H9102" s="396" t="s">
        <v>5462</v>
      </c>
      <c r="I9102" s="470">
        <v>1240</v>
      </c>
      <c r="J9102" s="427">
        <v>21.245380000000001</v>
      </c>
      <c r="K9102" s="427">
        <v>14.01572</v>
      </c>
      <c r="L9102" s="427">
        <f t="shared" si="125"/>
        <v>7.2296600000000009</v>
      </c>
      <c r="M9102" s="337"/>
    </row>
    <row r="9103" spans="1:13" s="71" customFormat="1" ht="26.4" customHeight="1">
      <c r="A9103" s="282">
        <v>337</v>
      </c>
      <c r="B9103" s="534"/>
      <c r="C9103" s="236" t="s">
        <v>8325</v>
      </c>
      <c r="D9103" s="260" t="s">
        <v>12144</v>
      </c>
      <c r="E9103" s="260" t="s">
        <v>12145</v>
      </c>
      <c r="F9103" s="387">
        <v>90930</v>
      </c>
      <c r="G9103" s="373" t="s">
        <v>1569</v>
      </c>
      <c r="H9103" s="396" t="s">
        <v>5462</v>
      </c>
      <c r="I9103" s="470">
        <v>1284</v>
      </c>
      <c r="J9103" s="427">
        <v>22.389379999999999</v>
      </c>
      <c r="K9103" s="427">
        <v>15.15972</v>
      </c>
      <c r="L9103" s="427">
        <f t="shared" si="125"/>
        <v>7.2296599999999991</v>
      </c>
      <c r="M9103" s="337"/>
    </row>
    <row r="9104" spans="1:13" s="71" customFormat="1" ht="26.4">
      <c r="A9104" s="282">
        <v>338</v>
      </c>
      <c r="B9104" s="534"/>
      <c r="C9104" s="236" t="s">
        <v>8325</v>
      </c>
      <c r="D9104" s="260" t="s">
        <v>12932</v>
      </c>
      <c r="E9104" s="260" t="s">
        <v>12146</v>
      </c>
      <c r="F9104" s="387">
        <v>90931</v>
      </c>
      <c r="G9104" s="373" t="s">
        <v>1569</v>
      </c>
      <c r="H9104" s="396" t="s">
        <v>5462</v>
      </c>
      <c r="I9104" s="470">
        <v>1283</v>
      </c>
      <c r="J9104" s="427">
        <v>7.5025000000000004</v>
      </c>
      <c r="K9104" s="427">
        <v>6.1630000000000003</v>
      </c>
      <c r="L9104" s="427">
        <f t="shared" si="125"/>
        <v>1.3395000000000001</v>
      </c>
      <c r="M9104" s="337"/>
    </row>
    <row r="9105" spans="1:13" s="71" customFormat="1" ht="26.4" customHeight="1">
      <c r="A9105" s="282">
        <v>339</v>
      </c>
      <c r="B9105" s="534"/>
      <c r="C9105" s="236" t="s">
        <v>8325</v>
      </c>
      <c r="D9105" s="260" t="s">
        <v>12027</v>
      </c>
      <c r="E9105" s="260" t="s">
        <v>12147</v>
      </c>
      <c r="F9105" s="387">
        <v>90932</v>
      </c>
      <c r="G9105" s="373" t="s">
        <v>1569</v>
      </c>
      <c r="H9105" s="396" t="s">
        <v>5462</v>
      </c>
      <c r="I9105" s="470">
        <v>1284</v>
      </c>
      <c r="J9105" s="427">
        <v>305.31200000000001</v>
      </c>
      <c r="K9105" s="427">
        <v>302.81200000000001</v>
      </c>
      <c r="L9105" s="427">
        <f t="shared" si="125"/>
        <v>2.5</v>
      </c>
      <c r="M9105" s="337"/>
    </row>
    <row r="9106" spans="1:13" s="71" customFormat="1" ht="26.4" customHeight="1">
      <c r="A9106" s="282">
        <v>340</v>
      </c>
      <c r="B9106" s="534"/>
      <c r="C9106" s="236" t="s">
        <v>8325</v>
      </c>
      <c r="D9106" s="260" t="s">
        <v>12137</v>
      </c>
      <c r="E9106" s="260" t="s">
        <v>12148</v>
      </c>
      <c r="F9106" s="387">
        <v>90933</v>
      </c>
      <c r="G9106" s="373" t="s">
        <v>1569</v>
      </c>
      <c r="H9106" s="396" t="s">
        <v>5462</v>
      </c>
      <c r="I9106" s="470">
        <v>1760</v>
      </c>
      <c r="J9106" s="427">
        <v>3.5630000000000002</v>
      </c>
      <c r="K9106" s="427">
        <v>3.2629999999999999</v>
      </c>
      <c r="L9106" s="427">
        <f t="shared" si="125"/>
        <v>0.30000000000000027</v>
      </c>
      <c r="M9106" s="337"/>
    </row>
    <row r="9107" spans="1:13" s="71" customFormat="1" ht="26.4" customHeight="1">
      <c r="A9107" s="282">
        <v>341</v>
      </c>
      <c r="B9107" s="534"/>
      <c r="C9107" s="236" t="s">
        <v>8325</v>
      </c>
      <c r="D9107" s="260" t="s">
        <v>12149</v>
      </c>
      <c r="E9107" s="260" t="s">
        <v>12150</v>
      </c>
      <c r="F9107" s="387">
        <v>90934</v>
      </c>
      <c r="G9107" s="373" t="s">
        <v>1569</v>
      </c>
      <c r="H9107" s="396" t="s">
        <v>5462</v>
      </c>
      <c r="I9107" s="470">
        <v>1270</v>
      </c>
      <c r="J9107" s="427">
        <v>16.437999999999999</v>
      </c>
      <c r="K9107" s="427">
        <v>15.238</v>
      </c>
      <c r="L9107" s="427">
        <f t="shared" si="125"/>
        <v>1.1999999999999993</v>
      </c>
      <c r="M9107" s="337"/>
    </row>
    <row r="9108" spans="1:13" s="71" customFormat="1" ht="26.4" customHeight="1">
      <c r="A9108" s="282">
        <v>342</v>
      </c>
      <c r="B9108" s="534"/>
      <c r="C9108" s="236" t="s">
        <v>8325</v>
      </c>
      <c r="D9108" s="260" t="s">
        <v>12151</v>
      </c>
      <c r="E9108" s="260" t="s">
        <v>12152</v>
      </c>
      <c r="F9108" s="387">
        <v>90935</v>
      </c>
      <c r="G9108" s="373" t="s">
        <v>1569</v>
      </c>
      <c r="H9108" s="396" t="s">
        <v>5462</v>
      </c>
      <c r="I9108" s="470">
        <v>1200</v>
      </c>
      <c r="J9108" s="427">
        <v>14.34</v>
      </c>
      <c r="K9108" s="427">
        <v>13.14</v>
      </c>
      <c r="L9108" s="427">
        <f t="shared" si="125"/>
        <v>1.1999999999999993</v>
      </c>
      <c r="M9108" s="337"/>
    </row>
    <row r="9109" spans="1:13" s="71" customFormat="1" ht="26.4" customHeight="1">
      <c r="A9109" s="282">
        <v>343</v>
      </c>
      <c r="B9109" s="534"/>
      <c r="C9109" s="236" t="s">
        <v>8325</v>
      </c>
      <c r="D9109" s="260" t="s">
        <v>12153</v>
      </c>
      <c r="E9109" s="260" t="s">
        <v>13224</v>
      </c>
      <c r="F9109" s="387">
        <v>90936</v>
      </c>
      <c r="G9109" s="373" t="s">
        <v>1569</v>
      </c>
      <c r="H9109" s="396" t="s">
        <v>5462</v>
      </c>
      <c r="I9109" s="470">
        <v>1270</v>
      </c>
      <c r="J9109" s="427">
        <v>149.77860000000001</v>
      </c>
      <c r="K9109" s="427">
        <v>148.00008</v>
      </c>
      <c r="L9109" s="427">
        <f t="shared" si="125"/>
        <v>1.7785200000000145</v>
      </c>
      <c r="M9109" s="337"/>
    </row>
    <row r="9110" spans="1:13" s="71" customFormat="1" ht="26.4" customHeight="1">
      <c r="A9110" s="282">
        <v>344</v>
      </c>
      <c r="B9110" s="534"/>
      <c r="C9110" s="236" t="s">
        <v>8325</v>
      </c>
      <c r="D9110" s="260" t="s">
        <v>12153</v>
      </c>
      <c r="E9110" s="260" t="s">
        <v>12154</v>
      </c>
      <c r="F9110" s="387">
        <v>90937</v>
      </c>
      <c r="G9110" s="373" t="s">
        <v>1569</v>
      </c>
      <c r="H9110" s="396" t="s">
        <v>5462</v>
      </c>
      <c r="I9110" s="470">
        <v>1290</v>
      </c>
      <c r="J9110" s="427">
        <v>83.376999999999995</v>
      </c>
      <c r="K9110" s="427">
        <v>77.376999999999995</v>
      </c>
      <c r="L9110" s="427">
        <f t="shared" si="125"/>
        <v>6</v>
      </c>
      <c r="M9110" s="337"/>
    </row>
    <row r="9111" spans="1:13" s="71" customFormat="1" ht="39.6">
      <c r="A9111" s="282">
        <v>345</v>
      </c>
      <c r="B9111" s="534"/>
      <c r="C9111" s="236" t="s">
        <v>8325</v>
      </c>
      <c r="D9111" s="260" t="s">
        <v>13318</v>
      </c>
      <c r="E9111" s="260" t="s">
        <v>12155</v>
      </c>
      <c r="F9111" s="387">
        <v>90938</v>
      </c>
      <c r="G9111" s="373" t="s">
        <v>1569</v>
      </c>
      <c r="H9111" s="396" t="s">
        <v>5462</v>
      </c>
      <c r="I9111" s="470">
        <v>1280</v>
      </c>
      <c r="J9111" s="427">
        <v>6.6120000000000001</v>
      </c>
      <c r="K9111" s="427">
        <v>6.1118499999999996</v>
      </c>
      <c r="L9111" s="427">
        <f t="shared" si="125"/>
        <v>0.50015000000000054</v>
      </c>
      <c r="M9111" s="337"/>
    </row>
    <row r="9112" spans="1:13" s="71" customFormat="1" ht="26.4" customHeight="1">
      <c r="A9112" s="282">
        <v>346</v>
      </c>
      <c r="B9112" s="534"/>
      <c r="C9112" s="236" t="s">
        <v>8325</v>
      </c>
      <c r="D9112" s="260" t="s">
        <v>12156</v>
      </c>
      <c r="E9112" s="260" t="s">
        <v>12157</v>
      </c>
      <c r="F9112" s="387">
        <v>90939</v>
      </c>
      <c r="G9112" s="373" t="s">
        <v>1569</v>
      </c>
      <c r="H9112" s="396" t="s">
        <v>5462</v>
      </c>
      <c r="I9112" s="470">
        <v>1280</v>
      </c>
      <c r="J9112" s="427">
        <v>145.86919</v>
      </c>
      <c r="K9112" s="427">
        <v>142.30500000000001</v>
      </c>
      <c r="L9112" s="427">
        <f t="shared" si="125"/>
        <v>3.5641899999999964</v>
      </c>
      <c r="M9112" s="337"/>
    </row>
    <row r="9113" spans="1:13" s="71" customFormat="1" ht="26.4" customHeight="1">
      <c r="A9113" s="282">
        <v>347</v>
      </c>
      <c r="B9113" s="534"/>
      <c r="C9113" s="236" t="s">
        <v>8325</v>
      </c>
      <c r="D9113" s="260" t="s">
        <v>12158</v>
      </c>
      <c r="E9113" s="260" t="s">
        <v>12159</v>
      </c>
      <c r="F9113" s="387">
        <v>90940</v>
      </c>
      <c r="G9113" s="373" t="s">
        <v>1569</v>
      </c>
      <c r="H9113" s="396" t="s">
        <v>5462</v>
      </c>
      <c r="I9113" s="470">
        <v>1280</v>
      </c>
      <c r="J9113" s="427">
        <v>4.6094999999999997</v>
      </c>
      <c r="K9113" s="427">
        <v>3.7869999999999999</v>
      </c>
      <c r="L9113" s="427">
        <f t="shared" si="125"/>
        <v>0.82249999999999979</v>
      </c>
      <c r="M9113" s="337"/>
    </row>
    <row r="9114" spans="1:13" s="71" customFormat="1" ht="26.4" customHeight="1">
      <c r="A9114" s="282">
        <v>348</v>
      </c>
      <c r="B9114" s="534"/>
      <c r="C9114" s="236" t="s">
        <v>8325</v>
      </c>
      <c r="D9114" s="260" t="s">
        <v>12160</v>
      </c>
      <c r="E9114" s="260" t="s">
        <v>12161</v>
      </c>
      <c r="F9114" s="387">
        <v>90941</v>
      </c>
      <c r="G9114" s="373" t="s">
        <v>1569</v>
      </c>
      <c r="H9114" s="396" t="s">
        <v>5462</v>
      </c>
      <c r="I9114" s="470">
        <v>1280</v>
      </c>
      <c r="J9114" s="427">
        <v>66.677180000000007</v>
      </c>
      <c r="K9114" s="427">
        <v>65.579719999999995</v>
      </c>
      <c r="L9114" s="427">
        <f t="shared" si="125"/>
        <v>1.0974600000000123</v>
      </c>
      <c r="M9114" s="337"/>
    </row>
    <row r="9115" spans="1:13" s="71" customFormat="1" ht="26.4" customHeight="1">
      <c r="A9115" s="282">
        <v>349</v>
      </c>
      <c r="B9115" s="534"/>
      <c r="C9115" s="236" t="s">
        <v>8325</v>
      </c>
      <c r="D9115" s="260" t="s">
        <v>12162</v>
      </c>
      <c r="E9115" s="260" t="s">
        <v>12163</v>
      </c>
      <c r="F9115" s="387">
        <v>90942</v>
      </c>
      <c r="G9115" s="373" t="s">
        <v>1569</v>
      </c>
      <c r="H9115" s="396" t="s">
        <v>5462</v>
      </c>
      <c r="I9115" s="470">
        <v>1280</v>
      </c>
      <c r="J9115" s="427">
        <v>22.846499999999999</v>
      </c>
      <c r="K9115" s="427">
        <v>21.479479999999999</v>
      </c>
      <c r="L9115" s="427">
        <f t="shared" si="125"/>
        <v>1.3670200000000001</v>
      </c>
      <c r="M9115" s="337"/>
    </row>
    <row r="9116" spans="1:13" s="71" customFormat="1" ht="39.6">
      <c r="A9116" s="282">
        <v>350</v>
      </c>
      <c r="B9116" s="534"/>
      <c r="C9116" s="236" t="s">
        <v>8325</v>
      </c>
      <c r="D9116" s="260" t="s">
        <v>12164</v>
      </c>
      <c r="E9116" s="260" t="s">
        <v>12165</v>
      </c>
      <c r="F9116" s="387">
        <v>90944</v>
      </c>
      <c r="G9116" s="373" t="s">
        <v>1569</v>
      </c>
      <c r="H9116" s="396" t="s">
        <v>5462</v>
      </c>
      <c r="I9116" s="470">
        <v>1280</v>
      </c>
      <c r="J9116" s="427">
        <v>62.911589999999997</v>
      </c>
      <c r="K9116" s="427">
        <v>54.67</v>
      </c>
      <c r="L9116" s="427">
        <f t="shared" si="125"/>
        <v>8.2415899999999951</v>
      </c>
      <c r="M9116" s="337"/>
    </row>
    <row r="9117" spans="1:13" s="71" customFormat="1" ht="39.6">
      <c r="A9117" s="282">
        <v>351</v>
      </c>
      <c r="B9117" s="534"/>
      <c r="C9117" s="236" t="s">
        <v>8325</v>
      </c>
      <c r="D9117" s="260" t="s">
        <v>12166</v>
      </c>
      <c r="E9117" s="260" t="s">
        <v>12167</v>
      </c>
      <c r="F9117" s="387">
        <v>90945</v>
      </c>
      <c r="G9117" s="373" t="s">
        <v>1569</v>
      </c>
      <c r="H9117" s="396" t="s">
        <v>5462</v>
      </c>
      <c r="I9117" s="470">
        <v>1280</v>
      </c>
      <c r="J9117" s="427">
        <v>14.71832</v>
      </c>
      <c r="K9117" s="427">
        <v>13.279</v>
      </c>
      <c r="L9117" s="427">
        <f t="shared" si="125"/>
        <v>1.4393200000000004</v>
      </c>
      <c r="M9117" s="337"/>
    </row>
    <row r="9118" spans="1:13" s="71" customFormat="1" ht="26.4" customHeight="1">
      <c r="A9118" s="282">
        <v>352</v>
      </c>
      <c r="B9118" s="534"/>
      <c r="C9118" s="236" t="s">
        <v>8325</v>
      </c>
      <c r="D9118" s="260" t="s">
        <v>12168</v>
      </c>
      <c r="E9118" s="260" t="s">
        <v>12169</v>
      </c>
      <c r="F9118" s="387">
        <v>90946</v>
      </c>
      <c r="G9118" s="373" t="s">
        <v>1569</v>
      </c>
      <c r="H9118" s="396" t="s">
        <v>5462</v>
      </c>
      <c r="I9118" s="470">
        <v>1283</v>
      </c>
      <c r="J9118" s="427">
        <v>29.664480000000001</v>
      </c>
      <c r="K9118" s="427">
        <v>24.39</v>
      </c>
      <c r="L9118" s="427">
        <f t="shared" si="125"/>
        <v>5.2744800000000005</v>
      </c>
      <c r="M9118" s="337"/>
    </row>
    <row r="9119" spans="1:13" s="71" customFormat="1" ht="26.4" customHeight="1">
      <c r="A9119" s="282">
        <v>353</v>
      </c>
      <c r="B9119" s="534"/>
      <c r="C9119" s="236" t="s">
        <v>8325</v>
      </c>
      <c r="D9119" s="260" t="s">
        <v>12170</v>
      </c>
      <c r="E9119" s="260" t="s">
        <v>12171</v>
      </c>
      <c r="F9119" s="387">
        <v>90947</v>
      </c>
      <c r="G9119" s="373" t="s">
        <v>1569</v>
      </c>
      <c r="H9119" s="396" t="s">
        <v>5462</v>
      </c>
      <c r="I9119" s="470">
        <v>1285</v>
      </c>
      <c r="J9119" s="427">
        <v>10.87922</v>
      </c>
      <c r="K9119" s="427">
        <v>8.9367099999999997</v>
      </c>
      <c r="L9119" s="427">
        <f t="shared" si="125"/>
        <v>1.9425100000000004</v>
      </c>
      <c r="M9119" s="337"/>
    </row>
    <row r="9120" spans="1:13" s="71" customFormat="1" ht="26.4" customHeight="1">
      <c r="A9120" s="282">
        <v>354</v>
      </c>
      <c r="B9120" s="534"/>
      <c r="C9120" s="236" t="s">
        <v>8325</v>
      </c>
      <c r="D9120" s="260" t="s">
        <v>12144</v>
      </c>
      <c r="E9120" s="260" t="s">
        <v>12172</v>
      </c>
      <c r="F9120" s="387">
        <v>90948</v>
      </c>
      <c r="G9120" s="373" t="s">
        <v>1569</v>
      </c>
      <c r="H9120" s="396" t="s">
        <v>5462</v>
      </c>
      <c r="I9120" s="470">
        <v>1283</v>
      </c>
      <c r="J9120" s="427">
        <v>15.650980000000001</v>
      </c>
      <c r="K9120" s="427">
        <v>11.49277</v>
      </c>
      <c r="L9120" s="427">
        <f t="shared" si="125"/>
        <v>4.1582100000000004</v>
      </c>
      <c r="M9120" s="337"/>
    </row>
    <row r="9121" spans="1:13" s="71" customFormat="1" ht="26.4" customHeight="1">
      <c r="A9121" s="282">
        <v>355</v>
      </c>
      <c r="B9121" s="534"/>
      <c r="C9121" s="236" t="s">
        <v>11880</v>
      </c>
      <c r="D9121" s="260" t="s">
        <v>12173</v>
      </c>
      <c r="E9121" s="260" t="s">
        <v>12174</v>
      </c>
      <c r="F9121" s="387">
        <v>90949</v>
      </c>
      <c r="G9121" s="373" t="s">
        <v>1569</v>
      </c>
      <c r="H9121" s="396" t="s">
        <v>5462</v>
      </c>
      <c r="I9121" s="470">
        <v>1283</v>
      </c>
      <c r="J9121" s="427">
        <v>61.411949999999997</v>
      </c>
      <c r="K9121" s="427">
        <v>55.702750000000002</v>
      </c>
      <c r="L9121" s="427">
        <f t="shared" si="125"/>
        <v>5.7091999999999956</v>
      </c>
      <c r="M9121" s="337"/>
    </row>
    <row r="9122" spans="1:13" s="71" customFormat="1" ht="26.4">
      <c r="A9122" s="282">
        <v>356</v>
      </c>
      <c r="B9122" s="534"/>
      <c r="C9122" s="236" t="s">
        <v>8325</v>
      </c>
      <c r="D9122" s="260" t="s">
        <v>12933</v>
      </c>
      <c r="E9122" s="260" t="s">
        <v>13225</v>
      </c>
      <c r="F9122" s="387">
        <v>90950</v>
      </c>
      <c r="G9122" s="373" t="s">
        <v>1569</v>
      </c>
      <c r="H9122" s="396" t="s">
        <v>5462</v>
      </c>
      <c r="I9122" s="470">
        <v>1283</v>
      </c>
      <c r="J9122" s="427">
        <v>23.80348</v>
      </c>
      <c r="K9122" s="427">
        <v>22.769020000000001</v>
      </c>
      <c r="L9122" s="427">
        <f t="shared" si="125"/>
        <v>1.0344599999999993</v>
      </c>
      <c r="M9122" s="337"/>
    </row>
    <row r="9123" spans="1:13" s="71" customFormat="1" ht="50.25" customHeight="1">
      <c r="A9123" s="282">
        <v>357</v>
      </c>
      <c r="B9123" s="534"/>
      <c r="C9123" s="236" t="s">
        <v>8325</v>
      </c>
      <c r="D9123" s="260" t="s">
        <v>12175</v>
      </c>
      <c r="E9123" s="260" t="s">
        <v>12176</v>
      </c>
      <c r="F9123" s="387">
        <v>90951</v>
      </c>
      <c r="G9123" s="373" t="s">
        <v>1569</v>
      </c>
      <c r="H9123" s="396" t="s">
        <v>5462</v>
      </c>
      <c r="I9123" s="470">
        <v>1283</v>
      </c>
      <c r="J9123" s="427">
        <v>46.379199999999997</v>
      </c>
      <c r="K9123" s="427">
        <v>42.241500000000002</v>
      </c>
      <c r="L9123" s="427">
        <f t="shared" si="125"/>
        <v>4.1376999999999953</v>
      </c>
      <c r="M9123" s="337"/>
    </row>
    <row r="9124" spans="1:13" s="71" customFormat="1" ht="26.4" customHeight="1">
      <c r="A9124" s="282">
        <v>358</v>
      </c>
      <c r="B9124" s="534"/>
      <c r="C9124" s="236" t="s">
        <v>8325</v>
      </c>
      <c r="D9124" s="260" t="s">
        <v>12177</v>
      </c>
      <c r="E9124" s="260" t="s">
        <v>12178</v>
      </c>
      <c r="F9124" s="387">
        <v>90952</v>
      </c>
      <c r="G9124" s="373" t="s">
        <v>1569</v>
      </c>
      <c r="H9124" s="396" t="s">
        <v>5462</v>
      </c>
      <c r="I9124" s="470">
        <v>1280</v>
      </c>
      <c r="J9124" s="427">
        <v>2.4735</v>
      </c>
      <c r="K9124" s="427">
        <v>1.651</v>
      </c>
      <c r="L9124" s="427">
        <f t="shared" si="125"/>
        <v>0.82250000000000001</v>
      </c>
      <c r="M9124" s="337"/>
    </row>
    <row r="9125" spans="1:13" s="71" customFormat="1" ht="26.4" customHeight="1">
      <c r="A9125" s="282">
        <v>359</v>
      </c>
      <c r="B9125" s="534"/>
      <c r="C9125" s="236" t="s">
        <v>8325</v>
      </c>
      <c r="D9125" s="260" t="s">
        <v>13258</v>
      </c>
      <c r="E9125" s="260" t="s">
        <v>12179</v>
      </c>
      <c r="F9125" s="387">
        <v>90956</v>
      </c>
      <c r="G9125" s="373" t="s">
        <v>1569</v>
      </c>
      <c r="H9125" s="396" t="s">
        <v>5462</v>
      </c>
      <c r="I9125" s="470">
        <v>1280</v>
      </c>
      <c r="J9125" s="427">
        <v>44.645000000000003</v>
      </c>
      <c r="K9125" s="427">
        <v>42.395000000000003</v>
      </c>
      <c r="L9125" s="427">
        <f t="shared" si="125"/>
        <v>2.25</v>
      </c>
      <c r="M9125" s="337"/>
    </row>
    <row r="9126" spans="1:13" s="71" customFormat="1" ht="26.4" customHeight="1">
      <c r="A9126" s="282">
        <v>360</v>
      </c>
      <c r="B9126" s="534"/>
      <c r="C9126" s="236" t="s">
        <v>8325</v>
      </c>
      <c r="D9126" s="260" t="s">
        <v>12180</v>
      </c>
      <c r="E9126" s="260" t="s">
        <v>12181</v>
      </c>
      <c r="F9126" s="387">
        <v>90957</v>
      </c>
      <c r="G9126" s="373" t="s">
        <v>1569</v>
      </c>
      <c r="H9126" s="396" t="s">
        <v>5462</v>
      </c>
      <c r="I9126" s="470">
        <v>1210</v>
      </c>
      <c r="J9126" s="427">
        <v>1.885</v>
      </c>
      <c r="K9126" s="427">
        <v>1.78515</v>
      </c>
      <c r="L9126" s="427">
        <f t="shared" si="125"/>
        <v>9.9849999999999994E-2</v>
      </c>
      <c r="M9126" s="337"/>
    </row>
    <row r="9127" spans="1:13" s="71" customFormat="1" ht="26.4" customHeight="1">
      <c r="A9127" s="282">
        <v>361</v>
      </c>
      <c r="B9127" s="534"/>
      <c r="C9127" s="236" t="s">
        <v>8325</v>
      </c>
      <c r="D9127" s="260" t="s">
        <v>12182</v>
      </c>
      <c r="E9127" s="260" t="s">
        <v>12183</v>
      </c>
      <c r="F9127" s="387">
        <v>90959</v>
      </c>
      <c r="G9127" s="373" t="s">
        <v>1569</v>
      </c>
      <c r="H9127" s="396" t="s">
        <v>5462</v>
      </c>
      <c r="I9127" s="470">
        <v>1340</v>
      </c>
      <c r="J9127" s="427">
        <v>7.3334999999999999</v>
      </c>
      <c r="K9127" s="427">
        <v>6.7335000000000003</v>
      </c>
      <c r="L9127" s="427">
        <f t="shared" si="125"/>
        <v>0.59999999999999964</v>
      </c>
      <c r="M9127" s="337"/>
    </row>
    <row r="9128" spans="1:13" s="71" customFormat="1" ht="26.4" customHeight="1">
      <c r="A9128" s="282">
        <v>362</v>
      </c>
      <c r="B9128" s="534"/>
      <c r="C9128" s="236" t="s">
        <v>8325</v>
      </c>
      <c r="D9128" s="260" t="s">
        <v>12184</v>
      </c>
      <c r="E9128" s="260" t="s">
        <v>12185</v>
      </c>
      <c r="F9128" s="387">
        <v>90960</v>
      </c>
      <c r="G9128" s="373" t="s">
        <v>1569</v>
      </c>
      <c r="H9128" s="396" t="s">
        <v>5462</v>
      </c>
      <c r="I9128" s="470">
        <v>1340</v>
      </c>
      <c r="J9128" s="427">
        <v>34.753419999999998</v>
      </c>
      <c r="K9128" s="427">
        <v>30.905000000000001</v>
      </c>
      <c r="L9128" s="427">
        <f t="shared" si="125"/>
        <v>3.8484199999999973</v>
      </c>
      <c r="M9128" s="337"/>
    </row>
    <row r="9129" spans="1:13" s="71" customFormat="1" ht="26.4" customHeight="1">
      <c r="A9129" s="282">
        <v>363</v>
      </c>
      <c r="B9129" s="534"/>
      <c r="C9129" s="236" t="s">
        <v>8325</v>
      </c>
      <c r="D9129" s="260" t="s">
        <v>12186</v>
      </c>
      <c r="E9129" s="260" t="s">
        <v>12187</v>
      </c>
      <c r="F9129" s="387">
        <v>90961</v>
      </c>
      <c r="G9129" s="373" t="s">
        <v>1569</v>
      </c>
      <c r="H9129" s="396" t="s">
        <v>5462</v>
      </c>
      <c r="I9129" s="470">
        <v>1270</v>
      </c>
      <c r="J9129" s="427">
        <v>49.607999999999997</v>
      </c>
      <c r="K9129" s="427">
        <v>46.107999999999997</v>
      </c>
      <c r="L9129" s="427">
        <f t="shared" si="125"/>
        <v>3.5</v>
      </c>
      <c r="M9129" s="337"/>
    </row>
    <row r="9130" spans="1:13" s="71" customFormat="1" ht="26.4" customHeight="1">
      <c r="A9130" s="282">
        <v>364</v>
      </c>
      <c r="B9130" s="534"/>
      <c r="C9130" s="375" t="s">
        <v>8325</v>
      </c>
      <c r="D9130" s="444" t="s">
        <v>12188</v>
      </c>
      <c r="E9130" s="444" t="s">
        <v>12189</v>
      </c>
      <c r="F9130" s="387">
        <v>90962</v>
      </c>
      <c r="G9130" s="373" t="s">
        <v>1569</v>
      </c>
      <c r="H9130" s="396" t="s">
        <v>5462</v>
      </c>
      <c r="I9130" s="470">
        <v>1100</v>
      </c>
      <c r="J9130" s="427">
        <v>36.118200000000002</v>
      </c>
      <c r="K9130" s="427">
        <v>32.642000000000003</v>
      </c>
      <c r="L9130" s="427">
        <f t="shared" si="125"/>
        <v>3.4761999999999986</v>
      </c>
      <c r="M9130" s="337"/>
    </row>
    <row r="9131" spans="1:13" s="71" customFormat="1" ht="26.4" customHeight="1">
      <c r="A9131" s="282">
        <v>365</v>
      </c>
      <c r="B9131" s="534"/>
      <c r="C9131" s="236" t="s">
        <v>8325</v>
      </c>
      <c r="D9131" s="260" t="s">
        <v>12144</v>
      </c>
      <c r="E9131" s="260" t="s">
        <v>12190</v>
      </c>
      <c r="F9131" s="387">
        <v>90963</v>
      </c>
      <c r="G9131" s="373" t="s">
        <v>1569</v>
      </c>
      <c r="H9131" s="396" t="s">
        <v>5462</v>
      </c>
      <c r="I9131" s="470">
        <v>1290</v>
      </c>
      <c r="J9131" s="427">
        <v>45.883200000000002</v>
      </c>
      <c r="K9131" s="427">
        <v>42.05</v>
      </c>
      <c r="L9131" s="427">
        <f t="shared" si="125"/>
        <v>3.833200000000005</v>
      </c>
      <c r="M9131" s="337"/>
    </row>
    <row r="9132" spans="1:13" s="71" customFormat="1" ht="26.4" customHeight="1">
      <c r="A9132" s="282">
        <v>366</v>
      </c>
      <c r="B9132" s="534"/>
      <c r="C9132" s="236" t="s">
        <v>8325</v>
      </c>
      <c r="D9132" s="260" t="s">
        <v>12191</v>
      </c>
      <c r="E9132" s="260" t="s">
        <v>12192</v>
      </c>
      <c r="F9132" s="387">
        <v>90964</v>
      </c>
      <c r="G9132" s="373" t="s">
        <v>1569</v>
      </c>
      <c r="H9132" s="396" t="s">
        <v>5462</v>
      </c>
      <c r="I9132" s="470">
        <v>1240</v>
      </c>
      <c r="J9132" s="427">
        <v>7.4850000000000003</v>
      </c>
      <c r="K9132" s="427">
        <v>6.8849999999999998</v>
      </c>
      <c r="L9132" s="427">
        <f t="shared" si="125"/>
        <v>0.60000000000000053</v>
      </c>
      <c r="M9132" s="337"/>
    </row>
    <row r="9133" spans="1:13" s="71" customFormat="1" ht="26.4" customHeight="1">
      <c r="A9133" s="282">
        <v>367</v>
      </c>
      <c r="B9133" s="534"/>
      <c r="C9133" s="375" t="s">
        <v>8325</v>
      </c>
      <c r="D9133" s="444" t="s">
        <v>13258</v>
      </c>
      <c r="E9133" s="444" t="s">
        <v>12193</v>
      </c>
      <c r="F9133" s="387">
        <v>90982</v>
      </c>
      <c r="G9133" s="373" t="s">
        <v>1569</v>
      </c>
      <c r="H9133" s="396" t="s">
        <v>5462</v>
      </c>
      <c r="I9133" s="470">
        <v>1380</v>
      </c>
      <c r="J9133" s="427">
        <v>9.343</v>
      </c>
      <c r="K9133" s="427">
        <v>9.1630000000000003</v>
      </c>
      <c r="L9133" s="427">
        <f t="shared" si="125"/>
        <v>0.17999999999999972</v>
      </c>
      <c r="M9133" s="337"/>
    </row>
    <row r="9134" spans="1:13" s="71" customFormat="1" ht="26.4" customHeight="1">
      <c r="A9134" s="282">
        <v>368</v>
      </c>
      <c r="B9134" s="534"/>
      <c r="C9134" s="375" t="s">
        <v>8325</v>
      </c>
      <c r="D9134" s="444" t="s">
        <v>12194</v>
      </c>
      <c r="E9134" s="444" t="s">
        <v>12195</v>
      </c>
      <c r="F9134" s="387">
        <v>90983</v>
      </c>
      <c r="G9134" s="373" t="s">
        <v>1569</v>
      </c>
      <c r="H9134" s="396" t="s">
        <v>5462</v>
      </c>
      <c r="I9134" s="470">
        <v>1800</v>
      </c>
      <c r="J9134" s="427">
        <v>43.690600000000003</v>
      </c>
      <c r="K9134" s="427">
        <v>34.585140000000003</v>
      </c>
      <c r="L9134" s="427">
        <f t="shared" si="125"/>
        <v>9.1054600000000008</v>
      </c>
      <c r="M9134" s="337"/>
    </row>
    <row r="9135" spans="1:13" s="71" customFormat="1" ht="26.4" customHeight="1">
      <c r="A9135" s="282">
        <v>369</v>
      </c>
      <c r="B9135" s="534"/>
      <c r="C9135" s="375" t="s">
        <v>11883</v>
      </c>
      <c r="D9135" s="444" t="s">
        <v>3285</v>
      </c>
      <c r="E9135" s="444" t="s">
        <v>12196</v>
      </c>
      <c r="F9135" s="387">
        <v>90986</v>
      </c>
      <c r="G9135" s="373" t="s">
        <v>1569</v>
      </c>
      <c r="H9135" s="396" t="s">
        <v>5462</v>
      </c>
      <c r="I9135" s="470">
        <v>1800</v>
      </c>
      <c r="J9135" s="427">
        <v>5.5566899999999997</v>
      </c>
      <c r="K9135" s="427">
        <v>5.2566899999999999</v>
      </c>
      <c r="L9135" s="427">
        <f t="shared" si="125"/>
        <v>0.29999999999999982</v>
      </c>
      <c r="M9135" s="337"/>
    </row>
    <row r="9136" spans="1:13" s="71" customFormat="1" ht="39.6">
      <c r="A9136" s="282">
        <v>370</v>
      </c>
      <c r="B9136" s="534"/>
      <c r="C9136" s="260" t="s">
        <v>12934</v>
      </c>
      <c r="D9136" s="260" t="s">
        <v>12197</v>
      </c>
      <c r="E9136" s="260" t="s">
        <v>12198</v>
      </c>
      <c r="F9136" s="387">
        <v>90987</v>
      </c>
      <c r="G9136" s="373" t="s">
        <v>1569</v>
      </c>
      <c r="H9136" s="396" t="s">
        <v>5462</v>
      </c>
      <c r="I9136" s="470">
        <v>5700</v>
      </c>
      <c r="J9136" s="427">
        <v>320.75504999999998</v>
      </c>
      <c r="K9136" s="427">
        <v>318.87430999999998</v>
      </c>
      <c r="L9136" s="427">
        <f t="shared" si="125"/>
        <v>1.880740000000003</v>
      </c>
      <c r="M9136" s="337"/>
    </row>
    <row r="9137" spans="1:13" s="71" customFormat="1" ht="26.4" customHeight="1">
      <c r="A9137" s="282">
        <v>371</v>
      </c>
      <c r="B9137" s="534"/>
      <c r="C9137" s="236" t="s">
        <v>8325</v>
      </c>
      <c r="D9137" s="260" t="s">
        <v>12199</v>
      </c>
      <c r="E9137" s="260" t="s">
        <v>12200</v>
      </c>
      <c r="F9137" s="387">
        <v>90988</v>
      </c>
      <c r="G9137" s="373" t="s">
        <v>1569</v>
      </c>
      <c r="H9137" s="396" t="s">
        <v>5462</v>
      </c>
      <c r="I9137" s="470">
        <v>1630</v>
      </c>
      <c r="J9137" s="427">
        <v>7.2068399999999997</v>
      </c>
      <c r="K9137" s="427">
        <v>6.9068399999999999</v>
      </c>
      <c r="L9137" s="427">
        <f t="shared" si="125"/>
        <v>0.29999999999999982</v>
      </c>
      <c r="M9137" s="337"/>
    </row>
    <row r="9138" spans="1:13" s="71" customFormat="1" ht="26.4" customHeight="1">
      <c r="A9138" s="282">
        <v>372</v>
      </c>
      <c r="B9138" s="534"/>
      <c r="C9138" s="236" t="s">
        <v>8325</v>
      </c>
      <c r="D9138" s="260" t="s">
        <v>12201</v>
      </c>
      <c r="E9138" s="260" t="s">
        <v>12202</v>
      </c>
      <c r="F9138" s="387">
        <v>90989</v>
      </c>
      <c r="G9138" s="373" t="s">
        <v>1569</v>
      </c>
      <c r="H9138" s="396" t="s">
        <v>3243</v>
      </c>
      <c r="I9138" s="470" t="s">
        <v>3243</v>
      </c>
      <c r="J9138" s="427">
        <v>54.329300000000003</v>
      </c>
      <c r="K9138" s="427">
        <v>54.329140000000002</v>
      </c>
      <c r="L9138" s="427">
        <f t="shared" si="125"/>
        <v>1.6000000000104819E-4</v>
      </c>
      <c r="M9138" s="337"/>
    </row>
    <row r="9139" spans="1:13" s="71" customFormat="1" ht="26.4" customHeight="1">
      <c r="A9139" s="282">
        <v>373</v>
      </c>
      <c r="B9139" s="534"/>
      <c r="C9139" s="236" t="s">
        <v>8325</v>
      </c>
      <c r="D9139" s="260" t="s">
        <v>12201</v>
      </c>
      <c r="E9139" s="260" t="s">
        <v>12203</v>
      </c>
      <c r="F9139" s="387">
        <v>90990</v>
      </c>
      <c r="G9139" s="373" t="s">
        <v>1569</v>
      </c>
      <c r="H9139" s="396" t="s">
        <v>3243</v>
      </c>
      <c r="I9139" s="470" t="s">
        <v>3243</v>
      </c>
      <c r="J9139" s="427">
        <v>5.0278900000000002</v>
      </c>
      <c r="K9139" s="427">
        <v>4.9378900000000003</v>
      </c>
      <c r="L9139" s="427">
        <f t="shared" si="125"/>
        <v>8.9999999999999858E-2</v>
      </c>
      <c r="M9139" s="337"/>
    </row>
    <row r="9140" spans="1:13" s="71" customFormat="1" ht="26.4" customHeight="1">
      <c r="A9140" s="282">
        <v>374</v>
      </c>
      <c r="B9140" s="534"/>
      <c r="C9140" s="236" t="s">
        <v>8325</v>
      </c>
      <c r="D9140" s="260" t="s">
        <v>12201</v>
      </c>
      <c r="E9140" s="260" t="s">
        <v>12204</v>
      </c>
      <c r="F9140" s="387">
        <v>90991</v>
      </c>
      <c r="G9140" s="373" t="s">
        <v>1569</v>
      </c>
      <c r="H9140" s="396" t="s">
        <v>5462</v>
      </c>
      <c r="I9140" s="470">
        <v>2800</v>
      </c>
      <c r="J9140" s="427">
        <v>8.5313199999999991</v>
      </c>
      <c r="K9140" s="427">
        <v>8.3813200000000005</v>
      </c>
      <c r="L9140" s="427">
        <f t="shared" si="125"/>
        <v>0.14999999999999858</v>
      </c>
      <c r="M9140" s="337"/>
    </row>
    <row r="9141" spans="1:13" s="71" customFormat="1" ht="26.4" customHeight="1">
      <c r="A9141" s="282">
        <v>375</v>
      </c>
      <c r="B9141" s="534"/>
      <c r="C9141" s="260" t="s">
        <v>11890</v>
      </c>
      <c r="D9141" s="260" t="s">
        <v>3</v>
      </c>
      <c r="E9141" s="260" t="s">
        <v>12205</v>
      </c>
      <c r="F9141" s="387">
        <v>90992</v>
      </c>
      <c r="G9141" s="373" t="s">
        <v>1569</v>
      </c>
      <c r="H9141" s="396" t="s">
        <v>5462</v>
      </c>
      <c r="I9141" s="470">
        <v>6900</v>
      </c>
      <c r="J9141" s="427">
        <v>820.63048000000003</v>
      </c>
      <c r="K9141" s="427">
        <v>818.43047999999999</v>
      </c>
      <c r="L9141" s="427">
        <f t="shared" si="125"/>
        <v>2.2000000000000455</v>
      </c>
      <c r="M9141" s="337"/>
    </row>
    <row r="9142" spans="1:13" s="71" customFormat="1" ht="26.4" customHeight="1">
      <c r="A9142" s="282">
        <v>376</v>
      </c>
      <c r="B9142" s="534"/>
      <c r="C9142" s="236" t="s">
        <v>11883</v>
      </c>
      <c r="D9142" s="260" t="s">
        <v>3</v>
      </c>
      <c r="E9142" s="260" t="s">
        <v>12206</v>
      </c>
      <c r="F9142" s="387">
        <v>90993</v>
      </c>
      <c r="G9142" s="373" t="s">
        <v>1569</v>
      </c>
      <c r="H9142" s="396" t="s">
        <v>3243</v>
      </c>
      <c r="I9142" s="470" t="s">
        <v>3243</v>
      </c>
      <c r="J9142" s="427">
        <v>13.400639999999999</v>
      </c>
      <c r="K9142" s="427">
        <v>13.400639999999999</v>
      </c>
      <c r="L9142" s="427">
        <f t="shared" si="125"/>
        <v>0</v>
      </c>
      <c r="M9142" s="337"/>
    </row>
    <row r="9143" spans="1:13" s="71" customFormat="1" ht="26.4" customHeight="1">
      <c r="A9143" s="282">
        <v>377</v>
      </c>
      <c r="B9143" s="534"/>
      <c r="C9143" s="236" t="s">
        <v>8325</v>
      </c>
      <c r="D9143" s="260" t="s">
        <v>12207</v>
      </c>
      <c r="E9143" s="260" t="s">
        <v>7883</v>
      </c>
      <c r="F9143" s="387">
        <v>90996</v>
      </c>
      <c r="G9143" s="373" t="s">
        <v>1569</v>
      </c>
      <c r="H9143" s="396" t="s">
        <v>5462</v>
      </c>
      <c r="I9143" s="470">
        <v>2900</v>
      </c>
      <c r="J9143" s="427">
        <v>43.978169999999999</v>
      </c>
      <c r="K9143" s="427">
        <v>37.600999999999999</v>
      </c>
      <c r="L9143" s="427">
        <f t="shared" si="125"/>
        <v>6.3771699999999996</v>
      </c>
      <c r="M9143" s="337"/>
    </row>
    <row r="9144" spans="1:13" s="71" customFormat="1" ht="26.4" customHeight="1">
      <c r="A9144" s="282">
        <v>378</v>
      </c>
      <c r="B9144" s="534"/>
      <c r="C9144" s="236" t="s">
        <v>8325</v>
      </c>
      <c r="D9144" s="260" t="s">
        <v>12207</v>
      </c>
      <c r="E9144" s="260" t="s">
        <v>12208</v>
      </c>
      <c r="F9144" s="387">
        <v>90997</v>
      </c>
      <c r="G9144" s="373" t="s">
        <v>1569</v>
      </c>
      <c r="H9144" s="396" t="s">
        <v>3243</v>
      </c>
      <c r="I9144" s="470" t="s">
        <v>3243</v>
      </c>
      <c r="J9144" s="427">
        <v>2.0920000000000001</v>
      </c>
      <c r="K9144" s="427">
        <v>1.806</v>
      </c>
      <c r="L9144" s="427">
        <f t="shared" si="125"/>
        <v>0.28600000000000003</v>
      </c>
      <c r="M9144" s="337"/>
    </row>
    <row r="9145" spans="1:13" s="71" customFormat="1" ht="26.4" customHeight="1">
      <c r="A9145" s="282">
        <v>379</v>
      </c>
      <c r="B9145" s="534"/>
      <c r="C9145" s="236" t="s">
        <v>8325</v>
      </c>
      <c r="D9145" s="260" t="s">
        <v>12207</v>
      </c>
      <c r="E9145" s="260" t="s">
        <v>12209</v>
      </c>
      <c r="F9145" s="387">
        <v>90998</v>
      </c>
      <c r="G9145" s="373" t="s">
        <v>1569</v>
      </c>
      <c r="H9145" s="396" t="s">
        <v>5462</v>
      </c>
      <c r="I9145" s="470">
        <v>2100</v>
      </c>
      <c r="J9145" s="427">
        <v>24.355879999999999</v>
      </c>
      <c r="K9145" s="427">
        <v>23.432919999999999</v>
      </c>
      <c r="L9145" s="427">
        <f t="shared" si="125"/>
        <v>0.92295999999999978</v>
      </c>
      <c r="M9145" s="337"/>
    </row>
    <row r="9146" spans="1:13" s="71" customFormat="1" ht="26.4" customHeight="1">
      <c r="A9146" s="282">
        <v>380</v>
      </c>
      <c r="B9146" s="534"/>
      <c r="C9146" s="375" t="s">
        <v>11883</v>
      </c>
      <c r="D9146" s="444" t="s">
        <v>12210</v>
      </c>
      <c r="E9146" s="444" t="s">
        <v>12211</v>
      </c>
      <c r="F9146" s="387">
        <v>91023</v>
      </c>
      <c r="G9146" s="373" t="s">
        <v>1569</v>
      </c>
      <c r="H9146" s="396" t="s">
        <v>3243</v>
      </c>
      <c r="I9146" s="470" t="s">
        <v>3243</v>
      </c>
      <c r="J9146" s="427">
        <v>8.4163499999999996</v>
      </c>
      <c r="K9146" s="427">
        <v>8.4163499999999996</v>
      </c>
      <c r="L9146" s="427">
        <f t="shared" si="125"/>
        <v>0</v>
      </c>
      <c r="M9146" s="337"/>
    </row>
    <row r="9147" spans="1:13" s="71" customFormat="1" ht="26.4" customHeight="1">
      <c r="A9147" s="282">
        <v>381</v>
      </c>
      <c r="B9147" s="534"/>
      <c r="C9147" s="236" t="s">
        <v>8325</v>
      </c>
      <c r="D9147" s="260" t="s">
        <v>12149</v>
      </c>
      <c r="E9147" s="260" t="s">
        <v>12212</v>
      </c>
      <c r="F9147" s="387">
        <v>91078</v>
      </c>
      <c r="G9147" s="373" t="s">
        <v>1569</v>
      </c>
      <c r="H9147" s="396" t="s">
        <v>1149</v>
      </c>
      <c r="I9147" s="470">
        <v>573</v>
      </c>
      <c r="J9147" s="427">
        <v>10.8165</v>
      </c>
      <c r="K9147" s="427">
        <v>10.816330000000001</v>
      </c>
      <c r="L9147" s="427">
        <f t="shared" si="125"/>
        <v>1.6999999999889326E-4</v>
      </c>
      <c r="M9147" s="337"/>
    </row>
    <row r="9148" spans="1:13" s="71" customFormat="1" ht="26.4" customHeight="1">
      <c r="A9148" s="282">
        <v>382</v>
      </c>
      <c r="B9148" s="534"/>
      <c r="C9148" s="236" t="s">
        <v>8325</v>
      </c>
      <c r="D9148" s="260" t="s">
        <v>12213</v>
      </c>
      <c r="E9148" s="260" t="s">
        <v>12214</v>
      </c>
      <c r="F9148" s="387">
        <v>91079</v>
      </c>
      <c r="G9148" s="373" t="s">
        <v>1569</v>
      </c>
      <c r="H9148" s="396" t="s">
        <v>1149</v>
      </c>
      <c r="I9148" s="470">
        <v>1122</v>
      </c>
      <c r="J9148" s="427">
        <v>9.1664999999999992</v>
      </c>
      <c r="K9148" s="427">
        <v>9.1664499999999993</v>
      </c>
      <c r="L9148" s="427">
        <f t="shared" si="125"/>
        <v>4.9999999999883471E-5</v>
      </c>
      <c r="M9148" s="337"/>
    </row>
    <row r="9149" spans="1:13" s="71" customFormat="1" ht="26.4" customHeight="1">
      <c r="A9149" s="282">
        <v>383</v>
      </c>
      <c r="B9149" s="534"/>
      <c r="C9149" s="236" t="s">
        <v>8325</v>
      </c>
      <c r="D9149" s="260" t="s">
        <v>12215</v>
      </c>
      <c r="E9149" s="260" t="s">
        <v>12216</v>
      </c>
      <c r="F9149" s="387">
        <v>91080</v>
      </c>
      <c r="G9149" s="373" t="s">
        <v>1569</v>
      </c>
      <c r="H9149" s="396" t="s">
        <v>1149</v>
      </c>
      <c r="I9149" s="470">
        <v>870</v>
      </c>
      <c r="J9149" s="427">
        <v>113.7337</v>
      </c>
      <c r="K9149" s="427">
        <v>105.22499999999999</v>
      </c>
      <c r="L9149" s="427">
        <f t="shared" si="125"/>
        <v>8.5087000000000046</v>
      </c>
      <c r="M9149" s="337"/>
    </row>
    <row r="9150" spans="1:13" s="71" customFormat="1" ht="39.6">
      <c r="A9150" s="282">
        <v>384</v>
      </c>
      <c r="B9150" s="534"/>
      <c r="C9150" s="236" t="s">
        <v>8325</v>
      </c>
      <c r="D9150" s="260" t="s">
        <v>12217</v>
      </c>
      <c r="E9150" s="260" t="s">
        <v>12218</v>
      </c>
      <c r="F9150" s="387">
        <v>91081</v>
      </c>
      <c r="G9150" s="373" t="s">
        <v>1569</v>
      </c>
      <c r="H9150" s="396" t="s">
        <v>5462</v>
      </c>
      <c r="I9150" s="470">
        <v>870</v>
      </c>
      <c r="J9150" s="427">
        <v>65.502939999999995</v>
      </c>
      <c r="K9150" s="427">
        <v>63.11956</v>
      </c>
      <c r="L9150" s="427">
        <f t="shared" si="125"/>
        <v>2.3833799999999954</v>
      </c>
      <c r="M9150" s="337"/>
    </row>
    <row r="9151" spans="1:13" s="71" customFormat="1" ht="26.4" customHeight="1">
      <c r="A9151" s="282">
        <v>385</v>
      </c>
      <c r="B9151" s="534"/>
      <c r="C9151" s="236" t="s">
        <v>8325</v>
      </c>
      <c r="D9151" s="260" t="s">
        <v>12199</v>
      </c>
      <c r="E9151" s="260" t="s">
        <v>12219</v>
      </c>
      <c r="F9151" s="387">
        <v>91082</v>
      </c>
      <c r="G9151" s="373" t="s">
        <v>1569</v>
      </c>
      <c r="H9151" s="396" t="s">
        <v>1149</v>
      </c>
      <c r="I9151" s="470">
        <v>7181</v>
      </c>
      <c r="J9151" s="427">
        <v>109.6275</v>
      </c>
      <c r="K9151" s="427">
        <v>109.62739000000001</v>
      </c>
      <c r="L9151" s="427">
        <f t="shared" ref="L9151:L9214" si="126">J9151-K9151</f>
        <v>1.0999999999228294E-4</v>
      </c>
      <c r="M9151" s="337"/>
    </row>
    <row r="9152" spans="1:13" s="71" customFormat="1" ht="26.4" customHeight="1">
      <c r="A9152" s="282">
        <v>386</v>
      </c>
      <c r="B9152" s="534"/>
      <c r="C9152" s="236" t="s">
        <v>8325</v>
      </c>
      <c r="D9152" s="260" t="s">
        <v>11776</v>
      </c>
      <c r="E9152" s="260" t="s">
        <v>12220</v>
      </c>
      <c r="F9152" s="387">
        <v>91083</v>
      </c>
      <c r="G9152" s="373" t="s">
        <v>1569</v>
      </c>
      <c r="H9152" s="396" t="s">
        <v>1149</v>
      </c>
      <c r="I9152" s="470">
        <v>120</v>
      </c>
      <c r="J9152" s="427">
        <v>3.8872</v>
      </c>
      <c r="K9152" s="427">
        <v>3.8870800000000001</v>
      </c>
      <c r="L9152" s="427">
        <f t="shared" si="126"/>
        <v>1.1999999999989797E-4</v>
      </c>
      <c r="M9152" s="337"/>
    </row>
    <row r="9153" spans="1:13" s="71" customFormat="1" ht="26.4" customHeight="1">
      <c r="A9153" s="282">
        <v>387</v>
      </c>
      <c r="B9153" s="534"/>
      <c r="C9153" s="236" t="s">
        <v>8325</v>
      </c>
      <c r="D9153" s="260" t="s">
        <v>12221</v>
      </c>
      <c r="E9153" s="260" t="s">
        <v>12222</v>
      </c>
      <c r="F9153" s="387">
        <v>91084</v>
      </c>
      <c r="G9153" s="373" t="s">
        <v>1569</v>
      </c>
      <c r="H9153" s="396" t="s">
        <v>1149</v>
      </c>
      <c r="I9153" s="470">
        <v>797</v>
      </c>
      <c r="J9153" s="427">
        <v>19.083200000000001</v>
      </c>
      <c r="K9153" s="427">
        <v>19.083120000000001</v>
      </c>
      <c r="L9153" s="427">
        <f t="shared" si="126"/>
        <v>8.0000000000524096E-5</v>
      </c>
      <c r="M9153" s="337"/>
    </row>
    <row r="9154" spans="1:13" s="71" customFormat="1" ht="26.4" customHeight="1">
      <c r="A9154" s="282">
        <v>388</v>
      </c>
      <c r="B9154" s="534"/>
      <c r="C9154" s="236" t="s">
        <v>8325</v>
      </c>
      <c r="D9154" s="260" t="s">
        <v>12027</v>
      </c>
      <c r="E9154" s="260" t="s">
        <v>12223</v>
      </c>
      <c r="F9154" s="387">
        <v>91085</v>
      </c>
      <c r="G9154" s="373" t="s">
        <v>1569</v>
      </c>
      <c r="H9154" s="396" t="s">
        <v>1149</v>
      </c>
      <c r="I9154" s="470">
        <v>5916</v>
      </c>
      <c r="J9154" s="427">
        <v>256.18200000000002</v>
      </c>
      <c r="K9154" s="427">
        <v>256.18189999999998</v>
      </c>
      <c r="L9154" s="427">
        <f t="shared" si="126"/>
        <v>1.0000000003174137E-4</v>
      </c>
      <c r="M9154" s="337"/>
    </row>
    <row r="9155" spans="1:13" s="71" customFormat="1" ht="26.4" customHeight="1">
      <c r="A9155" s="282">
        <v>389</v>
      </c>
      <c r="B9155" s="534"/>
      <c r="C9155" s="236" t="s">
        <v>8325</v>
      </c>
      <c r="D9155" s="260" t="s">
        <v>12224</v>
      </c>
      <c r="E9155" s="260" t="s">
        <v>12225</v>
      </c>
      <c r="F9155" s="387">
        <v>91086</v>
      </c>
      <c r="G9155" s="373" t="s">
        <v>1569</v>
      </c>
      <c r="H9155" s="396" t="s">
        <v>1149</v>
      </c>
      <c r="I9155" s="470">
        <v>220</v>
      </c>
      <c r="J9155" s="427">
        <v>6.516</v>
      </c>
      <c r="K9155" s="427">
        <v>6.5159399999999996</v>
      </c>
      <c r="L9155" s="427">
        <f t="shared" si="126"/>
        <v>6.0000000000393072E-5</v>
      </c>
      <c r="M9155" s="337"/>
    </row>
    <row r="9156" spans="1:13" s="71" customFormat="1" ht="39.6">
      <c r="A9156" s="282">
        <v>390</v>
      </c>
      <c r="B9156" s="534"/>
      <c r="C9156" s="236" t="s">
        <v>8325</v>
      </c>
      <c r="D9156" s="260" t="s">
        <v>12226</v>
      </c>
      <c r="E9156" s="260" t="s">
        <v>12227</v>
      </c>
      <c r="F9156" s="387">
        <v>91087</v>
      </c>
      <c r="G9156" s="373" t="s">
        <v>1569</v>
      </c>
      <c r="H9156" s="396" t="s">
        <v>1149</v>
      </c>
      <c r="I9156" s="470">
        <v>13300</v>
      </c>
      <c r="J9156" s="427">
        <v>1626.5089399999999</v>
      </c>
      <c r="K9156" s="427">
        <v>1624.12556</v>
      </c>
      <c r="L9156" s="427">
        <f t="shared" si="126"/>
        <v>2.3833799999999883</v>
      </c>
      <c r="M9156" s="337"/>
    </row>
    <row r="9157" spans="1:13" s="71" customFormat="1" ht="26.4" customHeight="1">
      <c r="A9157" s="282">
        <v>391</v>
      </c>
      <c r="B9157" s="534"/>
      <c r="C9157" s="375" t="s">
        <v>8325</v>
      </c>
      <c r="D9157" s="444" t="s">
        <v>12228</v>
      </c>
      <c r="E9157" s="444" t="s">
        <v>12229</v>
      </c>
      <c r="F9157" s="387">
        <v>91090</v>
      </c>
      <c r="G9157" s="373" t="s">
        <v>1569</v>
      </c>
      <c r="H9157" s="396" t="s">
        <v>1149</v>
      </c>
      <c r="I9157" s="470">
        <v>4640</v>
      </c>
      <c r="J9157" s="427">
        <v>625.35285999999996</v>
      </c>
      <c r="K9157" s="427">
        <v>623.04978000000006</v>
      </c>
      <c r="L9157" s="427">
        <f t="shared" si="126"/>
        <v>2.303079999999909</v>
      </c>
      <c r="M9157" s="337"/>
    </row>
    <row r="9158" spans="1:13" s="71" customFormat="1" ht="26.4" customHeight="1">
      <c r="A9158" s="282">
        <v>392</v>
      </c>
      <c r="B9158" s="534"/>
      <c r="C9158" s="236" t="s">
        <v>8325</v>
      </c>
      <c r="D9158" s="260" t="s">
        <v>12230</v>
      </c>
      <c r="E9158" s="260" t="s">
        <v>12231</v>
      </c>
      <c r="F9158" s="387">
        <v>91091</v>
      </c>
      <c r="G9158" s="373" t="s">
        <v>1569</v>
      </c>
      <c r="H9158" s="396" t="s">
        <v>1149</v>
      </c>
      <c r="I9158" s="470">
        <v>1800</v>
      </c>
      <c r="J9158" s="427">
        <v>24.868400000000001</v>
      </c>
      <c r="K9158" s="427">
        <v>15.13</v>
      </c>
      <c r="L9158" s="427">
        <f t="shared" si="126"/>
        <v>9.7384000000000004</v>
      </c>
      <c r="M9158" s="337"/>
    </row>
    <row r="9159" spans="1:13" s="71" customFormat="1" ht="26.4" customHeight="1">
      <c r="A9159" s="282">
        <v>393</v>
      </c>
      <c r="B9159" s="534"/>
      <c r="C9159" s="236" t="s">
        <v>8325</v>
      </c>
      <c r="D9159" s="260" t="s">
        <v>12213</v>
      </c>
      <c r="E9159" s="260" t="s">
        <v>12232</v>
      </c>
      <c r="F9159" s="387">
        <v>91092</v>
      </c>
      <c r="G9159" s="373" t="s">
        <v>1569</v>
      </c>
      <c r="H9159" s="396" t="s">
        <v>1149</v>
      </c>
      <c r="I9159" s="470">
        <v>616</v>
      </c>
      <c r="J9159" s="427">
        <v>14.905799999999999</v>
      </c>
      <c r="K9159" s="427">
        <v>14.90574</v>
      </c>
      <c r="L9159" s="427">
        <f t="shared" si="126"/>
        <v>5.9999999999504894E-5</v>
      </c>
      <c r="M9159" s="337"/>
    </row>
    <row r="9160" spans="1:13" s="71" customFormat="1" ht="26.4" customHeight="1">
      <c r="A9160" s="282">
        <v>394</v>
      </c>
      <c r="B9160" s="534"/>
      <c r="C9160" s="236" t="s">
        <v>8325</v>
      </c>
      <c r="D9160" s="260" t="s">
        <v>12233</v>
      </c>
      <c r="E9160" s="260" t="s">
        <v>12234</v>
      </c>
      <c r="F9160" s="387">
        <v>91093</v>
      </c>
      <c r="G9160" s="373" t="s">
        <v>1569</v>
      </c>
      <c r="H9160" s="396" t="s">
        <v>1149</v>
      </c>
      <c r="I9160" s="470">
        <v>104</v>
      </c>
      <c r="J9160" s="427">
        <v>2.34</v>
      </c>
      <c r="K9160" s="427">
        <v>2.3399000000000001</v>
      </c>
      <c r="L9160" s="427">
        <f t="shared" si="126"/>
        <v>9.9999999999766942E-5</v>
      </c>
      <c r="M9160" s="337"/>
    </row>
    <row r="9161" spans="1:13" s="71" customFormat="1" ht="26.4" customHeight="1">
      <c r="A9161" s="282">
        <v>395</v>
      </c>
      <c r="B9161" s="534"/>
      <c r="C9161" s="236" t="s">
        <v>8325</v>
      </c>
      <c r="D9161" s="260" t="s">
        <v>12235</v>
      </c>
      <c r="E9161" s="260" t="s">
        <v>12236</v>
      </c>
      <c r="F9161" s="387">
        <v>91094</v>
      </c>
      <c r="G9161" s="373" t="s">
        <v>1569</v>
      </c>
      <c r="H9161" s="396" t="s">
        <v>1149</v>
      </c>
      <c r="I9161" s="470">
        <v>80</v>
      </c>
      <c r="J9161" s="427">
        <v>2.1320000000000001</v>
      </c>
      <c r="K9161" s="427">
        <v>2.1317499999999998</v>
      </c>
      <c r="L9161" s="427">
        <f t="shared" si="126"/>
        <v>2.5000000000030553E-4</v>
      </c>
      <c r="M9161" s="337"/>
    </row>
    <row r="9162" spans="1:13" s="71" customFormat="1" ht="26.4" customHeight="1">
      <c r="A9162" s="282">
        <v>396</v>
      </c>
      <c r="B9162" s="534"/>
      <c r="C9162" s="236" t="s">
        <v>8325</v>
      </c>
      <c r="D9162" s="260" t="s">
        <v>12237</v>
      </c>
      <c r="E9162" s="260" t="s">
        <v>12238</v>
      </c>
      <c r="F9162" s="387">
        <v>91095</v>
      </c>
      <c r="G9162" s="373" t="s">
        <v>1569</v>
      </c>
      <c r="H9162" s="396" t="s">
        <v>1149</v>
      </c>
      <c r="I9162" s="470">
        <v>495</v>
      </c>
      <c r="J9162" s="427">
        <v>10.725199999999999</v>
      </c>
      <c r="K9162" s="427">
        <v>10.72514</v>
      </c>
      <c r="L9162" s="427">
        <f t="shared" si="126"/>
        <v>5.9999999999504894E-5</v>
      </c>
      <c r="M9162" s="337"/>
    </row>
    <row r="9163" spans="1:13" s="71" customFormat="1" ht="26.4" customHeight="1">
      <c r="A9163" s="282">
        <v>397</v>
      </c>
      <c r="B9163" s="534"/>
      <c r="C9163" s="236" t="s">
        <v>8325</v>
      </c>
      <c r="D9163" s="260" t="s">
        <v>12239</v>
      </c>
      <c r="E9163" s="260" t="s">
        <v>12240</v>
      </c>
      <c r="F9163" s="387">
        <v>91096</v>
      </c>
      <c r="G9163" s="373" t="s">
        <v>1569</v>
      </c>
      <c r="H9163" s="396" t="s">
        <v>1149</v>
      </c>
      <c r="I9163" s="470">
        <v>936</v>
      </c>
      <c r="J9163" s="427">
        <v>62.321440000000003</v>
      </c>
      <c r="K9163" s="427">
        <v>60.230319999999999</v>
      </c>
      <c r="L9163" s="427">
        <f t="shared" si="126"/>
        <v>2.0911200000000036</v>
      </c>
      <c r="M9163" s="337"/>
    </row>
    <row r="9164" spans="1:13" s="71" customFormat="1" ht="26.4" customHeight="1">
      <c r="A9164" s="282">
        <v>398</v>
      </c>
      <c r="B9164" s="534"/>
      <c r="C9164" s="236" t="s">
        <v>8325</v>
      </c>
      <c r="D9164" s="260" t="s">
        <v>12168</v>
      </c>
      <c r="E9164" s="260" t="s">
        <v>12241</v>
      </c>
      <c r="F9164" s="387">
        <v>91097</v>
      </c>
      <c r="G9164" s="373" t="s">
        <v>1569</v>
      </c>
      <c r="H9164" s="396" t="s">
        <v>1149</v>
      </c>
      <c r="I9164" s="470">
        <v>155</v>
      </c>
      <c r="J9164" s="427">
        <v>3.3380000000000001</v>
      </c>
      <c r="K9164" s="427">
        <v>3.33792</v>
      </c>
      <c r="L9164" s="427">
        <f t="shared" si="126"/>
        <v>8.0000000000080007E-5</v>
      </c>
      <c r="M9164" s="337"/>
    </row>
    <row r="9165" spans="1:13" s="71" customFormat="1" ht="26.4" customHeight="1">
      <c r="A9165" s="282">
        <v>399</v>
      </c>
      <c r="B9165" s="534"/>
      <c r="C9165" s="236" t="s">
        <v>8325</v>
      </c>
      <c r="D9165" s="260" t="s">
        <v>12242</v>
      </c>
      <c r="E9165" s="260" t="s">
        <v>12243</v>
      </c>
      <c r="F9165" s="387">
        <v>91098</v>
      </c>
      <c r="G9165" s="373" t="s">
        <v>1569</v>
      </c>
      <c r="H9165" s="396" t="s">
        <v>1149</v>
      </c>
      <c r="I9165" s="470">
        <v>889</v>
      </c>
      <c r="J9165" s="427">
        <v>40.737720000000003</v>
      </c>
      <c r="K9165" s="427">
        <v>39.712159999999997</v>
      </c>
      <c r="L9165" s="427">
        <f t="shared" si="126"/>
        <v>1.0255600000000058</v>
      </c>
      <c r="M9165" s="337"/>
    </row>
    <row r="9166" spans="1:13" s="71" customFormat="1" ht="26.4" customHeight="1">
      <c r="A9166" s="282">
        <v>400</v>
      </c>
      <c r="B9166" s="534"/>
      <c r="C9166" s="236" t="s">
        <v>8325</v>
      </c>
      <c r="D9166" s="260" t="s">
        <v>12244</v>
      </c>
      <c r="E9166" s="260" t="s">
        <v>12245</v>
      </c>
      <c r="F9166" s="387">
        <v>91099</v>
      </c>
      <c r="G9166" s="373" t="s">
        <v>1569</v>
      </c>
      <c r="H9166" s="396" t="s">
        <v>1149</v>
      </c>
      <c r="I9166" s="470">
        <v>362</v>
      </c>
      <c r="J9166" s="427">
        <v>8.3657000000000004</v>
      </c>
      <c r="K9166" s="427">
        <v>8.3656500000000005</v>
      </c>
      <c r="L9166" s="427">
        <f t="shared" si="126"/>
        <v>4.9999999999883471E-5</v>
      </c>
      <c r="M9166" s="337"/>
    </row>
    <row r="9167" spans="1:13" s="71" customFormat="1" ht="26.4" customHeight="1">
      <c r="A9167" s="282">
        <v>401</v>
      </c>
      <c r="B9167" s="534"/>
      <c r="C9167" s="236" t="s">
        <v>8325</v>
      </c>
      <c r="D9167" s="260" t="s">
        <v>12246</v>
      </c>
      <c r="E9167" s="260" t="s">
        <v>12247</v>
      </c>
      <c r="F9167" s="387">
        <v>91100</v>
      </c>
      <c r="G9167" s="373" t="s">
        <v>1569</v>
      </c>
      <c r="H9167" s="396" t="s">
        <v>1149</v>
      </c>
      <c r="I9167" s="470">
        <v>80</v>
      </c>
      <c r="J9167" s="427">
        <v>0.46500000000000002</v>
      </c>
      <c r="K9167" s="427">
        <v>0.46479999999999999</v>
      </c>
      <c r="L9167" s="427">
        <f t="shared" si="126"/>
        <v>2.0000000000003348E-4</v>
      </c>
      <c r="M9167" s="337"/>
    </row>
    <row r="9168" spans="1:13" s="71" customFormat="1" ht="26.4" customHeight="1">
      <c r="A9168" s="282">
        <v>402</v>
      </c>
      <c r="B9168" s="534"/>
      <c r="C9168" s="236" t="s">
        <v>8325</v>
      </c>
      <c r="D9168" s="260" t="s">
        <v>12248</v>
      </c>
      <c r="E9168" s="260" t="s">
        <v>12249</v>
      </c>
      <c r="F9168" s="387">
        <v>91101</v>
      </c>
      <c r="G9168" s="373" t="s">
        <v>1569</v>
      </c>
      <c r="H9168" s="396" t="s">
        <v>1149</v>
      </c>
      <c r="I9168" s="470">
        <v>3010</v>
      </c>
      <c r="J9168" s="427">
        <v>24.750450000000001</v>
      </c>
      <c r="K9168" s="427">
        <v>16.734480000000001</v>
      </c>
      <c r="L9168" s="427">
        <f t="shared" si="126"/>
        <v>8.0159699999999994</v>
      </c>
      <c r="M9168" s="337"/>
    </row>
    <row r="9169" spans="1:13" s="71" customFormat="1" ht="26.4" customHeight="1">
      <c r="A9169" s="282">
        <v>403</v>
      </c>
      <c r="B9169" s="534"/>
      <c r="C9169" s="236" t="s">
        <v>8325</v>
      </c>
      <c r="D9169" s="260" t="s">
        <v>12250</v>
      </c>
      <c r="E9169" s="260" t="s">
        <v>12093</v>
      </c>
      <c r="F9169" s="387">
        <v>91102</v>
      </c>
      <c r="G9169" s="373" t="s">
        <v>1569</v>
      </c>
      <c r="H9169" s="396" t="s">
        <v>1149</v>
      </c>
      <c r="I9169" s="470">
        <v>1200</v>
      </c>
      <c r="J9169" s="427">
        <v>35.145890000000001</v>
      </c>
      <c r="K9169" s="427">
        <v>33.561999999999998</v>
      </c>
      <c r="L9169" s="427">
        <f t="shared" si="126"/>
        <v>1.5838900000000038</v>
      </c>
      <c r="M9169" s="337"/>
    </row>
    <row r="9170" spans="1:13" s="71" customFormat="1" ht="26.4" customHeight="1">
      <c r="A9170" s="282">
        <v>404</v>
      </c>
      <c r="B9170" s="534"/>
      <c r="C9170" s="236" t="s">
        <v>8325</v>
      </c>
      <c r="D9170" s="260" t="s">
        <v>12251</v>
      </c>
      <c r="E9170" s="260" t="s">
        <v>12252</v>
      </c>
      <c r="F9170" s="387">
        <v>91103</v>
      </c>
      <c r="G9170" s="373" t="s">
        <v>1569</v>
      </c>
      <c r="H9170" s="396" t="s">
        <v>1149</v>
      </c>
      <c r="I9170" s="470">
        <v>1000</v>
      </c>
      <c r="J9170" s="427">
        <v>10.9793</v>
      </c>
      <c r="K9170" s="427">
        <v>7.7249999999999996</v>
      </c>
      <c r="L9170" s="427">
        <f t="shared" si="126"/>
        <v>3.2543000000000006</v>
      </c>
      <c r="M9170" s="337"/>
    </row>
    <row r="9171" spans="1:13" s="71" customFormat="1" ht="26.4" customHeight="1">
      <c r="A9171" s="282">
        <v>405</v>
      </c>
      <c r="B9171" s="534"/>
      <c r="C9171" s="236" t="s">
        <v>8325</v>
      </c>
      <c r="D9171" s="260" t="s">
        <v>12253</v>
      </c>
      <c r="E9171" s="260" t="s">
        <v>12254</v>
      </c>
      <c r="F9171" s="387">
        <v>91104</v>
      </c>
      <c r="G9171" s="373" t="s">
        <v>1569</v>
      </c>
      <c r="H9171" s="396" t="s">
        <v>1149</v>
      </c>
      <c r="I9171" s="470">
        <v>370</v>
      </c>
      <c r="J9171" s="427">
        <v>10.92586</v>
      </c>
      <c r="K9171" s="427">
        <v>8.7149999999999999</v>
      </c>
      <c r="L9171" s="427">
        <f t="shared" si="126"/>
        <v>2.2108600000000003</v>
      </c>
      <c r="M9171" s="337"/>
    </row>
    <row r="9172" spans="1:13" s="71" customFormat="1" ht="26.4" customHeight="1">
      <c r="A9172" s="282">
        <v>406</v>
      </c>
      <c r="B9172" s="534"/>
      <c r="C9172" s="236" t="s">
        <v>8325</v>
      </c>
      <c r="D9172" s="260" t="s">
        <v>12248</v>
      </c>
      <c r="E9172" s="260" t="s">
        <v>12255</v>
      </c>
      <c r="F9172" s="387">
        <v>91105</v>
      </c>
      <c r="G9172" s="373" t="s">
        <v>1569</v>
      </c>
      <c r="H9172" s="396" t="s">
        <v>1149</v>
      </c>
      <c r="I9172" s="470">
        <v>222</v>
      </c>
      <c r="J9172" s="427">
        <v>28.12865</v>
      </c>
      <c r="K9172" s="427">
        <v>21.815000000000001</v>
      </c>
      <c r="L9172" s="427">
        <f t="shared" si="126"/>
        <v>6.3136499999999991</v>
      </c>
      <c r="M9172" s="337"/>
    </row>
    <row r="9173" spans="1:13" s="71" customFormat="1" ht="26.4" customHeight="1">
      <c r="A9173" s="282">
        <v>407</v>
      </c>
      <c r="B9173" s="534"/>
      <c r="C9173" s="236" t="s">
        <v>8325</v>
      </c>
      <c r="D9173" s="260" t="s">
        <v>12256</v>
      </c>
      <c r="E9173" s="260" t="s">
        <v>12257</v>
      </c>
      <c r="F9173" s="387">
        <v>91130</v>
      </c>
      <c r="G9173" s="373" t="s">
        <v>1569</v>
      </c>
      <c r="H9173" s="396" t="s">
        <v>5462</v>
      </c>
      <c r="I9173" s="470">
        <v>3800</v>
      </c>
      <c r="J9173" s="427">
        <v>34.539679999999997</v>
      </c>
      <c r="K9173" s="427">
        <v>32.380200000000002</v>
      </c>
      <c r="L9173" s="427">
        <f t="shared" si="126"/>
        <v>2.159479999999995</v>
      </c>
      <c r="M9173" s="337"/>
    </row>
    <row r="9174" spans="1:13" s="71" customFormat="1" ht="26.4" customHeight="1">
      <c r="A9174" s="282">
        <v>408</v>
      </c>
      <c r="B9174" s="534"/>
      <c r="C9174" s="236" t="s">
        <v>8325</v>
      </c>
      <c r="D9174" s="260" t="s">
        <v>12256</v>
      </c>
      <c r="E9174" s="260" t="s">
        <v>12258</v>
      </c>
      <c r="F9174" s="387">
        <v>91131</v>
      </c>
      <c r="G9174" s="373" t="s">
        <v>1569</v>
      </c>
      <c r="H9174" s="396" t="s">
        <v>3243</v>
      </c>
      <c r="I9174" s="470" t="s">
        <v>3285</v>
      </c>
      <c r="J9174" s="427">
        <v>98.261650000000003</v>
      </c>
      <c r="K9174" s="427">
        <v>95.283259999999999</v>
      </c>
      <c r="L9174" s="427">
        <f t="shared" si="126"/>
        <v>2.9783900000000045</v>
      </c>
      <c r="M9174" s="337"/>
    </row>
    <row r="9175" spans="1:13" s="71" customFormat="1" ht="26.4" customHeight="1">
      <c r="A9175" s="282">
        <v>409</v>
      </c>
      <c r="B9175" s="534"/>
      <c r="C9175" s="236" t="s">
        <v>8325</v>
      </c>
      <c r="D9175" s="260" t="s">
        <v>12256</v>
      </c>
      <c r="E9175" s="260" t="s">
        <v>12259</v>
      </c>
      <c r="F9175" s="387">
        <v>91132</v>
      </c>
      <c r="G9175" s="373" t="s">
        <v>1569</v>
      </c>
      <c r="H9175" s="396" t="s">
        <v>3243</v>
      </c>
      <c r="I9175" s="470" t="s">
        <v>3285</v>
      </c>
      <c r="J9175" s="427">
        <v>18.012499999999999</v>
      </c>
      <c r="K9175" s="427">
        <v>17.339739999999999</v>
      </c>
      <c r="L9175" s="427">
        <f t="shared" si="126"/>
        <v>0.67276000000000025</v>
      </c>
      <c r="M9175" s="337"/>
    </row>
    <row r="9176" spans="1:13" s="71" customFormat="1" ht="26.4" customHeight="1">
      <c r="A9176" s="282">
        <v>410</v>
      </c>
      <c r="B9176" s="534"/>
      <c r="C9176" s="236" t="s">
        <v>8325</v>
      </c>
      <c r="D9176" s="260" t="s">
        <v>12256</v>
      </c>
      <c r="E9176" s="260" t="s">
        <v>12260</v>
      </c>
      <c r="F9176" s="387">
        <v>91133</v>
      </c>
      <c r="G9176" s="373" t="s">
        <v>1569</v>
      </c>
      <c r="H9176" s="396" t="s">
        <v>5462</v>
      </c>
      <c r="I9176" s="470">
        <v>385</v>
      </c>
      <c r="J9176" s="427">
        <v>15.81124</v>
      </c>
      <c r="K9176" s="427">
        <v>14.57288</v>
      </c>
      <c r="L9176" s="427">
        <f t="shared" si="126"/>
        <v>1.2383600000000001</v>
      </c>
      <c r="M9176" s="337"/>
    </row>
    <row r="9177" spans="1:13" s="71" customFormat="1" ht="26.4" customHeight="1">
      <c r="A9177" s="282">
        <v>411</v>
      </c>
      <c r="B9177" s="534"/>
      <c r="C9177" s="236" t="s">
        <v>8325</v>
      </c>
      <c r="D9177" s="260" t="s">
        <v>12256</v>
      </c>
      <c r="E9177" s="260" t="s">
        <v>12261</v>
      </c>
      <c r="F9177" s="387">
        <v>91134</v>
      </c>
      <c r="G9177" s="373" t="s">
        <v>1569</v>
      </c>
      <c r="H9177" s="396" t="s">
        <v>5462</v>
      </c>
      <c r="I9177" s="470">
        <v>325</v>
      </c>
      <c r="J9177" s="427">
        <v>4.4152800000000001</v>
      </c>
      <c r="K9177" s="427">
        <v>3.7963200000000001</v>
      </c>
      <c r="L9177" s="427">
        <f t="shared" si="126"/>
        <v>0.61895999999999995</v>
      </c>
      <c r="M9177" s="337"/>
    </row>
    <row r="9178" spans="1:13" s="71" customFormat="1" ht="26.4" customHeight="1">
      <c r="A9178" s="282">
        <v>412</v>
      </c>
      <c r="B9178" s="534"/>
      <c r="C9178" s="236" t="s">
        <v>8325</v>
      </c>
      <c r="D9178" s="260" t="s">
        <v>12256</v>
      </c>
      <c r="E9178" s="260" t="s">
        <v>12262</v>
      </c>
      <c r="F9178" s="387">
        <v>91135</v>
      </c>
      <c r="G9178" s="373" t="s">
        <v>1569</v>
      </c>
      <c r="H9178" s="396" t="s">
        <v>5462</v>
      </c>
      <c r="I9178" s="470">
        <v>250</v>
      </c>
      <c r="J9178" s="427">
        <v>2.13632</v>
      </c>
      <c r="K9178" s="427">
        <v>1.9815199999999999</v>
      </c>
      <c r="L9178" s="427">
        <f t="shared" si="126"/>
        <v>0.15480000000000005</v>
      </c>
      <c r="M9178" s="337"/>
    </row>
    <row r="9179" spans="1:13" s="71" customFormat="1" ht="26.4" customHeight="1">
      <c r="A9179" s="282">
        <v>413</v>
      </c>
      <c r="B9179" s="534"/>
      <c r="C9179" s="236" t="s">
        <v>8325</v>
      </c>
      <c r="D9179" s="260" t="s">
        <v>12256</v>
      </c>
      <c r="E9179" s="260" t="s">
        <v>12263</v>
      </c>
      <c r="F9179" s="387">
        <v>91136</v>
      </c>
      <c r="G9179" s="373" t="s">
        <v>1569</v>
      </c>
      <c r="H9179" s="396" t="s">
        <v>5462</v>
      </c>
      <c r="I9179" s="470">
        <v>328</v>
      </c>
      <c r="J9179" s="427">
        <v>3.9870000000000001</v>
      </c>
      <c r="K9179" s="427">
        <v>3.6107999999999998</v>
      </c>
      <c r="L9179" s="427">
        <f t="shared" si="126"/>
        <v>0.37620000000000031</v>
      </c>
      <c r="M9179" s="337"/>
    </row>
    <row r="9180" spans="1:13" s="71" customFormat="1" ht="26.4" customHeight="1">
      <c r="A9180" s="282">
        <v>414</v>
      </c>
      <c r="B9180" s="534"/>
      <c r="C9180" s="236" t="s">
        <v>8325</v>
      </c>
      <c r="D9180" s="260" t="s">
        <v>12256</v>
      </c>
      <c r="E9180" s="260" t="s">
        <v>12264</v>
      </c>
      <c r="F9180" s="387">
        <v>91137</v>
      </c>
      <c r="G9180" s="373" t="s">
        <v>1569</v>
      </c>
      <c r="H9180" s="396" t="s">
        <v>5462</v>
      </c>
      <c r="I9180" s="470">
        <v>585</v>
      </c>
      <c r="J9180" s="427">
        <v>12.9963</v>
      </c>
      <c r="K9180" s="427">
        <v>10.715960000000001</v>
      </c>
      <c r="L9180" s="427">
        <f t="shared" si="126"/>
        <v>2.2803399999999989</v>
      </c>
      <c r="M9180" s="337"/>
    </row>
    <row r="9181" spans="1:13" s="71" customFormat="1" ht="39.6">
      <c r="A9181" s="282">
        <v>415</v>
      </c>
      <c r="B9181" s="534"/>
      <c r="C9181" s="236" t="s">
        <v>8325</v>
      </c>
      <c r="D9181" s="260" t="s">
        <v>12226</v>
      </c>
      <c r="E9181" s="260" t="s">
        <v>12265</v>
      </c>
      <c r="F9181" s="387">
        <v>91139</v>
      </c>
      <c r="G9181" s="373" t="s">
        <v>1569</v>
      </c>
      <c r="H9181" s="396" t="s">
        <v>5462</v>
      </c>
      <c r="I9181" s="470">
        <v>2840</v>
      </c>
      <c r="J9181" s="427">
        <v>83.513670000000005</v>
      </c>
      <c r="K9181" s="427">
        <v>73.933719999999994</v>
      </c>
      <c r="L9181" s="427">
        <f t="shared" si="126"/>
        <v>9.5799500000000108</v>
      </c>
      <c r="M9181" s="337"/>
    </row>
    <row r="9182" spans="1:13" s="71" customFormat="1" ht="26.4" customHeight="1">
      <c r="A9182" s="282">
        <v>416</v>
      </c>
      <c r="B9182" s="534"/>
      <c r="C9182" s="236" t="s">
        <v>8325</v>
      </c>
      <c r="D9182" s="260" t="s">
        <v>12256</v>
      </c>
      <c r="E9182" s="260" t="s">
        <v>12266</v>
      </c>
      <c r="F9182" s="387">
        <v>91140</v>
      </c>
      <c r="G9182" s="373" t="s">
        <v>1569</v>
      </c>
      <c r="H9182" s="396" t="s">
        <v>5462</v>
      </c>
      <c r="I9182" s="470">
        <v>50</v>
      </c>
      <c r="J9182" s="427">
        <v>13.083600000000001</v>
      </c>
      <c r="K9182" s="427">
        <v>9.7019000000000002</v>
      </c>
      <c r="L9182" s="427">
        <f t="shared" si="126"/>
        <v>3.3817000000000004</v>
      </c>
      <c r="M9182" s="337"/>
    </row>
    <row r="9183" spans="1:13" s="71" customFormat="1" ht="26.4" customHeight="1">
      <c r="A9183" s="282">
        <v>417</v>
      </c>
      <c r="B9183" s="534"/>
      <c r="C9183" s="236" t="s">
        <v>8325</v>
      </c>
      <c r="D9183" s="260" t="s">
        <v>12256</v>
      </c>
      <c r="E9183" s="260" t="s">
        <v>12267</v>
      </c>
      <c r="F9183" s="387">
        <v>91141</v>
      </c>
      <c r="G9183" s="373" t="s">
        <v>1569</v>
      </c>
      <c r="H9183" s="396" t="s">
        <v>3243</v>
      </c>
      <c r="I9183" s="470" t="s">
        <v>3285</v>
      </c>
      <c r="J9183" s="427">
        <v>21.751300000000001</v>
      </c>
      <c r="K9183" s="427">
        <v>21.751300000000001</v>
      </c>
      <c r="L9183" s="427">
        <f t="shared" si="126"/>
        <v>0</v>
      </c>
      <c r="M9183" s="337"/>
    </row>
    <row r="9184" spans="1:13" s="71" customFormat="1" ht="26.4" customHeight="1">
      <c r="A9184" s="282">
        <v>418</v>
      </c>
      <c r="B9184" s="534"/>
      <c r="C9184" s="236" t="s">
        <v>8325</v>
      </c>
      <c r="D9184" s="260" t="s">
        <v>12256</v>
      </c>
      <c r="E9184" s="260" t="s">
        <v>12268</v>
      </c>
      <c r="F9184" s="387">
        <v>91142</v>
      </c>
      <c r="G9184" s="373" t="s">
        <v>1569</v>
      </c>
      <c r="H9184" s="396" t="s">
        <v>3243</v>
      </c>
      <c r="I9184" s="470" t="s">
        <v>3285</v>
      </c>
      <c r="J9184" s="427">
        <v>13.44384</v>
      </c>
      <c r="K9184" s="427">
        <v>11.279019999999999</v>
      </c>
      <c r="L9184" s="427">
        <f t="shared" si="126"/>
        <v>2.1648200000000006</v>
      </c>
      <c r="M9184" s="337"/>
    </row>
    <row r="9185" spans="1:13" s="71" customFormat="1" ht="26.4" customHeight="1">
      <c r="A9185" s="282">
        <v>419</v>
      </c>
      <c r="B9185" s="534"/>
      <c r="C9185" s="236" t="s">
        <v>8325</v>
      </c>
      <c r="D9185" s="260" t="s">
        <v>12256</v>
      </c>
      <c r="E9185" s="260" t="s">
        <v>12269</v>
      </c>
      <c r="F9185" s="387">
        <v>91143</v>
      </c>
      <c r="G9185" s="373" t="s">
        <v>1569</v>
      </c>
      <c r="H9185" s="396" t="s">
        <v>3243</v>
      </c>
      <c r="I9185" s="470" t="s">
        <v>3285</v>
      </c>
      <c r="J9185" s="427">
        <v>15.36084</v>
      </c>
      <c r="K9185" s="427">
        <v>15.36084</v>
      </c>
      <c r="L9185" s="427">
        <f t="shared" si="126"/>
        <v>0</v>
      </c>
      <c r="M9185" s="337"/>
    </row>
    <row r="9186" spans="1:13" s="71" customFormat="1" ht="26.4" customHeight="1">
      <c r="A9186" s="282">
        <v>420</v>
      </c>
      <c r="B9186" s="534"/>
      <c r="C9186" s="236" t="s">
        <v>8325</v>
      </c>
      <c r="D9186" s="260" t="s">
        <v>12256</v>
      </c>
      <c r="E9186" s="260" t="s">
        <v>12270</v>
      </c>
      <c r="F9186" s="387">
        <v>91144</v>
      </c>
      <c r="G9186" s="373" t="s">
        <v>1569</v>
      </c>
      <c r="H9186" s="396" t="s">
        <v>3243</v>
      </c>
      <c r="I9186" s="470" t="s">
        <v>3285</v>
      </c>
      <c r="J9186" s="427">
        <v>106.61060000000001</v>
      </c>
      <c r="K9186" s="427">
        <v>106.61060000000001</v>
      </c>
      <c r="L9186" s="427">
        <f t="shared" si="126"/>
        <v>0</v>
      </c>
      <c r="M9186" s="337"/>
    </row>
    <row r="9187" spans="1:13" s="71" customFormat="1" ht="26.4" customHeight="1">
      <c r="A9187" s="282">
        <v>421</v>
      </c>
      <c r="B9187" s="534"/>
      <c r="C9187" s="236" t="s">
        <v>8325</v>
      </c>
      <c r="D9187" s="260" t="s">
        <v>12256</v>
      </c>
      <c r="E9187" s="260" t="s">
        <v>5516</v>
      </c>
      <c r="F9187" s="387">
        <v>91145</v>
      </c>
      <c r="G9187" s="373" t="s">
        <v>1569</v>
      </c>
      <c r="H9187" s="396" t="s">
        <v>3243</v>
      </c>
      <c r="I9187" s="470" t="s">
        <v>3285</v>
      </c>
      <c r="J9187" s="427">
        <v>0.63480000000000003</v>
      </c>
      <c r="K9187" s="427">
        <v>0.63480000000000003</v>
      </c>
      <c r="L9187" s="427">
        <f t="shared" si="126"/>
        <v>0</v>
      </c>
      <c r="M9187" s="337"/>
    </row>
    <row r="9188" spans="1:13" s="71" customFormat="1" ht="26.4" customHeight="1">
      <c r="A9188" s="282">
        <v>422</v>
      </c>
      <c r="B9188" s="534"/>
      <c r="C9188" s="236" t="s">
        <v>8325</v>
      </c>
      <c r="D9188" s="260" t="s">
        <v>12256</v>
      </c>
      <c r="E9188" s="260" t="s">
        <v>12271</v>
      </c>
      <c r="F9188" s="387">
        <v>91154</v>
      </c>
      <c r="G9188" s="373" t="s">
        <v>1569</v>
      </c>
      <c r="H9188" s="396" t="s">
        <v>3243</v>
      </c>
      <c r="I9188" s="470" t="s">
        <v>3285</v>
      </c>
      <c r="J9188" s="427">
        <v>31.292000000000002</v>
      </c>
      <c r="K9188" s="427">
        <v>31.292000000000002</v>
      </c>
      <c r="L9188" s="427">
        <f t="shared" si="126"/>
        <v>0</v>
      </c>
      <c r="M9188" s="337"/>
    </row>
    <row r="9189" spans="1:13" s="71" customFormat="1" ht="26.4" customHeight="1">
      <c r="A9189" s="282">
        <v>423</v>
      </c>
      <c r="B9189" s="534"/>
      <c r="C9189" s="236" t="s">
        <v>8325</v>
      </c>
      <c r="D9189" s="260" t="s">
        <v>12256</v>
      </c>
      <c r="E9189" s="260" t="s">
        <v>12272</v>
      </c>
      <c r="F9189" s="387">
        <v>91155</v>
      </c>
      <c r="G9189" s="373" t="s">
        <v>1569</v>
      </c>
      <c r="H9189" s="396" t="s">
        <v>3243</v>
      </c>
      <c r="I9189" s="470" t="s">
        <v>3285</v>
      </c>
      <c r="J9189" s="427">
        <v>2.5853000000000002</v>
      </c>
      <c r="K9189" s="427">
        <v>1.7768999999999999</v>
      </c>
      <c r="L9189" s="427">
        <f t="shared" si="126"/>
        <v>0.80840000000000023</v>
      </c>
      <c r="M9189" s="337"/>
    </row>
    <row r="9190" spans="1:13" s="71" customFormat="1" ht="26.4" customHeight="1">
      <c r="A9190" s="282">
        <v>424</v>
      </c>
      <c r="B9190" s="534"/>
      <c r="C9190" s="236" t="s">
        <v>8325</v>
      </c>
      <c r="D9190" s="260" t="s">
        <v>12256</v>
      </c>
      <c r="E9190" s="260" t="s">
        <v>12273</v>
      </c>
      <c r="F9190" s="387">
        <v>91156</v>
      </c>
      <c r="G9190" s="373" t="s">
        <v>1569</v>
      </c>
      <c r="H9190" s="396" t="s">
        <v>3243</v>
      </c>
      <c r="I9190" s="470" t="s">
        <v>3285</v>
      </c>
      <c r="J9190" s="427">
        <v>6.2332000000000001</v>
      </c>
      <c r="K9190" s="427">
        <v>5.8215000000000003</v>
      </c>
      <c r="L9190" s="427">
        <f t="shared" si="126"/>
        <v>0.41169999999999973</v>
      </c>
      <c r="M9190" s="337"/>
    </row>
    <row r="9191" spans="1:13" s="71" customFormat="1" ht="26.4" customHeight="1">
      <c r="A9191" s="282">
        <v>425</v>
      </c>
      <c r="B9191" s="534"/>
      <c r="C9191" s="236" t="s">
        <v>8325</v>
      </c>
      <c r="D9191" s="260" t="s">
        <v>12256</v>
      </c>
      <c r="E9191" s="260" t="s">
        <v>12274</v>
      </c>
      <c r="F9191" s="387">
        <v>91158</v>
      </c>
      <c r="G9191" s="373" t="s">
        <v>1569</v>
      </c>
      <c r="H9191" s="396" t="s">
        <v>3243</v>
      </c>
      <c r="I9191" s="470" t="s">
        <v>3285</v>
      </c>
      <c r="J9191" s="427">
        <v>36.857689999999998</v>
      </c>
      <c r="K9191" s="427">
        <v>36.645719999999997</v>
      </c>
      <c r="L9191" s="427">
        <f t="shared" si="126"/>
        <v>0.21197000000000088</v>
      </c>
      <c r="M9191" s="337"/>
    </row>
    <row r="9192" spans="1:13" s="71" customFormat="1" ht="26.4" customHeight="1">
      <c r="A9192" s="282">
        <v>426</v>
      </c>
      <c r="B9192" s="534"/>
      <c r="C9192" s="236" t="s">
        <v>8325</v>
      </c>
      <c r="D9192" s="260" t="s">
        <v>12256</v>
      </c>
      <c r="E9192" s="260" t="s">
        <v>12275</v>
      </c>
      <c r="F9192" s="387">
        <v>91160</v>
      </c>
      <c r="G9192" s="373" t="s">
        <v>1569</v>
      </c>
      <c r="H9192" s="396" t="s">
        <v>5462</v>
      </c>
      <c r="I9192" s="470">
        <v>210</v>
      </c>
      <c r="J9192" s="427">
        <v>34.469889999999999</v>
      </c>
      <c r="K9192" s="427">
        <v>32.020719999999997</v>
      </c>
      <c r="L9192" s="427">
        <f t="shared" si="126"/>
        <v>2.4491700000000023</v>
      </c>
      <c r="M9192" s="337"/>
    </row>
    <row r="9193" spans="1:13" s="71" customFormat="1" ht="26.4" customHeight="1">
      <c r="A9193" s="282">
        <v>427</v>
      </c>
      <c r="B9193" s="534"/>
      <c r="C9193" s="236" t="s">
        <v>8325</v>
      </c>
      <c r="D9193" s="260" t="s">
        <v>12256</v>
      </c>
      <c r="E9193" s="260" t="s">
        <v>12276</v>
      </c>
      <c r="F9193" s="387">
        <v>91167</v>
      </c>
      <c r="G9193" s="373" t="s">
        <v>1569</v>
      </c>
      <c r="H9193" s="396" t="s">
        <v>3243</v>
      </c>
      <c r="I9193" s="470" t="s">
        <v>3285</v>
      </c>
      <c r="J9193" s="427">
        <v>11.894909999999999</v>
      </c>
      <c r="K9193" s="427">
        <v>11.410030000000001</v>
      </c>
      <c r="L9193" s="427">
        <f t="shared" si="126"/>
        <v>0.48487999999999865</v>
      </c>
      <c r="M9193" s="337"/>
    </row>
    <row r="9194" spans="1:13" s="71" customFormat="1" ht="26.4" customHeight="1">
      <c r="A9194" s="282">
        <v>428</v>
      </c>
      <c r="B9194" s="534"/>
      <c r="C9194" s="236" t="s">
        <v>8325</v>
      </c>
      <c r="D9194" s="260" t="s">
        <v>12256</v>
      </c>
      <c r="E9194" s="260" t="s">
        <v>12277</v>
      </c>
      <c r="F9194" s="387">
        <v>91171</v>
      </c>
      <c r="G9194" s="373" t="s">
        <v>1569</v>
      </c>
      <c r="H9194" s="396" t="s">
        <v>3243</v>
      </c>
      <c r="I9194" s="470" t="s">
        <v>3285</v>
      </c>
      <c r="J9194" s="427">
        <v>33.108440000000002</v>
      </c>
      <c r="K9194" s="427">
        <v>29.679500000000001</v>
      </c>
      <c r="L9194" s="427">
        <f t="shared" si="126"/>
        <v>3.4289400000000008</v>
      </c>
      <c r="M9194" s="337"/>
    </row>
    <row r="9195" spans="1:13" s="71" customFormat="1" ht="26.4" customHeight="1">
      <c r="A9195" s="282">
        <v>429</v>
      </c>
      <c r="B9195" s="534"/>
      <c r="C9195" s="236" t="s">
        <v>8325</v>
      </c>
      <c r="D9195" s="260" t="s">
        <v>12256</v>
      </c>
      <c r="E9195" s="260" t="s">
        <v>12278</v>
      </c>
      <c r="F9195" s="387">
        <v>91173</v>
      </c>
      <c r="G9195" s="373" t="s">
        <v>1569</v>
      </c>
      <c r="H9195" s="396" t="s">
        <v>3243</v>
      </c>
      <c r="I9195" s="470" t="s">
        <v>3285</v>
      </c>
      <c r="J9195" s="427">
        <v>5.3072100000000004</v>
      </c>
      <c r="K9195" s="427">
        <v>5.2267999999999999</v>
      </c>
      <c r="L9195" s="427">
        <f t="shared" si="126"/>
        <v>8.0410000000000537E-2</v>
      </c>
      <c r="M9195" s="337"/>
    </row>
    <row r="9196" spans="1:13" s="71" customFormat="1" ht="26.4" customHeight="1">
      <c r="A9196" s="282">
        <v>430</v>
      </c>
      <c r="B9196" s="534"/>
      <c r="C9196" s="236" t="s">
        <v>8325</v>
      </c>
      <c r="D9196" s="260" t="s">
        <v>12256</v>
      </c>
      <c r="E9196" s="260" t="s">
        <v>12279</v>
      </c>
      <c r="F9196" s="387">
        <v>91174</v>
      </c>
      <c r="G9196" s="373" t="s">
        <v>1569</v>
      </c>
      <c r="H9196" s="396" t="s">
        <v>3243</v>
      </c>
      <c r="I9196" s="470" t="s">
        <v>3285</v>
      </c>
      <c r="J9196" s="427">
        <v>4.6364999999999998</v>
      </c>
      <c r="K9196" s="427">
        <v>4.3544999999999998</v>
      </c>
      <c r="L9196" s="427">
        <f t="shared" si="126"/>
        <v>0.28200000000000003</v>
      </c>
      <c r="M9196" s="337"/>
    </row>
    <row r="9197" spans="1:13" s="71" customFormat="1" ht="26.4" customHeight="1">
      <c r="A9197" s="282">
        <v>431</v>
      </c>
      <c r="B9197" s="534"/>
      <c r="C9197" s="236" t="s">
        <v>8325</v>
      </c>
      <c r="D9197" s="260" t="s">
        <v>12256</v>
      </c>
      <c r="E9197" s="260" t="s">
        <v>12280</v>
      </c>
      <c r="F9197" s="387">
        <v>91175</v>
      </c>
      <c r="G9197" s="373" t="s">
        <v>1569</v>
      </c>
      <c r="H9197" s="396" t="s">
        <v>3243</v>
      </c>
      <c r="I9197" s="470" t="s">
        <v>3285</v>
      </c>
      <c r="J9197" s="427">
        <v>153.20201</v>
      </c>
      <c r="K9197" s="427">
        <v>150.38534000000001</v>
      </c>
      <c r="L9197" s="427">
        <f t="shared" si="126"/>
        <v>2.8166699999999878</v>
      </c>
      <c r="M9197" s="337"/>
    </row>
    <row r="9198" spans="1:13" s="71" customFormat="1" ht="26.4" customHeight="1">
      <c r="A9198" s="282">
        <v>432</v>
      </c>
      <c r="B9198" s="534"/>
      <c r="C9198" s="236" t="s">
        <v>8325</v>
      </c>
      <c r="D9198" s="260" t="s">
        <v>12256</v>
      </c>
      <c r="E9198" s="260" t="s">
        <v>12281</v>
      </c>
      <c r="F9198" s="387">
        <v>91176</v>
      </c>
      <c r="G9198" s="373" t="s">
        <v>1569</v>
      </c>
      <c r="H9198" s="396" t="s">
        <v>3243</v>
      </c>
      <c r="I9198" s="470" t="s">
        <v>3285</v>
      </c>
      <c r="J9198" s="427">
        <v>52.857759999999999</v>
      </c>
      <c r="K9198" s="427">
        <v>52.6965</v>
      </c>
      <c r="L9198" s="427">
        <f t="shared" si="126"/>
        <v>0.16125999999999863</v>
      </c>
      <c r="M9198" s="337"/>
    </row>
    <row r="9199" spans="1:13" s="71" customFormat="1" ht="26.4" customHeight="1">
      <c r="A9199" s="282">
        <v>433</v>
      </c>
      <c r="B9199" s="534"/>
      <c r="C9199" s="236" t="s">
        <v>8325</v>
      </c>
      <c r="D9199" s="260" t="s">
        <v>12256</v>
      </c>
      <c r="E9199" s="260" t="s">
        <v>12282</v>
      </c>
      <c r="F9199" s="387">
        <v>91177</v>
      </c>
      <c r="G9199" s="373" t="s">
        <v>1569</v>
      </c>
      <c r="H9199" s="396" t="s">
        <v>3243</v>
      </c>
      <c r="I9199" s="470" t="s">
        <v>3285</v>
      </c>
      <c r="J9199" s="427">
        <v>135.82</v>
      </c>
      <c r="K9199" s="427">
        <v>135.82</v>
      </c>
      <c r="L9199" s="427">
        <f t="shared" si="126"/>
        <v>0</v>
      </c>
      <c r="M9199" s="337"/>
    </row>
    <row r="9200" spans="1:13" s="71" customFormat="1" ht="26.4" customHeight="1">
      <c r="A9200" s="282">
        <v>434</v>
      </c>
      <c r="B9200" s="534"/>
      <c r="C9200" s="236" t="s">
        <v>8325</v>
      </c>
      <c r="D9200" s="260" t="s">
        <v>12256</v>
      </c>
      <c r="E9200" s="260" t="s">
        <v>12283</v>
      </c>
      <c r="F9200" s="387">
        <v>91181</v>
      </c>
      <c r="G9200" s="373" t="s">
        <v>1569</v>
      </c>
      <c r="H9200" s="396" t="s">
        <v>3243</v>
      </c>
      <c r="I9200" s="470" t="s">
        <v>3285</v>
      </c>
      <c r="J9200" s="427">
        <v>19.285910000000001</v>
      </c>
      <c r="K9200" s="427">
        <v>18.7545</v>
      </c>
      <c r="L9200" s="427">
        <f t="shared" si="126"/>
        <v>0.53141000000000105</v>
      </c>
      <c r="M9200" s="337"/>
    </row>
    <row r="9201" spans="1:13" s="71" customFormat="1" ht="26.4" customHeight="1">
      <c r="A9201" s="282">
        <v>435</v>
      </c>
      <c r="B9201" s="534"/>
      <c r="C9201" s="236" t="s">
        <v>8325</v>
      </c>
      <c r="D9201" s="260" t="s">
        <v>12256</v>
      </c>
      <c r="E9201" s="260" t="s">
        <v>12284</v>
      </c>
      <c r="F9201" s="387">
        <v>91182</v>
      </c>
      <c r="G9201" s="373" t="s">
        <v>1569</v>
      </c>
      <c r="H9201" s="396" t="s">
        <v>3243</v>
      </c>
      <c r="I9201" s="470" t="s">
        <v>3285</v>
      </c>
      <c r="J9201" s="427">
        <v>112.14</v>
      </c>
      <c r="K9201" s="427">
        <v>112.14</v>
      </c>
      <c r="L9201" s="427">
        <f t="shared" si="126"/>
        <v>0</v>
      </c>
      <c r="M9201" s="337"/>
    </row>
    <row r="9202" spans="1:13" s="71" customFormat="1" ht="26.4" customHeight="1">
      <c r="A9202" s="282">
        <v>436</v>
      </c>
      <c r="B9202" s="534"/>
      <c r="C9202" s="236" t="s">
        <v>8325</v>
      </c>
      <c r="D9202" s="260" t="s">
        <v>12256</v>
      </c>
      <c r="E9202" s="260" t="s">
        <v>12285</v>
      </c>
      <c r="F9202" s="387">
        <v>91183</v>
      </c>
      <c r="G9202" s="373" t="s">
        <v>1569</v>
      </c>
      <c r="H9202" s="396" t="s">
        <v>3243</v>
      </c>
      <c r="I9202" s="470" t="s">
        <v>3285</v>
      </c>
      <c r="J9202" s="427">
        <v>13.33004</v>
      </c>
      <c r="K9202" s="427">
        <v>10.57052</v>
      </c>
      <c r="L9202" s="427">
        <f t="shared" si="126"/>
        <v>2.7595200000000002</v>
      </c>
      <c r="M9202" s="337"/>
    </row>
    <row r="9203" spans="1:13" s="71" customFormat="1" ht="26.4" customHeight="1">
      <c r="A9203" s="282">
        <v>437</v>
      </c>
      <c r="B9203" s="534"/>
      <c r="C9203" s="236" t="s">
        <v>8325</v>
      </c>
      <c r="D9203" s="260" t="s">
        <v>12256</v>
      </c>
      <c r="E9203" s="260" t="s">
        <v>12286</v>
      </c>
      <c r="F9203" s="387">
        <v>91184</v>
      </c>
      <c r="G9203" s="373" t="s">
        <v>1569</v>
      </c>
      <c r="H9203" s="396" t="s">
        <v>3243</v>
      </c>
      <c r="I9203" s="470" t="s">
        <v>3285</v>
      </c>
      <c r="J9203" s="427">
        <v>11.66107</v>
      </c>
      <c r="K9203" s="427">
        <v>10.886520000000001</v>
      </c>
      <c r="L9203" s="427">
        <f t="shared" si="126"/>
        <v>0.77454999999999963</v>
      </c>
      <c r="M9203" s="337"/>
    </row>
    <row r="9204" spans="1:13" s="71" customFormat="1" ht="26.4" customHeight="1">
      <c r="A9204" s="282">
        <v>438</v>
      </c>
      <c r="B9204" s="534"/>
      <c r="C9204" s="236" t="s">
        <v>8325</v>
      </c>
      <c r="D9204" s="260" t="s">
        <v>12256</v>
      </c>
      <c r="E9204" s="260" t="s">
        <v>12287</v>
      </c>
      <c r="F9204" s="387">
        <v>91185</v>
      </c>
      <c r="G9204" s="373" t="s">
        <v>1569</v>
      </c>
      <c r="H9204" s="396" t="s">
        <v>5462</v>
      </c>
      <c r="I9204" s="470">
        <v>3550</v>
      </c>
      <c r="J9204" s="427">
        <v>33.638120000000001</v>
      </c>
      <c r="K9204" s="427">
        <v>30.325559999999999</v>
      </c>
      <c r="L9204" s="427">
        <f t="shared" si="126"/>
        <v>3.3125600000000013</v>
      </c>
      <c r="M9204" s="337"/>
    </row>
    <row r="9205" spans="1:13" s="71" customFormat="1" ht="26.4" customHeight="1">
      <c r="A9205" s="282">
        <v>439</v>
      </c>
      <c r="B9205" s="534"/>
      <c r="C9205" s="260" t="s">
        <v>11819</v>
      </c>
      <c r="D9205" s="260" t="s">
        <v>12288</v>
      </c>
      <c r="E9205" s="260" t="s">
        <v>12289</v>
      </c>
      <c r="F9205" s="387">
        <v>91186</v>
      </c>
      <c r="G9205" s="373" t="s">
        <v>1569</v>
      </c>
      <c r="H9205" s="396" t="s">
        <v>5462</v>
      </c>
      <c r="I9205" s="470">
        <v>695</v>
      </c>
      <c r="J9205" s="427">
        <v>11.552580000000001</v>
      </c>
      <c r="K9205" s="427">
        <v>10.690720000000001</v>
      </c>
      <c r="L9205" s="427">
        <f t="shared" si="126"/>
        <v>0.86186000000000007</v>
      </c>
      <c r="M9205" s="337"/>
    </row>
    <row r="9206" spans="1:13" s="71" customFormat="1" ht="26.4" customHeight="1">
      <c r="A9206" s="282">
        <v>440</v>
      </c>
      <c r="B9206" s="534"/>
      <c r="C9206" s="260" t="s">
        <v>11819</v>
      </c>
      <c r="D9206" s="260" t="s">
        <v>12290</v>
      </c>
      <c r="E9206" s="260" t="s">
        <v>12291</v>
      </c>
      <c r="F9206" s="387">
        <v>91187</v>
      </c>
      <c r="G9206" s="373" t="s">
        <v>1569</v>
      </c>
      <c r="H9206" s="396" t="s">
        <v>5462</v>
      </c>
      <c r="I9206" s="470">
        <v>695</v>
      </c>
      <c r="J9206" s="427">
        <v>10.62936</v>
      </c>
      <c r="K9206" s="427">
        <v>9.8363999999999994</v>
      </c>
      <c r="L9206" s="427">
        <f t="shared" si="126"/>
        <v>0.79296000000000078</v>
      </c>
      <c r="M9206" s="337"/>
    </row>
    <row r="9207" spans="1:13" s="71" customFormat="1" ht="26.4" customHeight="1">
      <c r="A9207" s="282">
        <v>441</v>
      </c>
      <c r="B9207" s="534"/>
      <c r="C9207" s="260" t="s">
        <v>11819</v>
      </c>
      <c r="D9207" s="260" t="s">
        <v>12292</v>
      </c>
      <c r="E9207" s="260" t="s">
        <v>12293</v>
      </c>
      <c r="F9207" s="387">
        <v>91188</v>
      </c>
      <c r="G9207" s="373" t="s">
        <v>1569</v>
      </c>
      <c r="H9207" s="396" t="s">
        <v>5462</v>
      </c>
      <c r="I9207" s="470">
        <v>695</v>
      </c>
      <c r="J9207" s="427">
        <v>10.62936</v>
      </c>
      <c r="K9207" s="427">
        <v>9.8363999999999994</v>
      </c>
      <c r="L9207" s="427">
        <f t="shared" si="126"/>
        <v>0.79296000000000078</v>
      </c>
      <c r="M9207" s="337"/>
    </row>
    <row r="9208" spans="1:13" s="71" customFormat="1" ht="26.4" customHeight="1">
      <c r="A9208" s="282">
        <v>442</v>
      </c>
      <c r="B9208" s="534"/>
      <c r="C9208" s="260" t="s">
        <v>11819</v>
      </c>
      <c r="D9208" s="236" t="s">
        <v>12294</v>
      </c>
      <c r="E9208" s="260" t="s">
        <v>12295</v>
      </c>
      <c r="F9208" s="387">
        <v>91189</v>
      </c>
      <c r="G9208" s="373" t="s">
        <v>1569</v>
      </c>
      <c r="H9208" s="396" t="s">
        <v>5462</v>
      </c>
      <c r="I9208" s="470">
        <v>695</v>
      </c>
      <c r="J9208" s="427">
        <v>31.521809999999999</v>
      </c>
      <c r="K9208" s="427">
        <v>29.17023</v>
      </c>
      <c r="L9208" s="427">
        <f t="shared" si="126"/>
        <v>2.3515799999999984</v>
      </c>
      <c r="M9208" s="337"/>
    </row>
    <row r="9209" spans="1:13" s="71" customFormat="1" ht="26.4" customHeight="1">
      <c r="A9209" s="282">
        <v>443</v>
      </c>
      <c r="B9209" s="534"/>
      <c r="C9209" s="260" t="s">
        <v>11819</v>
      </c>
      <c r="D9209" s="260" t="s">
        <v>12296</v>
      </c>
      <c r="E9209" s="260" t="s">
        <v>12297</v>
      </c>
      <c r="F9209" s="387">
        <v>91190</v>
      </c>
      <c r="G9209" s="373" t="s">
        <v>1569</v>
      </c>
      <c r="H9209" s="396" t="s">
        <v>5462</v>
      </c>
      <c r="I9209" s="470">
        <v>695</v>
      </c>
      <c r="J9209" s="427">
        <v>7.2367800000000004</v>
      </c>
      <c r="K9209" s="427">
        <v>6.6970200000000002</v>
      </c>
      <c r="L9209" s="427">
        <f t="shared" si="126"/>
        <v>0.53976000000000024</v>
      </c>
      <c r="M9209" s="337"/>
    </row>
    <row r="9210" spans="1:13" s="71" customFormat="1" ht="26.4" customHeight="1">
      <c r="A9210" s="282">
        <v>444</v>
      </c>
      <c r="B9210" s="534"/>
      <c r="C9210" s="260" t="s">
        <v>11819</v>
      </c>
      <c r="D9210" s="260" t="s">
        <v>12298</v>
      </c>
      <c r="E9210" s="260" t="s">
        <v>12299</v>
      </c>
      <c r="F9210" s="387">
        <v>91191</v>
      </c>
      <c r="G9210" s="373" t="s">
        <v>1569</v>
      </c>
      <c r="H9210" s="396" t="s">
        <v>5462</v>
      </c>
      <c r="I9210" s="470">
        <v>695</v>
      </c>
      <c r="J9210" s="427">
        <v>29.00225</v>
      </c>
      <c r="K9210" s="427">
        <v>26.83867</v>
      </c>
      <c r="L9210" s="427">
        <f t="shared" si="126"/>
        <v>2.1635799999999996</v>
      </c>
      <c r="M9210" s="337"/>
    </row>
    <row r="9211" spans="1:13" s="71" customFormat="1" ht="26.4" customHeight="1">
      <c r="A9211" s="282">
        <v>445</v>
      </c>
      <c r="B9211" s="534"/>
      <c r="C9211" s="260" t="s">
        <v>11819</v>
      </c>
      <c r="D9211" s="260" t="s">
        <v>12300</v>
      </c>
      <c r="E9211" s="260" t="s">
        <v>12301</v>
      </c>
      <c r="F9211" s="387">
        <v>91192</v>
      </c>
      <c r="G9211" s="373" t="s">
        <v>1569</v>
      </c>
      <c r="H9211" s="396" t="s">
        <v>5462</v>
      </c>
      <c r="I9211" s="470">
        <v>695</v>
      </c>
      <c r="J9211" s="427">
        <v>19.32582</v>
      </c>
      <c r="K9211" s="427">
        <v>17.8841</v>
      </c>
      <c r="L9211" s="427">
        <f t="shared" si="126"/>
        <v>1.4417200000000001</v>
      </c>
      <c r="M9211" s="337"/>
    </row>
    <row r="9212" spans="1:13" s="71" customFormat="1" ht="26.4" customHeight="1">
      <c r="A9212" s="282">
        <v>446</v>
      </c>
      <c r="B9212" s="534"/>
      <c r="C9212" s="260" t="s">
        <v>11819</v>
      </c>
      <c r="D9212" s="260" t="s">
        <v>12302</v>
      </c>
      <c r="E9212" s="260" t="s">
        <v>12303</v>
      </c>
      <c r="F9212" s="387">
        <v>91193</v>
      </c>
      <c r="G9212" s="373" t="s">
        <v>1569</v>
      </c>
      <c r="H9212" s="396" t="s">
        <v>5462</v>
      </c>
      <c r="I9212" s="470">
        <v>695</v>
      </c>
      <c r="J9212" s="427">
        <v>11.311349999999999</v>
      </c>
      <c r="K9212" s="427">
        <v>10.46749</v>
      </c>
      <c r="L9212" s="427">
        <f t="shared" si="126"/>
        <v>0.84385999999999939</v>
      </c>
      <c r="M9212" s="337"/>
    </row>
    <row r="9213" spans="1:13" s="71" customFormat="1" ht="26.4" customHeight="1">
      <c r="A9213" s="282">
        <v>447</v>
      </c>
      <c r="B9213" s="534"/>
      <c r="C9213" s="260" t="s">
        <v>11819</v>
      </c>
      <c r="D9213" s="260" t="s">
        <v>12304</v>
      </c>
      <c r="E9213" s="260" t="s">
        <v>12305</v>
      </c>
      <c r="F9213" s="387">
        <v>91194</v>
      </c>
      <c r="G9213" s="373" t="s">
        <v>1569</v>
      </c>
      <c r="H9213" s="396" t="s">
        <v>5462</v>
      </c>
      <c r="I9213" s="470">
        <v>695</v>
      </c>
      <c r="J9213" s="427">
        <v>7.4780100000000003</v>
      </c>
      <c r="K9213" s="427">
        <v>6.9202500000000002</v>
      </c>
      <c r="L9213" s="427">
        <f t="shared" si="126"/>
        <v>0.55776000000000003</v>
      </c>
      <c r="M9213" s="337"/>
    </row>
    <row r="9214" spans="1:13" s="71" customFormat="1" ht="26.4" customHeight="1">
      <c r="A9214" s="282">
        <v>448</v>
      </c>
      <c r="B9214" s="534"/>
      <c r="C9214" s="260" t="s">
        <v>11819</v>
      </c>
      <c r="D9214" s="260" t="s">
        <v>12306</v>
      </c>
      <c r="E9214" s="260" t="s">
        <v>12307</v>
      </c>
      <c r="F9214" s="387">
        <v>91195</v>
      </c>
      <c r="G9214" s="373" t="s">
        <v>1569</v>
      </c>
      <c r="H9214" s="396" t="s">
        <v>5462</v>
      </c>
      <c r="I9214" s="470">
        <v>695</v>
      </c>
      <c r="J9214" s="427">
        <v>11.63298</v>
      </c>
      <c r="K9214" s="427">
        <v>10.76512</v>
      </c>
      <c r="L9214" s="427">
        <f t="shared" si="126"/>
        <v>0.8678600000000003</v>
      </c>
      <c r="M9214" s="337"/>
    </row>
    <row r="9215" spans="1:13" s="71" customFormat="1" ht="26.4" customHeight="1">
      <c r="A9215" s="282">
        <v>449</v>
      </c>
      <c r="B9215" s="534"/>
      <c r="C9215" s="260" t="s">
        <v>11819</v>
      </c>
      <c r="D9215" s="260" t="s">
        <v>12308</v>
      </c>
      <c r="E9215" s="260" t="s">
        <v>12309</v>
      </c>
      <c r="F9215" s="387">
        <v>91196</v>
      </c>
      <c r="G9215" s="373" t="s">
        <v>1569</v>
      </c>
      <c r="H9215" s="396" t="s">
        <v>5462</v>
      </c>
      <c r="I9215" s="470">
        <v>695</v>
      </c>
      <c r="J9215" s="427">
        <v>7.1296400000000002</v>
      </c>
      <c r="K9215" s="427">
        <v>6.59788</v>
      </c>
      <c r="L9215" s="427">
        <f t="shared" ref="L9215:L9278" si="127">J9215-K9215</f>
        <v>0.53176000000000023</v>
      </c>
      <c r="M9215" s="337"/>
    </row>
    <row r="9216" spans="1:13" s="71" customFormat="1" ht="26.4" customHeight="1">
      <c r="A9216" s="282">
        <v>450</v>
      </c>
      <c r="B9216" s="534"/>
      <c r="C9216" s="260" t="s">
        <v>11819</v>
      </c>
      <c r="D9216" s="260" t="s">
        <v>12310</v>
      </c>
      <c r="E9216" s="260" t="s">
        <v>12311</v>
      </c>
      <c r="F9216" s="387">
        <v>91197</v>
      </c>
      <c r="G9216" s="373" t="s">
        <v>1569</v>
      </c>
      <c r="H9216" s="396" t="s">
        <v>5462</v>
      </c>
      <c r="I9216" s="470">
        <v>695</v>
      </c>
      <c r="J9216" s="427">
        <v>7.1269600000000004</v>
      </c>
      <c r="K9216" s="427">
        <v>6.5953999999999997</v>
      </c>
      <c r="L9216" s="427">
        <f t="shared" si="127"/>
        <v>0.5315600000000007</v>
      </c>
      <c r="M9216" s="337"/>
    </row>
    <row r="9217" spans="1:13" s="71" customFormat="1" ht="26.4" customHeight="1">
      <c r="A9217" s="282">
        <v>451</v>
      </c>
      <c r="B9217" s="534"/>
      <c r="C9217" s="260" t="s">
        <v>11819</v>
      </c>
      <c r="D9217" s="260" t="s">
        <v>12312</v>
      </c>
      <c r="E9217" s="260" t="s">
        <v>12313</v>
      </c>
      <c r="F9217" s="387">
        <v>91198</v>
      </c>
      <c r="G9217" s="373" t="s">
        <v>1569</v>
      </c>
      <c r="H9217" s="396" t="s">
        <v>5462</v>
      </c>
      <c r="I9217" s="470">
        <v>695</v>
      </c>
      <c r="J9217" s="427">
        <v>6.9420099999999998</v>
      </c>
      <c r="K9217" s="427">
        <v>6.4242499999999998</v>
      </c>
      <c r="L9217" s="427">
        <f t="shared" si="127"/>
        <v>0.51776</v>
      </c>
      <c r="M9217" s="337"/>
    </row>
    <row r="9218" spans="1:13" s="71" customFormat="1" ht="26.4" customHeight="1">
      <c r="A9218" s="282">
        <v>452</v>
      </c>
      <c r="B9218" s="534"/>
      <c r="C9218" s="260" t="s">
        <v>11819</v>
      </c>
      <c r="D9218" s="260" t="s">
        <v>12314</v>
      </c>
      <c r="E9218" s="260" t="s">
        <v>12315</v>
      </c>
      <c r="F9218" s="387">
        <v>91199</v>
      </c>
      <c r="G9218" s="373" t="s">
        <v>1569</v>
      </c>
      <c r="H9218" s="396" t="s">
        <v>5462</v>
      </c>
      <c r="I9218" s="470">
        <v>695</v>
      </c>
      <c r="J9218" s="427">
        <v>17.851520000000001</v>
      </c>
      <c r="K9218" s="427">
        <v>16.5198</v>
      </c>
      <c r="L9218" s="427">
        <f t="shared" si="127"/>
        <v>1.3317200000000007</v>
      </c>
      <c r="M9218" s="337"/>
    </row>
    <row r="9219" spans="1:13" s="71" customFormat="1" ht="26.4" customHeight="1">
      <c r="A9219" s="282">
        <v>453</v>
      </c>
      <c r="B9219" s="534"/>
      <c r="C9219" s="260" t="s">
        <v>11819</v>
      </c>
      <c r="D9219" s="260" t="s">
        <v>12316</v>
      </c>
      <c r="E9219" s="260" t="s">
        <v>12317</v>
      </c>
      <c r="F9219" s="387">
        <v>91200</v>
      </c>
      <c r="G9219" s="373" t="s">
        <v>1569</v>
      </c>
      <c r="H9219" s="396" t="s">
        <v>5462</v>
      </c>
      <c r="I9219" s="470">
        <v>695</v>
      </c>
      <c r="J9219" s="427">
        <v>8.0543600000000009</v>
      </c>
      <c r="K9219" s="427">
        <v>7.4535999999999998</v>
      </c>
      <c r="L9219" s="427">
        <f t="shared" si="127"/>
        <v>0.60076000000000107</v>
      </c>
      <c r="M9219" s="337"/>
    </row>
    <row r="9220" spans="1:13" s="71" customFormat="1" ht="26.4" customHeight="1">
      <c r="A9220" s="282">
        <v>454</v>
      </c>
      <c r="B9220" s="534"/>
      <c r="C9220" s="260" t="s">
        <v>11819</v>
      </c>
      <c r="D9220" s="260" t="s">
        <v>12318</v>
      </c>
      <c r="E9220" s="260" t="s">
        <v>12319</v>
      </c>
      <c r="F9220" s="387">
        <v>91201</v>
      </c>
      <c r="G9220" s="373" t="s">
        <v>1569</v>
      </c>
      <c r="H9220" s="396" t="s">
        <v>5462</v>
      </c>
      <c r="I9220" s="470">
        <v>695</v>
      </c>
      <c r="J9220" s="427">
        <v>23.05153</v>
      </c>
      <c r="K9220" s="427">
        <v>21.331810000000001</v>
      </c>
      <c r="L9220" s="427">
        <f t="shared" si="127"/>
        <v>1.7197199999999988</v>
      </c>
      <c r="M9220" s="337"/>
    </row>
    <row r="9221" spans="1:13" s="71" customFormat="1" ht="26.4" customHeight="1">
      <c r="A9221" s="282">
        <v>455</v>
      </c>
      <c r="B9221" s="534"/>
      <c r="C9221" s="260" t="s">
        <v>11819</v>
      </c>
      <c r="D9221" s="260" t="s">
        <v>12320</v>
      </c>
      <c r="E9221" s="260" t="s">
        <v>12321</v>
      </c>
      <c r="F9221" s="387">
        <v>91202</v>
      </c>
      <c r="G9221" s="373" t="s">
        <v>1569</v>
      </c>
      <c r="H9221" s="396" t="s">
        <v>5462</v>
      </c>
      <c r="I9221" s="470">
        <v>695</v>
      </c>
      <c r="J9221" s="427">
        <v>7.3172699999999997</v>
      </c>
      <c r="K9221" s="427">
        <v>6.7715100000000001</v>
      </c>
      <c r="L9221" s="427">
        <f t="shared" si="127"/>
        <v>0.54575999999999958</v>
      </c>
      <c r="M9221" s="337"/>
    </row>
    <row r="9222" spans="1:13" s="71" customFormat="1" ht="26.4" customHeight="1">
      <c r="A9222" s="282">
        <v>456</v>
      </c>
      <c r="B9222" s="534"/>
      <c r="C9222" s="260" t="s">
        <v>11819</v>
      </c>
      <c r="D9222" s="260" t="s">
        <v>12322</v>
      </c>
      <c r="E9222" s="260" t="s">
        <v>12323</v>
      </c>
      <c r="F9222" s="387">
        <v>91203</v>
      </c>
      <c r="G9222" s="373" t="s">
        <v>1569</v>
      </c>
      <c r="H9222" s="396" t="s">
        <v>5462</v>
      </c>
      <c r="I9222" s="470">
        <v>695</v>
      </c>
      <c r="J9222" s="427">
        <v>13.187469999999999</v>
      </c>
      <c r="K9222" s="427">
        <v>12.203609999999999</v>
      </c>
      <c r="L9222" s="427">
        <f t="shared" si="127"/>
        <v>0.98385999999999996</v>
      </c>
      <c r="M9222" s="337"/>
    </row>
    <row r="9223" spans="1:13" s="71" customFormat="1" ht="26.4" customHeight="1">
      <c r="A9223" s="282">
        <v>457</v>
      </c>
      <c r="B9223" s="534"/>
      <c r="C9223" s="260" t="s">
        <v>11819</v>
      </c>
      <c r="D9223" s="260" t="s">
        <v>12324</v>
      </c>
      <c r="E9223" s="260" t="s">
        <v>12325</v>
      </c>
      <c r="F9223" s="387">
        <v>91204</v>
      </c>
      <c r="G9223" s="373" t="s">
        <v>1569</v>
      </c>
      <c r="H9223" s="396" t="s">
        <v>5462</v>
      </c>
      <c r="I9223" s="470">
        <v>695</v>
      </c>
      <c r="J9223" s="427">
        <v>19.701080000000001</v>
      </c>
      <c r="K9223" s="427">
        <v>18.231359999999999</v>
      </c>
      <c r="L9223" s="427">
        <f t="shared" si="127"/>
        <v>1.4697200000000024</v>
      </c>
      <c r="M9223" s="337"/>
    </row>
    <row r="9224" spans="1:13" s="71" customFormat="1" ht="26.4" customHeight="1">
      <c r="A9224" s="282">
        <v>458</v>
      </c>
      <c r="B9224" s="534"/>
      <c r="C9224" s="260" t="s">
        <v>11819</v>
      </c>
      <c r="D9224" s="260" t="s">
        <v>12326</v>
      </c>
      <c r="E9224" s="260" t="s">
        <v>12327</v>
      </c>
      <c r="F9224" s="387">
        <v>91205</v>
      </c>
      <c r="G9224" s="373" t="s">
        <v>1569</v>
      </c>
      <c r="H9224" s="396" t="s">
        <v>5462</v>
      </c>
      <c r="I9224" s="470">
        <v>695</v>
      </c>
      <c r="J9224" s="427">
        <v>18.762930000000001</v>
      </c>
      <c r="K9224" s="427">
        <v>17.363209999999999</v>
      </c>
      <c r="L9224" s="427">
        <f t="shared" si="127"/>
        <v>1.3997200000000021</v>
      </c>
      <c r="M9224" s="337"/>
    </row>
    <row r="9225" spans="1:13" s="71" customFormat="1" ht="26.4" customHeight="1">
      <c r="A9225" s="282">
        <v>459</v>
      </c>
      <c r="B9225" s="534"/>
      <c r="C9225" s="260" t="s">
        <v>11819</v>
      </c>
      <c r="D9225" s="260" t="s">
        <v>12328</v>
      </c>
      <c r="E9225" s="260" t="s">
        <v>12329</v>
      </c>
      <c r="F9225" s="387">
        <v>91206</v>
      </c>
      <c r="G9225" s="373" t="s">
        <v>1569</v>
      </c>
      <c r="H9225" s="396" t="s">
        <v>5462</v>
      </c>
      <c r="I9225" s="470">
        <v>695</v>
      </c>
      <c r="J9225" s="427">
        <v>11.485580000000001</v>
      </c>
      <c r="K9225" s="427">
        <v>10.62872</v>
      </c>
      <c r="L9225" s="427">
        <f t="shared" si="127"/>
        <v>0.85686000000000107</v>
      </c>
      <c r="M9225" s="337"/>
    </row>
    <row r="9226" spans="1:13" s="71" customFormat="1" ht="26.4" customHeight="1">
      <c r="A9226" s="282">
        <v>460</v>
      </c>
      <c r="B9226" s="534"/>
      <c r="C9226" s="260" t="s">
        <v>11819</v>
      </c>
      <c r="D9226" s="260" t="s">
        <v>12330</v>
      </c>
      <c r="E9226" s="260" t="s">
        <v>12331</v>
      </c>
      <c r="F9226" s="387">
        <v>91207</v>
      </c>
      <c r="G9226" s="373" t="s">
        <v>1569</v>
      </c>
      <c r="H9226" s="396" t="s">
        <v>5462</v>
      </c>
      <c r="I9226" s="470">
        <v>695</v>
      </c>
      <c r="J9226" s="427">
        <v>67.057180000000002</v>
      </c>
      <c r="K9226" s="427">
        <v>62.05442</v>
      </c>
      <c r="L9226" s="427">
        <f t="shared" si="127"/>
        <v>5.0027600000000021</v>
      </c>
      <c r="M9226" s="337"/>
    </row>
    <row r="9227" spans="1:13" s="71" customFormat="1" ht="26.4" customHeight="1">
      <c r="A9227" s="282">
        <v>461</v>
      </c>
      <c r="B9227" s="534"/>
      <c r="C9227" s="260" t="s">
        <v>11819</v>
      </c>
      <c r="D9227" s="260" t="s">
        <v>12332</v>
      </c>
      <c r="E9227" s="260" t="s">
        <v>12333</v>
      </c>
      <c r="F9227" s="387">
        <v>91208</v>
      </c>
      <c r="G9227" s="373" t="s">
        <v>1569</v>
      </c>
      <c r="H9227" s="396" t="s">
        <v>5462</v>
      </c>
      <c r="I9227" s="470">
        <v>695</v>
      </c>
      <c r="J9227" s="427">
        <v>28.77807</v>
      </c>
      <c r="K9227" s="427">
        <v>26.63119</v>
      </c>
      <c r="L9227" s="427">
        <f t="shared" si="127"/>
        <v>2.1468799999999995</v>
      </c>
      <c r="M9227" s="337"/>
    </row>
    <row r="9228" spans="1:13" s="71" customFormat="1" ht="26.4" customHeight="1">
      <c r="A9228" s="282">
        <v>462</v>
      </c>
      <c r="B9228" s="534"/>
      <c r="C9228" s="260" t="s">
        <v>11819</v>
      </c>
      <c r="D9228" s="260" t="s">
        <v>12334</v>
      </c>
      <c r="E9228" s="260" t="s">
        <v>12335</v>
      </c>
      <c r="F9228" s="387">
        <v>91209</v>
      </c>
      <c r="G9228" s="373" t="s">
        <v>1569</v>
      </c>
      <c r="H9228" s="396" t="s">
        <v>5462</v>
      </c>
      <c r="I9228" s="470">
        <v>695</v>
      </c>
      <c r="J9228" s="427">
        <v>11.686579999999999</v>
      </c>
      <c r="K9228" s="427">
        <v>10.814719999999999</v>
      </c>
      <c r="L9228" s="427">
        <f t="shared" si="127"/>
        <v>0.87185999999999986</v>
      </c>
      <c r="M9228" s="337"/>
    </row>
    <row r="9229" spans="1:13" s="71" customFormat="1" ht="26.4" customHeight="1">
      <c r="A9229" s="282">
        <v>463</v>
      </c>
      <c r="B9229" s="534"/>
      <c r="C9229" s="260" t="s">
        <v>11819</v>
      </c>
      <c r="D9229" s="260" t="s">
        <v>12336</v>
      </c>
      <c r="E9229" s="260" t="s">
        <v>12337</v>
      </c>
      <c r="F9229" s="387">
        <v>91210</v>
      </c>
      <c r="G9229" s="373" t="s">
        <v>1569</v>
      </c>
      <c r="H9229" s="396" t="s">
        <v>5462</v>
      </c>
      <c r="I9229" s="470">
        <v>695</v>
      </c>
      <c r="J9229" s="427">
        <v>11.41858</v>
      </c>
      <c r="K9229" s="427">
        <v>10.56672</v>
      </c>
      <c r="L9229" s="427">
        <f t="shared" si="127"/>
        <v>0.85186000000000028</v>
      </c>
      <c r="M9229" s="337"/>
    </row>
    <row r="9230" spans="1:13" s="71" customFormat="1" ht="26.4" customHeight="1">
      <c r="A9230" s="282">
        <v>464</v>
      </c>
      <c r="B9230" s="534"/>
      <c r="C9230" s="260" t="s">
        <v>11819</v>
      </c>
      <c r="D9230" s="260" t="s">
        <v>12338</v>
      </c>
      <c r="E9230" s="260" t="s">
        <v>12339</v>
      </c>
      <c r="F9230" s="387">
        <v>91211</v>
      </c>
      <c r="G9230" s="373" t="s">
        <v>1569</v>
      </c>
      <c r="H9230" s="396" t="s">
        <v>5462</v>
      </c>
      <c r="I9230" s="470">
        <v>695</v>
      </c>
      <c r="J9230" s="427">
        <v>11.41858</v>
      </c>
      <c r="K9230" s="427">
        <v>10.56672</v>
      </c>
      <c r="L9230" s="427">
        <f t="shared" si="127"/>
        <v>0.85186000000000028</v>
      </c>
      <c r="M9230" s="337"/>
    </row>
    <row r="9231" spans="1:13" s="71" customFormat="1" ht="26.4" customHeight="1">
      <c r="A9231" s="282">
        <v>465</v>
      </c>
      <c r="B9231" s="534"/>
      <c r="C9231" s="260" t="s">
        <v>11819</v>
      </c>
      <c r="D9231" s="260" t="s">
        <v>12330</v>
      </c>
      <c r="E9231" s="260" t="s">
        <v>12340</v>
      </c>
      <c r="F9231" s="387">
        <v>91212</v>
      </c>
      <c r="G9231" s="373" t="s">
        <v>1569</v>
      </c>
      <c r="H9231" s="396" t="s">
        <v>5462</v>
      </c>
      <c r="I9231" s="470">
        <v>3200</v>
      </c>
      <c r="J9231" s="427">
        <v>90.96808</v>
      </c>
      <c r="K9231" s="427">
        <v>87.081779999999995</v>
      </c>
      <c r="L9231" s="427">
        <f t="shared" si="127"/>
        <v>3.8863000000000056</v>
      </c>
      <c r="M9231" s="337"/>
    </row>
    <row r="9232" spans="1:13" s="71" customFormat="1" ht="26.4" customHeight="1">
      <c r="A9232" s="282">
        <v>466</v>
      </c>
      <c r="B9232" s="534"/>
      <c r="C9232" s="260" t="s">
        <v>11819</v>
      </c>
      <c r="D9232" s="260" t="s">
        <v>12341</v>
      </c>
      <c r="E9232" s="260" t="s">
        <v>12342</v>
      </c>
      <c r="F9232" s="387">
        <v>91213</v>
      </c>
      <c r="G9232" s="373" t="s">
        <v>1569</v>
      </c>
      <c r="H9232" s="396" t="s">
        <v>5462</v>
      </c>
      <c r="I9232" s="433">
        <v>695</v>
      </c>
      <c r="J9232" s="427">
        <v>69.870800000000003</v>
      </c>
      <c r="K9232" s="427">
        <v>68.261380000000003</v>
      </c>
      <c r="L9232" s="427">
        <f t="shared" si="127"/>
        <v>1.6094200000000001</v>
      </c>
      <c r="M9232" s="337"/>
    </row>
    <row r="9233" spans="1:13" s="71" customFormat="1" ht="26.4" customHeight="1">
      <c r="A9233" s="282">
        <v>467</v>
      </c>
      <c r="B9233" s="534"/>
      <c r="C9233" s="444" t="s">
        <v>11819</v>
      </c>
      <c r="D9233" s="444" t="s">
        <v>12343</v>
      </c>
      <c r="E9233" s="444" t="s">
        <v>12344</v>
      </c>
      <c r="F9233" s="387">
        <v>91214</v>
      </c>
      <c r="G9233" s="373" t="s">
        <v>1569</v>
      </c>
      <c r="H9233" s="396" t="s">
        <v>5462</v>
      </c>
      <c r="I9233" s="470">
        <v>5600</v>
      </c>
      <c r="J9233" s="427">
        <v>490.65098999999998</v>
      </c>
      <c r="K9233" s="427">
        <v>488.23951</v>
      </c>
      <c r="L9233" s="427">
        <f t="shared" si="127"/>
        <v>2.4114799999999832</v>
      </c>
      <c r="M9233" s="337"/>
    </row>
    <row r="9234" spans="1:13" s="71" customFormat="1" ht="26.4" customHeight="1">
      <c r="A9234" s="282">
        <v>468</v>
      </c>
      <c r="B9234" s="534"/>
      <c r="C9234" s="260" t="s">
        <v>11819</v>
      </c>
      <c r="D9234" s="260" t="s">
        <v>12345</v>
      </c>
      <c r="E9234" s="260" t="s">
        <v>12346</v>
      </c>
      <c r="F9234" s="387">
        <v>91215</v>
      </c>
      <c r="G9234" s="373" t="s">
        <v>1569</v>
      </c>
      <c r="H9234" s="396" t="s">
        <v>5462</v>
      </c>
      <c r="I9234" s="470">
        <v>695</v>
      </c>
      <c r="J9234" s="427">
        <v>11.17732</v>
      </c>
      <c r="K9234" s="427">
        <v>10.34346</v>
      </c>
      <c r="L9234" s="427">
        <f t="shared" si="127"/>
        <v>0.8338599999999996</v>
      </c>
      <c r="M9234" s="337"/>
    </row>
    <row r="9235" spans="1:13" s="71" customFormat="1" ht="26.4" customHeight="1">
      <c r="A9235" s="282">
        <v>469</v>
      </c>
      <c r="B9235" s="534"/>
      <c r="C9235" s="444" t="s">
        <v>12347</v>
      </c>
      <c r="D9235" s="444" t="s">
        <v>12348</v>
      </c>
      <c r="E9235" s="444" t="s">
        <v>12349</v>
      </c>
      <c r="F9235" s="387">
        <v>91216</v>
      </c>
      <c r="G9235" s="373" t="s">
        <v>1569</v>
      </c>
      <c r="H9235" s="396" t="s">
        <v>5462</v>
      </c>
      <c r="I9235" s="470">
        <v>680</v>
      </c>
      <c r="J9235" s="427">
        <v>662.94150999999999</v>
      </c>
      <c r="K9235" s="427">
        <v>655.53747999999996</v>
      </c>
      <c r="L9235" s="427">
        <f t="shared" si="127"/>
        <v>7.4040300000000343</v>
      </c>
      <c r="M9235" s="337"/>
    </row>
    <row r="9236" spans="1:13" s="71" customFormat="1" ht="26.4" customHeight="1">
      <c r="A9236" s="282">
        <v>470</v>
      </c>
      <c r="B9236" s="534"/>
      <c r="C9236" s="260" t="s">
        <v>11819</v>
      </c>
      <c r="D9236" s="260" t="s">
        <v>12350</v>
      </c>
      <c r="E9236" s="260" t="s">
        <v>12351</v>
      </c>
      <c r="F9236" s="387">
        <v>91217</v>
      </c>
      <c r="G9236" s="373" t="s">
        <v>1569</v>
      </c>
      <c r="H9236" s="396" t="s">
        <v>5462</v>
      </c>
      <c r="I9236" s="470">
        <v>695</v>
      </c>
      <c r="J9236" s="427">
        <v>11.68694</v>
      </c>
      <c r="K9236" s="427">
        <v>10.81508</v>
      </c>
      <c r="L9236" s="427">
        <f t="shared" si="127"/>
        <v>0.87185999999999986</v>
      </c>
      <c r="M9236" s="337"/>
    </row>
    <row r="9237" spans="1:13" s="71" customFormat="1" ht="26.4" customHeight="1">
      <c r="A9237" s="282">
        <v>471</v>
      </c>
      <c r="B9237" s="534"/>
      <c r="C9237" s="444" t="s">
        <v>11819</v>
      </c>
      <c r="D9237" s="444" t="s">
        <v>12352</v>
      </c>
      <c r="E9237" s="444" t="s">
        <v>12353</v>
      </c>
      <c r="F9237" s="387">
        <v>91218</v>
      </c>
      <c r="G9237" s="373" t="s">
        <v>1569</v>
      </c>
      <c r="H9237" s="396" t="s">
        <v>5462</v>
      </c>
      <c r="I9237" s="470">
        <v>695</v>
      </c>
      <c r="J9237" s="427">
        <v>41.061770000000003</v>
      </c>
      <c r="K9237" s="427">
        <v>37.998429999999999</v>
      </c>
      <c r="L9237" s="427">
        <f t="shared" si="127"/>
        <v>3.0633400000000037</v>
      </c>
      <c r="M9237" s="337"/>
    </row>
    <row r="9238" spans="1:13" s="71" customFormat="1" ht="26.4" customHeight="1">
      <c r="A9238" s="282">
        <v>472</v>
      </c>
      <c r="B9238" s="534"/>
      <c r="C9238" s="444" t="s">
        <v>11819</v>
      </c>
      <c r="D9238" s="444" t="s">
        <v>12354</v>
      </c>
      <c r="E9238" s="444" t="s">
        <v>12355</v>
      </c>
      <c r="F9238" s="387">
        <v>91219</v>
      </c>
      <c r="G9238" s="373" t="s">
        <v>1569</v>
      </c>
      <c r="H9238" s="396" t="s">
        <v>5462</v>
      </c>
      <c r="I9238" s="470">
        <v>695</v>
      </c>
      <c r="J9238" s="427">
        <v>1.65242</v>
      </c>
      <c r="K9238" s="427">
        <v>1.4291199999999999</v>
      </c>
      <c r="L9238" s="427">
        <f t="shared" si="127"/>
        <v>0.22330000000000005</v>
      </c>
      <c r="M9238" s="337"/>
    </row>
    <row r="9239" spans="1:13" s="71" customFormat="1" ht="26.4" customHeight="1">
      <c r="A9239" s="282">
        <v>473</v>
      </c>
      <c r="B9239" s="534"/>
      <c r="C9239" s="444" t="s">
        <v>11819</v>
      </c>
      <c r="D9239" s="444" t="s">
        <v>12935</v>
      </c>
      <c r="E9239" s="444" t="s">
        <v>12356</v>
      </c>
      <c r="F9239" s="387">
        <v>91220</v>
      </c>
      <c r="G9239" s="373" t="s">
        <v>1569</v>
      </c>
      <c r="H9239" s="396" t="s">
        <v>5462</v>
      </c>
      <c r="I9239" s="470">
        <v>80</v>
      </c>
      <c r="J9239" s="427">
        <v>5.0229600000000003</v>
      </c>
      <c r="K9239" s="427">
        <v>4.6481599999999998</v>
      </c>
      <c r="L9239" s="427">
        <f t="shared" si="127"/>
        <v>0.37480000000000047</v>
      </c>
      <c r="M9239" s="337"/>
    </row>
    <row r="9240" spans="1:13" s="71" customFormat="1" ht="26.4" customHeight="1">
      <c r="A9240" s="282">
        <v>474</v>
      </c>
      <c r="B9240" s="534"/>
      <c r="C9240" s="260" t="s">
        <v>11819</v>
      </c>
      <c r="D9240" s="260" t="s">
        <v>12357</v>
      </c>
      <c r="E9240" s="260" t="s">
        <v>12358</v>
      </c>
      <c r="F9240" s="387">
        <v>91221</v>
      </c>
      <c r="G9240" s="373" t="s">
        <v>1569</v>
      </c>
      <c r="H9240" s="396" t="s">
        <v>5462</v>
      </c>
      <c r="I9240" s="470">
        <v>695</v>
      </c>
      <c r="J9240" s="427">
        <v>9.5422799999999999</v>
      </c>
      <c r="K9240" s="427">
        <v>8.8304200000000002</v>
      </c>
      <c r="L9240" s="427">
        <f t="shared" si="127"/>
        <v>0.71185999999999972</v>
      </c>
      <c r="M9240" s="337"/>
    </row>
    <row r="9241" spans="1:13" s="71" customFormat="1" ht="26.4" customHeight="1">
      <c r="A9241" s="282">
        <v>475</v>
      </c>
      <c r="B9241" s="534"/>
      <c r="C9241" s="260" t="s">
        <v>11819</v>
      </c>
      <c r="D9241" s="260" t="s">
        <v>12359</v>
      </c>
      <c r="E9241" s="260" t="s">
        <v>12360</v>
      </c>
      <c r="F9241" s="387">
        <v>91222</v>
      </c>
      <c r="G9241" s="373" t="s">
        <v>1569</v>
      </c>
      <c r="H9241" s="396" t="s">
        <v>5462</v>
      </c>
      <c r="I9241" s="470">
        <v>695</v>
      </c>
      <c r="J9241" s="427">
        <v>15.519399999999999</v>
      </c>
      <c r="K9241" s="427">
        <v>14.36154</v>
      </c>
      <c r="L9241" s="427">
        <f t="shared" si="127"/>
        <v>1.1578599999999994</v>
      </c>
      <c r="M9241" s="337"/>
    </row>
    <row r="9242" spans="1:13" s="71" customFormat="1" ht="26.4" customHeight="1">
      <c r="A9242" s="282">
        <v>476</v>
      </c>
      <c r="B9242" s="534"/>
      <c r="C9242" s="260" t="s">
        <v>11819</v>
      </c>
      <c r="D9242" s="260" t="s">
        <v>12361</v>
      </c>
      <c r="E9242" s="260" t="s">
        <v>12362</v>
      </c>
      <c r="F9242" s="387">
        <v>91223</v>
      </c>
      <c r="G9242" s="373" t="s">
        <v>1569</v>
      </c>
      <c r="H9242" s="396" t="s">
        <v>5462</v>
      </c>
      <c r="I9242" s="470">
        <v>695</v>
      </c>
      <c r="J9242" s="427">
        <v>37.579639999999998</v>
      </c>
      <c r="K9242" s="427">
        <v>34.775959999999998</v>
      </c>
      <c r="L9242" s="427">
        <f t="shared" si="127"/>
        <v>2.8036799999999999</v>
      </c>
      <c r="M9242" s="337"/>
    </row>
    <row r="9243" spans="1:13" s="71" customFormat="1" ht="26.4" customHeight="1">
      <c r="A9243" s="282">
        <v>477</v>
      </c>
      <c r="B9243" s="534"/>
      <c r="C9243" s="260" t="s">
        <v>11819</v>
      </c>
      <c r="D9243" s="260" t="s">
        <v>12363</v>
      </c>
      <c r="E9243" s="260" t="s">
        <v>12364</v>
      </c>
      <c r="F9243" s="387">
        <v>91253</v>
      </c>
      <c r="G9243" s="373" t="s">
        <v>1569</v>
      </c>
      <c r="H9243" s="396" t="s">
        <v>5462</v>
      </c>
      <c r="I9243" s="470">
        <v>3250</v>
      </c>
      <c r="J9243" s="427">
        <v>6.2610700000000001</v>
      </c>
      <c r="K9243" s="427">
        <v>5.7941099999999999</v>
      </c>
      <c r="L9243" s="427">
        <f t="shared" si="127"/>
        <v>0.46696000000000026</v>
      </c>
      <c r="M9243" s="337"/>
    </row>
    <row r="9244" spans="1:13" s="71" customFormat="1" ht="26.4" customHeight="1">
      <c r="A9244" s="282">
        <v>478</v>
      </c>
      <c r="B9244" s="534"/>
      <c r="C9244" s="260" t="s">
        <v>11819</v>
      </c>
      <c r="D9244" s="260" t="s">
        <v>12365</v>
      </c>
      <c r="E9244" s="260" t="s">
        <v>12366</v>
      </c>
      <c r="F9244" s="387">
        <v>91254</v>
      </c>
      <c r="G9244" s="373" t="s">
        <v>1569</v>
      </c>
      <c r="H9244" s="396" t="s">
        <v>5462</v>
      </c>
      <c r="I9244" s="470">
        <v>340</v>
      </c>
      <c r="J9244" s="427">
        <v>6.2626200000000001</v>
      </c>
      <c r="K9244" s="427">
        <v>5.79556</v>
      </c>
      <c r="L9244" s="427">
        <f t="shared" si="127"/>
        <v>0.46706000000000003</v>
      </c>
      <c r="M9244" s="337"/>
    </row>
    <row r="9245" spans="1:13" s="71" customFormat="1" ht="26.4" customHeight="1">
      <c r="A9245" s="282">
        <v>479</v>
      </c>
      <c r="B9245" s="534"/>
      <c r="C9245" s="260" t="s">
        <v>11819</v>
      </c>
      <c r="D9245" s="260" t="s">
        <v>12324</v>
      </c>
      <c r="E9245" s="260" t="s">
        <v>12367</v>
      </c>
      <c r="F9245" s="387">
        <v>91255</v>
      </c>
      <c r="G9245" s="373" t="s">
        <v>1569</v>
      </c>
      <c r="H9245" s="396" t="s">
        <v>5462</v>
      </c>
      <c r="I9245" s="470">
        <v>680</v>
      </c>
      <c r="J9245" s="427">
        <v>5.16228</v>
      </c>
      <c r="K9245" s="427">
        <v>4.7770799999999998</v>
      </c>
      <c r="L9245" s="427">
        <f t="shared" si="127"/>
        <v>0.38520000000000021</v>
      </c>
      <c r="M9245" s="337"/>
    </row>
    <row r="9246" spans="1:13" s="71" customFormat="1" ht="26.4" customHeight="1">
      <c r="A9246" s="282">
        <v>480</v>
      </c>
      <c r="B9246" s="534"/>
      <c r="C9246" s="260" t="s">
        <v>11819</v>
      </c>
      <c r="D9246" s="392" t="s">
        <v>12368</v>
      </c>
      <c r="E9246" s="260" t="s">
        <v>12369</v>
      </c>
      <c r="F9246" s="387">
        <v>91256</v>
      </c>
      <c r="G9246" s="373" t="s">
        <v>1569</v>
      </c>
      <c r="H9246" s="396" t="s">
        <v>5462</v>
      </c>
      <c r="I9246" s="470">
        <v>750</v>
      </c>
      <c r="J9246" s="427">
        <v>18.850680000000001</v>
      </c>
      <c r="K9246" s="427">
        <v>17.444459999999999</v>
      </c>
      <c r="L9246" s="427">
        <f t="shared" si="127"/>
        <v>1.4062200000000011</v>
      </c>
      <c r="M9246" s="337"/>
    </row>
    <row r="9247" spans="1:13" s="71" customFormat="1" ht="26.4" customHeight="1">
      <c r="A9247" s="282">
        <v>481</v>
      </c>
      <c r="B9247" s="534"/>
      <c r="C9247" s="260" t="s">
        <v>11819</v>
      </c>
      <c r="D9247" s="260" t="s">
        <v>12365</v>
      </c>
      <c r="E9247" s="260" t="s">
        <v>12370</v>
      </c>
      <c r="F9247" s="387">
        <v>91257</v>
      </c>
      <c r="G9247" s="373" t="s">
        <v>1569</v>
      </c>
      <c r="H9247" s="396" t="s">
        <v>5462</v>
      </c>
      <c r="I9247" s="470">
        <v>523</v>
      </c>
      <c r="J9247" s="427">
        <v>5.1743399999999999</v>
      </c>
      <c r="K9247" s="427">
        <v>4.7882400000000001</v>
      </c>
      <c r="L9247" s="427">
        <f t="shared" si="127"/>
        <v>0.38609999999999989</v>
      </c>
      <c r="M9247" s="337"/>
    </row>
    <row r="9248" spans="1:13" s="71" customFormat="1" ht="26.4" customHeight="1">
      <c r="A9248" s="282">
        <v>482</v>
      </c>
      <c r="B9248" s="534"/>
      <c r="C9248" s="260" t="s">
        <v>11819</v>
      </c>
      <c r="D9248" s="260" t="s">
        <v>12371</v>
      </c>
      <c r="E9248" s="260" t="s">
        <v>12372</v>
      </c>
      <c r="F9248" s="387">
        <v>91258</v>
      </c>
      <c r="G9248" s="373" t="s">
        <v>1569</v>
      </c>
      <c r="H9248" s="396" t="s">
        <v>5462</v>
      </c>
      <c r="I9248" s="470">
        <v>423</v>
      </c>
      <c r="J9248" s="427">
        <v>3.7452999999999999</v>
      </c>
      <c r="K9248" s="427">
        <v>3.4658000000000002</v>
      </c>
      <c r="L9248" s="427">
        <f t="shared" si="127"/>
        <v>0.27949999999999964</v>
      </c>
      <c r="M9248" s="337"/>
    </row>
    <row r="9249" spans="1:13" s="71" customFormat="1" ht="26.4" customHeight="1">
      <c r="A9249" s="282">
        <v>483</v>
      </c>
      <c r="B9249" s="534"/>
      <c r="C9249" s="260" t="s">
        <v>11819</v>
      </c>
      <c r="D9249" s="260" t="s">
        <v>12357</v>
      </c>
      <c r="E9249" s="260" t="s">
        <v>12373</v>
      </c>
      <c r="F9249" s="387">
        <v>91259</v>
      </c>
      <c r="G9249" s="373" t="s">
        <v>1569</v>
      </c>
      <c r="H9249" s="396" t="s">
        <v>5462</v>
      </c>
      <c r="I9249" s="470">
        <v>650</v>
      </c>
      <c r="J9249" s="427">
        <v>4.3888999999999996</v>
      </c>
      <c r="K9249" s="427">
        <v>4.0613999999999999</v>
      </c>
      <c r="L9249" s="427">
        <f t="shared" si="127"/>
        <v>0.32749999999999968</v>
      </c>
      <c r="M9249" s="337"/>
    </row>
    <row r="9250" spans="1:13" s="71" customFormat="1" ht="26.4" customHeight="1">
      <c r="A9250" s="282">
        <v>484</v>
      </c>
      <c r="B9250" s="534"/>
      <c r="C9250" s="260" t="s">
        <v>11819</v>
      </c>
      <c r="D9250" s="260" t="s">
        <v>12374</v>
      </c>
      <c r="E9250" s="260" t="s">
        <v>12375</v>
      </c>
      <c r="F9250" s="387">
        <v>91260</v>
      </c>
      <c r="G9250" s="373" t="s">
        <v>1569</v>
      </c>
      <c r="H9250" s="396" t="s">
        <v>5462</v>
      </c>
      <c r="I9250" s="470">
        <v>264</v>
      </c>
      <c r="J9250" s="427">
        <v>3.7791000000000001</v>
      </c>
      <c r="K9250" s="427">
        <v>3.4971000000000001</v>
      </c>
      <c r="L9250" s="427">
        <f t="shared" si="127"/>
        <v>0.28200000000000003</v>
      </c>
      <c r="M9250" s="337"/>
    </row>
    <row r="9251" spans="1:13" s="71" customFormat="1" ht="26.4" customHeight="1">
      <c r="A9251" s="282">
        <v>485</v>
      </c>
      <c r="B9251" s="534"/>
      <c r="C9251" s="260" t="s">
        <v>11819</v>
      </c>
      <c r="D9251" s="260" t="s">
        <v>12376</v>
      </c>
      <c r="E9251" s="260" t="s">
        <v>12377</v>
      </c>
      <c r="F9251" s="387">
        <v>91261</v>
      </c>
      <c r="G9251" s="373" t="s">
        <v>1569</v>
      </c>
      <c r="H9251" s="396" t="s">
        <v>5462</v>
      </c>
      <c r="I9251" s="470">
        <v>858</v>
      </c>
      <c r="J9251" s="427">
        <v>6.3141800000000003</v>
      </c>
      <c r="K9251" s="427">
        <v>5.8432199999999996</v>
      </c>
      <c r="L9251" s="427">
        <f t="shared" si="127"/>
        <v>0.47096000000000071</v>
      </c>
      <c r="M9251" s="337"/>
    </row>
    <row r="9252" spans="1:13" s="71" customFormat="1" ht="26.4" customHeight="1">
      <c r="A9252" s="282">
        <v>486</v>
      </c>
      <c r="B9252" s="534"/>
      <c r="C9252" s="260" t="s">
        <v>11819</v>
      </c>
      <c r="D9252" s="260" t="s">
        <v>12326</v>
      </c>
      <c r="E9252" s="260" t="s">
        <v>12378</v>
      </c>
      <c r="F9252" s="387">
        <v>91262</v>
      </c>
      <c r="G9252" s="373" t="s">
        <v>1569</v>
      </c>
      <c r="H9252" s="396" t="s">
        <v>5462</v>
      </c>
      <c r="I9252" s="470">
        <v>1050</v>
      </c>
      <c r="J9252" s="427">
        <v>7.1691000000000003</v>
      </c>
      <c r="K9252" s="427">
        <v>6.6343399999999999</v>
      </c>
      <c r="L9252" s="427">
        <f t="shared" si="127"/>
        <v>0.53476000000000035</v>
      </c>
      <c r="M9252" s="337"/>
    </row>
    <row r="9253" spans="1:13" s="71" customFormat="1" ht="26.4" customHeight="1">
      <c r="A9253" s="282">
        <v>487</v>
      </c>
      <c r="B9253" s="534"/>
      <c r="C9253" s="260" t="s">
        <v>11819</v>
      </c>
      <c r="D9253" s="260" t="s">
        <v>12322</v>
      </c>
      <c r="E9253" s="260" t="s">
        <v>12379</v>
      </c>
      <c r="F9253" s="387">
        <v>91263</v>
      </c>
      <c r="G9253" s="373" t="s">
        <v>1569</v>
      </c>
      <c r="H9253" s="396" t="s">
        <v>5462</v>
      </c>
      <c r="I9253" s="470">
        <v>850</v>
      </c>
      <c r="J9253" s="427">
        <v>4.0403000000000002</v>
      </c>
      <c r="K9253" s="427">
        <v>3.7387999999999999</v>
      </c>
      <c r="L9253" s="427">
        <f t="shared" si="127"/>
        <v>0.30150000000000032</v>
      </c>
      <c r="M9253" s="337"/>
    </row>
    <row r="9254" spans="1:13" s="71" customFormat="1" ht="26.4" customHeight="1">
      <c r="A9254" s="282">
        <v>488</v>
      </c>
      <c r="B9254" s="534"/>
      <c r="C9254" s="444" t="s">
        <v>11819</v>
      </c>
      <c r="D9254" s="444" t="s">
        <v>12380</v>
      </c>
      <c r="E9254" s="444" t="s">
        <v>12381</v>
      </c>
      <c r="F9254" s="387">
        <v>91264</v>
      </c>
      <c r="G9254" s="373" t="s">
        <v>1569</v>
      </c>
      <c r="H9254" s="396" t="s">
        <v>5462</v>
      </c>
      <c r="I9254" s="470">
        <v>1800</v>
      </c>
      <c r="J9254" s="427">
        <v>176.77327</v>
      </c>
      <c r="K9254" s="427">
        <v>175.06415000000001</v>
      </c>
      <c r="L9254" s="427">
        <f t="shared" si="127"/>
        <v>1.7091199999999844</v>
      </c>
      <c r="M9254" s="337"/>
    </row>
    <row r="9255" spans="1:13" s="71" customFormat="1" ht="26.4" customHeight="1">
      <c r="A9255" s="282">
        <v>489</v>
      </c>
      <c r="B9255" s="534"/>
      <c r="C9255" s="260" t="s">
        <v>11819</v>
      </c>
      <c r="D9255" s="260" t="s">
        <v>12363</v>
      </c>
      <c r="E9255" s="260" t="s">
        <v>12382</v>
      </c>
      <c r="F9255" s="387">
        <v>91265</v>
      </c>
      <c r="G9255" s="373" t="s">
        <v>1569</v>
      </c>
      <c r="H9255" s="396" t="s">
        <v>5462</v>
      </c>
      <c r="I9255" s="470">
        <v>250</v>
      </c>
      <c r="J9255" s="427">
        <v>22.719809999999999</v>
      </c>
      <c r="K9255" s="427">
        <v>21.024789999999999</v>
      </c>
      <c r="L9255" s="427">
        <f t="shared" si="127"/>
        <v>1.6950199999999995</v>
      </c>
      <c r="M9255" s="337"/>
    </row>
    <row r="9256" spans="1:13" s="71" customFormat="1" ht="26.4" customHeight="1">
      <c r="A9256" s="282">
        <v>490</v>
      </c>
      <c r="B9256" s="534"/>
      <c r="C9256" s="260" t="s">
        <v>11819</v>
      </c>
      <c r="D9256" s="260" t="s">
        <v>12318</v>
      </c>
      <c r="E9256" s="260" t="s">
        <v>12383</v>
      </c>
      <c r="F9256" s="387">
        <v>91266</v>
      </c>
      <c r="G9256" s="373" t="s">
        <v>1569</v>
      </c>
      <c r="H9256" s="396" t="s">
        <v>5462</v>
      </c>
      <c r="I9256" s="470">
        <v>620</v>
      </c>
      <c r="J9256" s="427">
        <v>8.1398600000000005</v>
      </c>
      <c r="K9256" s="427">
        <v>7.5327000000000002</v>
      </c>
      <c r="L9256" s="427">
        <f t="shared" si="127"/>
        <v>0.60716000000000037</v>
      </c>
      <c r="M9256" s="337"/>
    </row>
    <row r="9257" spans="1:13" s="71" customFormat="1" ht="26.4" customHeight="1">
      <c r="A9257" s="282">
        <v>491</v>
      </c>
      <c r="B9257" s="534"/>
      <c r="C9257" s="260" t="s">
        <v>11819</v>
      </c>
      <c r="D9257" s="260" t="s">
        <v>12296</v>
      </c>
      <c r="E9257" s="260" t="s">
        <v>12384</v>
      </c>
      <c r="F9257" s="387">
        <v>91267</v>
      </c>
      <c r="G9257" s="373" t="s">
        <v>1569</v>
      </c>
      <c r="H9257" s="396" t="s">
        <v>5462</v>
      </c>
      <c r="I9257" s="470">
        <v>650</v>
      </c>
      <c r="J9257" s="427">
        <v>8.2814999999999994</v>
      </c>
      <c r="K9257" s="427">
        <v>7.6637399999999998</v>
      </c>
      <c r="L9257" s="427">
        <f t="shared" si="127"/>
        <v>0.61775999999999964</v>
      </c>
      <c r="M9257" s="337"/>
    </row>
    <row r="9258" spans="1:13" s="71" customFormat="1" ht="26.4" customHeight="1">
      <c r="A9258" s="282">
        <v>492</v>
      </c>
      <c r="B9258" s="534"/>
      <c r="C9258" s="260" t="s">
        <v>11819</v>
      </c>
      <c r="D9258" s="260" t="s">
        <v>12385</v>
      </c>
      <c r="E9258" s="260" t="s">
        <v>12386</v>
      </c>
      <c r="F9258" s="387">
        <v>91268</v>
      </c>
      <c r="G9258" s="373" t="s">
        <v>1569</v>
      </c>
      <c r="H9258" s="396" t="s">
        <v>5462</v>
      </c>
      <c r="I9258" s="470">
        <v>700</v>
      </c>
      <c r="J9258" s="427">
        <v>46.890079999999998</v>
      </c>
      <c r="K9258" s="427">
        <v>43.391840000000002</v>
      </c>
      <c r="L9258" s="427">
        <f t="shared" si="127"/>
        <v>3.4982399999999956</v>
      </c>
      <c r="M9258" s="337"/>
    </row>
    <row r="9259" spans="1:13" s="71" customFormat="1" ht="26.4" customHeight="1">
      <c r="A9259" s="282">
        <v>493</v>
      </c>
      <c r="B9259" s="534"/>
      <c r="C9259" s="260" t="s">
        <v>11819</v>
      </c>
      <c r="D9259" s="260" t="s">
        <v>12387</v>
      </c>
      <c r="E9259" s="260" t="s">
        <v>12388</v>
      </c>
      <c r="F9259" s="387">
        <v>91269</v>
      </c>
      <c r="G9259" s="373" t="s">
        <v>1569</v>
      </c>
      <c r="H9259" s="396" t="s">
        <v>5462</v>
      </c>
      <c r="I9259" s="470">
        <v>1300</v>
      </c>
      <c r="J9259" s="427">
        <v>77.357399999999998</v>
      </c>
      <c r="K9259" s="427">
        <v>71.58708</v>
      </c>
      <c r="L9259" s="427">
        <f t="shared" si="127"/>
        <v>5.7703199999999981</v>
      </c>
      <c r="M9259" s="337"/>
    </row>
    <row r="9260" spans="1:13" s="71" customFormat="1" ht="26.4" customHeight="1">
      <c r="A9260" s="282">
        <v>494</v>
      </c>
      <c r="B9260" s="534"/>
      <c r="C9260" s="260" t="s">
        <v>11819</v>
      </c>
      <c r="D9260" s="282" t="s">
        <v>12389</v>
      </c>
      <c r="E9260" s="260" t="s">
        <v>12390</v>
      </c>
      <c r="F9260" s="387">
        <v>91270</v>
      </c>
      <c r="G9260" s="373" t="s">
        <v>1569</v>
      </c>
      <c r="H9260" s="396" t="s">
        <v>5462</v>
      </c>
      <c r="I9260" s="470">
        <v>500</v>
      </c>
      <c r="J9260" s="427">
        <v>12.07638</v>
      </c>
      <c r="K9260" s="427">
        <v>11.175420000000001</v>
      </c>
      <c r="L9260" s="427">
        <f t="shared" si="127"/>
        <v>0.90095999999999954</v>
      </c>
      <c r="M9260" s="337"/>
    </row>
    <row r="9261" spans="1:13" s="71" customFormat="1" ht="26.4" customHeight="1">
      <c r="A9261" s="282">
        <v>495</v>
      </c>
      <c r="B9261" s="534"/>
      <c r="C9261" s="260" t="s">
        <v>11819</v>
      </c>
      <c r="D9261" s="260" t="s">
        <v>12326</v>
      </c>
      <c r="E9261" s="260" t="s">
        <v>12391</v>
      </c>
      <c r="F9261" s="387">
        <v>91271</v>
      </c>
      <c r="G9261" s="373" t="s">
        <v>1569</v>
      </c>
      <c r="H9261" s="396" t="s">
        <v>5462</v>
      </c>
      <c r="I9261" s="470">
        <v>290</v>
      </c>
      <c r="J9261" s="427">
        <v>5.8539199999999996</v>
      </c>
      <c r="K9261" s="427">
        <v>5.4173600000000004</v>
      </c>
      <c r="L9261" s="427">
        <f t="shared" si="127"/>
        <v>0.43655999999999917</v>
      </c>
      <c r="M9261" s="337"/>
    </row>
    <row r="9262" spans="1:13" s="71" customFormat="1" ht="26.4" customHeight="1">
      <c r="A9262" s="282">
        <v>496</v>
      </c>
      <c r="B9262" s="534"/>
      <c r="C9262" s="260" t="s">
        <v>11819</v>
      </c>
      <c r="D9262" s="260" t="s">
        <v>12326</v>
      </c>
      <c r="E9262" s="260" t="s">
        <v>12391</v>
      </c>
      <c r="F9262" s="387">
        <v>91272</v>
      </c>
      <c r="G9262" s="373" t="s">
        <v>1569</v>
      </c>
      <c r="H9262" s="396" t="s">
        <v>5462</v>
      </c>
      <c r="I9262" s="470">
        <v>1060</v>
      </c>
      <c r="J9262" s="427">
        <v>18.610420000000001</v>
      </c>
      <c r="K9262" s="427">
        <v>17.222100000000001</v>
      </c>
      <c r="L9262" s="427">
        <f t="shared" si="127"/>
        <v>1.3883200000000002</v>
      </c>
      <c r="M9262" s="337"/>
    </row>
    <row r="9263" spans="1:13" s="71" customFormat="1" ht="26.4" customHeight="1">
      <c r="A9263" s="282">
        <v>497</v>
      </c>
      <c r="B9263" s="534"/>
      <c r="C9263" s="260" t="s">
        <v>11819</v>
      </c>
      <c r="D9263" s="236" t="s">
        <v>12294</v>
      </c>
      <c r="E9263" s="260" t="s">
        <v>12392</v>
      </c>
      <c r="F9263" s="387">
        <v>91281</v>
      </c>
      <c r="G9263" s="373" t="s">
        <v>1569</v>
      </c>
      <c r="H9263" s="396" t="s">
        <v>3243</v>
      </c>
      <c r="I9263" s="470" t="s">
        <v>3285</v>
      </c>
      <c r="J9263" s="427">
        <v>4.1154799999999998</v>
      </c>
      <c r="K9263" s="427">
        <v>4.1154799999999998</v>
      </c>
      <c r="L9263" s="427">
        <f t="shared" si="127"/>
        <v>0</v>
      </c>
      <c r="M9263" s="337"/>
    </row>
    <row r="9264" spans="1:13" s="71" customFormat="1" ht="26.4" customHeight="1">
      <c r="A9264" s="282">
        <v>498</v>
      </c>
      <c r="B9264" s="534"/>
      <c r="C9264" s="260" t="s">
        <v>11819</v>
      </c>
      <c r="D9264" s="236" t="s">
        <v>12294</v>
      </c>
      <c r="E9264" s="260" t="s">
        <v>12393</v>
      </c>
      <c r="F9264" s="387">
        <v>91285</v>
      </c>
      <c r="G9264" s="373" t="s">
        <v>1569</v>
      </c>
      <c r="H9264" s="396" t="s">
        <v>3243</v>
      </c>
      <c r="I9264" s="470" t="s">
        <v>3285</v>
      </c>
      <c r="J9264" s="427">
        <v>175.98975999999999</v>
      </c>
      <c r="K9264" s="427">
        <v>170.08221</v>
      </c>
      <c r="L9264" s="427">
        <f t="shared" si="127"/>
        <v>5.9075499999999863</v>
      </c>
      <c r="M9264" s="337"/>
    </row>
    <row r="9265" spans="1:13" s="71" customFormat="1" ht="26.4" customHeight="1">
      <c r="A9265" s="282">
        <v>499</v>
      </c>
      <c r="B9265" s="534"/>
      <c r="C9265" s="260" t="s">
        <v>11819</v>
      </c>
      <c r="D9265" s="236" t="s">
        <v>12294</v>
      </c>
      <c r="E9265" s="260" t="s">
        <v>13319</v>
      </c>
      <c r="F9265" s="387">
        <v>91286</v>
      </c>
      <c r="G9265" s="373" t="s">
        <v>1569</v>
      </c>
      <c r="H9265" s="396" t="s">
        <v>3243</v>
      </c>
      <c r="I9265" s="470" t="s">
        <v>3285</v>
      </c>
      <c r="J9265" s="427">
        <v>4.5047699999999997</v>
      </c>
      <c r="K9265" s="427">
        <v>4.5047699999999997</v>
      </c>
      <c r="L9265" s="427">
        <f t="shared" si="127"/>
        <v>0</v>
      </c>
      <c r="M9265" s="337"/>
    </row>
    <row r="9266" spans="1:13" s="71" customFormat="1" ht="26.4" customHeight="1">
      <c r="A9266" s="282">
        <v>500</v>
      </c>
      <c r="B9266" s="534"/>
      <c r="C9266" s="260" t="s">
        <v>11819</v>
      </c>
      <c r="D9266" s="236" t="s">
        <v>12294</v>
      </c>
      <c r="E9266" s="260" t="s">
        <v>12394</v>
      </c>
      <c r="F9266" s="387">
        <v>91287</v>
      </c>
      <c r="G9266" s="373" t="s">
        <v>1569</v>
      </c>
      <c r="H9266" s="396" t="s">
        <v>3243</v>
      </c>
      <c r="I9266" s="470" t="s">
        <v>3285</v>
      </c>
      <c r="J9266" s="427">
        <v>50.570160000000001</v>
      </c>
      <c r="K9266" s="427">
        <v>47.115189999999998</v>
      </c>
      <c r="L9266" s="427">
        <f t="shared" si="127"/>
        <v>3.454970000000003</v>
      </c>
      <c r="M9266" s="337"/>
    </row>
    <row r="9267" spans="1:13" s="71" customFormat="1" ht="26.4" customHeight="1">
      <c r="A9267" s="282">
        <v>501</v>
      </c>
      <c r="B9267" s="534"/>
      <c r="C9267" s="260" t="s">
        <v>11819</v>
      </c>
      <c r="D9267" s="236" t="s">
        <v>12294</v>
      </c>
      <c r="E9267" s="260" t="s">
        <v>12395</v>
      </c>
      <c r="F9267" s="387">
        <v>91289</v>
      </c>
      <c r="G9267" s="373" t="s">
        <v>1569</v>
      </c>
      <c r="H9267" s="396" t="s">
        <v>3243</v>
      </c>
      <c r="I9267" s="470" t="s">
        <v>3285</v>
      </c>
      <c r="J9267" s="427">
        <v>646.52837</v>
      </c>
      <c r="K9267" s="427">
        <v>640.35134000000005</v>
      </c>
      <c r="L9267" s="427">
        <f t="shared" si="127"/>
        <v>6.1770299999999452</v>
      </c>
      <c r="M9267" s="337"/>
    </row>
    <row r="9268" spans="1:13" s="71" customFormat="1" ht="26.4" customHeight="1">
      <c r="A9268" s="282">
        <v>502</v>
      </c>
      <c r="B9268" s="534"/>
      <c r="C9268" s="260" t="s">
        <v>11819</v>
      </c>
      <c r="D9268" s="236" t="s">
        <v>12294</v>
      </c>
      <c r="E9268" s="260" t="s">
        <v>7889</v>
      </c>
      <c r="F9268" s="387">
        <v>91292</v>
      </c>
      <c r="G9268" s="373" t="s">
        <v>1569</v>
      </c>
      <c r="H9268" s="396" t="s">
        <v>3243</v>
      </c>
      <c r="I9268" s="470" t="s">
        <v>3285</v>
      </c>
      <c r="J9268" s="427">
        <v>27.952950000000001</v>
      </c>
      <c r="K9268" s="427">
        <v>27.952950000000001</v>
      </c>
      <c r="L9268" s="427">
        <f t="shared" si="127"/>
        <v>0</v>
      </c>
      <c r="M9268" s="337"/>
    </row>
    <row r="9269" spans="1:13" s="71" customFormat="1" ht="26.4" customHeight="1">
      <c r="A9269" s="282">
        <v>503</v>
      </c>
      <c r="B9269" s="534"/>
      <c r="C9269" s="260" t="s">
        <v>11819</v>
      </c>
      <c r="D9269" s="236" t="s">
        <v>12294</v>
      </c>
      <c r="E9269" s="260" t="s">
        <v>12396</v>
      </c>
      <c r="F9269" s="387">
        <v>91293</v>
      </c>
      <c r="G9269" s="373" t="s">
        <v>1569</v>
      </c>
      <c r="H9269" s="396" t="s">
        <v>3243</v>
      </c>
      <c r="I9269" s="470" t="s">
        <v>3285</v>
      </c>
      <c r="J9269" s="427">
        <v>23.594950000000001</v>
      </c>
      <c r="K9269" s="427">
        <v>23.594950000000001</v>
      </c>
      <c r="L9269" s="427">
        <f t="shared" si="127"/>
        <v>0</v>
      </c>
      <c r="M9269" s="337"/>
    </row>
    <row r="9270" spans="1:13" s="71" customFormat="1" ht="26.4" customHeight="1">
      <c r="A9270" s="282">
        <v>504</v>
      </c>
      <c r="B9270" s="534"/>
      <c r="C9270" s="260" t="s">
        <v>11819</v>
      </c>
      <c r="D9270" s="236" t="s">
        <v>12294</v>
      </c>
      <c r="E9270" s="260" t="s">
        <v>12397</v>
      </c>
      <c r="F9270" s="387">
        <v>91294</v>
      </c>
      <c r="G9270" s="373" t="s">
        <v>1569</v>
      </c>
      <c r="H9270" s="396" t="s">
        <v>3243</v>
      </c>
      <c r="I9270" s="470" t="s">
        <v>3285</v>
      </c>
      <c r="J9270" s="427">
        <v>75.539959999999994</v>
      </c>
      <c r="K9270" s="427">
        <v>68.680660000000003</v>
      </c>
      <c r="L9270" s="427">
        <f t="shared" si="127"/>
        <v>6.8592999999999904</v>
      </c>
      <c r="M9270" s="337"/>
    </row>
    <row r="9271" spans="1:13" s="71" customFormat="1" ht="26.4" customHeight="1">
      <c r="A9271" s="282">
        <v>505</v>
      </c>
      <c r="B9271" s="534"/>
      <c r="C9271" s="260" t="s">
        <v>11819</v>
      </c>
      <c r="D9271" s="236" t="s">
        <v>12294</v>
      </c>
      <c r="E9271" s="260" t="s">
        <v>12398</v>
      </c>
      <c r="F9271" s="387">
        <v>91296</v>
      </c>
      <c r="G9271" s="373" t="s">
        <v>1569</v>
      </c>
      <c r="H9271" s="396" t="s">
        <v>3243</v>
      </c>
      <c r="I9271" s="470" t="s">
        <v>3285</v>
      </c>
      <c r="J9271" s="427">
        <v>12.920669999999999</v>
      </c>
      <c r="K9271" s="427">
        <v>11.52665</v>
      </c>
      <c r="L9271" s="427">
        <f t="shared" si="127"/>
        <v>1.3940199999999994</v>
      </c>
      <c r="M9271" s="337"/>
    </row>
    <row r="9272" spans="1:13" s="71" customFormat="1" ht="26.4" customHeight="1">
      <c r="A9272" s="282">
        <v>506</v>
      </c>
      <c r="B9272" s="534"/>
      <c r="C9272" s="236" t="s">
        <v>8325</v>
      </c>
      <c r="D9272" s="260" t="s">
        <v>12399</v>
      </c>
      <c r="E9272" s="260" t="s">
        <v>12400</v>
      </c>
      <c r="F9272" s="387">
        <v>91304</v>
      </c>
      <c r="G9272" s="373" t="s">
        <v>1569</v>
      </c>
      <c r="H9272" s="396" t="s">
        <v>3243</v>
      </c>
      <c r="I9272" s="470" t="s">
        <v>3285</v>
      </c>
      <c r="J9272" s="427">
        <v>5.2422700000000004</v>
      </c>
      <c r="K9272" s="427">
        <v>5.2422700000000004</v>
      </c>
      <c r="L9272" s="427">
        <f t="shared" si="127"/>
        <v>0</v>
      </c>
      <c r="M9272" s="337"/>
    </row>
    <row r="9273" spans="1:13" s="71" customFormat="1" ht="26.4" customHeight="1">
      <c r="A9273" s="282">
        <v>507</v>
      </c>
      <c r="B9273" s="534"/>
      <c r="C9273" s="236" t="s">
        <v>8325</v>
      </c>
      <c r="D9273" s="260" t="s">
        <v>12401</v>
      </c>
      <c r="E9273" s="260" t="s">
        <v>12402</v>
      </c>
      <c r="F9273" s="387">
        <v>91321</v>
      </c>
      <c r="G9273" s="373" t="s">
        <v>1569</v>
      </c>
      <c r="H9273" s="396" t="s">
        <v>3243</v>
      </c>
      <c r="I9273" s="470" t="s">
        <v>3285</v>
      </c>
      <c r="J9273" s="427">
        <v>26.7</v>
      </c>
      <c r="K9273" s="427">
        <v>26.196059999999999</v>
      </c>
      <c r="L9273" s="427">
        <f t="shared" si="127"/>
        <v>0.50394000000000005</v>
      </c>
      <c r="M9273" s="337"/>
    </row>
    <row r="9274" spans="1:13" s="71" customFormat="1" ht="26.4" customHeight="1">
      <c r="A9274" s="282">
        <v>508</v>
      </c>
      <c r="B9274" s="534"/>
      <c r="C9274" s="236" t="s">
        <v>8325</v>
      </c>
      <c r="D9274" s="260" t="s">
        <v>12256</v>
      </c>
      <c r="E9274" s="260" t="s">
        <v>12403</v>
      </c>
      <c r="F9274" s="387">
        <v>91322</v>
      </c>
      <c r="G9274" s="373" t="s">
        <v>1569</v>
      </c>
      <c r="H9274" s="396" t="s">
        <v>3243</v>
      </c>
      <c r="I9274" s="470" t="s">
        <v>3285</v>
      </c>
      <c r="J9274" s="427">
        <v>71.530469999999994</v>
      </c>
      <c r="K9274" s="427">
        <v>70.970240000000004</v>
      </c>
      <c r="L9274" s="427">
        <f t="shared" si="127"/>
        <v>0.56022999999999001</v>
      </c>
      <c r="M9274" s="337"/>
    </row>
    <row r="9275" spans="1:13" s="71" customFormat="1" ht="26.4" customHeight="1">
      <c r="A9275" s="282">
        <v>509</v>
      </c>
      <c r="B9275" s="534"/>
      <c r="C9275" s="236" t="s">
        <v>11880</v>
      </c>
      <c r="D9275" s="260" t="s">
        <v>12404</v>
      </c>
      <c r="E9275" s="260" t="s">
        <v>12405</v>
      </c>
      <c r="F9275" s="387">
        <v>91363</v>
      </c>
      <c r="G9275" s="373" t="s">
        <v>1569</v>
      </c>
      <c r="H9275" s="396" t="s">
        <v>5462</v>
      </c>
      <c r="I9275" s="470">
        <v>1283</v>
      </c>
      <c r="J9275" s="427">
        <v>5.0229799999999996</v>
      </c>
      <c r="K9275" s="427">
        <v>4.4690200000000004</v>
      </c>
      <c r="L9275" s="427">
        <f t="shared" si="127"/>
        <v>0.55395999999999912</v>
      </c>
      <c r="M9275" s="337"/>
    </row>
    <row r="9276" spans="1:13" s="71" customFormat="1" ht="26.4" customHeight="1">
      <c r="A9276" s="282">
        <v>510</v>
      </c>
      <c r="B9276" s="534"/>
      <c r="C9276" s="236" t="s">
        <v>11880</v>
      </c>
      <c r="D9276" s="260" t="s">
        <v>12406</v>
      </c>
      <c r="E9276" s="260" t="s">
        <v>12407</v>
      </c>
      <c r="F9276" s="387">
        <v>91364</v>
      </c>
      <c r="G9276" s="373" t="s">
        <v>1569</v>
      </c>
      <c r="H9276" s="396" t="s">
        <v>5462</v>
      </c>
      <c r="I9276" s="470">
        <v>1287</v>
      </c>
      <c r="J9276" s="427">
        <v>3.2580399999999998</v>
      </c>
      <c r="K9276" s="427">
        <v>2.96244</v>
      </c>
      <c r="L9276" s="427">
        <f t="shared" si="127"/>
        <v>0.29559999999999986</v>
      </c>
      <c r="M9276" s="337"/>
    </row>
    <row r="9277" spans="1:13" s="71" customFormat="1" ht="26.4" customHeight="1">
      <c r="A9277" s="282">
        <v>511</v>
      </c>
      <c r="B9277" s="534"/>
      <c r="C9277" s="236" t="s">
        <v>11880</v>
      </c>
      <c r="D9277" s="260" t="s">
        <v>12408</v>
      </c>
      <c r="E9277" s="260" t="s">
        <v>12409</v>
      </c>
      <c r="F9277" s="387">
        <v>91365</v>
      </c>
      <c r="G9277" s="373" t="s">
        <v>1569</v>
      </c>
      <c r="H9277" s="396" t="s">
        <v>5462</v>
      </c>
      <c r="I9277" s="470">
        <v>1283</v>
      </c>
      <c r="J9277" s="427">
        <v>6.5208000000000004</v>
      </c>
      <c r="K9277" s="427">
        <v>6.1513</v>
      </c>
      <c r="L9277" s="427">
        <f t="shared" si="127"/>
        <v>0.36950000000000038</v>
      </c>
      <c r="M9277" s="337"/>
    </row>
    <row r="9278" spans="1:13" s="71" customFormat="1" ht="26.4" customHeight="1">
      <c r="A9278" s="282">
        <v>512</v>
      </c>
      <c r="B9278" s="534"/>
      <c r="C9278" s="236" t="s">
        <v>12410</v>
      </c>
      <c r="D9278" s="392" t="s">
        <v>12411</v>
      </c>
      <c r="E9278" s="260" t="s">
        <v>13226</v>
      </c>
      <c r="F9278" s="387">
        <v>91366</v>
      </c>
      <c r="G9278" s="373" t="s">
        <v>1569</v>
      </c>
      <c r="H9278" s="396" t="s">
        <v>5462</v>
      </c>
      <c r="I9278" s="470">
        <v>1283</v>
      </c>
      <c r="J9278" s="427">
        <v>3.62215</v>
      </c>
      <c r="K9278" s="427">
        <v>3.0387</v>
      </c>
      <c r="L9278" s="427">
        <f t="shared" si="127"/>
        <v>0.58345000000000002</v>
      </c>
      <c r="M9278" s="337"/>
    </row>
    <row r="9279" spans="1:13" s="71" customFormat="1" ht="26.4" customHeight="1">
      <c r="A9279" s="282">
        <v>513</v>
      </c>
      <c r="B9279" s="534"/>
      <c r="C9279" s="236" t="s">
        <v>12410</v>
      </c>
      <c r="D9279" s="260" t="s">
        <v>12412</v>
      </c>
      <c r="E9279" s="260" t="s">
        <v>13227</v>
      </c>
      <c r="F9279" s="387">
        <v>91367</v>
      </c>
      <c r="G9279" s="373" t="s">
        <v>1569</v>
      </c>
      <c r="H9279" s="396" t="s">
        <v>5462</v>
      </c>
      <c r="I9279" s="470">
        <v>1283</v>
      </c>
      <c r="J9279" s="427">
        <v>3.2162500000000001</v>
      </c>
      <c r="K9279" s="427">
        <v>2.6328</v>
      </c>
      <c r="L9279" s="427">
        <f t="shared" ref="L9279:L9342" si="128">J9279-K9279</f>
        <v>0.58345000000000002</v>
      </c>
      <c r="M9279" s="337"/>
    </row>
    <row r="9280" spans="1:13" s="71" customFormat="1" ht="26.4" customHeight="1">
      <c r="A9280" s="282">
        <v>514</v>
      </c>
      <c r="B9280" s="534"/>
      <c r="C9280" s="236" t="s">
        <v>8325</v>
      </c>
      <c r="D9280" s="260" t="s">
        <v>12413</v>
      </c>
      <c r="E9280" s="260" t="s">
        <v>12414</v>
      </c>
      <c r="F9280" s="387">
        <v>91368</v>
      </c>
      <c r="G9280" s="373" t="s">
        <v>1569</v>
      </c>
      <c r="H9280" s="396" t="s">
        <v>5462</v>
      </c>
      <c r="I9280" s="470">
        <v>1283</v>
      </c>
      <c r="J9280" s="427">
        <v>5.9294500000000001</v>
      </c>
      <c r="K9280" s="427">
        <v>4.9960000000000004</v>
      </c>
      <c r="L9280" s="427">
        <f t="shared" si="128"/>
        <v>0.93344999999999967</v>
      </c>
      <c r="M9280" s="337"/>
    </row>
    <row r="9281" spans="1:13" s="71" customFormat="1" ht="26.4" customHeight="1">
      <c r="A9281" s="282">
        <v>515</v>
      </c>
      <c r="B9281" s="534"/>
      <c r="C9281" s="236" t="s">
        <v>8325</v>
      </c>
      <c r="D9281" s="260" t="s">
        <v>12415</v>
      </c>
      <c r="E9281" s="260" t="s">
        <v>13279</v>
      </c>
      <c r="F9281" s="387">
        <v>91369</v>
      </c>
      <c r="G9281" s="373" t="s">
        <v>1569</v>
      </c>
      <c r="H9281" s="396" t="s">
        <v>5462</v>
      </c>
      <c r="I9281" s="470">
        <v>1283</v>
      </c>
      <c r="J9281" s="427">
        <v>2.41465</v>
      </c>
      <c r="K9281" s="427">
        <v>2.0257999999999998</v>
      </c>
      <c r="L9281" s="427">
        <f t="shared" si="128"/>
        <v>0.38885000000000014</v>
      </c>
      <c r="M9281" s="337"/>
    </row>
    <row r="9282" spans="1:13" s="71" customFormat="1" ht="26.4" customHeight="1">
      <c r="A9282" s="282">
        <v>516</v>
      </c>
      <c r="B9282" s="534"/>
      <c r="C9282" s="236" t="s">
        <v>12410</v>
      </c>
      <c r="D9282" s="392" t="s">
        <v>12416</v>
      </c>
      <c r="E9282" s="260" t="s">
        <v>12417</v>
      </c>
      <c r="F9282" s="387">
        <v>91370</v>
      </c>
      <c r="G9282" s="373" t="s">
        <v>1569</v>
      </c>
      <c r="H9282" s="396" t="s">
        <v>5462</v>
      </c>
      <c r="I9282" s="470">
        <v>1284</v>
      </c>
      <c r="J9282" s="427">
        <v>4.5891000000000002</v>
      </c>
      <c r="K9282" s="427">
        <v>4.1516000000000002</v>
      </c>
      <c r="L9282" s="427">
        <f t="shared" si="128"/>
        <v>0.4375</v>
      </c>
      <c r="M9282" s="337"/>
    </row>
    <row r="9283" spans="1:13" s="71" customFormat="1" ht="26.4" customHeight="1">
      <c r="A9283" s="282">
        <v>517</v>
      </c>
      <c r="B9283" s="534"/>
      <c r="C9283" s="236" t="s">
        <v>12410</v>
      </c>
      <c r="D9283" s="260" t="s">
        <v>12418</v>
      </c>
      <c r="E9283" s="260" t="s">
        <v>12419</v>
      </c>
      <c r="F9283" s="387">
        <v>91371</v>
      </c>
      <c r="G9283" s="373" t="s">
        <v>1569</v>
      </c>
      <c r="H9283" s="396" t="s">
        <v>5462</v>
      </c>
      <c r="I9283" s="470">
        <v>1285</v>
      </c>
      <c r="J9283" s="427">
        <v>11.391400000000001</v>
      </c>
      <c r="K9283" s="427">
        <v>10.529</v>
      </c>
      <c r="L9283" s="427">
        <f t="shared" si="128"/>
        <v>0.86240000000000094</v>
      </c>
      <c r="M9283" s="337"/>
    </row>
    <row r="9284" spans="1:13" s="71" customFormat="1" ht="26.4" customHeight="1">
      <c r="A9284" s="282">
        <v>518</v>
      </c>
      <c r="B9284" s="534"/>
      <c r="C9284" s="236" t="s">
        <v>12410</v>
      </c>
      <c r="D9284" s="260" t="s">
        <v>12420</v>
      </c>
      <c r="E9284" s="260" t="s">
        <v>12421</v>
      </c>
      <c r="F9284" s="387">
        <v>91372</v>
      </c>
      <c r="G9284" s="373" t="s">
        <v>1569</v>
      </c>
      <c r="H9284" s="396" t="s">
        <v>5462</v>
      </c>
      <c r="I9284" s="470">
        <v>1286</v>
      </c>
      <c r="J9284" s="427">
        <v>10.285600000000001</v>
      </c>
      <c r="K9284" s="427">
        <v>9.3161000000000005</v>
      </c>
      <c r="L9284" s="427">
        <f t="shared" si="128"/>
        <v>0.96950000000000003</v>
      </c>
      <c r="M9284" s="337"/>
    </row>
    <row r="9285" spans="1:13" s="71" customFormat="1" ht="26.4" customHeight="1">
      <c r="A9285" s="282">
        <v>519</v>
      </c>
      <c r="B9285" s="534"/>
      <c r="C9285" s="236" t="s">
        <v>8434</v>
      </c>
      <c r="D9285" s="260" t="s">
        <v>12422</v>
      </c>
      <c r="E9285" s="260" t="s">
        <v>12423</v>
      </c>
      <c r="F9285" s="387">
        <v>91373</v>
      </c>
      <c r="G9285" s="373" t="s">
        <v>1569</v>
      </c>
      <c r="H9285" s="396" t="s">
        <v>5462</v>
      </c>
      <c r="I9285" s="470">
        <v>1287</v>
      </c>
      <c r="J9285" s="427">
        <v>8.9294499999999992</v>
      </c>
      <c r="K9285" s="427">
        <v>7.9960000000000004</v>
      </c>
      <c r="L9285" s="427">
        <f t="shared" si="128"/>
        <v>0.93344999999999878</v>
      </c>
      <c r="M9285" s="337"/>
    </row>
    <row r="9286" spans="1:13" s="71" customFormat="1" ht="26.4" customHeight="1">
      <c r="A9286" s="282">
        <v>520</v>
      </c>
      <c r="B9286" s="534"/>
      <c r="C9286" s="260" t="s">
        <v>11880</v>
      </c>
      <c r="D9286" s="260" t="s">
        <v>12424</v>
      </c>
      <c r="E9286" s="260" t="s">
        <v>12425</v>
      </c>
      <c r="F9286" s="387">
        <v>91374</v>
      </c>
      <c r="G9286" s="373" t="s">
        <v>1569</v>
      </c>
      <c r="H9286" s="396" t="s">
        <v>5462</v>
      </c>
      <c r="I9286" s="470">
        <v>1288</v>
      </c>
      <c r="J9286" s="427">
        <v>9.1694499999999994</v>
      </c>
      <c r="K9286" s="427">
        <v>8.2360000000000007</v>
      </c>
      <c r="L9286" s="427">
        <f t="shared" si="128"/>
        <v>0.93344999999999878</v>
      </c>
      <c r="M9286" s="337"/>
    </row>
    <row r="9287" spans="1:13" s="71" customFormat="1" ht="26.4" customHeight="1">
      <c r="A9287" s="282">
        <v>521</v>
      </c>
      <c r="B9287" s="534"/>
      <c r="C9287" s="260" t="s">
        <v>11819</v>
      </c>
      <c r="D9287" s="260" t="s">
        <v>12387</v>
      </c>
      <c r="E9287" s="260" t="s">
        <v>12426</v>
      </c>
      <c r="F9287" s="387">
        <v>91381</v>
      </c>
      <c r="G9287" s="373" t="s">
        <v>1569</v>
      </c>
      <c r="H9287" s="396" t="s">
        <v>5462</v>
      </c>
      <c r="I9287" s="470">
        <v>470</v>
      </c>
      <c r="J9287" s="427">
        <v>30.33248</v>
      </c>
      <c r="K9287" s="427">
        <v>25.504519999999999</v>
      </c>
      <c r="L9287" s="427">
        <f t="shared" si="128"/>
        <v>4.8279600000000009</v>
      </c>
      <c r="M9287" s="337"/>
    </row>
    <row r="9288" spans="1:13" s="71" customFormat="1" ht="26.4" customHeight="1">
      <c r="A9288" s="282">
        <v>522</v>
      </c>
      <c r="B9288" s="534"/>
      <c r="C9288" s="260" t="s">
        <v>11819</v>
      </c>
      <c r="D9288" s="260" t="s">
        <v>12427</v>
      </c>
      <c r="E9288" s="260" t="s">
        <v>12428</v>
      </c>
      <c r="F9288" s="387">
        <v>91382</v>
      </c>
      <c r="G9288" s="373" t="s">
        <v>1569</v>
      </c>
      <c r="H9288" s="396" t="s">
        <v>5462</v>
      </c>
      <c r="I9288" s="470">
        <v>250</v>
      </c>
      <c r="J9288" s="427">
        <v>16.164660000000001</v>
      </c>
      <c r="K9288" s="427">
        <v>13.45088</v>
      </c>
      <c r="L9288" s="427">
        <f t="shared" si="128"/>
        <v>2.7137800000000016</v>
      </c>
      <c r="M9288" s="337"/>
    </row>
    <row r="9289" spans="1:13" s="71" customFormat="1" ht="26.4" customHeight="1">
      <c r="A9289" s="282">
        <v>523</v>
      </c>
      <c r="B9289" s="534"/>
      <c r="C9289" s="260" t="s">
        <v>11819</v>
      </c>
      <c r="D9289" s="260" t="s">
        <v>12385</v>
      </c>
      <c r="E9289" s="260" t="s">
        <v>12429</v>
      </c>
      <c r="F9289" s="387">
        <v>91383</v>
      </c>
      <c r="G9289" s="373" t="s">
        <v>1569</v>
      </c>
      <c r="H9289" s="396" t="s">
        <v>5462</v>
      </c>
      <c r="I9289" s="470">
        <v>100</v>
      </c>
      <c r="J9289" s="427">
        <v>8.3176799999999993</v>
      </c>
      <c r="K9289" s="427">
        <v>7.6972199999999997</v>
      </c>
      <c r="L9289" s="427">
        <f t="shared" si="128"/>
        <v>0.62045999999999957</v>
      </c>
      <c r="M9289" s="337"/>
    </row>
    <row r="9290" spans="1:13" s="71" customFormat="1" ht="26.4" customHeight="1">
      <c r="A9290" s="282">
        <v>524</v>
      </c>
      <c r="B9290" s="534"/>
      <c r="C9290" s="260" t="s">
        <v>11819</v>
      </c>
      <c r="D9290" s="260" t="s">
        <v>12326</v>
      </c>
      <c r="E9290" s="260" t="s">
        <v>12430</v>
      </c>
      <c r="F9290" s="387">
        <v>91384</v>
      </c>
      <c r="G9290" s="373" t="s">
        <v>1569</v>
      </c>
      <c r="H9290" s="396" t="s">
        <v>5462</v>
      </c>
      <c r="I9290" s="470">
        <v>180</v>
      </c>
      <c r="J9290" s="427">
        <v>11.910220000000001</v>
      </c>
      <c r="K9290" s="427">
        <v>9.9559599999999993</v>
      </c>
      <c r="L9290" s="427">
        <f t="shared" si="128"/>
        <v>1.9542600000000014</v>
      </c>
      <c r="M9290" s="337"/>
    </row>
    <row r="9291" spans="1:13" s="71" customFormat="1" ht="26.4" customHeight="1">
      <c r="A9291" s="282">
        <v>525</v>
      </c>
      <c r="B9291" s="534"/>
      <c r="C9291" s="260" t="s">
        <v>11819</v>
      </c>
      <c r="D9291" s="260" t="s">
        <v>12431</v>
      </c>
      <c r="E9291" s="260" t="s">
        <v>12432</v>
      </c>
      <c r="F9291" s="387">
        <v>91385</v>
      </c>
      <c r="G9291" s="373" t="s">
        <v>1569</v>
      </c>
      <c r="H9291" s="396" t="s">
        <v>5462</v>
      </c>
      <c r="I9291" s="470">
        <v>1300</v>
      </c>
      <c r="J9291" s="427">
        <v>9.9736200000000004</v>
      </c>
      <c r="K9291" s="427">
        <v>9.2295599999999993</v>
      </c>
      <c r="L9291" s="427">
        <f t="shared" si="128"/>
        <v>0.74406000000000105</v>
      </c>
      <c r="M9291" s="337"/>
    </row>
    <row r="9292" spans="1:13" s="71" customFormat="1" ht="26.4" customHeight="1">
      <c r="A9292" s="282">
        <v>526</v>
      </c>
      <c r="B9292" s="534"/>
      <c r="C9292" s="260" t="s">
        <v>11819</v>
      </c>
      <c r="D9292" s="260" t="s">
        <v>12431</v>
      </c>
      <c r="E9292" s="260" t="s">
        <v>12433</v>
      </c>
      <c r="F9292" s="387">
        <v>91386</v>
      </c>
      <c r="G9292" s="373" t="s">
        <v>1569</v>
      </c>
      <c r="H9292" s="396" t="s">
        <v>5462</v>
      </c>
      <c r="I9292" s="470">
        <v>500</v>
      </c>
      <c r="J9292" s="427">
        <v>4.19564</v>
      </c>
      <c r="K9292" s="427">
        <v>3.8825400000000001</v>
      </c>
      <c r="L9292" s="427">
        <f t="shared" si="128"/>
        <v>0.31309999999999993</v>
      </c>
      <c r="M9292" s="337"/>
    </row>
    <row r="9293" spans="1:13" s="71" customFormat="1" ht="39.6">
      <c r="A9293" s="282">
        <v>527</v>
      </c>
      <c r="B9293" s="534"/>
      <c r="C9293" s="444" t="s">
        <v>12434</v>
      </c>
      <c r="D9293" s="444" t="s">
        <v>12435</v>
      </c>
      <c r="E9293" s="444" t="s">
        <v>12436</v>
      </c>
      <c r="F9293" s="387">
        <v>91387</v>
      </c>
      <c r="G9293" s="373" t="s">
        <v>1569</v>
      </c>
      <c r="H9293" s="396" t="s">
        <v>5462</v>
      </c>
      <c r="I9293" s="470">
        <v>6000</v>
      </c>
      <c r="J9293" s="427">
        <v>28.210999999999999</v>
      </c>
      <c r="K9293" s="427">
        <v>28.210999999999999</v>
      </c>
      <c r="L9293" s="427">
        <f t="shared" si="128"/>
        <v>0</v>
      </c>
      <c r="M9293" s="337"/>
    </row>
    <row r="9294" spans="1:13" s="71" customFormat="1" ht="26.4" customHeight="1">
      <c r="A9294" s="282">
        <v>528</v>
      </c>
      <c r="B9294" s="534"/>
      <c r="C9294" s="260" t="s">
        <v>11819</v>
      </c>
      <c r="D9294" s="236" t="s">
        <v>12437</v>
      </c>
      <c r="E9294" s="260" t="s">
        <v>12438</v>
      </c>
      <c r="F9294" s="387">
        <v>91388</v>
      </c>
      <c r="G9294" s="373" t="s">
        <v>1569</v>
      </c>
      <c r="H9294" s="396" t="s">
        <v>5462</v>
      </c>
      <c r="I9294" s="470">
        <v>695</v>
      </c>
      <c r="J9294" s="427">
        <v>7.5200800000000001</v>
      </c>
      <c r="K9294" s="427">
        <v>6.9591200000000004</v>
      </c>
      <c r="L9294" s="427">
        <f t="shared" si="128"/>
        <v>0.56095999999999968</v>
      </c>
      <c r="M9294" s="337"/>
    </row>
    <row r="9295" spans="1:13" s="71" customFormat="1" ht="26.4" customHeight="1">
      <c r="A9295" s="282">
        <v>529</v>
      </c>
      <c r="B9295" s="534"/>
      <c r="C9295" s="260" t="s">
        <v>11819</v>
      </c>
      <c r="D9295" s="260" t="s">
        <v>12439</v>
      </c>
      <c r="E9295" s="260" t="s">
        <v>12440</v>
      </c>
      <c r="F9295" s="387">
        <v>91389</v>
      </c>
      <c r="G9295" s="373" t="s">
        <v>1569</v>
      </c>
      <c r="H9295" s="396" t="s">
        <v>5462</v>
      </c>
      <c r="I9295" s="470">
        <v>695</v>
      </c>
      <c r="J9295" s="427">
        <v>8.4178800000000003</v>
      </c>
      <c r="K9295" s="427">
        <v>7.7899200000000004</v>
      </c>
      <c r="L9295" s="427">
        <f t="shared" si="128"/>
        <v>0.62795999999999985</v>
      </c>
      <c r="M9295" s="337"/>
    </row>
    <row r="9296" spans="1:13" s="71" customFormat="1" ht="26.4" customHeight="1">
      <c r="A9296" s="282">
        <v>530</v>
      </c>
      <c r="B9296" s="534"/>
      <c r="C9296" s="260" t="s">
        <v>11819</v>
      </c>
      <c r="D9296" s="236" t="s">
        <v>13002</v>
      </c>
      <c r="E9296" s="260" t="s">
        <v>12441</v>
      </c>
      <c r="F9296" s="387">
        <v>91390</v>
      </c>
      <c r="G9296" s="373" t="s">
        <v>1569</v>
      </c>
      <c r="H9296" s="396" t="s">
        <v>5462</v>
      </c>
      <c r="I9296" s="470">
        <v>695</v>
      </c>
      <c r="J9296" s="427">
        <v>6.7817400000000001</v>
      </c>
      <c r="K9296" s="427">
        <v>6.2758799999999999</v>
      </c>
      <c r="L9296" s="427">
        <f t="shared" si="128"/>
        <v>0.5058600000000002</v>
      </c>
      <c r="M9296" s="337"/>
    </row>
    <row r="9297" spans="1:13" s="71" customFormat="1" ht="26.4" customHeight="1">
      <c r="A9297" s="282">
        <v>531</v>
      </c>
      <c r="B9297" s="534"/>
      <c r="C9297" s="260" t="s">
        <v>11819</v>
      </c>
      <c r="D9297" s="260" t="s">
        <v>12387</v>
      </c>
      <c r="E9297" s="260" t="s">
        <v>12442</v>
      </c>
      <c r="F9297" s="387">
        <v>91391</v>
      </c>
      <c r="G9297" s="373" t="s">
        <v>1569</v>
      </c>
      <c r="H9297" s="396" t="s">
        <v>5462</v>
      </c>
      <c r="I9297" s="470">
        <v>695</v>
      </c>
      <c r="J9297" s="427">
        <v>7.5321400000000001</v>
      </c>
      <c r="K9297" s="427">
        <v>6.9702799999999998</v>
      </c>
      <c r="L9297" s="427">
        <f t="shared" si="128"/>
        <v>0.56186000000000025</v>
      </c>
      <c r="M9297" s="337"/>
    </row>
    <row r="9298" spans="1:13" s="71" customFormat="1" ht="26.4" customHeight="1">
      <c r="A9298" s="282">
        <v>532</v>
      </c>
      <c r="B9298" s="534"/>
      <c r="C9298" s="260" t="s">
        <v>11819</v>
      </c>
      <c r="D9298" s="260" t="s">
        <v>12376</v>
      </c>
      <c r="E9298" s="260" t="s">
        <v>12443</v>
      </c>
      <c r="F9298" s="387">
        <v>91392</v>
      </c>
      <c r="G9298" s="373" t="s">
        <v>1569</v>
      </c>
      <c r="H9298" s="396" t="s">
        <v>5462</v>
      </c>
      <c r="I9298" s="470">
        <v>695</v>
      </c>
      <c r="J9298" s="427">
        <v>13.471019999999999</v>
      </c>
      <c r="K9298" s="427">
        <v>12.465960000000001</v>
      </c>
      <c r="L9298" s="427">
        <f t="shared" si="128"/>
        <v>1.0050599999999985</v>
      </c>
      <c r="M9298" s="337"/>
    </row>
    <row r="9299" spans="1:13" s="71" customFormat="1" ht="26.4" customHeight="1">
      <c r="A9299" s="282">
        <v>533</v>
      </c>
      <c r="B9299" s="534"/>
      <c r="C9299" s="260" t="s">
        <v>11819</v>
      </c>
      <c r="D9299" s="260" t="s">
        <v>12444</v>
      </c>
      <c r="E9299" s="260" t="s">
        <v>12445</v>
      </c>
      <c r="F9299" s="387">
        <v>91393</v>
      </c>
      <c r="G9299" s="373" t="s">
        <v>1569</v>
      </c>
      <c r="H9299" s="396" t="s">
        <v>5462</v>
      </c>
      <c r="I9299" s="470">
        <v>695</v>
      </c>
      <c r="J9299" s="427">
        <v>2.8368799999999998</v>
      </c>
      <c r="K9299" s="427">
        <v>2.6251799999999998</v>
      </c>
      <c r="L9299" s="427">
        <f t="shared" si="128"/>
        <v>0.2117</v>
      </c>
      <c r="M9299" s="337"/>
    </row>
    <row r="9300" spans="1:13" s="71" customFormat="1" ht="26.4" customHeight="1">
      <c r="A9300" s="282">
        <v>534</v>
      </c>
      <c r="B9300" s="534"/>
      <c r="C9300" s="260" t="s">
        <v>11819</v>
      </c>
      <c r="D9300" s="260" t="s">
        <v>12446</v>
      </c>
      <c r="E9300" s="260" t="s">
        <v>12447</v>
      </c>
      <c r="F9300" s="387">
        <v>91394</v>
      </c>
      <c r="G9300" s="373" t="s">
        <v>1569</v>
      </c>
      <c r="H9300" s="396" t="s">
        <v>5462</v>
      </c>
      <c r="I9300" s="470">
        <v>695</v>
      </c>
      <c r="J9300" s="427">
        <v>1.61202</v>
      </c>
      <c r="K9300" s="427">
        <v>1.4917199999999999</v>
      </c>
      <c r="L9300" s="427">
        <f t="shared" si="128"/>
        <v>0.12030000000000007</v>
      </c>
      <c r="M9300" s="337"/>
    </row>
    <row r="9301" spans="1:13" s="71" customFormat="1" ht="26.4" customHeight="1">
      <c r="A9301" s="282">
        <v>535</v>
      </c>
      <c r="B9301" s="534"/>
      <c r="C9301" s="260" t="s">
        <v>11819</v>
      </c>
      <c r="D9301" s="260" t="s">
        <v>12427</v>
      </c>
      <c r="E9301" s="260" t="s">
        <v>12448</v>
      </c>
      <c r="F9301" s="387">
        <v>91395</v>
      </c>
      <c r="G9301" s="373" t="s">
        <v>1569</v>
      </c>
      <c r="H9301" s="396" t="s">
        <v>5462</v>
      </c>
      <c r="I9301" s="470">
        <v>695</v>
      </c>
      <c r="J9301" s="427">
        <v>6.5928000000000004</v>
      </c>
      <c r="K9301" s="427">
        <v>6.1010400000000002</v>
      </c>
      <c r="L9301" s="427">
        <f t="shared" si="128"/>
        <v>0.4917600000000002</v>
      </c>
      <c r="M9301" s="337"/>
    </row>
    <row r="9302" spans="1:13" s="71" customFormat="1" ht="26.4" customHeight="1">
      <c r="A9302" s="282">
        <v>536</v>
      </c>
      <c r="B9302" s="534"/>
      <c r="C9302" s="260" t="s">
        <v>11819</v>
      </c>
      <c r="D9302" s="260" t="s">
        <v>12385</v>
      </c>
      <c r="E9302" s="260" t="s">
        <v>12449</v>
      </c>
      <c r="F9302" s="387">
        <v>91396</v>
      </c>
      <c r="G9302" s="373" t="s">
        <v>1569</v>
      </c>
      <c r="H9302" s="396" t="s">
        <v>5462</v>
      </c>
      <c r="I9302" s="470">
        <v>695</v>
      </c>
      <c r="J9302" s="427">
        <v>5.9656799999999999</v>
      </c>
      <c r="K9302" s="427">
        <v>5.5207199999999998</v>
      </c>
      <c r="L9302" s="427">
        <f t="shared" si="128"/>
        <v>0.44496000000000002</v>
      </c>
      <c r="M9302" s="337"/>
    </row>
    <row r="9303" spans="1:13" s="71" customFormat="1" ht="26.4" customHeight="1">
      <c r="A9303" s="282">
        <v>537</v>
      </c>
      <c r="B9303" s="534"/>
      <c r="C9303" s="260" t="s">
        <v>11819</v>
      </c>
      <c r="D9303" s="260" t="s">
        <v>12450</v>
      </c>
      <c r="E9303" s="260" t="s">
        <v>12451</v>
      </c>
      <c r="F9303" s="387">
        <v>91397</v>
      </c>
      <c r="G9303" s="373" t="s">
        <v>1569</v>
      </c>
      <c r="H9303" s="396" t="s">
        <v>5462</v>
      </c>
      <c r="I9303" s="470">
        <v>695</v>
      </c>
      <c r="J9303" s="427">
        <v>6.2457399999999996</v>
      </c>
      <c r="K9303" s="427">
        <v>5.7798800000000004</v>
      </c>
      <c r="L9303" s="427">
        <f t="shared" si="128"/>
        <v>0.46585999999999927</v>
      </c>
      <c r="M9303" s="337"/>
    </row>
    <row r="9304" spans="1:13" s="71" customFormat="1" ht="26.4" customHeight="1">
      <c r="A9304" s="282">
        <v>538</v>
      </c>
      <c r="B9304" s="534"/>
      <c r="C9304" s="260" t="s">
        <v>11819</v>
      </c>
      <c r="D9304" s="260" t="s">
        <v>12452</v>
      </c>
      <c r="E9304" s="260" t="s">
        <v>12453</v>
      </c>
      <c r="F9304" s="387">
        <v>91398</v>
      </c>
      <c r="G9304" s="373" t="s">
        <v>1569</v>
      </c>
      <c r="H9304" s="396" t="s">
        <v>5462</v>
      </c>
      <c r="I9304" s="470">
        <v>695</v>
      </c>
      <c r="J9304" s="427">
        <v>6.7281399999999998</v>
      </c>
      <c r="K9304" s="427">
        <v>6.22628</v>
      </c>
      <c r="L9304" s="427">
        <f t="shared" si="128"/>
        <v>0.50185999999999975</v>
      </c>
      <c r="M9304" s="337"/>
    </row>
    <row r="9305" spans="1:13" s="71" customFormat="1" ht="26.4" customHeight="1">
      <c r="A9305" s="282">
        <v>539</v>
      </c>
      <c r="B9305" s="534"/>
      <c r="C9305" s="260" t="s">
        <v>11819</v>
      </c>
      <c r="D9305" s="260" t="s">
        <v>12454</v>
      </c>
      <c r="E9305" s="260" t="s">
        <v>12455</v>
      </c>
      <c r="F9305" s="387">
        <v>91399</v>
      </c>
      <c r="G9305" s="373" t="s">
        <v>1569</v>
      </c>
      <c r="H9305" s="396" t="s">
        <v>5462</v>
      </c>
      <c r="I9305" s="470">
        <v>695</v>
      </c>
      <c r="J9305" s="427">
        <v>5.54894</v>
      </c>
      <c r="K9305" s="427">
        <v>5.1348399999999996</v>
      </c>
      <c r="L9305" s="427">
        <f t="shared" si="128"/>
        <v>0.41410000000000036</v>
      </c>
      <c r="M9305" s="337"/>
    </row>
    <row r="9306" spans="1:13" s="71" customFormat="1" ht="26.4" customHeight="1">
      <c r="A9306" s="282">
        <v>540</v>
      </c>
      <c r="B9306" s="534"/>
      <c r="C9306" s="260" t="s">
        <v>11819</v>
      </c>
      <c r="D9306" s="260" t="s">
        <v>12456</v>
      </c>
      <c r="E9306" s="260" t="s">
        <v>12457</v>
      </c>
      <c r="F9306" s="387">
        <v>91400</v>
      </c>
      <c r="G9306" s="373" t="s">
        <v>1569</v>
      </c>
      <c r="H9306" s="396" t="s">
        <v>5462</v>
      </c>
      <c r="I9306" s="470">
        <v>695</v>
      </c>
      <c r="J9306" s="427">
        <v>2.6894800000000001</v>
      </c>
      <c r="K9306" s="427">
        <v>2.4887800000000002</v>
      </c>
      <c r="L9306" s="427">
        <f t="shared" si="128"/>
        <v>0.20069999999999988</v>
      </c>
      <c r="M9306" s="337"/>
    </row>
    <row r="9307" spans="1:13" s="71" customFormat="1" ht="26.4" customHeight="1">
      <c r="A9307" s="282">
        <v>541</v>
      </c>
      <c r="B9307" s="534"/>
      <c r="C9307" s="260" t="s">
        <v>11819</v>
      </c>
      <c r="D9307" s="260" t="s">
        <v>12318</v>
      </c>
      <c r="E9307" s="260" t="s">
        <v>12458</v>
      </c>
      <c r="F9307" s="387">
        <v>91401</v>
      </c>
      <c r="G9307" s="373" t="s">
        <v>1569</v>
      </c>
      <c r="H9307" s="396" t="s">
        <v>5462</v>
      </c>
      <c r="I9307" s="470">
        <v>695</v>
      </c>
      <c r="J9307" s="427">
        <v>18.981100000000001</v>
      </c>
      <c r="K9307" s="427">
        <v>17.565079999999998</v>
      </c>
      <c r="L9307" s="427">
        <f t="shared" si="128"/>
        <v>1.4160200000000032</v>
      </c>
      <c r="M9307" s="337"/>
    </row>
    <row r="9308" spans="1:13" s="71" customFormat="1" ht="26.4" customHeight="1">
      <c r="A9308" s="282">
        <v>542</v>
      </c>
      <c r="B9308" s="534"/>
      <c r="C9308" s="260" t="s">
        <v>11819</v>
      </c>
      <c r="D9308" s="260" t="s">
        <v>12459</v>
      </c>
      <c r="E9308" s="260" t="s">
        <v>12460</v>
      </c>
      <c r="F9308" s="387">
        <v>91402</v>
      </c>
      <c r="G9308" s="373" t="s">
        <v>1569</v>
      </c>
      <c r="H9308" s="396" t="s">
        <v>5462</v>
      </c>
      <c r="I9308" s="470">
        <v>695</v>
      </c>
      <c r="J9308" s="427">
        <v>17.587499999999999</v>
      </c>
      <c r="K9308" s="427">
        <v>16.275480000000002</v>
      </c>
      <c r="L9308" s="427">
        <f t="shared" si="128"/>
        <v>1.3120199999999969</v>
      </c>
      <c r="M9308" s="337"/>
    </row>
    <row r="9309" spans="1:13" s="71" customFormat="1" ht="26.4" customHeight="1">
      <c r="A9309" s="282">
        <v>543</v>
      </c>
      <c r="B9309" s="534"/>
      <c r="C9309" s="260" t="s">
        <v>11819</v>
      </c>
      <c r="D9309" s="260" t="s">
        <v>12300</v>
      </c>
      <c r="E9309" s="260" t="s">
        <v>12461</v>
      </c>
      <c r="F9309" s="387">
        <v>91403</v>
      </c>
      <c r="G9309" s="373" t="s">
        <v>1569</v>
      </c>
      <c r="H9309" s="396" t="s">
        <v>5462</v>
      </c>
      <c r="I9309" s="470">
        <v>695</v>
      </c>
      <c r="J9309" s="427">
        <v>2.6224799999999999</v>
      </c>
      <c r="K9309" s="427">
        <v>2.4267799999999999</v>
      </c>
      <c r="L9309" s="427">
        <f t="shared" si="128"/>
        <v>0.19569999999999999</v>
      </c>
      <c r="M9309" s="337"/>
    </row>
    <row r="9310" spans="1:13" s="71" customFormat="1" ht="26.4" customHeight="1">
      <c r="A9310" s="282">
        <v>544</v>
      </c>
      <c r="B9310" s="534"/>
      <c r="C9310" s="260" t="s">
        <v>11819</v>
      </c>
      <c r="D9310" s="236" t="s">
        <v>12294</v>
      </c>
      <c r="E9310" s="260" t="s">
        <v>12462</v>
      </c>
      <c r="F9310" s="387">
        <v>91404</v>
      </c>
      <c r="G9310" s="373" t="s">
        <v>1569</v>
      </c>
      <c r="H9310" s="396" t="s">
        <v>5462</v>
      </c>
      <c r="I9310" s="470">
        <v>695</v>
      </c>
      <c r="J9310" s="427">
        <v>13.67202</v>
      </c>
      <c r="K9310" s="427">
        <v>12.651960000000001</v>
      </c>
      <c r="L9310" s="427">
        <f t="shared" si="128"/>
        <v>1.0200599999999991</v>
      </c>
      <c r="M9310" s="337"/>
    </row>
    <row r="9311" spans="1:13" s="71" customFormat="1" ht="26.4" customHeight="1">
      <c r="A9311" s="282">
        <v>545</v>
      </c>
      <c r="B9311" s="534"/>
      <c r="C9311" s="260" t="s">
        <v>11819</v>
      </c>
      <c r="D9311" s="260" t="s">
        <v>12326</v>
      </c>
      <c r="E9311" s="260" t="s">
        <v>12463</v>
      </c>
      <c r="F9311" s="387">
        <v>91405</v>
      </c>
      <c r="G9311" s="373" t="s">
        <v>1569</v>
      </c>
      <c r="H9311" s="396" t="s">
        <v>5462</v>
      </c>
      <c r="I9311" s="470">
        <v>695</v>
      </c>
      <c r="J9311" s="427">
        <v>2.7498800000000001</v>
      </c>
      <c r="K9311" s="427">
        <v>2.5446800000000001</v>
      </c>
      <c r="L9311" s="427">
        <f t="shared" si="128"/>
        <v>0.20520000000000005</v>
      </c>
      <c r="M9311" s="337"/>
    </row>
    <row r="9312" spans="1:13" s="71" customFormat="1" ht="26.4" customHeight="1">
      <c r="A9312" s="282">
        <v>546</v>
      </c>
      <c r="B9312" s="534"/>
      <c r="C9312" s="260" t="s">
        <v>11819</v>
      </c>
      <c r="D9312" s="260" t="s">
        <v>12314</v>
      </c>
      <c r="E9312" s="260" t="s">
        <v>12464</v>
      </c>
      <c r="F9312" s="387">
        <v>91406</v>
      </c>
      <c r="G9312" s="373" t="s">
        <v>1569</v>
      </c>
      <c r="H9312" s="396" t="s">
        <v>5462</v>
      </c>
      <c r="I9312" s="470">
        <v>695</v>
      </c>
      <c r="J9312" s="427">
        <v>7.5736800000000004</v>
      </c>
      <c r="K9312" s="427">
        <v>7.0087200000000003</v>
      </c>
      <c r="L9312" s="427">
        <f t="shared" si="128"/>
        <v>0.56496000000000013</v>
      </c>
      <c r="M9312" s="337"/>
    </row>
    <row r="9313" spans="1:13" s="71" customFormat="1" ht="26.4" customHeight="1">
      <c r="A9313" s="282">
        <v>547</v>
      </c>
      <c r="B9313" s="534"/>
      <c r="C9313" s="260" t="s">
        <v>11819</v>
      </c>
      <c r="D9313" s="260" t="s">
        <v>12365</v>
      </c>
      <c r="E9313" s="260" t="s">
        <v>12465</v>
      </c>
      <c r="F9313" s="387">
        <v>91407</v>
      </c>
      <c r="G9313" s="373" t="s">
        <v>1569</v>
      </c>
      <c r="H9313" s="396" t="s">
        <v>5462</v>
      </c>
      <c r="I9313" s="470">
        <v>695</v>
      </c>
      <c r="J9313" s="427">
        <v>4.7797799999999997</v>
      </c>
      <c r="K9313" s="427">
        <v>4.4230799999999997</v>
      </c>
      <c r="L9313" s="427">
        <f t="shared" si="128"/>
        <v>0.35670000000000002</v>
      </c>
      <c r="M9313" s="337"/>
    </row>
    <row r="9314" spans="1:13" s="71" customFormat="1" ht="26.4" customHeight="1">
      <c r="A9314" s="282">
        <v>548</v>
      </c>
      <c r="B9314" s="534"/>
      <c r="C9314" s="260" t="s">
        <v>11819</v>
      </c>
      <c r="D9314" s="260" t="s">
        <v>12324</v>
      </c>
      <c r="E9314" s="260" t="s">
        <v>12466</v>
      </c>
      <c r="F9314" s="387">
        <v>91408</v>
      </c>
      <c r="G9314" s="373" t="s">
        <v>1569</v>
      </c>
      <c r="H9314" s="396" t="s">
        <v>5462</v>
      </c>
      <c r="I9314" s="470">
        <v>695</v>
      </c>
      <c r="J9314" s="427">
        <v>7.2641400000000003</v>
      </c>
      <c r="K9314" s="427">
        <v>6.7222799999999996</v>
      </c>
      <c r="L9314" s="427">
        <f t="shared" si="128"/>
        <v>0.54186000000000067</v>
      </c>
      <c r="M9314" s="337"/>
    </row>
    <row r="9315" spans="1:13" s="71" customFormat="1" ht="26.4" customHeight="1">
      <c r="A9315" s="282">
        <v>549</v>
      </c>
      <c r="B9315" s="534"/>
      <c r="C9315" s="260" t="s">
        <v>11819</v>
      </c>
      <c r="D9315" s="260" t="s">
        <v>12359</v>
      </c>
      <c r="E9315" s="260" t="s">
        <v>12467</v>
      </c>
      <c r="F9315" s="387">
        <v>91409</v>
      </c>
      <c r="G9315" s="373" t="s">
        <v>1569</v>
      </c>
      <c r="H9315" s="396" t="s">
        <v>5462</v>
      </c>
      <c r="I9315" s="470">
        <v>695</v>
      </c>
      <c r="J9315" s="427">
        <v>3.3989400000000001</v>
      </c>
      <c r="K9315" s="427">
        <v>3.14534</v>
      </c>
      <c r="L9315" s="427">
        <f t="shared" si="128"/>
        <v>0.25360000000000005</v>
      </c>
      <c r="M9315" s="337"/>
    </row>
    <row r="9316" spans="1:13" s="71" customFormat="1" ht="26.4" customHeight="1">
      <c r="A9316" s="282">
        <v>550</v>
      </c>
      <c r="B9316" s="534"/>
      <c r="C9316" s="260" t="s">
        <v>11819</v>
      </c>
      <c r="D9316" s="260" t="s">
        <v>12316</v>
      </c>
      <c r="E9316" s="260" t="s">
        <v>12468</v>
      </c>
      <c r="F9316" s="387">
        <v>91410</v>
      </c>
      <c r="G9316" s="373" t="s">
        <v>1569</v>
      </c>
      <c r="H9316" s="396" t="s">
        <v>5462</v>
      </c>
      <c r="I9316" s="470">
        <v>695</v>
      </c>
      <c r="J9316" s="427">
        <v>6.6236199999999998</v>
      </c>
      <c r="K9316" s="427">
        <v>6.1295599999999997</v>
      </c>
      <c r="L9316" s="427">
        <f t="shared" si="128"/>
        <v>0.49406000000000017</v>
      </c>
      <c r="M9316" s="337"/>
    </row>
    <row r="9317" spans="1:13" s="71" customFormat="1" ht="26.4" customHeight="1">
      <c r="A9317" s="282">
        <v>551</v>
      </c>
      <c r="B9317" s="534"/>
      <c r="C9317" s="260" t="s">
        <v>11819</v>
      </c>
      <c r="D9317" s="260" t="s">
        <v>12296</v>
      </c>
      <c r="E9317" s="260" t="s">
        <v>12469</v>
      </c>
      <c r="F9317" s="387">
        <v>91411</v>
      </c>
      <c r="G9317" s="373" t="s">
        <v>1569</v>
      </c>
      <c r="H9317" s="396" t="s">
        <v>5462</v>
      </c>
      <c r="I9317" s="470">
        <v>695</v>
      </c>
      <c r="J9317" s="427">
        <v>8.8734800000000007</v>
      </c>
      <c r="K9317" s="427">
        <v>8.2115200000000002</v>
      </c>
      <c r="L9317" s="427">
        <f t="shared" si="128"/>
        <v>0.66196000000000055</v>
      </c>
      <c r="M9317" s="337"/>
    </row>
    <row r="9318" spans="1:13" s="71" customFormat="1" ht="26.4" customHeight="1">
      <c r="A9318" s="282">
        <v>552</v>
      </c>
      <c r="B9318" s="534"/>
      <c r="C9318" s="444" t="s">
        <v>11819</v>
      </c>
      <c r="D9318" s="444" t="s">
        <v>12470</v>
      </c>
      <c r="E9318" s="444" t="s">
        <v>12471</v>
      </c>
      <c r="F9318" s="387">
        <v>91412</v>
      </c>
      <c r="G9318" s="373" t="s">
        <v>1569</v>
      </c>
      <c r="H9318" s="396" t="s">
        <v>5462</v>
      </c>
      <c r="I9318" s="470">
        <v>695</v>
      </c>
      <c r="J9318" s="427">
        <v>11.66202</v>
      </c>
      <c r="K9318" s="427">
        <v>10.79196</v>
      </c>
      <c r="L9318" s="427">
        <f t="shared" si="128"/>
        <v>0.8700600000000005</v>
      </c>
      <c r="M9318" s="337"/>
    </row>
    <row r="9319" spans="1:13" s="71" customFormat="1" ht="26.4" customHeight="1">
      <c r="A9319" s="282">
        <v>553</v>
      </c>
      <c r="B9319" s="534"/>
      <c r="C9319" s="260" t="s">
        <v>11819</v>
      </c>
      <c r="D9319" s="260" t="s">
        <v>12472</v>
      </c>
      <c r="E9319" s="260" t="s">
        <v>12473</v>
      </c>
      <c r="F9319" s="387">
        <v>91413</v>
      </c>
      <c r="G9319" s="373" t="s">
        <v>1569</v>
      </c>
      <c r="H9319" s="396" t="s">
        <v>5462</v>
      </c>
      <c r="I9319" s="470">
        <v>695</v>
      </c>
      <c r="J9319" s="427">
        <v>6.4306599999999996</v>
      </c>
      <c r="K9319" s="427">
        <v>5.9509999999999996</v>
      </c>
      <c r="L9319" s="427">
        <f t="shared" si="128"/>
        <v>0.47965999999999998</v>
      </c>
      <c r="M9319" s="337"/>
    </row>
    <row r="9320" spans="1:13" s="71" customFormat="1" ht="26.4" customHeight="1">
      <c r="A9320" s="282">
        <v>554</v>
      </c>
      <c r="B9320" s="534"/>
      <c r="C9320" s="260" t="s">
        <v>11819</v>
      </c>
      <c r="D9320" s="260" t="s">
        <v>12474</v>
      </c>
      <c r="E9320" s="260" t="s">
        <v>12475</v>
      </c>
      <c r="F9320" s="387">
        <v>91414</v>
      </c>
      <c r="G9320" s="373" t="s">
        <v>1569</v>
      </c>
      <c r="H9320" s="396" t="s">
        <v>5462</v>
      </c>
      <c r="I9320" s="470">
        <v>695</v>
      </c>
      <c r="J9320" s="427">
        <v>7.55626</v>
      </c>
      <c r="K9320" s="427">
        <v>6.9926000000000004</v>
      </c>
      <c r="L9320" s="427">
        <f t="shared" si="128"/>
        <v>0.56365999999999961</v>
      </c>
      <c r="M9320" s="337"/>
    </row>
    <row r="9321" spans="1:13" s="71" customFormat="1" ht="26.4" customHeight="1">
      <c r="A9321" s="282">
        <v>555</v>
      </c>
      <c r="B9321" s="534"/>
      <c r="C9321" s="260" t="s">
        <v>11819</v>
      </c>
      <c r="D9321" s="260" t="s">
        <v>12476</v>
      </c>
      <c r="E9321" s="260" t="s">
        <v>12477</v>
      </c>
      <c r="F9321" s="387">
        <v>91415</v>
      </c>
      <c r="G9321" s="373" t="s">
        <v>1569</v>
      </c>
      <c r="H9321" s="396" t="s">
        <v>5462</v>
      </c>
      <c r="I9321" s="470">
        <v>695</v>
      </c>
      <c r="J9321" s="427">
        <v>6.5137400000000003</v>
      </c>
      <c r="K9321" s="427">
        <v>6.0278799999999997</v>
      </c>
      <c r="L9321" s="427">
        <f t="shared" si="128"/>
        <v>0.48586000000000062</v>
      </c>
      <c r="M9321" s="337"/>
    </row>
    <row r="9322" spans="1:13" s="71" customFormat="1" ht="26.4" customHeight="1">
      <c r="A9322" s="282">
        <v>556</v>
      </c>
      <c r="B9322" s="534"/>
      <c r="C9322" s="260" t="s">
        <v>11819</v>
      </c>
      <c r="D9322" s="260" t="s">
        <v>12302</v>
      </c>
      <c r="E9322" s="260" t="s">
        <v>12478</v>
      </c>
      <c r="F9322" s="387">
        <v>91416</v>
      </c>
      <c r="G9322" s="373" t="s">
        <v>1569</v>
      </c>
      <c r="H9322" s="396" t="s">
        <v>5462</v>
      </c>
      <c r="I9322" s="470">
        <v>695</v>
      </c>
      <c r="J9322" s="427">
        <v>5.6829400000000003</v>
      </c>
      <c r="K9322" s="427">
        <v>5.2588400000000002</v>
      </c>
      <c r="L9322" s="427">
        <f t="shared" si="128"/>
        <v>0.42410000000000014</v>
      </c>
      <c r="M9322" s="337"/>
    </row>
    <row r="9323" spans="1:13" s="71" customFormat="1" ht="26.4" customHeight="1">
      <c r="A9323" s="282">
        <v>557</v>
      </c>
      <c r="B9323" s="534"/>
      <c r="C9323" s="260" t="s">
        <v>11819</v>
      </c>
      <c r="D9323" s="260" t="s">
        <v>12479</v>
      </c>
      <c r="E9323" s="260" t="s">
        <v>12480</v>
      </c>
      <c r="F9323" s="387">
        <v>91417</v>
      </c>
      <c r="G9323" s="373" t="s">
        <v>1569</v>
      </c>
      <c r="H9323" s="396" t="s">
        <v>5462</v>
      </c>
      <c r="I9323" s="470">
        <v>695</v>
      </c>
      <c r="J9323" s="427">
        <v>2.1815199999999999</v>
      </c>
      <c r="K9323" s="427">
        <v>2.0187200000000001</v>
      </c>
      <c r="L9323" s="427">
        <f t="shared" si="128"/>
        <v>0.16279999999999983</v>
      </c>
      <c r="M9323" s="337"/>
    </row>
    <row r="9324" spans="1:13" s="71" customFormat="1" ht="26.4" customHeight="1">
      <c r="A9324" s="282">
        <v>558</v>
      </c>
      <c r="B9324" s="534"/>
      <c r="C9324" s="260" t="s">
        <v>11819</v>
      </c>
      <c r="D9324" s="260" t="s">
        <v>12481</v>
      </c>
      <c r="E9324" s="260" t="s">
        <v>12482</v>
      </c>
      <c r="F9324" s="387">
        <v>91418</v>
      </c>
      <c r="G9324" s="373" t="s">
        <v>1569</v>
      </c>
      <c r="H9324" s="396" t="s">
        <v>5462</v>
      </c>
      <c r="I9324" s="470">
        <v>695</v>
      </c>
      <c r="J9324" s="427">
        <v>2.8502800000000001</v>
      </c>
      <c r="K9324" s="427">
        <v>2.6375799999999998</v>
      </c>
      <c r="L9324" s="427">
        <f t="shared" si="128"/>
        <v>0.21270000000000033</v>
      </c>
      <c r="M9324" s="337"/>
    </row>
    <row r="9325" spans="1:13" s="71" customFormat="1" ht="26.4" customHeight="1">
      <c r="A9325" s="282">
        <v>559</v>
      </c>
      <c r="B9325" s="534"/>
      <c r="C9325" s="260" t="s">
        <v>11819</v>
      </c>
      <c r="D9325" s="260" t="s">
        <v>12483</v>
      </c>
      <c r="E9325" s="260" t="s">
        <v>12484</v>
      </c>
      <c r="F9325" s="387">
        <v>91419</v>
      </c>
      <c r="G9325" s="373" t="s">
        <v>1569</v>
      </c>
      <c r="H9325" s="396" t="s">
        <v>5462</v>
      </c>
      <c r="I9325" s="470">
        <v>695</v>
      </c>
      <c r="J9325" s="427">
        <v>4.8790399999999998</v>
      </c>
      <c r="K9325" s="427">
        <v>4.5149400000000002</v>
      </c>
      <c r="L9325" s="427">
        <f t="shared" si="128"/>
        <v>0.36409999999999965</v>
      </c>
      <c r="M9325" s="337"/>
    </row>
    <row r="9326" spans="1:13" s="71" customFormat="1" ht="26.4" customHeight="1">
      <c r="A9326" s="282">
        <v>560</v>
      </c>
      <c r="B9326" s="534"/>
      <c r="C9326" s="260" t="s">
        <v>11819</v>
      </c>
      <c r="D9326" s="260" t="s">
        <v>12485</v>
      </c>
      <c r="E9326" s="260" t="s">
        <v>12486</v>
      </c>
      <c r="F9326" s="387">
        <v>91420</v>
      </c>
      <c r="G9326" s="373" t="s">
        <v>1569</v>
      </c>
      <c r="H9326" s="396" t="s">
        <v>5462</v>
      </c>
      <c r="I9326" s="470">
        <v>695</v>
      </c>
      <c r="J9326" s="427">
        <v>7.2641400000000003</v>
      </c>
      <c r="K9326" s="427">
        <v>6.7222799999999996</v>
      </c>
      <c r="L9326" s="427">
        <f t="shared" si="128"/>
        <v>0.54186000000000067</v>
      </c>
      <c r="M9326" s="337"/>
    </row>
    <row r="9327" spans="1:13" s="71" customFormat="1" ht="26.4" customHeight="1">
      <c r="A9327" s="282">
        <v>561</v>
      </c>
      <c r="B9327" s="534"/>
      <c r="C9327" s="260" t="s">
        <v>11819</v>
      </c>
      <c r="D9327" s="260" t="s">
        <v>12487</v>
      </c>
      <c r="E9327" s="260" t="s">
        <v>12488</v>
      </c>
      <c r="F9327" s="387">
        <v>91421</v>
      </c>
      <c r="G9327" s="373" t="s">
        <v>1569</v>
      </c>
      <c r="H9327" s="396" t="s">
        <v>5462</v>
      </c>
      <c r="I9327" s="470">
        <v>695</v>
      </c>
      <c r="J9327" s="427">
        <v>4.4770399999999997</v>
      </c>
      <c r="K9327" s="427">
        <v>4.1429400000000003</v>
      </c>
      <c r="L9327" s="427">
        <f t="shared" si="128"/>
        <v>0.3340999999999994</v>
      </c>
      <c r="M9327" s="337"/>
    </row>
    <row r="9328" spans="1:13" s="71" customFormat="1" ht="26.4" customHeight="1">
      <c r="A9328" s="282">
        <v>562</v>
      </c>
      <c r="B9328" s="534"/>
      <c r="C9328" s="260" t="s">
        <v>11819</v>
      </c>
      <c r="D9328" s="260" t="s">
        <v>12489</v>
      </c>
      <c r="E9328" s="260" t="s">
        <v>12490</v>
      </c>
      <c r="F9328" s="387">
        <v>91422</v>
      </c>
      <c r="G9328" s="373" t="s">
        <v>1569</v>
      </c>
      <c r="H9328" s="396" t="s">
        <v>5462</v>
      </c>
      <c r="I9328" s="470">
        <v>695</v>
      </c>
      <c r="J9328" s="427">
        <v>5.29434</v>
      </c>
      <c r="K9328" s="427">
        <v>4.8992399999999998</v>
      </c>
      <c r="L9328" s="427">
        <f t="shared" si="128"/>
        <v>0.39510000000000023</v>
      </c>
      <c r="M9328" s="337"/>
    </row>
    <row r="9329" spans="1:13" s="71" customFormat="1" ht="26.4" customHeight="1">
      <c r="A9329" s="282">
        <v>563</v>
      </c>
      <c r="B9329" s="534"/>
      <c r="C9329" s="260" t="s">
        <v>11819</v>
      </c>
      <c r="D9329" s="260" t="s">
        <v>12491</v>
      </c>
      <c r="E9329" s="260" t="s">
        <v>12492</v>
      </c>
      <c r="F9329" s="387">
        <v>91423</v>
      </c>
      <c r="G9329" s="373" t="s">
        <v>1569</v>
      </c>
      <c r="H9329" s="396" t="s">
        <v>5462</v>
      </c>
      <c r="I9329" s="470">
        <v>695</v>
      </c>
      <c r="J9329" s="427">
        <v>28.552720000000001</v>
      </c>
      <c r="K9329" s="427">
        <v>26.422640000000001</v>
      </c>
      <c r="L9329" s="427">
        <f t="shared" si="128"/>
        <v>2.1300799999999995</v>
      </c>
      <c r="M9329" s="337"/>
    </row>
    <row r="9330" spans="1:13" s="71" customFormat="1" ht="26.4" customHeight="1">
      <c r="A9330" s="282">
        <v>564</v>
      </c>
      <c r="B9330" s="534"/>
      <c r="C9330" s="260" t="s">
        <v>11819</v>
      </c>
      <c r="D9330" s="260" t="s">
        <v>12493</v>
      </c>
      <c r="E9330" s="260" t="s">
        <v>12494</v>
      </c>
      <c r="F9330" s="387">
        <v>91424</v>
      </c>
      <c r="G9330" s="373" t="s">
        <v>1569</v>
      </c>
      <c r="H9330" s="396" t="s">
        <v>5462</v>
      </c>
      <c r="I9330" s="470">
        <v>695</v>
      </c>
      <c r="J9330" s="427">
        <v>7.2641400000000003</v>
      </c>
      <c r="K9330" s="427">
        <v>6.7222799999999996</v>
      </c>
      <c r="L9330" s="427">
        <f t="shared" si="128"/>
        <v>0.54186000000000067</v>
      </c>
      <c r="M9330" s="337"/>
    </row>
    <row r="9331" spans="1:13" s="71" customFormat="1" ht="26.4" customHeight="1">
      <c r="A9331" s="282">
        <v>565</v>
      </c>
      <c r="B9331" s="534"/>
      <c r="C9331" s="260" t="s">
        <v>11819</v>
      </c>
      <c r="D9331" s="260" t="s">
        <v>12495</v>
      </c>
      <c r="E9331" s="260" t="s">
        <v>12496</v>
      </c>
      <c r="F9331" s="387">
        <v>91425</v>
      </c>
      <c r="G9331" s="373" t="s">
        <v>1569</v>
      </c>
      <c r="H9331" s="396" t="s">
        <v>5462</v>
      </c>
      <c r="I9331" s="470">
        <v>695</v>
      </c>
      <c r="J9331" s="427">
        <v>3.9910999999999999</v>
      </c>
      <c r="K9331" s="427">
        <v>2.5857999999999999</v>
      </c>
      <c r="L9331" s="427">
        <f t="shared" si="128"/>
        <v>1.4053</v>
      </c>
      <c r="M9331" s="337"/>
    </row>
    <row r="9332" spans="1:13" s="71" customFormat="1" ht="26.4" customHeight="1">
      <c r="A9332" s="282">
        <v>566</v>
      </c>
      <c r="B9332" s="534"/>
      <c r="C9332" s="260" t="s">
        <v>11819</v>
      </c>
      <c r="D9332" s="260" t="s">
        <v>12497</v>
      </c>
      <c r="E9332" s="260" t="s">
        <v>12498</v>
      </c>
      <c r="F9332" s="387">
        <v>91426</v>
      </c>
      <c r="G9332" s="373" t="s">
        <v>1569</v>
      </c>
      <c r="H9332" s="396" t="s">
        <v>5462</v>
      </c>
      <c r="I9332" s="470">
        <v>695</v>
      </c>
      <c r="J9332" s="427">
        <v>7.2641400000000003</v>
      </c>
      <c r="K9332" s="427">
        <v>6.7222799999999996</v>
      </c>
      <c r="L9332" s="427">
        <f t="shared" si="128"/>
        <v>0.54186000000000067</v>
      </c>
      <c r="M9332" s="337"/>
    </row>
    <row r="9333" spans="1:13" s="71" customFormat="1" ht="26.4" customHeight="1">
      <c r="A9333" s="282">
        <v>567</v>
      </c>
      <c r="B9333" s="534"/>
      <c r="C9333" s="260" t="s">
        <v>11819</v>
      </c>
      <c r="D9333" s="260" t="s">
        <v>12499</v>
      </c>
      <c r="E9333" s="260" t="s">
        <v>12500</v>
      </c>
      <c r="F9333" s="387">
        <v>91427</v>
      </c>
      <c r="G9333" s="373" t="s">
        <v>1569</v>
      </c>
      <c r="H9333" s="396" t="s">
        <v>5462</v>
      </c>
      <c r="I9333" s="470">
        <v>695</v>
      </c>
      <c r="J9333" s="427">
        <v>7.2641400000000003</v>
      </c>
      <c r="K9333" s="427">
        <v>6.7222799999999996</v>
      </c>
      <c r="L9333" s="427">
        <f t="shared" si="128"/>
        <v>0.54186000000000067</v>
      </c>
      <c r="M9333" s="337"/>
    </row>
    <row r="9334" spans="1:13" s="71" customFormat="1" ht="26.4" customHeight="1">
      <c r="A9334" s="282">
        <v>568</v>
      </c>
      <c r="B9334" s="534"/>
      <c r="C9334" s="260" t="s">
        <v>11819</v>
      </c>
      <c r="D9334" s="260" t="s">
        <v>12501</v>
      </c>
      <c r="E9334" s="260" t="s">
        <v>12502</v>
      </c>
      <c r="F9334" s="387">
        <v>91428</v>
      </c>
      <c r="G9334" s="373" t="s">
        <v>1569</v>
      </c>
      <c r="H9334" s="396" t="s">
        <v>5462</v>
      </c>
      <c r="I9334" s="470">
        <v>695</v>
      </c>
      <c r="J9334" s="427">
        <v>4.4770399999999997</v>
      </c>
      <c r="K9334" s="427">
        <v>4.1429400000000003</v>
      </c>
      <c r="L9334" s="427">
        <f t="shared" si="128"/>
        <v>0.3340999999999994</v>
      </c>
      <c r="M9334" s="337"/>
    </row>
    <row r="9335" spans="1:13" s="71" customFormat="1" ht="26.4" customHeight="1">
      <c r="A9335" s="282">
        <v>569</v>
      </c>
      <c r="B9335" s="534"/>
      <c r="C9335" s="260" t="s">
        <v>11819</v>
      </c>
      <c r="D9335" s="260" t="s">
        <v>12503</v>
      </c>
      <c r="E9335" s="260" t="s">
        <v>12504</v>
      </c>
      <c r="F9335" s="387">
        <v>91429</v>
      </c>
      <c r="G9335" s="373" t="s">
        <v>1569</v>
      </c>
      <c r="H9335" s="396" t="s">
        <v>5462</v>
      </c>
      <c r="I9335" s="470">
        <v>695</v>
      </c>
      <c r="J9335" s="427">
        <v>2.8502800000000001</v>
      </c>
      <c r="K9335" s="427">
        <v>2.6375799999999998</v>
      </c>
      <c r="L9335" s="427">
        <f t="shared" si="128"/>
        <v>0.21270000000000033</v>
      </c>
      <c r="M9335" s="337"/>
    </row>
    <row r="9336" spans="1:13" s="71" customFormat="1" ht="26.4" customHeight="1">
      <c r="A9336" s="282">
        <v>570</v>
      </c>
      <c r="B9336" s="534"/>
      <c r="C9336" s="260" t="s">
        <v>11819</v>
      </c>
      <c r="D9336" s="260" t="s">
        <v>12505</v>
      </c>
      <c r="E9336" s="260" t="s">
        <v>12506</v>
      </c>
      <c r="F9336" s="387">
        <v>91430</v>
      </c>
      <c r="G9336" s="373" t="s">
        <v>1569</v>
      </c>
      <c r="H9336" s="396" t="s">
        <v>5462</v>
      </c>
      <c r="I9336" s="470">
        <v>695</v>
      </c>
      <c r="J9336" s="427">
        <v>2.8502800000000001</v>
      </c>
      <c r="K9336" s="427">
        <v>2.6375799999999998</v>
      </c>
      <c r="L9336" s="427">
        <f t="shared" si="128"/>
        <v>0.21270000000000033</v>
      </c>
      <c r="M9336" s="337"/>
    </row>
    <row r="9337" spans="1:13" s="71" customFormat="1" ht="26.4" customHeight="1">
      <c r="A9337" s="282">
        <v>571</v>
      </c>
      <c r="B9337" s="534"/>
      <c r="C9337" s="260" t="s">
        <v>11819</v>
      </c>
      <c r="D9337" s="260" t="s">
        <v>12507</v>
      </c>
      <c r="E9337" s="260" t="s">
        <v>12508</v>
      </c>
      <c r="F9337" s="387">
        <v>91431</v>
      </c>
      <c r="G9337" s="373" t="s">
        <v>1569</v>
      </c>
      <c r="H9337" s="396" t="s">
        <v>5462</v>
      </c>
      <c r="I9337" s="470">
        <v>695</v>
      </c>
      <c r="J9337" s="427">
        <v>5.29434</v>
      </c>
      <c r="K9337" s="427">
        <v>4.8992399999999998</v>
      </c>
      <c r="L9337" s="427">
        <f t="shared" si="128"/>
        <v>0.39510000000000023</v>
      </c>
      <c r="M9337" s="337"/>
    </row>
    <row r="9338" spans="1:13" s="71" customFormat="1" ht="26.4" customHeight="1">
      <c r="A9338" s="282">
        <v>572</v>
      </c>
      <c r="B9338" s="534"/>
      <c r="C9338" s="260" t="s">
        <v>11819</v>
      </c>
      <c r="D9338" s="260" t="s">
        <v>12509</v>
      </c>
      <c r="E9338" s="260" t="s">
        <v>12510</v>
      </c>
      <c r="F9338" s="387">
        <v>91432</v>
      </c>
      <c r="G9338" s="373" t="s">
        <v>1569</v>
      </c>
      <c r="H9338" s="396" t="s">
        <v>5462</v>
      </c>
      <c r="I9338" s="470">
        <v>695</v>
      </c>
      <c r="J9338" s="427">
        <v>5.29434</v>
      </c>
      <c r="K9338" s="427">
        <v>4.8992399999999998</v>
      </c>
      <c r="L9338" s="427">
        <f t="shared" si="128"/>
        <v>0.39510000000000023</v>
      </c>
      <c r="M9338" s="337"/>
    </row>
    <row r="9339" spans="1:13" s="71" customFormat="1" ht="26.4" customHeight="1">
      <c r="A9339" s="282">
        <v>573</v>
      </c>
      <c r="B9339" s="534"/>
      <c r="C9339" s="260" t="s">
        <v>11819</v>
      </c>
      <c r="D9339" s="260" t="s">
        <v>12511</v>
      </c>
      <c r="E9339" s="260" t="s">
        <v>12512</v>
      </c>
      <c r="F9339" s="387">
        <v>91433</v>
      </c>
      <c r="G9339" s="373" t="s">
        <v>1569</v>
      </c>
      <c r="H9339" s="396" t="s">
        <v>5462</v>
      </c>
      <c r="I9339" s="470">
        <v>695</v>
      </c>
      <c r="J9339" s="427">
        <v>6.3529400000000003</v>
      </c>
      <c r="K9339" s="427">
        <v>5.8790800000000001</v>
      </c>
      <c r="L9339" s="427">
        <f t="shared" si="128"/>
        <v>0.47386000000000017</v>
      </c>
      <c r="M9339" s="337"/>
    </row>
    <row r="9340" spans="1:13" s="71" customFormat="1" ht="26.4" customHeight="1">
      <c r="A9340" s="282">
        <v>574</v>
      </c>
      <c r="B9340" s="534"/>
      <c r="C9340" s="260" t="s">
        <v>11819</v>
      </c>
      <c r="D9340" s="260" t="s">
        <v>12513</v>
      </c>
      <c r="E9340" s="260" t="s">
        <v>12514</v>
      </c>
      <c r="F9340" s="387">
        <v>91434</v>
      </c>
      <c r="G9340" s="373" t="s">
        <v>1569</v>
      </c>
      <c r="H9340" s="396" t="s">
        <v>5462</v>
      </c>
      <c r="I9340" s="470">
        <v>695</v>
      </c>
      <c r="J9340" s="427">
        <v>4.4770399999999997</v>
      </c>
      <c r="K9340" s="427">
        <v>4.1429400000000003</v>
      </c>
      <c r="L9340" s="427">
        <f t="shared" si="128"/>
        <v>0.3340999999999994</v>
      </c>
      <c r="M9340" s="337"/>
    </row>
    <row r="9341" spans="1:13" s="71" customFormat="1" ht="26.4" customHeight="1">
      <c r="A9341" s="282">
        <v>575</v>
      </c>
      <c r="B9341" s="534"/>
      <c r="C9341" s="260" t="s">
        <v>11819</v>
      </c>
      <c r="D9341" s="260" t="s">
        <v>12515</v>
      </c>
      <c r="E9341" s="260" t="s">
        <v>12516</v>
      </c>
      <c r="F9341" s="387">
        <v>91435</v>
      </c>
      <c r="G9341" s="373" t="s">
        <v>1569</v>
      </c>
      <c r="H9341" s="396" t="s">
        <v>5462</v>
      </c>
      <c r="I9341" s="470">
        <v>695</v>
      </c>
      <c r="J9341" s="427">
        <v>6.3529400000000003</v>
      </c>
      <c r="K9341" s="427">
        <v>5.8790800000000001</v>
      </c>
      <c r="L9341" s="427">
        <f t="shared" si="128"/>
        <v>0.47386000000000017</v>
      </c>
      <c r="M9341" s="337"/>
    </row>
    <row r="9342" spans="1:13" s="71" customFormat="1" ht="26.4" customHeight="1">
      <c r="A9342" s="282">
        <v>576</v>
      </c>
      <c r="B9342" s="534"/>
      <c r="C9342" s="260" t="s">
        <v>11819</v>
      </c>
      <c r="D9342" s="260" t="s">
        <v>12517</v>
      </c>
      <c r="E9342" s="260" t="s">
        <v>12518</v>
      </c>
      <c r="F9342" s="387">
        <v>91436</v>
      </c>
      <c r="G9342" s="373" t="s">
        <v>1569</v>
      </c>
      <c r="H9342" s="396" t="s">
        <v>5462</v>
      </c>
      <c r="I9342" s="470">
        <v>695</v>
      </c>
      <c r="J9342" s="427">
        <v>8.2034800000000008</v>
      </c>
      <c r="K9342" s="427">
        <v>7.59152</v>
      </c>
      <c r="L9342" s="427">
        <f t="shared" si="128"/>
        <v>0.61196000000000073</v>
      </c>
      <c r="M9342" s="337"/>
    </row>
    <row r="9343" spans="1:13" s="71" customFormat="1" ht="26.4" customHeight="1">
      <c r="A9343" s="282">
        <v>577</v>
      </c>
      <c r="B9343" s="534"/>
      <c r="C9343" s="260" t="s">
        <v>11819</v>
      </c>
      <c r="D9343" s="260" t="s">
        <v>12519</v>
      </c>
      <c r="E9343" s="260" t="s">
        <v>12520</v>
      </c>
      <c r="F9343" s="387">
        <v>91437</v>
      </c>
      <c r="G9343" s="373" t="s">
        <v>1569</v>
      </c>
      <c r="H9343" s="396" t="s">
        <v>5462</v>
      </c>
      <c r="I9343" s="470">
        <v>695</v>
      </c>
      <c r="J9343" s="427">
        <v>4.4770399999999997</v>
      </c>
      <c r="K9343" s="427">
        <v>4.1429400000000003</v>
      </c>
      <c r="L9343" s="427">
        <f t="shared" ref="L9343:L9406" si="129">J9343-K9343</f>
        <v>0.3340999999999994</v>
      </c>
      <c r="M9343" s="337"/>
    </row>
    <row r="9344" spans="1:13" s="71" customFormat="1" ht="26.4" customHeight="1">
      <c r="A9344" s="282">
        <v>578</v>
      </c>
      <c r="B9344" s="534"/>
      <c r="C9344" s="260" t="s">
        <v>11819</v>
      </c>
      <c r="D9344" s="260" t="s">
        <v>12521</v>
      </c>
      <c r="E9344" s="260" t="s">
        <v>12522</v>
      </c>
      <c r="F9344" s="387">
        <v>91438</v>
      </c>
      <c r="G9344" s="373" t="s">
        <v>1569</v>
      </c>
      <c r="H9344" s="396" t="s">
        <v>5462</v>
      </c>
      <c r="I9344" s="470">
        <v>695</v>
      </c>
      <c r="J9344" s="427">
        <v>5.8785800000000004</v>
      </c>
      <c r="K9344" s="427">
        <v>5.4401200000000003</v>
      </c>
      <c r="L9344" s="427">
        <f t="shared" si="129"/>
        <v>0.43846000000000007</v>
      </c>
      <c r="M9344" s="337"/>
    </row>
    <row r="9345" spans="1:13" s="71" customFormat="1" ht="26.4" customHeight="1">
      <c r="A9345" s="282">
        <v>579</v>
      </c>
      <c r="B9345" s="534"/>
      <c r="C9345" s="260" t="s">
        <v>11819</v>
      </c>
      <c r="D9345" s="260" t="s">
        <v>12523</v>
      </c>
      <c r="E9345" s="260" t="s">
        <v>12524</v>
      </c>
      <c r="F9345" s="387">
        <v>91439</v>
      </c>
      <c r="G9345" s="373" t="s">
        <v>1569</v>
      </c>
      <c r="H9345" s="396" t="s">
        <v>5462</v>
      </c>
      <c r="I9345" s="470">
        <v>695</v>
      </c>
      <c r="J9345" s="427">
        <v>2.0743200000000002</v>
      </c>
      <c r="K9345" s="427">
        <v>1.9195199999999999</v>
      </c>
      <c r="L9345" s="427">
        <f t="shared" si="129"/>
        <v>0.15480000000000027</v>
      </c>
      <c r="M9345" s="337"/>
    </row>
    <row r="9346" spans="1:13" s="71" customFormat="1" ht="26.4" customHeight="1">
      <c r="A9346" s="282">
        <v>580</v>
      </c>
      <c r="B9346" s="534"/>
      <c r="C9346" s="260" t="s">
        <v>11819</v>
      </c>
      <c r="D9346" s="260" t="s">
        <v>12525</v>
      </c>
      <c r="E9346" s="260" t="s">
        <v>12526</v>
      </c>
      <c r="F9346" s="387">
        <v>91440</v>
      </c>
      <c r="G9346" s="373" t="s">
        <v>1569</v>
      </c>
      <c r="H9346" s="396" t="s">
        <v>5462</v>
      </c>
      <c r="I9346" s="470">
        <v>695</v>
      </c>
      <c r="J9346" s="427">
        <v>4.4636399999999998</v>
      </c>
      <c r="K9346" s="427">
        <v>4.1305399999999999</v>
      </c>
      <c r="L9346" s="427">
        <f t="shared" si="129"/>
        <v>0.33309999999999995</v>
      </c>
      <c r="M9346" s="337"/>
    </row>
    <row r="9347" spans="1:13" s="71" customFormat="1" ht="26.4" customHeight="1">
      <c r="A9347" s="282">
        <v>581</v>
      </c>
      <c r="B9347" s="534"/>
      <c r="C9347" s="260" t="s">
        <v>11819</v>
      </c>
      <c r="D9347" s="260" t="s">
        <v>12332</v>
      </c>
      <c r="E9347" s="260" t="s">
        <v>12527</v>
      </c>
      <c r="F9347" s="387">
        <v>91441</v>
      </c>
      <c r="G9347" s="373" t="s">
        <v>1569</v>
      </c>
      <c r="H9347" s="396" t="s">
        <v>5462</v>
      </c>
      <c r="I9347" s="470">
        <v>695</v>
      </c>
      <c r="J9347" s="427">
        <v>17.022020000000001</v>
      </c>
      <c r="K9347" s="427">
        <v>15.75196</v>
      </c>
      <c r="L9347" s="427">
        <f t="shared" si="129"/>
        <v>1.2700600000000009</v>
      </c>
      <c r="M9347" s="337"/>
    </row>
    <row r="9348" spans="1:13" s="71" customFormat="1" ht="26.4" customHeight="1">
      <c r="A9348" s="282">
        <v>582</v>
      </c>
      <c r="B9348" s="534"/>
      <c r="C9348" s="260" t="s">
        <v>11819</v>
      </c>
      <c r="D9348" s="260" t="s">
        <v>12528</v>
      </c>
      <c r="E9348" s="260" t="s">
        <v>12529</v>
      </c>
      <c r="F9348" s="387">
        <v>91442</v>
      </c>
      <c r="G9348" s="373" t="s">
        <v>1569</v>
      </c>
      <c r="H9348" s="396" t="s">
        <v>3243</v>
      </c>
      <c r="I9348" s="470" t="s">
        <v>3243</v>
      </c>
      <c r="J9348" s="427">
        <v>3.5765600000000002</v>
      </c>
      <c r="K9348" s="427">
        <v>3.30966</v>
      </c>
      <c r="L9348" s="427">
        <f t="shared" si="129"/>
        <v>0.26690000000000014</v>
      </c>
      <c r="M9348" s="337"/>
    </row>
    <row r="9349" spans="1:13" s="71" customFormat="1" ht="26.4" customHeight="1">
      <c r="A9349" s="282">
        <v>583</v>
      </c>
      <c r="B9349" s="534"/>
      <c r="C9349" s="260" t="s">
        <v>11819</v>
      </c>
      <c r="D9349" s="260" t="s">
        <v>12431</v>
      </c>
      <c r="E9349" s="260" t="s">
        <v>12530</v>
      </c>
      <c r="F9349" s="387">
        <v>91443</v>
      </c>
      <c r="G9349" s="373" t="s">
        <v>1569</v>
      </c>
      <c r="H9349" s="396" t="s">
        <v>5462</v>
      </c>
      <c r="I9349" s="470">
        <v>6800</v>
      </c>
      <c r="J9349" s="427">
        <v>18.306999999999999</v>
      </c>
      <c r="K9349" s="427">
        <v>18.306999999999999</v>
      </c>
      <c r="L9349" s="427">
        <f t="shared" si="129"/>
        <v>0</v>
      </c>
      <c r="M9349" s="337"/>
    </row>
    <row r="9350" spans="1:13" s="71" customFormat="1" ht="26.4" customHeight="1">
      <c r="A9350" s="282">
        <v>584</v>
      </c>
      <c r="B9350" s="534"/>
      <c r="C9350" s="260" t="s">
        <v>11819</v>
      </c>
      <c r="D9350" s="260" t="s">
        <v>12431</v>
      </c>
      <c r="E9350" s="260" t="s">
        <v>12531</v>
      </c>
      <c r="F9350" s="387">
        <v>91444</v>
      </c>
      <c r="G9350" s="373" t="s">
        <v>1569</v>
      </c>
      <c r="H9350" s="396" t="s">
        <v>5462</v>
      </c>
      <c r="I9350" s="470">
        <v>4800</v>
      </c>
      <c r="J9350" s="427">
        <v>22.169</v>
      </c>
      <c r="K9350" s="427">
        <v>22.169</v>
      </c>
      <c r="L9350" s="427">
        <f t="shared" si="129"/>
        <v>0</v>
      </c>
      <c r="M9350" s="337"/>
    </row>
    <row r="9351" spans="1:13" s="71" customFormat="1" ht="26.4" customHeight="1">
      <c r="A9351" s="282">
        <v>585</v>
      </c>
      <c r="B9351" s="534"/>
      <c r="C9351" s="260" t="s">
        <v>11819</v>
      </c>
      <c r="D9351" s="260" t="s">
        <v>12532</v>
      </c>
      <c r="E9351" s="260" t="s">
        <v>12533</v>
      </c>
      <c r="F9351" s="387">
        <v>91445</v>
      </c>
      <c r="G9351" s="373" t="s">
        <v>1569</v>
      </c>
      <c r="H9351" s="396" t="s">
        <v>5462</v>
      </c>
      <c r="I9351" s="470">
        <v>8000</v>
      </c>
      <c r="J9351" s="427">
        <v>42.613999999999997</v>
      </c>
      <c r="K9351" s="427">
        <v>42.613999999999997</v>
      </c>
      <c r="L9351" s="427">
        <f t="shared" si="129"/>
        <v>0</v>
      </c>
      <c r="M9351" s="337"/>
    </row>
    <row r="9352" spans="1:13" s="71" customFormat="1" ht="26.4" customHeight="1">
      <c r="A9352" s="282">
        <v>586</v>
      </c>
      <c r="B9352" s="534"/>
      <c r="C9352" s="444" t="s">
        <v>11819</v>
      </c>
      <c r="D9352" s="444" t="s">
        <v>12936</v>
      </c>
      <c r="E9352" s="482" t="s">
        <v>12937</v>
      </c>
      <c r="F9352" s="387">
        <v>91446</v>
      </c>
      <c r="G9352" s="373" t="s">
        <v>1569</v>
      </c>
      <c r="H9352" s="396" t="s">
        <v>5462</v>
      </c>
      <c r="I9352" s="470">
        <v>695</v>
      </c>
      <c r="J9352" s="427">
        <v>34.346879999999999</v>
      </c>
      <c r="K9352" s="427">
        <v>31.784400000000002</v>
      </c>
      <c r="L9352" s="427">
        <f t="shared" si="129"/>
        <v>2.5624799999999972</v>
      </c>
      <c r="M9352" s="337"/>
    </row>
    <row r="9353" spans="1:13" s="71" customFormat="1" ht="26.4" customHeight="1">
      <c r="A9353" s="282">
        <v>587</v>
      </c>
      <c r="B9353" s="534"/>
      <c r="C9353" s="444" t="s">
        <v>13403</v>
      </c>
      <c r="D9353" s="444" t="s">
        <v>12534</v>
      </c>
      <c r="E9353" s="444" t="s">
        <v>12535</v>
      </c>
      <c r="F9353" s="387">
        <v>91447</v>
      </c>
      <c r="G9353" s="373" t="s">
        <v>1569</v>
      </c>
      <c r="H9353" s="396" t="s">
        <v>5462</v>
      </c>
      <c r="I9353" s="470">
        <v>1000</v>
      </c>
      <c r="J9353" s="427">
        <v>7.3458800000000002</v>
      </c>
      <c r="K9353" s="427">
        <v>6.7979200000000004</v>
      </c>
      <c r="L9353" s="427">
        <f t="shared" si="129"/>
        <v>0.54795999999999978</v>
      </c>
      <c r="M9353" s="337"/>
    </row>
    <row r="9354" spans="1:13" s="71" customFormat="1" ht="39.6">
      <c r="A9354" s="282">
        <v>588</v>
      </c>
      <c r="B9354" s="534"/>
      <c r="C9354" s="444" t="s">
        <v>11819</v>
      </c>
      <c r="D9354" s="444" t="s">
        <v>12536</v>
      </c>
      <c r="E9354" s="444" t="s">
        <v>12537</v>
      </c>
      <c r="F9354" s="387">
        <v>91448</v>
      </c>
      <c r="G9354" s="373" t="s">
        <v>1569</v>
      </c>
      <c r="H9354" s="396" t="s">
        <v>3243</v>
      </c>
      <c r="I9354" s="470" t="s">
        <v>3243</v>
      </c>
      <c r="J9354" s="427">
        <v>30.833400000000001</v>
      </c>
      <c r="K9354" s="427">
        <v>28.53312</v>
      </c>
      <c r="L9354" s="427">
        <f t="shared" si="129"/>
        <v>2.3002800000000008</v>
      </c>
      <c r="M9354" s="337"/>
    </row>
    <row r="9355" spans="1:13" s="71" customFormat="1" ht="26.4" customHeight="1">
      <c r="A9355" s="282">
        <v>589</v>
      </c>
      <c r="B9355" s="534"/>
      <c r="C9355" s="260" t="s">
        <v>12538</v>
      </c>
      <c r="D9355" s="260" t="s">
        <v>12538</v>
      </c>
      <c r="E9355" s="260" t="s">
        <v>12539</v>
      </c>
      <c r="F9355" s="387">
        <v>91532</v>
      </c>
      <c r="G9355" s="373" t="s">
        <v>1569</v>
      </c>
      <c r="H9355" s="396" t="s">
        <v>3243</v>
      </c>
      <c r="I9355" s="470" t="s">
        <v>3243</v>
      </c>
      <c r="J9355" s="427">
        <v>9.0266400000000004</v>
      </c>
      <c r="K9355" s="427">
        <v>7.95228</v>
      </c>
      <c r="L9355" s="427">
        <f t="shared" si="129"/>
        <v>1.0743600000000004</v>
      </c>
      <c r="M9355" s="337"/>
    </row>
    <row r="9356" spans="1:13" s="71" customFormat="1" ht="26.4" customHeight="1">
      <c r="A9356" s="282">
        <v>590</v>
      </c>
      <c r="B9356" s="534"/>
      <c r="C9356" s="260" t="s">
        <v>11819</v>
      </c>
      <c r="D9356" s="260" t="s">
        <v>12431</v>
      </c>
      <c r="E9356" s="260" t="s">
        <v>12540</v>
      </c>
      <c r="F9356" s="387">
        <v>91539</v>
      </c>
      <c r="G9356" s="373" t="s">
        <v>1569</v>
      </c>
      <c r="H9356" s="396" t="s">
        <v>3243</v>
      </c>
      <c r="I9356" s="470" t="s">
        <v>3243</v>
      </c>
      <c r="J9356" s="427">
        <v>4.4272999999999998</v>
      </c>
      <c r="K9356" s="427">
        <v>3.6825600000000001</v>
      </c>
      <c r="L9356" s="427">
        <f t="shared" si="129"/>
        <v>0.74473999999999974</v>
      </c>
      <c r="M9356" s="337"/>
    </row>
    <row r="9357" spans="1:13" s="71" customFormat="1" ht="26.4" customHeight="1">
      <c r="A9357" s="282">
        <v>591</v>
      </c>
      <c r="B9357" s="534"/>
      <c r="C9357" s="260" t="s">
        <v>11932</v>
      </c>
      <c r="D9357" s="260" t="s">
        <v>12541</v>
      </c>
      <c r="E9357" s="260" t="s">
        <v>12542</v>
      </c>
      <c r="F9357" s="387">
        <v>91958</v>
      </c>
      <c r="G9357" s="373" t="s">
        <v>1569</v>
      </c>
      <c r="H9357" s="396" t="s">
        <v>3243</v>
      </c>
      <c r="I9357" s="470" t="s">
        <v>3243</v>
      </c>
      <c r="J9357" s="427">
        <v>0.54</v>
      </c>
      <c r="K9357" s="427">
        <v>0.50249999999999995</v>
      </c>
      <c r="L9357" s="427">
        <f t="shared" si="129"/>
        <v>3.7500000000000089E-2</v>
      </c>
      <c r="M9357" s="337"/>
    </row>
    <row r="9358" spans="1:13" s="71" customFormat="1" ht="26.4" customHeight="1">
      <c r="A9358" s="282">
        <v>592</v>
      </c>
      <c r="B9358" s="534"/>
      <c r="C9358" s="260" t="s">
        <v>11932</v>
      </c>
      <c r="D9358" s="260" t="s">
        <v>12543</v>
      </c>
      <c r="E9358" s="260" t="s">
        <v>12544</v>
      </c>
      <c r="F9358" s="387">
        <v>91960</v>
      </c>
      <c r="G9358" s="373" t="s">
        <v>1569</v>
      </c>
      <c r="H9358" s="396" t="s">
        <v>5462</v>
      </c>
      <c r="I9358" s="470">
        <v>3000</v>
      </c>
      <c r="J9358" s="427">
        <v>43.211770000000001</v>
      </c>
      <c r="K9358" s="427">
        <v>39.104480000000002</v>
      </c>
      <c r="L9358" s="427">
        <f t="shared" si="129"/>
        <v>4.107289999999999</v>
      </c>
      <c r="M9358" s="337"/>
    </row>
    <row r="9359" spans="1:13" s="71" customFormat="1" ht="26.4" customHeight="1">
      <c r="A9359" s="282">
        <v>593</v>
      </c>
      <c r="B9359" s="534"/>
      <c r="C9359" s="236" t="s">
        <v>11936</v>
      </c>
      <c r="D9359" s="260" t="s">
        <v>12545</v>
      </c>
      <c r="E9359" s="260" t="s">
        <v>12546</v>
      </c>
      <c r="F9359" s="387">
        <v>91962</v>
      </c>
      <c r="G9359" s="373" t="s">
        <v>1569</v>
      </c>
      <c r="H9359" s="396" t="s">
        <v>5462</v>
      </c>
      <c r="I9359" s="470">
        <v>5000</v>
      </c>
      <c r="J9359" s="427">
        <v>193.01490000000001</v>
      </c>
      <c r="K9359" s="427">
        <v>186.72311999999999</v>
      </c>
      <c r="L9359" s="427">
        <f t="shared" si="129"/>
        <v>6.291780000000017</v>
      </c>
      <c r="M9359" s="337"/>
    </row>
    <row r="9360" spans="1:13" s="71" customFormat="1" ht="26.4" customHeight="1">
      <c r="A9360" s="282">
        <v>594</v>
      </c>
      <c r="B9360" s="534"/>
      <c r="C9360" s="236" t="s">
        <v>11939</v>
      </c>
      <c r="D9360" s="260" t="s">
        <v>13404</v>
      </c>
      <c r="E9360" s="260" t="s">
        <v>12547</v>
      </c>
      <c r="F9360" s="387">
        <v>91963</v>
      </c>
      <c r="G9360" s="373" t="s">
        <v>1569</v>
      </c>
      <c r="H9360" s="396" t="s">
        <v>5462</v>
      </c>
      <c r="I9360" s="470">
        <v>5000</v>
      </c>
      <c r="J9360" s="427">
        <v>98.433449999999993</v>
      </c>
      <c r="K9360" s="427">
        <v>91.365759999999995</v>
      </c>
      <c r="L9360" s="427">
        <f t="shared" si="129"/>
        <v>7.0676899999999989</v>
      </c>
      <c r="M9360" s="337"/>
    </row>
    <row r="9361" spans="1:13" s="71" customFormat="1" ht="26.4" customHeight="1">
      <c r="A9361" s="282">
        <v>595</v>
      </c>
      <c r="B9361" s="534"/>
      <c r="C9361" s="236" t="s">
        <v>11939</v>
      </c>
      <c r="D9361" s="260" t="s">
        <v>13404</v>
      </c>
      <c r="E9361" s="260" t="s">
        <v>12548</v>
      </c>
      <c r="F9361" s="387">
        <v>91964</v>
      </c>
      <c r="G9361" s="373" t="s">
        <v>1569</v>
      </c>
      <c r="H9361" s="396" t="s">
        <v>3243</v>
      </c>
      <c r="I9361" s="470" t="s">
        <v>3243</v>
      </c>
      <c r="J9361" s="427">
        <v>26.722650000000002</v>
      </c>
      <c r="K9361" s="427">
        <v>25.393360000000001</v>
      </c>
      <c r="L9361" s="427">
        <f t="shared" si="129"/>
        <v>1.3292900000000003</v>
      </c>
      <c r="M9361" s="337"/>
    </row>
    <row r="9362" spans="1:13" s="71" customFormat="1" ht="26.4" customHeight="1">
      <c r="A9362" s="282">
        <v>596</v>
      </c>
      <c r="B9362" s="534"/>
      <c r="C9362" s="236" t="s">
        <v>11939</v>
      </c>
      <c r="D9362" s="260" t="s">
        <v>13405</v>
      </c>
      <c r="E9362" s="260" t="s">
        <v>12549</v>
      </c>
      <c r="F9362" s="387">
        <v>91965</v>
      </c>
      <c r="G9362" s="373" t="s">
        <v>1569</v>
      </c>
      <c r="H9362" s="396" t="s">
        <v>5462</v>
      </c>
      <c r="I9362" s="470">
        <v>1850</v>
      </c>
      <c r="J9362" s="427">
        <v>47.344999999999999</v>
      </c>
      <c r="K9362" s="427">
        <v>43.930419999999998</v>
      </c>
      <c r="L9362" s="427">
        <f t="shared" si="129"/>
        <v>3.4145800000000008</v>
      </c>
      <c r="M9362" s="337"/>
    </row>
    <row r="9363" spans="1:13" s="71" customFormat="1" ht="39.6">
      <c r="A9363" s="282">
        <v>597</v>
      </c>
      <c r="B9363" s="534"/>
      <c r="C9363" s="260" t="s">
        <v>12550</v>
      </c>
      <c r="D9363" s="260" t="s">
        <v>13003</v>
      </c>
      <c r="E9363" s="260" t="s">
        <v>12551</v>
      </c>
      <c r="F9363" s="387">
        <v>92071</v>
      </c>
      <c r="G9363" s="373" t="s">
        <v>1569</v>
      </c>
      <c r="H9363" s="396" t="s">
        <v>5462</v>
      </c>
      <c r="I9363" s="470">
        <v>2420</v>
      </c>
      <c r="J9363" s="427">
        <v>54.839329999999997</v>
      </c>
      <c r="K9363" s="427">
        <v>54.062930000000001</v>
      </c>
      <c r="L9363" s="427">
        <f t="shared" si="129"/>
        <v>0.77639999999999532</v>
      </c>
      <c r="M9363" s="337"/>
    </row>
    <row r="9364" spans="1:13" s="71" customFormat="1" ht="26.4" customHeight="1">
      <c r="A9364" s="282">
        <v>598</v>
      </c>
      <c r="B9364" s="534"/>
      <c r="C9364" s="236" t="s">
        <v>11943</v>
      </c>
      <c r="D9364" s="260" t="s">
        <v>12552</v>
      </c>
      <c r="E9364" s="260" t="s">
        <v>12553</v>
      </c>
      <c r="F9364" s="387">
        <v>92072</v>
      </c>
      <c r="G9364" s="373" t="s">
        <v>1569</v>
      </c>
      <c r="H9364" s="396" t="s">
        <v>5462</v>
      </c>
      <c r="I9364" s="470">
        <v>2421</v>
      </c>
      <c r="J9364" s="427">
        <v>11.265319999999999</v>
      </c>
      <c r="K9364" s="427">
        <v>8.3757599999999996</v>
      </c>
      <c r="L9364" s="427">
        <f t="shared" si="129"/>
        <v>2.8895599999999995</v>
      </c>
      <c r="M9364" s="337"/>
    </row>
    <row r="9365" spans="1:13" s="71" customFormat="1" ht="39.6">
      <c r="A9365" s="282">
        <v>599</v>
      </c>
      <c r="B9365" s="534"/>
      <c r="C9365" s="236" t="s">
        <v>11943</v>
      </c>
      <c r="D9365" s="260" t="s">
        <v>13004</v>
      </c>
      <c r="E9365" s="260" t="s">
        <v>12554</v>
      </c>
      <c r="F9365" s="387">
        <v>92073</v>
      </c>
      <c r="G9365" s="373" t="s">
        <v>1569</v>
      </c>
      <c r="H9365" s="396" t="s">
        <v>5462</v>
      </c>
      <c r="I9365" s="470">
        <v>2422</v>
      </c>
      <c r="J9365" s="427">
        <v>29.40917</v>
      </c>
      <c r="K9365" s="427">
        <v>24.495539999999998</v>
      </c>
      <c r="L9365" s="427">
        <f t="shared" si="129"/>
        <v>4.9136300000000013</v>
      </c>
      <c r="M9365" s="337"/>
    </row>
    <row r="9366" spans="1:13" s="71" customFormat="1" ht="26.4" customHeight="1">
      <c r="A9366" s="282">
        <v>600</v>
      </c>
      <c r="B9366" s="534"/>
      <c r="C9366" s="260" t="s">
        <v>12555</v>
      </c>
      <c r="D9366" s="260" t="s">
        <v>12556</v>
      </c>
      <c r="E9366" s="260" t="s">
        <v>12557</v>
      </c>
      <c r="F9366" s="387">
        <v>92074</v>
      </c>
      <c r="G9366" s="373" t="s">
        <v>1569</v>
      </c>
      <c r="H9366" s="396" t="s">
        <v>5462</v>
      </c>
      <c r="I9366" s="470">
        <v>2423</v>
      </c>
      <c r="J9366" s="427">
        <v>7.5261399999999998</v>
      </c>
      <c r="K9366" s="427">
        <v>5.9300199999999998</v>
      </c>
      <c r="L9366" s="427">
        <f t="shared" si="129"/>
        <v>1.59612</v>
      </c>
      <c r="M9366" s="337"/>
    </row>
    <row r="9367" spans="1:13" s="71" customFormat="1" ht="26.4" customHeight="1">
      <c r="A9367" s="282">
        <v>601</v>
      </c>
      <c r="B9367" s="534"/>
      <c r="C9367" s="260" t="s">
        <v>12558</v>
      </c>
      <c r="D9367" s="260" t="s">
        <v>12559</v>
      </c>
      <c r="E9367" s="260" t="s">
        <v>12560</v>
      </c>
      <c r="F9367" s="387">
        <v>92076</v>
      </c>
      <c r="G9367" s="373" t="s">
        <v>1569</v>
      </c>
      <c r="H9367" s="396" t="s">
        <v>5462</v>
      </c>
      <c r="I9367" s="470">
        <v>2424</v>
      </c>
      <c r="J9367" s="427">
        <v>245.96780999999999</v>
      </c>
      <c r="K9367" s="427">
        <v>237.10040000000001</v>
      </c>
      <c r="L9367" s="427">
        <f t="shared" si="129"/>
        <v>8.8674099999999783</v>
      </c>
      <c r="M9367" s="337"/>
    </row>
    <row r="9368" spans="1:13" s="71" customFormat="1" ht="26.4" customHeight="1">
      <c r="A9368" s="282">
        <v>602</v>
      </c>
      <c r="B9368" s="534"/>
      <c r="C9368" s="260" t="s">
        <v>12558</v>
      </c>
      <c r="D9368" s="260" t="s">
        <v>12561</v>
      </c>
      <c r="E9368" s="260" t="s">
        <v>12562</v>
      </c>
      <c r="F9368" s="387">
        <v>92077</v>
      </c>
      <c r="G9368" s="373" t="s">
        <v>1569</v>
      </c>
      <c r="H9368" s="396" t="s">
        <v>5462</v>
      </c>
      <c r="I9368" s="470">
        <v>2425</v>
      </c>
      <c r="J9368" s="427">
        <v>240.35486</v>
      </c>
      <c r="K9368" s="427">
        <v>232.73060000000001</v>
      </c>
      <c r="L9368" s="427">
        <f t="shared" si="129"/>
        <v>7.6242599999999925</v>
      </c>
      <c r="M9368" s="337"/>
    </row>
    <row r="9369" spans="1:13" s="71" customFormat="1" ht="26.4" customHeight="1">
      <c r="A9369" s="282">
        <v>603</v>
      </c>
      <c r="B9369" s="534"/>
      <c r="C9369" s="236" t="s">
        <v>11929</v>
      </c>
      <c r="D9369" s="260" t="s">
        <v>12563</v>
      </c>
      <c r="E9369" s="260" t="s">
        <v>12564</v>
      </c>
      <c r="F9369" s="387">
        <v>92078</v>
      </c>
      <c r="G9369" s="373" t="s">
        <v>1569</v>
      </c>
      <c r="H9369" s="396" t="s">
        <v>3243</v>
      </c>
      <c r="I9369" s="470" t="s">
        <v>3243</v>
      </c>
      <c r="J9369" s="427">
        <v>47.46895</v>
      </c>
      <c r="K9369" s="427">
        <v>47.46895</v>
      </c>
      <c r="L9369" s="427">
        <f t="shared" si="129"/>
        <v>0</v>
      </c>
      <c r="M9369" s="337"/>
    </row>
    <row r="9370" spans="1:13" s="71" customFormat="1" ht="26.4" customHeight="1">
      <c r="A9370" s="282">
        <v>604</v>
      </c>
      <c r="B9370" s="534"/>
      <c r="C9370" s="236" t="s">
        <v>13005</v>
      </c>
      <c r="D9370" s="260" t="s">
        <v>11930</v>
      </c>
      <c r="E9370" s="260" t="s">
        <v>12565</v>
      </c>
      <c r="F9370" s="387">
        <v>92079</v>
      </c>
      <c r="G9370" s="373" t="s">
        <v>1569</v>
      </c>
      <c r="H9370" s="396" t="s">
        <v>5462</v>
      </c>
      <c r="I9370" s="470">
        <v>2420</v>
      </c>
      <c r="J9370" s="427">
        <v>146.6328</v>
      </c>
      <c r="K9370" s="427">
        <v>141.92015000000001</v>
      </c>
      <c r="L9370" s="427">
        <f t="shared" si="129"/>
        <v>4.7126499999999965</v>
      </c>
      <c r="M9370" s="337"/>
    </row>
    <row r="9371" spans="1:13" s="71" customFormat="1" ht="26.4" customHeight="1">
      <c r="A9371" s="282">
        <v>605</v>
      </c>
      <c r="B9371" s="534"/>
      <c r="C9371" s="236" t="s">
        <v>11929</v>
      </c>
      <c r="D9371" s="260" t="s">
        <v>11930</v>
      </c>
      <c r="E9371" s="260" t="s">
        <v>13241</v>
      </c>
      <c r="F9371" s="387">
        <v>92081</v>
      </c>
      <c r="G9371" s="373" t="s">
        <v>1569</v>
      </c>
      <c r="H9371" s="396" t="s">
        <v>5462</v>
      </c>
      <c r="I9371" s="470">
        <v>2500</v>
      </c>
      <c r="J9371" s="427">
        <v>7.1503300000000003</v>
      </c>
      <c r="K9371" s="427">
        <v>5.1838600000000001</v>
      </c>
      <c r="L9371" s="427">
        <f t="shared" si="129"/>
        <v>1.9664700000000002</v>
      </c>
      <c r="M9371" s="337"/>
    </row>
    <row r="9372" spans="1:13" s="71" customFormat="1" ht="26.4" customHeight="1">
      <c r="A9372" s="282">
        <v>606</v>
      </c>
      <c r="B9372" s="534"/>
      <c r="C9372" s="236" t="s">
        <v>11929</v>
      </c>
      <c r="D9372" s="260" t="s">
        <v>11930</v>
      </c>
      <c r="E9372" s="260" t="s">
        <v>12566</v>
      </c>
      <c r="F9372" s="387">
        <v>92082</v>
      </c>
      <c r="G9372" s="373" t="s">
        <v>1569</v>
      </c>
      <c r="H9372" s="396" t="s">
        <v>5462</v>
      </c>
      <c r="I9372" s="470">
        <v>4700</v>
      </c>
      <c r="J9372" s="427">
        <v>12.229469999999999</v>
      </c>
      <c r="K9372" s="427">
        <v>8.7880000000000003</v>
      </c>
      <c r="L9372" s="427">
        <f t="shared" si="129"/>
        <v>3.4414699999999989</v>
      </c>
      <c r="M9372" s="337"/>
    </row>
    <row r="9373" spans="1:13" s="332" customFormat="1" ht="26.4" customHeight="1">
      <c r="A9373" s="445">
        <v>607</v>
      </c>
      <c r="B9373" s="534"/>
      <c r="C9373" s="375" t="s">
        <v>11929</v>
      </c>
      <c r="D9373" s="444" t="s">
        <v>11930</v>
      </c>
      <c r="E9373" s="444" t="s">
        <v>12567</v>
      </c>
      <c r="F9373" s="387">
        <v>92084</v>
      </c>
      <c r="G9373" s="373" t="s">
        <v>1569</v>
      </c>
      <c r="H9373" s="396" t="s">
        <v>3243</v>
      </c>
      <c r="I9373" s="470" t="s">
        <v>3243</v>
      </c>
      <c r="J9373" s="427">
        <v>9.3739699999999999</v>
      </c>
      <c r="K9373" s="427">
        <v>9.0999599999999994</v>
      </c>
      <c r="L9373" s="427">
        <f t="shared" si="129"/>
        <v>0.27401000000000053</v>
      </c>
      <c r="M9373" s="331"/>
    </row>
    <row r="9374" spans="1:13" s="71" customFormat="1" ht="26.4" customHeight="1">
      <c r="A9374" s="282">
        <v>608</v>
      </c>
      <c r="B9374" s="534"/>
      <c r="C9374" s="236" t="s">
        <v>11943</v>
      </c>
      <c r="D9374" s="260" t="s">
        <v>12568</v>
      </c>
      <c r="E9374" s="260" t="s">
        <v>12569</v>
      </c>
      <c r="F9374" s="387">
        <v>92085</v>
      </c>
      <c r="G9374" s="373" t="s">
        <v>1569</v>
      </c>
      <c r="H9374" s="396" t="s">
        <v>5462</v>
      </c>
      <c r="I9374" s="470">
        <v>2420</v>
      </c>
      <c r="J9374" s="427">
        <v>9.7711000000000006</v>
      </c>
      <c r="K9374" s="427">
        <v>6.7396000000000003</v>
      </c>
      <c r="L9374" s="427">
        <f t="shared" si="129"/>
        <v>3.0315000000000003</v>
      </c>
      <c r="M9374" s="337"/>
    </row>
    <row r="9375" spans="1:13" s="71" customFormat="1" ht="26.4" customHeight="1">
      <c r="A9375" s="282">
        <v>609</v>
      </c>
      <c r="B9375" s="534"/>
      <c r="C9375" s="236" t="s">
        <v>11943</v>
      </c>
      <c r="D9375" s="260" t="s">
        <v>12568</v>
      </c>
      <c r="E9375" s="260" t="s">
        <v>12570</v>
      </c>
      <c r="F9375" s="387">
        <v>92086</v>
      </c>
      <c r="G9375" s="373" t="s">
        <v>1569</v>
      </c>
      <c r="H9375" s="396" t="s">
        <v>5462</v>
      </c>
      <c r="I9375" s="470">
        <v>2421</v>
      </c>
      <c r="J9375" s="427">
        <v>11.012499999999999</v>
      </c>
      <c r="K9375" s="427">
        <v>7.9809999999999999</v>
      </c>
      <c r="L9375" s="427">
        <f t="shared" si="129"/>
        <v>3.0314999999999994</v>
      </c>
      <c r="M9375" s="337"/>
    </row>
    <row r="9376" spans="1:13" s="71" customFormat="1" ht="26.4" customHeight="1">
      <c r="A9376" s="282">
        <v>610</v>
      </c>
      <c r="B9376" s="534"/>
      <c r="C9376" s="236" t="s">
        <v>11943</v>
      </c>
      <c r="D9376" s="260" t="s">
        <v>12571</v>
      </c>
      <c r="E9376" s="260" t="s">
        <v>12572</v>
      </c>
      <c r="F9376" s="387">
        <v>92087</v>
      </c>
      <c r="G9376" s="373" t="s">
        <v>1569</v>
      </c>
      <c r="H9376" s="396" t="s">
        <v>5462</v>
      </c>
      <c r="I9376" s="470">
        <v>2422</v>
      </c>
      <c r="J9376" s="427">
        <v>121.4273</v>
      </c>
      <c r="K9376" s="427">
        <v>116.63616</v>
      </c>
      <c r="L9376" s="427">
        <f t="shared" si="129"/>
        <v>4.7911399999999986</v>
      </c>
      <c r="M9376" s="337"/>
    </row>
    <row r="9377" spans="1:13" s="71" customFormat="1" ht="26.4" customHeight="1">
      <c r="A9377" s="282">
        <v>611</v>
      </c>
      <c r="B9377" s="534"/>
      <c r="C9377" s="236" t="s">
        <v>11943</v>
      </c>
      <c r="D9377" s="260" t="s">
        <v>12568</v>
      </c>
      <c r="E9377" s="260" t="s">
        <v>12573</v>
      </c>
      <c r="F9377" s="387">
        <v>92088</v>
      </c>
      <c r="G9377" s="373" t="s">
        <v>1569</v>
      </c>
      <c r="H9377" s="396" t="s">
        <v>5462</v>
      </c>
      <c r="I9377" s="470">
        <v>2423</v>
      </c>
      <c r="J9377" s="427">
        <v>11.467320000000001</v>
      </c>
      <c r="K9377" s="427">
        <v>8.7657600000000002</v>
      </c>
      <c r="L9377" s="427">
        <f t="shared" si="129"/>
        <v>2.7015600000000006</v>
      </c>
      <c r="M9377" s="337"/>
    </row>
    <row r="9378" spans="1:13" s="71" customFormat="1" ht="26.4" customHeight="1">
      <c r="A9378" s="282">
        <v>612</v>
      </c>
      <c r="B9378" s="534"/>
      <c r="C9378" s="236" t="s">
        <v>11943</v>
      </c>
      <c r="D9378" s="260" t="s">
        <v>12568</v>
      </c>
      <c r="E9378" s="260" t="s">
        <v>12574</v>
      </c>
      <c r="F9378" s="387">
        <v>92089</v>
      </c>
      <c r="G9378" s="373" t="s">
        <v>1569</v>
      </c>
      <c r="H9378" s="396" t="s">
        <v>5462</v>
      </c>
      <c r="I9378" s="470">
        <v>2424</v>
      </c>
      <c r="J9378" s="427">
        <v>7.79</v>
      </c>
      <c r="K9378" s="427">
        <v>5.3647999999999998</v>
      </c>
      <c r="L9378" s="427">
        <f t="shared" si="129"/>
        <v>2.4252000000000002</v>
      </c>
      <c r="M9378" s="337"/>
    </row>
    <row r="9379" spans="1:13" s="71" customFormat="1" ht="26.4" customHeight="1">
      <c r="A9379" s="282">
        <v>613</v>
      </c>
      <c r="B9379" s="534"/>
      <c r="C9379" s="236" t="s">
        <v>11943</v>
      </c>
      <c r="D9379" s="260" t="s">
        <v>12575</v>
      </c>
      <c r="E9379" s="260" t="s">
        <v>12576</v>
      </c>
      <c r="F9379" s="387">
        <v>92090</v>
      </c>
      <c r="G9379" s="373" t="s">
        <v>1569</v>
      </c>
      <c r="H9379" s="396" t="s">
        <v>3243</v>
      </c>
      <c r="I9379" s="470" t="s">
        <v>3243</v>
      </c>
      <c r="J9379" s="427">
        <v>8.9661500000000007</v>
      </c>
      <c r="K9379" s="427">
        <v>8.9661500000000007</v>
      </c>
      <c r="L9379" s="427">
        <f t="shared" si="129"/>
        <v>0</v>
      </c>
      <c r="M9379" s="337"/>
    </row>
    <row r="9380" spans="1:13" s="71" customFormat="1" ht="26.4" customHeight="1">
      <c r="A9380" s="282">
        <v>614</v>
      </c>
      <c r="B9380" s="534"/>
      <c r="C9380" s="236" t="s">
        <v>11943</v>
      </c>
      <c r="D9380" s="260" t="s">
        <v>12577</v>
      </c>
      <c r="E9380" s="260" t="s">
        <v>12578</v>
      </c>
      <c r="F9380" s="387">
        <v>92130</v>
      </c>
      <c r="G9380" s="373" t="s">
        <v>1569</v>
      </c>
      <c r="H9380" s="396" t="s">
        <v>5462</v>
      </c>
      <c r="I9380" s="470">
        <v>140</v>
      </c>
      <c r="J9380" s="427">
        <v>15.9564</v>
      </c>
      <c r="K9380" s="427">
        <v>15.629020000000001</v>
      </c>
      <c r="L9380" s="427">
        <f t="shared" si="129"/>
        <v>0.32737999999999978</v>
      </c>
      <c r="M9380" s="337"/>
    </row>
    <row r="9381" spans="1:13" s="71" customFormat="1" ht="26.4" customHeight="1">
      <c r="A9381" s="282">
        <v>615</v>
      </c>
      <c r="B9381" s="534"/>
      <c r="C9381" s="236" t="s">
        <v>11929</v>
      </c>
      <c r="D9381" s="260" t="s">
        <v>11930</v>
      </c>
      <c r="E9381" s="260" t="s">
        <v>12579</v>
      </c>
      <c r="F9381" s="387">
        <v>92131</v>
      </c>
      <c r="G9381" s="373" t="s">
        <v>1569</v>
      </c>
      <c r="H9381" s="396" t="s">
        <v>3243</v>
      </c>
      <c r="I9381" s="470" t="s">
        <v>3243</v>
      </c>
      <c r="J9381" s="427">
        <v>222.79447999999999</v>
      </c>
      <c r="K9381" s="427">
        <v>222.79447999999999</v>
      </c>
      <c r="L9381" s="427">
        <f t="shared" si="129"/>
        <v>0</v>
      </c>
      <c r="M9381" s="337"/>
    </row>
    <row r="9382" spans="1:13" s="71" customFormat="1" ht="26.4" customHeight="1">
      <c r="A9382" s="282">
        <v>616</v>
      </c>
      <c r="B9382" s="534"/>
      <c r="C9382" s="236" t="s">
        <v>11929</v>
      </c>
      <c r="D9382" s="260" t="s">
        <v>11930</v>
      </c>
      <c r="E9382" s="260" t="s">
        <v>12580</v>
      </c>
      <c r="F9382" s="387">
        <v>92132</v>
      </c>
      <c r="G9382" s="373" t="s">
        <v>1569</v>
      </c>
      <c r="H9382" s="396" t="s">
        <v>5462</v>
      </c>
      <c r="I9382" s="470">
        <v>3200</v>
      </c>
      <c r="J9382" s="427">
        <v>95.091269999999994</v>
      </c>
      <c r="K9382" s="427">
        <v>90.992599999999996</v>
      </c>
      <c r="L9382" s="427">
        <f t="shared" si="129"/>
        <v>4.0986699999999985</v>
      </c>
      <c r="M9382" s="337"/>
    </row>
    <row r="9383" spans="1:13" s="71" customFormat="1" ht="26.4" customHeight="1">
      <c r="A9383" s="282">
        <v>617</v>
      </c>
      <c r="B9383" s="534"/>
      <c r="C9383" s="236" t="s">
        <v>11929</v>
      </c>
      <c r="D9383" s="260" t="s">
        <v>11930</v>
      </c>
      <c r="E9383" s="260" t="s">
        <v>12581</v>
      </c>
      <c r="F9383" s="387">
        <v>92133</v>
      </c>
      <c r="G9383" s="373" t="s">
        <v>1569</v>
      </c>
      <c r="H9383" s="396" t="s">
        <v>5462</v>
      </c>
      <c r="I9383" s="470">
        <v>3400</v>
      </c>
      <c r="J9383" s="427">
        <v>324.65834999999998</v>
      </c>
      <c r="K9383" s="427">
        <v>324.65834999999998</v>
      </c>
      <c r="L9383" s="427">
        <f t="shared" si="129"/>
        <v>0</v>
      </c>
      <c r="M9383" s="337"/>
    </row>
    <row r="9384" spans="1:13" s="71" customFormat="1" ht="26.4" customHeight="1">
      <c r="A9384" s="282">
        <v>618</v>
      </c>
      <c r="B9384" s="534"/>
      <c r="C9384" s="236" t="s">
        <v>11929</v>
      </c>
      <c r="D9384" s="260" t="s">
        <v>11930</v>
      </c>
      <c r="E9384" s="260" t="s">
        <v>12582</v>
      </c>
      <c r="F9384" s="387">
        <v>92134</v>
      </c>
      <c r="G9384" s="373" t="s">
        <v>1569</v>
      </c>
      <c r="H9384" s="396" t="s">
        <v>3243</v>
      </c>
      <c r="I9384" s="470" t="s">
        <v>3243</v>
      </c>
      <c r="J9384" s="427">
        <v>35.578060000000001</v>
      </c>
      <c r="K9384" s="427">
        <v>35.250160000000001</v>
      </c>
      <c r="L9384" s="427">
        <f t="shared" si="129"/>
        <v>0.32789999999999964</v>
      </c>
      <c r="M9384" s="337"/>
    </row>
    <row r="9385" spans="1:13" s="71" customFormat="1" ht="26.4" customHeight="1">
      <c r="A9385" s="282">
        <v>619</v>
      </c>
      <c r="B9385" s="534"/>
      <c r="C9385" s="236" t="s">
        <v>11943</v>
      </c>
      <c r="D9385" s="260" t="s">
        <v>12568</v>
      </c>
      <c r="E9385" s="260" t="s">
        <v>12583</v>
      </c>
      <c r="F9385" s="387">
        <v>92135</v>
      </c>
      <c r="G9385" s="373" t="s">
        <v>1569</v>
      </c>
      <c r="H9385" s="396" t="s">
        <v>5462</v>
      </c>
      <c r="I9385" s="470">
        <v>40</v>
      </c>
      <c r="J9385" s="427">
        <v>19.529890000000002</v>
      </c>
      <c r="K9385" s="427">
        <v>15.855779999999999</v>
      </c>
      <c r="L9385" s="427">
        <f t="shared" si="129"/>
        <v>3.6741100000000024</v>
      </c>
      <c r="M9385" s="337"/>
    </row>
    <row r="9386" spans="1:13" s="71" customFormat="1" ht="26.4" customHeight="1">
      <c r="A9386" s="282">
        <v>620</v>
      </c>
      <c r="B9386" s="534"/>
      <c r="C9386" s="236" t="s">
        <v>11943</v>
      </c>
      <c r="D9386" s="260" t="s">
        <v>12568</v>
      </c>
      <c r="E9386" s="260" t="s">
        <v>12584</v>
      </c>
      <c r="F9386" s="387">
        <v>92136</v>
      </c>
      <c r="G9386" s="373" t="s">
        <v>1569</v>
      </c>
      <c r="H9386" s="396" t="s">
        <v>5462</v>
      </c>
      <c r="I9386" s="470">
        <v>285</v>
      </c>
      <c r="J9386" s="427">
        <v>103.55343000000001</v>
      </c>
      <c r="K9386" s="427">
        <v>96.000590000000003</v>
      </c>
      <c r="L9386" s="427">
        <f t="shared" si="129"/>
        <v>7.5528400000000033</v>
      </c>
      <c r="M9386" s="337"/>
    </row>
    <row r="9387" spans="1:13" s="71" customFormat="1" ht="26.4" customHeight="1">
      <c r="A9387" s="282">
        <v>621</v>
      </c>
      <c r="B9387" s="534"/>
      <c r="C9387" s="236" t="s">
        <v>11943</v>
      </c>
      <c r="D9387" s="260" t="s">
        <v>12568</v>
      </c>
      <c r="E9387" s="260" t="s">
        <v>12585</v>
      </c>
      <c r="F9387" s="387">
        <v>92137</v>
      </c>
      <c r="G9387" s="373" t="s">
        <v>1569</v>
      </c>
      <c r="H9387" s="396" t="s">
        <v>5462</v>
      </c>
      <c r="I9387" s="470">
        <v>65.8</v>
      </c>
      <c r="J9387" s="427">
        <v>77.012829999999994</v>
      </c>
      <c r="K9387" s="427">
        <v>68.427869999999999</v>
      </c>
      <c r="L9387" s="427">
        <f t="shared" si="129"/>
        <v>8.5849599999999953</v>
      </c>
      <c r="M9387" s="337"/>
    </row>
    <row r="9388" spans="1:13" s="71" customFormat="1" ht="26.4" customHeight="1">
      <c r="A9388" s="282">
        <v>622</v>
      </c>
      <c r="B9388" s="534"/>
      <c r="C9388" s="236" t="s">
        <v>11943</v>
      </c>
      <c r="D9388" s="260" t="s">
        <v>12568</v>
      </c>
      <c r="E9388" s="260" t="s">
        <v>12585</v>
      </c>
      <c r="F9388" s="387">
        <v>92138</v>
      </c>
      <c r="G9388" s="373" t="s">
        <v>1569</v>
      </c>
      <c r="H9388" s="396" t="s">
        <v>5462</v>
      </c>
      <c r="I9388" s="470">
        <v>45</v>
      </c>
      <c r="J9388" s="427">
        <v>59.234450000000002</v>
      </c>
      <c r="K9388" s="427">
        <v>50.64949</v>
      </c>
      <c r="L9388" s="427">
        <f t="shared" si="129"/>
        <v>8.5849600000000024</v>
      </c>
      <c r="M9388" s="337"/>
    </row>
    <row r="9389" spans="1:13" s="71" customFormat="1" ht="26.4" customHeight="1">
      <c r="A9389" s="282">
        <v>623</v>
      </c>
      <c r="B9389" s="534"/>
      <c r="C9389" s="236" t="s">
        <v>11943</v>
      </c>
      <c r="D9389" s="260" t="s">
        <v>12571</v>
      </c>
      <c r="E9389" s="260" t="s">
        <v>12586</v>
      </c>
      <c r="F9389" s="387">
        <v>92139</v>
      </c>
      <c r="G9389" s="373" t="s">
        <v>1569</v>
      </c>
      <c r="H9389" s="396" t="s">
        <v>5462</v>
      </c>
      <c r="I9389" s="470">
        <v>139</v>
      </c>
      <c r="J9389" s="427">
        <v>55.463459999999998</v>
      </c>
      <c r="K9389" s="427">
        <v>47.051139999999997</v>
      </c>
      <c r="L9389" s="427">
        <f t="shared" si="129"/>
        <v>8.4123200000000011</v>
      </c>
      <c r="M9389" s="337"/>
    </row>
    <row r="9390" spans="1:13" s="71" customFormat="1" ht="26.4" customHeight="1">
      <c r="A9390" s="282">
        <v>624</v>
      </c>
      <c r="B9390" s="534"/>
      <c r="C9390" s="236" t="s">
        <v>11943</v>
      </c>
      <c r="D9390" s="260" t="s">
        <v>12571</v>
      </c>
      <c r="E9390" s="260" t="s">
        <v>12587</v>
      </c>
      <c r="F9390" s="387">
        <v>92140</v>
      </c>
      <c r="G9390" s="373" t="s">
        <v>1569</v>
      </c>
      <c r="H9390" s="396" t="s">
        <v>5462</v>
      </c>
      <c r="I9390" s="470">
        <v>139</v>
      </c>
      <c r="J9390" s="427">
        <v>103.55576000000001</v>
      </c>
      <c r="K9390" s="427">
        <v>95.841059999999999</v>
      </c>
      <c r="L9390" s="427">
        <f t="shared" si="129"/>
        <v>7.7147000000000077</v>
      </c>
      <c r="M9390" s="337"/>
    </row>
    <row r="9391" spans="1:13" s="71" customFormat="1" ht="26.4" customHeight="1">
      <c r="A9391" s="282">
        <v>625</v>
      </c>
      <c r="B9391" s="534"/>
      <c r="C9391" s="236" t="s">
        <v>11943</v>
      </c>
      <c r="D9391" s="260" t="s">
        <v>12568</v>
      </c>
      <c r="E9391" s="260" t="s">
        <v>12588</v>
      </c>
      <c r="F9391" s="387">
        <v>92141</v>
      </c>
      <c r="G9391" s="373" t="s">
        <v>1569</v>
      </c>
      <c r="H9391" s="396" t="s">
        <v>5462</v>
      </c>
      <c r="I9391" s="470">
        <v>86</v>
      </c>
      <c r="J9391" s="427">
        <v>73.878979999999999</v>
      </c>
      <c r="K9391" s="427">
        <v>69.008250000000004</v>
      </c>
      <c r="L9391" s="427">
        <f t="shared" si="129"/>
        <v>4.8707299999999947</v>
      </c>
      <c r="M9391" s="337"/>
    </row>
    <row r="9392" spans="1:13" s="71" customFormat="1" ht="26.4" customHeight="1">
      <c r="A9392" s="282">
        <v>626</v>
      </c>
      <c r="B9392" s="534"/>
      <c r="C9392" s="236" t="s">
        <v>11943</v>
      </c>
      <c r="D9392" s="260" t="s">
        <v>12568</v>
      </c>
      <c r="E9392" s="260" t="s">
        <v>12589</v>
      </c>
      <c r="F9392" s="387">
        <v>92142</v>
      </c>
      <c r="G9392" s="373" t="s">
        <v>1569</v>
      </c>
      <c r="H9392" s="396" t="s">
        <v>5462</v>
      </c>
      <c r="I9392" s="470">
        <v>85</v>
      </c>
      <c r="J9392" s="427">
        <v>73.01473</v>
      </c>
      <c r="K9392" s="427">
        <v>68.217789999999994</v>
      </c>
      <c r="L9392" s="427">
        <f t="shared" si="129"/>
        <v>4.7969400000000064</v>
      </c>
      <c r="M9392" s="337"/>
    </row>
    <row r="9393" spans="1:13" s="71" customFormat="1" ht="26.4" customHeight="1">
      <c r="A9393" s="282">
        <v>627</v>
      </c>
      <c r="B9393" s="534"/>
      <c r="C9393" s="236" t="s">
        <v>11943</v>
      </c>
      <c r="D9393" s="260" t="s">
        <v>12568</v>
      </c>
      <c r="E9393" s="260" t="s">
        <v>13228</v>
      </c>
      <c r="F9393" s="387">
        <v>92143</v>
      </c>
      <c r="G9393" s="373" t="s">
        <v>1569</v>
      </c>
      <c r="H9393" s="396" t="s">
        <v>5462</v>
      </c>
      <c r="I9393" s="470">
        <v>140</v>
      </c>
      <c r="J9393" s="427">
        <v>119.23609</v>
      </c>
      <c r="K9393" s="427">
        <v>112.45856999999999</v>
      </c>
      <c r="L9393" s="427">
        <f t="shared" si="129"/>
        <v>6.7775200000000098</v>
      </c>
      <c r="M9393" s="337"/>
    </row>
    <row r="9394" spans="1:13" s="71" customFormat="1" ht="26.4" customHeight="1">
      <c r="A9394" s="282">
        <v>628</v>
      </c>
      <c r="B9394" s="534"/>
      <c r="C9394" s="236" t="s">
        <v>11943</v>
      </c>
      <c r="D9394" s="260" t="s">
        <v>12568</v>
      </c>
      <c r="E9394" s="260" t="s">
        <v>12590</v>
      </c>
      <c r="F9394" s="387">
        <v>92145</v>
      </c>
      <c r="G9394" s="373" t="s">
        <v>1569</v>
      </c>
      <c r="H9394" s="396" t="s">
        <v>5462</v>
      </c>
      <c r="I9394" s="470">
        <v>5320</v>
      </c>
      <c r="J9394" s="427">
        <v>230.87111999999999</v>
      </c>
      <c r="K9394" s="427">
        <v>230.27285000000001</v>
      </c>
      <c r="L9394" s="427">
        <f t="shared" si="129"/>
        <v>0.5982699999999852</v>
      </c>
      <c r="M9394" s="337"/>
    </row>
    <row r="9395" spans="1:13" s="71" customFormat="1" ht="26.4">
      <c r="A9395" s="282">
        <v>629</v>
      </c>
      <c r="B9395" s="534"/>
      <c r="C9395" s="444" t="s">
        <v>1803</v>
      </c>
      <c r="D9395" s="444" t="s">
        <v>12938</v>
      </c>
      <c r="E9395" s="444" t="s">
        <v>12591</v>
      </c>
      <c r="F9395" s="387">
        <v>92231</v>
      </c>
      <c r="G9395" s="373" t="s">
        <v>1569</v>
      </c>
      <c r="H9395" s="396" t="s">
        <v>3243</v>
      </c>
      <c r="I9395" s="470" t="s">
        <v>3243</v>
      </c>
      <c r="J9395" s="427">
        <v>54.91</v>
      </c>
      <c r="K9395" s="427">
        <v>53.565100000000001</v>
      </c>
      <c r="L9395" s="427">
        <f t="shared" si="129"/>
        <v>1.3448999999999955</v>
      </c>
      <c r="M9395" s="337"/>
    </row>
    <row r="9396" spans="1:13" s="71" customFormat="1" ht="26.4" customHeight="1">
      <c r="A9396" s="282">
        <v>630</v>
      </c>
      <c r="B9396" s="534"/>
      <c r="C9396" s="236" t="s">
        <v>11927</v>
      </c>
      <c r="D9396" s="260" t="s">
        <v>12592</v>
      </c>
      <c r="E9396" s="260" t="s">
        <v>13391</v>
      </c>
      <c r="F9396" s="387">
        <v>92238</v>
      </c>
      <c r="G9396" s="373" t="s">
        <v>1569</v>
      </c>
      <c r="H9396" s="396" t="s">
        <v>5462</v>
      </c>
      <c r="I9396" s="433">
        <v>1284</v>
      </c>
      <c r="J9396" s="427">
        <v>32.744100000000003</v>
      </c>
      <c r="K9396" s="427">
        <v>26.43188</v>
      </c>
      <c r="L9396" s="427">
        <f t="shared" si="129"/>
        <v>6.3122200000000035</v>
      </c>
      <c r="M9396" s="337"/>
    </row>
    <row r="9397" spans="1:13" s="71" customFormat="1" ht="26.4" customHeight="1">
      <c r="A9397" s="282">
        <v>631</v>
      </c>
      <c r="B9397" s="534"/>
      <c r="C9397" s="236" t="s">
        <v>11927</v>
      </c>
      <c r="D9397" s="260" t="s">
        <v>12593</v>
      </c>
      <c r="E9397" s="260" t="s">
        <v>13390</v>
      </c>
      <c r="F9397" s="387">
        <v>92239</v>
      </c>
      <c r="G9397" s="373" t="s">
        <v>1569</v>
      </c>
      <c r="H9397" s="396" t="s">
        <v>5462</v>
      </c>
      <c r="I9397" s="433">
        <v>1284</v>
      </c>
      <c r="J9397" s="427">
        <v>17.292750000000002</v>
      </c>
      <c r="K9397" s="427">
        <v>14.376200000000001</v>
      </c>
      <c r="L9397" s="427">
        <f t="shared" si="129"/>
        <v>2.9165500000000009</v>
      </c>
      <c r="M9397" s="337"/>
    </row>
    <row r="9398" spans="1:13" s="71" customFormat="1" ht="26.4" customHeight="1">
      <c r="A9398" s="282">
        <v>632</v>
      </c>
      <c r="B9398" s="534"/>
      <c r="C9398" s="375" t="s">
        <v>11927</v>
      </c>
      <c r="D9398" s="391" t="s">
        <v>12594</v>
      </c>
      <c r="E9398" s="444" t="s">
        <v>13367</v>
      </c>
      <c r="F9398" s="387">
        <v>92240</v>
      </c>
      <c r="G9398" s="373" t="s">
        <v>1569</v>
      </c>
      <c r="H9398" s="396" t="s">
        <v>5462</v>
      </c>
      <c r="I9398" s="433">
        <v>1284</v>
      </c>
      <c r="J9398" s="427">
        <v>32.905000000000001</v>
      </c>
      <c r="K9398" s="427">
        <v>32.841760000000001</v>
      </c>
      <c r="L9398" s="427">
        <f t="shared" si="129"/>
        <v>6.3240000000000407E-2</v>
      </c>
      <c r="M9398" s="337"/>
    </row>
    <row r="9399" spans="1:13" s="71" customFormat="1" ht="26.4" customHeight="1">
      <c r="A9399" s="282">
        <v>633</v>
      </c>
      <c r="B9399" s="534"/>
      <c r="C9399" s="236" t="s">
        <v>11927</v>
      </c>
      <c r="D9399" s="260" t="s">
        <v>12595</v>
      </c>
      <c r="E9399" s="260" t="s">
        <v>13368</v>
      </c>
      <c r="F9399" s="387">
        <v>92241</v>
      </c>
      <c r="G9399" s="373" t="s">
        <v>1569</v>
      </c>
      <c r="H9399" s="396" t="s">
        <v>5462</v>
      </c>
      <c r="I9399" s="433">
        <v>1284</v>
      </c>
      <c r="J9399" s="427">
        <v>18.326750000000001</v>
      </c>
      <c r="K9399" s="427">
        <v>15.4102</v>
      </c>
      <c r="L9399" s="427">
        <f t="shared" si="129"/>
        <v>2.9165500000000009</v>
      </c>
      <c r="M9399" s="337"/>
    </row>
    <row r="9400" spans="1:13" s="71" customFormat="1" ht="26.4" customHeight="1">
      <c r="A9400" s="282">
        <v>634</v>
      </c>
      <c r="B9400" s="534"/>
      <c r="C9400" s="236" t="s">
        <v>11927</v>
      </c>
      <c r="D9400" s="260" t="s">
        <v>12596</v>
      </c>
      <c r="E9400" s="260" t="s">
        <v>13369</v>
      </c>
      <c r="F9400" s="387">
        <v>92242</v>
      </c>
      <c r="G9400" s="373" t="s">
        <v>1569</v>
      </c>
      <c r="H9400" s="396" t="s">
        <v>5462</v>
      </c>
      <c r="I9400" s="433">
        <v>1284</v>
      </c>
      <c r="J9400" s="427">
        <v>16.943200000000001</v>
      </c>
      <c r="K9400" s="427">
        <v>11.68378</v>
      </c>
      <c r="L9400" s="427">
        <f t="shared" si="129"/>
        <v>5.2594200000000004</v>
      </c>
      <c r="M9400" s="337"/>
    </row>
    <row r="9401" spans="1:13" s="71" customFormat="1" ht="26.4" customHeight="1">
      <c r="A9401" s="282">
        <v>635</v>
      </c>
      <c r="B9401" s="534"/>
      <c r="C9401" s="236" t="s">
        <v>11927</v>
      </c>
      <c r="D9401" s="260" t="s">
        <v>12597</v>
      </c>
      <c r="E9401" s="260" t="s">
        <v>13370</v>
      </c>
      <c r="F9401" s="387">
        <v>92243</v>
      </c>
      <c r="G9401" s="373" t="s">
        <v>1569</v>
      </c>
      <c r="H9401" s="396" t="s">
        <v>5462</v>
      </c>
      <c r="I9401" s="433">
        <v>1284</v>
      </c>
      <c r="J9401" s="427">
        <v>25.528870000000001</v>
      </c>
      <c r="K9401" s="427">
        <v>23.098299999999998</v>
      </c>
      <c r="L9401" s="427">
        <f t="shared" si="129"/>
        <v>2.430570000000003</v>
      </c>
      <c r="M9401" s="337"/>
    </row>
    <row r="9402" spans="1:13" s="71" customFormat="1" ht="26.4" customHeight="1">
      <c r="A9402" s="282">
        <v>636</v>
      </c>
      <c r="B9402" s="534"/>
      <c r="C9402" s="236" t="s">
        <v>11927</v>
      </c>
      <c r="D9402" s="260" t="s">
        <v>12598</v>
      </c>
      <c r="E9402" s="260" t="s">
        <v>13371</v>
      </c>
      <c r="F9402" s="387">
        <v>92244</v>
      </c>
      <c r="G9402" s="373" t="s">
        <v>1569</v>
      </c>
      <c r="H9402" s="396" t="s">
        <v>5462</v>
      </c>
      <c r="I9402" s="433">
        <v>1284</v>
      </c>
      <c r="J9402" s="427">
        <v>20.465250000000001</v>
      </c>
      <c r="K9402" s="427">
        <v>19.519480000000001</v>
      </c>
      <c r="L9402" s="427">
        <f t="shared" si="129"/>
        <v>0.94576999999999956</v>
      </c>
      <c r="M9402" s="337"/>
    </row>
    <row r="9403" spans="1:13" s="71" customFormat="1" ht="26.4" customHeight="1">
      <c r="A9403" s="282">
        <v>637</v>
      </c>
      <c r="B9403" s="534"/>
      <c r="C9403" s="236" t="s">
        <v>11927</v>
      </c>
      <c r="D9403" s="260" t="s">
        <v>12598</v>
      </c>
      <c r="E9403" s="260" t="s">
        <v>13372</v>
      </c>
      <c r="F9403" s="387">
        <v>92245</v>
      </c>
      <c r="G9403" s="373" t="s">
        <v>1569</v>
      </c>
      <c r="H9403" s="396" t="s">
        <v>5462</v>
      </c>
      <c r="I9403" s="433">
        <v>1284</v>
      </c>
      <c r="J9403" s="427">
        <v>50.636800000000001</v>
      </c>
      <c r="K9403" s="427">
        <v>49.506999999999998</v>
      </c>
      <c r="L9403" s="427">
        <f t="shared" si="129"/>
        <v>1.129800000000003</v>
      </c>
      <c r="M9403" s="337"/>
    </row>
    <row r="9404" spans="1:13" s="71" customFormat="1" ht="39.6">
      <c r="A9404" s="282">
        <v>638</v>
      </c>
      <c r="B9404" s="534"/>
      <c r="C9404" s="375" t="s">
        <v>11927</v>
      </c>
      <c r="D9404" s="444" t="s">
        <v>13006</v>
      </c>
      <c r="E9404" s="444" t="s">
        <v>13373</v>
      </c>
      <c r="F9404" s="387">
        <v>92246</v>
      </c>
      <c r="G9404" s="373" t="s">
        <v>1569</v>
      </c>
      <c r="H9404" s="396" t="s">
        <v>5462</v>
      </c>
      <c r="I9404" s="470" t="s">
        <v>3285</v>
      </c>
      <c r="J9404" s="427">
        <v>428.71850000000001</v>
      </c>
      <c r="K9404" s="427">
        <v>424.56400000000002</v>
      </c>
      <c r="L9404" s="427">
        <f t="shared" si="129"/>
        <v>4.1544999999999845</v>
      </c>
      <c r="M9404" s="337"/>
    </row>
    <row r="9405" spans="1:13" s="71" customFormat="1" ht="26.4" customHeight="1">
      <c r="A9405" s="282">
        <v>639</v>
      </c>
      <c r="B9405" s="534"/>
      <c r="C9405" s="236" t="s">
        <v>11927</v>
      </c>
      <c r="D9405" s="392" t="s">
        <v>12594</v>
      </c>
      <c r="E9405" s="260" t="s">
        <v>13374</v>
      </c>
      <c r="F9405" s="387">
        <v>92247</v>
      </c>
      <c r="G9405" s="373" t="s">
        <v>1569</v>
      </c>
      <c r="H9405" s="396" t="s">
        <v>5462</v>
      </c>
      <c r="I9405" s="470">
        <v>200</v>
      </c>
      <c r="J9405" s="427">
        <v>9.2118000000000002</v>
      </c>
      <c r="K9405" s="427">
        <v>9.2116799999999994</v>
      </c>
      <c r="L9405" s="427">
        <f t="shared" si="129"/>
        <v>1.2000000000078614E-4</v>
      </c>
      <c r="M9405" s="337"/>
    </row>
    <row r="9406" spans="1:13" s="71" customFormat="1" ht="26.4" customHeight="1">
      <c r="A9406" s="282">
        <v>640</v>
      </c>
      <c r="B9406" s="534"/>
      <c r="C9406" s="236" t="s">
        <v>11927</v>
      </c>
      <c r="D9406" s="392" t="s">
        <v>12592</v>
      </c>
      <c r="E9406" s="260" t="s">
        <v>13375</v>
      </c>
      <c r="F9406" s="387">
        <v>92248</v>
      </c>
      <c r="G9406" s="373" t="s">
        <v>1569</v>
      </c>
      <c r="H9406" s="396" t="s">
        <v>5462</v>
      </c>
      <c r="I9406" s="470">
        <v>700</v>
      </c>
      <c r="J9406" s="427">
        <v>33.930950000000003</v>
      </c>
      <c r="K9406" s="427">
        <v>30.782</v>
      </c>
      <c r="L9406" s="427">
        <f t="shared" si="129"/>
        <v>3.1489500000000028</v>
      </c>
      <c r="M9406" s="337"/>
    </row>
    <row r="9407" spans="1:13" s="71" customFormat="1" ht="26.4" customHeight="1">
      <c r="A9407" s="282">
        <v>641</v>
      </c>
      <c r="B9407" s="534"/>
      <c r="C9407" s="236" t="s">
        <v>11927</v>
      </c>
      <c r="D9407" s="392" t="s">
        <v>12596</v>
      </c>
      <c r="E9407" s="260" t="s">
        <v>13376</v>
      </c>
      <c r="F9407" s="387">
        <v>92249</v>
      </c>
      <c r="G9407" s="373" t="s">
        <v>1569</v>
      </c>
      <c r="H9407" s="396" t="s">
        <v>5462</v>
      </c>
      <c r="I9407" s="470">
        <v>100</v>
      </c>
      <c r="J9407" s="427">
        <v>4.1859000000000002</v>
      </c>
      <c r="K9407" s="427">
        <v>4.1857899999999999</v>
      </c>
      <c r="L9407" s="427">
        <f t="shared" ref="L9407:L9429" si="130">J9407-K9407</f>
        <v>1.1000000000027654E-4</v>
      </c>
      <c r="M9407" s="337"/>
    </row>
    <row r="9408" spans="1:13" s="71" customFormat="1" ht="26.4" customHeight="1">
      <c r="A9408" s="282">
        <v>642</v>
      </c>
      <c r="B9408" s="534"/>
      <c r="C9408" s="236" t="s">
        <v>11927</v>
      </c>
      <c r="D9408" s="444" t="s">
        <v>12599</v>
      </c>
      <c r="E9408" s="260" t="s">
        <v>13377</v>
      </c>
      <c r="F9408" s="387">
        <v>92250</v>
      </c>
      <c r="G9408" s="373" t="s">
        <v>1569</v>
      </c>
      <c r="H9408" s="396" t="s">
        <v>5462</v>
      </c>
      <c r="I9408" s="470">
        <v>800</v>
      </c>
      <c r="J9408" s="427">
        <v>38.049869999999999</v>
      </c>
      <c r="K9408" s="427">
        <v>34.451000000000001</v>
      </c>
      <c r="L9408" s="427">
        <f t="shared" si="130"/>
        <v>3.598869999999998</v>
      </c>
      <c r="M9408" s="337"/>
    </row>
    <row r="9409" spans="1:13" s="71" customFormat="1" ht="26.4" customHeight="1">
      <c r="A9409" s="282">
        <v>643</v>
      </c>
      <c r="B9409" s="534"/>
      <c r="C9409" s="375" t="s">
        <v>11927</v>
      </c>
      <c r="D9409" s="444" t="s">
        <v>12600</v>
      </c>
      <c r="E9409" s="444" t="s">
        <v>12601</v>
      </c>
      <c r="F9409" s="387">
        <v>92252</v>
      </c>
      <c r="G9409" s="373" t="s">
        <v>1569</v>
      </c>
      <c r="H9409" s="396" t="s">
        <v>5462</v>
      </c>
      <c r="I9409" s="470">
        <v>5000</v>
      </c>
      <c r="J9409" s="427">
        <v>191.93074999999999</v>
      </c>
      <c r="K9409" s="427">
        <v>187.608</v>
      </c>
      <c r="L9409" s="427">
        <f t="shared" si="130"/>
        <v>4.322749999999985</v>
      </c>
      <c r="M9409" s="337"/>
    </row>
    <row r="9410" spans="1:13" s="71" customFormat="1" ht="26.4" customHeight="1">
      <c r="A9410" s="282">
        <v>644</v>
      </c>
      <c r="B9410" s="534"/>
      <c r="C9410" s="375" t="s">
        <v>11927</v>
      </c>
      <c r="D9410" s="444" t="s">
        <v>12602</v>
      </c>
      <c r="E9410" s="444" t="s">
        <v>12603</v>
      </c>
      <c r="F9410" s="387">
        <v>92255</v>
      </c>
      <c r="G9410" s="373" t="s">
        <v>1569</v>
      </c>
      <c r="H9410" s="396" t="s">
        <v>3243</v>
      </c>
      <c r="I9410" s="470" t="s">
        <v>3285</v>
      </c>
      <c r="J9410" s="427">
        <v>44.99521</v>
      </c>
      <c r="K9410" s="427">
        <v>43.360500000000002</v>
      </c>
      <c r="L9410" s="427">
        <f t="shared" si="130"/>
        <v>1.6347099999999983</v>
      </c>
      <c r="M9410" s="337"/>
    </row>
    <row r="9411" spans="1:13" s="71" customFormat="1" ht="26.4" customHeight="1">
      <c r="A9411" s="282">
        <v>645</v>
      </c>
      <c r="B9411" s="534"/>
      <c r="C9411" s="375" t="s">
        <v>11927</v>
      </c>
      <c r="D9411" s="444" t="s">
        <v>12599</v>
      </c>
      <c r="E9411" s="444" t="s">
        <v>12604</v>
      </c>
      <c r="F9411" s="387">
        <v>92256</v>
      </c>
      <c r="G9411" s="373" t="s">
        <v>1569</v>
      </c>
      <c r="H9411" s="396" t="s">
        <v>3243</v>
      </c>
      <c r="I9411" s="470" t="s">
        <v>3285</v>
      </c>
      <c r="J9411" s="427">
        <v>210.52950000000001</v>
      </c>
      <c r="K9411" s="427">
        <v>208.87950000000001</v>
      </c>
      <c r="L9411" s="427">
        <f t="shared" si="130"/>
        <v>1.6500000000000057</v>
      </c>
      <c r="M9411" s="337"/>
    </row>
    <row r="9412" spans="1:13" s="71" customFormat="1" ht="26.4" customHeight="1">
      <c r="A9412" s="282">
        <v>646</v>
      </c>
      <c r="B9412" s="534"/>
      <c r="C9412" s="375" t="s">
        <v>11927</v>
      </c>
      <c r="D9412" s="444" t="s">
        <v>12599</v>
      </c>
      <c r="E9412" s="444" t="s">
        <v>12605</v>
      </c>
      <c r="F9412" s="387">
        <v>92257</v>
      </c>
      <c r="G9412" s="373" t="s">
        <v>1569</v>
      </c>
      <c r="H9412" s="396" t="s">
        <v>3243</v>
      </c>
      <c r="I9412" s="470" t="s">
        <v>3285</v>
      </c>
      <c r="J9412" s="427">
        <v>21.557700000000001</v>
      </c>
      <c r="K9412" s="427">
        <v>19.1936</v>
      </c>
      <c r="L9412" s="427">
        <f t="shared" si="130"/>
        <v>2.3641000000000005</v>
      </c>
      <c r="M9412" s="337"/>
    </row>
    <row r="9413" spans="1:13" s="71" customFormat="1" ht="26.4" customHeight="1">
      <c r="A9413" s="282">
        <v>647</v>
      </c>
      <c r="B9413" s="534"/>
      <c r="C9413" s="260" t="s">
        <v>10229</v>
      </c>
      <c r="D9413" s="260" t="s">
        <v>11780</v>
      </c>
      <c r="E9413" s="260" t="s">
        <v>12606</v>
      </c>
      <c r="F9413" s="387">
        <v>100002</v>
      </c>
      <c r="G9413" s="373" t="s">
        <v>1584</v>
      </c>
      <c r="H9413" s="396" t="s">
        <v>3243</v>
      </c>
      <c r="I9413" s="470" t="s">
        <v>3285</v>
      </c>
      <c r="J9413" s="496">
        <v>1.04348</v>
      </c>
      <c r="K9413" s="496">
        <v>0.56033999999999995</v>
      </c>
      <c r="L9413" s="427">
        <f t="shared" si="130"/>
        <v>0.48314000000000001</v>
      </c>
      <c r="M9413" s="337"/>
    </row>
    <row r="9414" spans="1:13" s="71" customFormat="1" ht="26.4" customHeight="1">
      <c r="A9414" s="282">
        <v>648</v>
      </c>
      <c r="B9414" s="534"/>
      <c r="C9414" s="236" t="s">
        <v>8325</v>
      </c>
      <c r="D9414" s="260" t="s">
        <v>12607</v>
      </c>
      <c r="E9414" s="260" t="s">
        <v>12608</v>
      </c>
      <c r="F9414" s="387">
        <v>100003</v>
      </c>
      <c r="G9414" s="373" t="s">
        <v>1558</v>
      </c>
      <c r="H9414" s="396" t="s">
        <v>3243</v>
      </c>
      <c r="I9414" s="470" t="s">
        <v>3285</v>
      </c>
      <c r="J9414" s="496">
        <v>1.1100000000000001</v>
      </c>
      <c r="K9414" s="496">
        <v>0.64356999999999998</v>
      </c>
      <c r="L9414" s="427">
        <f t="shared" si="130"/>
        <v>0.46643000000000012</v>
      </c>
      <c r="M9414" s="337"/>
    </row>
    <row r="9415" spans="1:13" s="71" customFormat="1" ht="26.4" customHeight="1">
      <c r="A9415" s="282">
        <v>649</v>
      </c>
      <c r="B9415" s="534"/>
      <c r="C9415" s="260" t="s">
        <v>11743</v>
      </c>
      <c r="D9415" s="392" t="s">
        <v>3285</v>
      </c>
      <c r="E9415" s="260" t="s">
        <v>12609</v>
      </c>
      <c r="F9415" s="387">
        <v>100004</v>
      </c>
      <c r="G9415" s="373" t="s">
        <v>1558</v>
      </c>
      <c r="H9415" s="396" t="s">
        <v>3243</v>
      </c>
      <c r="I9415" s="470" t="s">
        <v>3285</v>
      </c>
      <c r="J9415" s="496">
        <v>1.1000000000000001</v>
      </c>
      <c r="K9415" s="496">
        <v>0.63661999999999996</v>
      </c>
      <c r="L9415" s="427">
        <f t="shared" si="130"/>
        <v>0.46338000000000013</v>
      </c>
      <c r="M9415" s="337"/>
    </row>
    <row r="9416" spans="1:13" s="71" customFormat="1" ht="26.4" customHeight="1">
      <c r="A9416" s="282">
        <v>650</v>
      </c>
      <c r="B9416" s="534"/>
      <c r="C9416" s="236" t="s">
        <v>8325</v>
      </c>
      <c r="D9416" s="260" t="s">
        <v>12607</v>
      </c>
      <c r="E9416" s="260" t="s">
        <v>12610</v>
      </c>
      <c r="F9416" s="387">
        <v>100005</v>
      </c>
      <c r="G9416" s="373" t="s">
        <v>1558</v>
      </c>
      <c r="H9416" s="396" t="s">
        <v>3243</v>
      </c>
      <c r="I9416" s="470" t="s">
        <v>3285</v>
      </c>
      <c r="J9416" s="496">
        <v>1.40483</v>
      </c>
      <c r="K9416" s="496">
        <v>0.81315000000000004</v>
      </c>
      <c r="L9416" s="427">
        <f t="shared" si="130"/>
        <v>0.59167999999999998</v>
      </c>
      <c r="M9416" s="337"/>
    </row>
    <row r="9417" spans="1:13" s="71" customFormat="1" ht="26.4" customHeight="1">
      <c r="A9417" s="282">
        <v>651</v>
      </c>
      <c r="B9417" s="534"/>
      <c r="C9417" s="236" t="s">
        <v>11755</v>
      </c>
      <c r="D9417" s="260" t="s">
        <v>13000</v>
      </c>
      <c r="E9417" s="260" t="s">
        <v>12611</v>
      </c>
      <c r="F9417" s="387">
        <v>100009</v>
      </c>
      <c r="G9417" s="373" t="s">
        <v>11757</v>
      </c>
      <c r="H9417" s="396" t="s">
        <v>3243</v>
      </c>
      <c r="I9417" s="470" t="s">
        <v>3285</v>
      </c>
      <c r="J9417" s="496">
        <v>0.85158</v>
      </c>
      <c r="K9417" s="496">
        <v>0.73658000000000001</v>
      </c>
      <c r="L9417" s="427">
        <f t="shared" si="130"/>
        <v>0.11499999999999999</v>
      </c>
      <c r="M9417" s="337"/>
    </row>
    <row r="9418" spans="1:13" s="71" customFormat="1" ht="26.4" customHeight="1">
      <c r="A9418" s="282">
        <v>652</v>
      </c>
      <c r="B9418" s="534"/>
      <c r="C9418" s="236" t="s">
        <v>8325</v>
      </c>
      <c r="D9418" s="260" t="s">
        <v>11733</v>
      </c>
      <c r="E9418" s="260" t="s">
        <v>12612</v>
      </c>
      <c r="F9418" s="387">
        <v>100011</v>
      </c>
      <c r="G9418" s="373" t="s">
        <v>1545</v>
      </c>
      <c r="H9418" s="396" t="s">
        <v>3243</v>
      </c>
      <c r="I9418" s="470" t="s">
        <v>3285</v>
      </c>
      <c r="J9418" s="496">
        <v>1.1341699999999999</v>
      </c>
      <c r="K9418" s="496">
        <v>0.65744999999999998</v>
      </c>
      <c r="L9418" s="427">
        <f t="shared" si="130"/>
        <v>0.47671999999999992</v>
      </c>
      <c r="M9418" s="337"/>
    </row>
    <row r="9419" spans="1:13" s="71" customFormat="1" ht="26.4">
      <c r="A9419" s="282">
        <v>653</v>
      </c>
      <c r="B9419" s="534"/>
      <c r="C9419" s="260" t="s">
        <v>12939</v>
      </c>
      <c r="D9419" s="260" t="s">
        <v>12613</v>
      </c>
      <c r="E9419" s="260" t="s">
        <v>12614</v>
      </c>
      <c r="F9419" s="405">
        <v>14057</v>
      </c>
      <c r="G9419" s="373" t="s">
        <v>1536</v>
      </c>
      <c r="H9419" s="408" t="s">
        <v>5462</v>
      </c>
      <c r="I9419" s="470">
        <v>361.5</v>
      </c>
      <c r="J9419" s="497">
        <v>4.54</v>
      </c>
      <c r="K9419" s="497">
        <v>4.33</v>
      </c>
      <c r="L9419" s="497">
        <f t="shared" si="130"/>
        <v>0.20999999999999996</v>
      </c>
      <c r="M9419" s="337"/>
    </row>
    <row r="9420" spans="1:13" s="71" customFormat="1" ht="26.4">
      <c r="A9420" s="282">
        <v>654</v>
      </c>
      <c r="B9420" s="534"/>
      <c r="C9420" s="260" t="s">
        <v>12939</v>
      </c>
      <c r="D9420" s="260" t="s">
        <v>12613</v>
      </c>
      <c r="E9420" s="260" t="s">
        <v>12615</v>
      </c>
      <c r="F9420" s="405">
        <v>14058</v>
      </c>
      <c r="G9420" s="373" t="s">
        <v>1536</v>
      </c>
      <c r="H9420" s="408" t="s">
        <v>5462</v>
      </c>
      <c r="I9420" s="470">
        <v>380.5</v>
      </c>
      <c r="J9420" s="497">
        <v>4.8499999999999996</v>
      </c>
      <c r="K9420" s="497">
        <v>4.62</v>
      </c>
      <c r="L9420" s="497">
        <f t="shared" si="130"/>
        <v>0.22999999999999954</v>
      </c>
      <c r="M9420" s="337"/>
    </row>
    <row r="9421" spans="1:13" s="71" customFormat="1" ht="26.4">
      <c r="A9421" s="282">
        <v>655</v>
      </c>
      <c r="B9421" s="534"/>
      <c r="C9421" s="260" t="s">
        <v>12939</v>
      </c>
      <c r="D9421" s="260" t="s">
        <v>12616</v>
      </c>
      <c r="E9421" s="260" t="s">
        <v>12617</v>
      </c>
      <c r="F9421" s="405">
        <v>14059</v>
      </c>
      <c r="G9421" s="373" t="s">
        <v>1536</v>
      </c>
      <c r="H9421" s="408" t="s">
        <v>5462</v>
      </c>
      <c r="I9421" s="470">
        <v>114.5</v>
      </c>
      <c r="J9421" s="497">
        <v>1.44</v>
      </c>
      <c r="K9421" s="497">
        <v>1.37</v>
      </c>
      <c r="L9421" s="497">
        <f t="shared" si="130"/>
        <v>6.999999999999984E-2</v>
      </c>
      <c r="M9421" s="337"/>
    </row>
    <row r="9422" spans="1:13" s="71" customFormat="1" ht="26.4">
      <c r="A9422" s="282">
        <v>656</v>
      </c>
      <c r="B9422" s="534"/>
      <c r="C9422" s="260" t="s">
        <v>12939</v>
      </c>
      <c r="D9422" s="260" t="s">
        <v>12616</v>
      </c>
      <c r="E9422" s="260" t="s">
        <v>12618</v>
      </c>
      <c r="F9422" s="405">
        <v>14060</v>
      </c>
      <c r="G9422" s="373" t="s">
        <v>1536</v>
      </c>
      <c r="H9422" s="408" t="s">
        <v>5462</v>
      </c>
      <c r="I9422" s="470">
        <v>114.5</v>
      </c>
      <c r="J9422" s="497">
        <v>1.75</v>
      </c>
      <c r="K9422" s="497">
        <v>1.66</v>
      </c>
      <c r="L9422" s="497">
        <f t="shared" si="130"/>
        <v>9.000000000000008E-2</v>
      </c>
      <c r="M9422" s="337"/>
    </row>
    <row r="9423" spans="1:13" s="71" customFormat="1" ht="26.4">
      <c r="A9423" s="282">
        <v>657</v>
      </c>
      <c r="B9423" s="534"/>
      <c r="C9423" s="260" t="s">
        <v>12939</v>
      </c>
      <c r="D9423" s="260" t="s">
        <v>12619</v>
      </c>
      <c r="E9423" s="260" t="s">
        <v>12620</v>
      </c>
      <c r="F9423" s="405">
        <v>14061</v>
      </c>
      <c r="G9423" s="373" t="s">
        <v>1536</v>
      </c>
      <c r="H9423" s="408" t="s">
        <v>5462</v>
      </c>
      <c r="I9423" s="470">
        <v>265.8</v>
      </c>
      <c r="J9423" s="497">
        <v>3.33</v>
      </c>
      <c r="K9423" s="497">
        <v>3.17</v>
      </c>
      <c r="L9423" s="497">
        <f t="shared" si="130"/>
        <v>0.16000000000000014</v>
      </c>
      <c r="M9423" s="337"/>
    </row>
    <row r="9424" spans="1:13" s="71" customFormat="1" ht="26.4">
      <c r="A9424" s="282">
        <v>658</v>
      </c>
      <c r="B9424" s="534"/>
      <c r="C9424" s="260" t="s">
        <v>12939</v>
      </c>
      <c r="D9424" s="260" t="s">
        <v>12621</v>
      </c>
      <c r="E9424" s="260" t="s">
        <v>12622</v>
      </c>
      <c r="F9424" s="405">
        <v>14062</v>
      </c>
      <c r="G9424" s="373" t="s">
        <v>1536</v>
      </c>
      <c r="H9424" s="408" t="s">
        <v>5462</v>
      </c>
      <c r="I9424" s="470">
        <v>191</v>
      </c>
      <c r="J9424" s="497">
        <v>2.4</v>
      </c>
      <c r="K9424" s="497">
        <v>2.2000000000000002</v>
      </c>
      <c r="L9424" s="497">
        <f t="shared" si="130"/>
        <v>0.19999999999999973</v>
      </c>
      <c r="M9424" s="337"/>
    </row>
    <row r="9425" spans="1:13" s="71" customFormat="1" ht="26.4">
      <c r="A9425" s="282">
        <v>659</v>
      </c>
      <c r="B9425" s="534"/>
      <c r="C9425" s="260" t="s">
        <v>12939</v>
      </c>
      <c r="D9425" s="260" t="s">
        <v>12623</v>
      </c>
      <c r="E9425" s="260" t="s">
        <v>12624</v>
      </c>
      <c r="F9425" s="405">
        <v>14264</v>
      </c>
      <c r="G9425" s="373" t="s">
        <v>1536</v>
      </c>
      <c r="H9425" s="408" t="s">
        <v>5462</v>
      </c>
      <c r="I9425" s="470">
        <v>317</v>
      </c>
      <c r="J9425" s="497">
        <v>1.38</v>
      </c>
      <c r="K9425" s="497">
        <v>1.36</v>
      </c>
      <c r="L9425" s="497">
        <f t="shared" si="130"/>
        <v>1.9999999999999796E-2</v>
      </c>
      <c r="M9425" s="337"/>
    </row>
    <row r="9426" spans="1:13" s="71" customFormat="1" ht="26.4">
      <c r="A9426" s="282">
        <v>660</v>
      </c>
      <c r="B9426" s="534"/>
      <c r="C9426" s="260" t="s">
        <v>12939</v>
      </c>
      <c r="D9426" s="260" t="s">
        <v>12625</v>
      </c>
      <c r="E9426" s="260" t="s">
        <v>12626</v>
      </c>
      <c r="F9426" s="405">
        <v>11553</v>
      </c>
      <c r="G9426" s="373" t="s">
        <v>1536</v>
      </c>
      <c r="H9426" s="408" t="s">
        <v>5462</v>
      </c>
      <c r="I9426" s="470">
        <v>35</v>
      </c>
      <c r="J9426" s="497">
        <v>0.8</v>
      </c>
      <c r="K9426" s="497">
        <v>0.79</v>
      </c>
      <c r="L9426" s="497">
        <f t="shared" si="130"/>
        <v>1.0000000000000009E-2</v>
      </c>
      <c r="M9426" s="337"/>
    </row>
    <row r="9427" spans="1:13" s="71" customFormat="1" ht="26.4">
      <c r="A9427" s="282">
        <v>661</v>
      </c>
      <c r="B9427" s="534"/>
      <c r="C9427" s="260" t="s">
        <v>12939</v>
      </c>
      <c r="D9427" s="260" t="s">
        <v>12627</v>
      </c>
      <c r="E9427" s="260" t="s">
        <v>12628</v>
      </c>
      <c r="F9427" s="405">
        <v>11534</v>
      </c>
      <c r="G9427" s="373" t="s">
        <v>1536</v>
      </c>
      <c r="H9427" s="408" t="s">
        <v>5462</v>
      </c>
      <c r="I9427" s="470">
        <v>712</v>
      </c>
      <c r="J9427" s="497">
        <v>8.31</v>
      </c>
      <c r="K9427" s="497">
        <v>8.18</v>
      </c>
      <c r="L9427" s="497">
        <f t="shared" si="130"/>
        <v>0.13000000000000078</v>
      </c>
      <c r="M9427" s="337"/>
    </row>
    <row r="9428" spans="1:13" s="71" customFormat="1" ht="26.4">
      <c r="A9428" s="282">
        <v>662</v>
      </c>
      <c r="B9428" s="534"/>
      <c r="C9428" s="260" t="s">
        <v>12939</v>
      </c>
      <c r="D9428" s="260" t="s">
        <v>12629</v>
      </c>
      <c r="E9428" s="260" t="s">
        <v>12630</v>
      </c>
      <c r="F9428" s="405">
        <v>14572</v>
      </c>
      <c r="G9428" s="373" t="s">
        <v>1536</v>
      </c>
      <c r="H9428" s="408" t="s">
        <v>5462</v>
      </c>
      <c r="I9428" s="470">
        <v>42.2</v>
      </c>
      <c r="J9428" s="497">
        <v>2.1</v>
      </c>
      <c r="K9428" s="497">
        <v>2.09</v>
      </c>
      <c r="L9428" s="497">
        <f t="shared" si="130"/>
        <v>1.0000000000000231E-2</v>
      </c>
      <c r="M9428" s="337"/>
    </row>
    <row r="9429" spans="1:13" s="71" customFormat="1" ht="26.4">
      <c r="A9429" s="282">
        <v>663</v>
      </c>
      <c r="B9429" s="534"/>
      <c r="C9429" s="260" t="s">
        <v>12939</v>
      </c>
      <c r="D9429" s="260" t="s">
        <v>12627</v>
      </c>
      <c r="E9429" s="260" t="s">
        <v>12631</v>
      </c>
      <c r="F9429" s="405">
        <v>15215</v>
      </c>
      <c r="G9429" s="373" t="s">
        <v>1548</v>
      </c>
      <c r="H9429" s="408" t="s">
        <v>5462</v>
      </c>
      <c r="I9429" s="470">
        <v>4653</v>
      </c>
      <c r="J9429" s="497">
        <v>615.08000000000004</v>
      </c>
      <c r="K9429" s="497">
        <v>614.97</v>
      </c>
      <c r="L9429" s="497">
        <f t="shared" si="130"/>
        <v>0.11000000000001364</v>
      </c>
      <c r="M9429" s="337"/>
    </row>
    <row r="9430" spans="1:13" s="71" customFormat="1" ht="26.4" customHeight="1">
      <c r="A9430" s="324" t="s">
        <v>3</v>
      </c>
      <c r="B9430" s="341" t="s">
        <v>4</v>
      </c>
      <c r="C9430" s="434" t="s">
        <v>3</v>
      </c>
      <c r="D9430" s="434" t="s">
        <v>3</v>
      </c>
      <c r="E9430" s="435" t="s">
        <v>3</v>
      </c>
      <c r="F9430" s="436" t="s">
        <v>3</v>
      </c>
      <c r="G9430" s="434" t="s">
        <v>3</v>
      </c>
      <c r="H9430" s="493" t="s">
        <v>3</v>
      </c>
      <c r="I9430" s="494" t="s">
        <v>3</v>
      </c>
      <c r="J9430" s="328">
        <f>SUM(J8767:J9429)</f>
        <v>58533.526569999987</v>
      </c>
      <c r="K9430" s="328">
        <f>SUM(K8767:K9429)</f>
        <v>56937.695840000029</v>
      </c>
      <c r="L9430" s="328">
        <f>SUM(L8767:L9429)</f>
        <v>1595.8307300000038</v>
      </c>
      <c r="M9430" s="337"/>
    </row>
    <row r="9431" spans="1:13" s="337" customFormat="1" ht="26.4" customHeight="1">
      <c r="A9431" s="437"/>
      <c r="B9431" s="438" t="s">
        <v>12641</v>
      </c>
      <c r="C9431" s="324" t="s">
        <v>3</v>
      </c>
      <c r="D9431" s="324" t="s">
        <v>3</v>
      </c>
      <c r="E9431" s="324" t="s">
        <v>3</v>
      </c>
      <c r="F9431" s="324" t="s">
        <v>3</v>
      </c>
      <c r="G9431" s="324" t="s">
        <v>3</v>
      </c>
      <c r="H9431" s="324" t="s">
        <v>3</v>
      </c>
      <c r="I9431" s="324" t="s">
        <v>3</v>
      </c>
      <c r="J9431" s="511">
        <f>J2301+J2688+J3596+J4918+J4242+J5403+J5592+J6037+J6427+J6639+J7602+J8201+J8766+J9430</f>
        <v>1170387.4782500002</v>
      </c>
      <c r="K9431" s="511">
        <f>K2301+K2688+K3596+K4918+K4242+K5403+K5592+K6037+K6427+K6639+K7602+K8201+K8766+K9430</f>
        <v>855692.71808000014</v>
      </c>
      <c r="L9431" s="511">
        <f>L2301+L2688+L3596+L4918+L4242+L5403+L5592+L6037+L6427+L6639+L7602+L8201+L8766+L9430</f>
        <v>314694.75717000058</v>
      </c>
    </row>
    <row r="9432" spans="1:13" ht="74.25" customHeight="1">
      <c r="A9432" s="287"/>
      <c r="B9432" s="287" t="s">
        <v>359</v>
      </c>
      <c r="C9432" s="287" t="s">
        <v>11955</v>
      </c>
      <c r="D9432" s="301" t="s">
        <v>12642</v>
      </c>
      <c r="E9432" s="287" t="s">
        <v>12643</v>
      </c>
      <c r="F9432" s="301" t="s">
        <v>12644</v>
      </c>
      <c r="G9432" s="480">
        <v>0</v>
      </c>
      <c r="H9432" s="287" t="s">
        <v>1149</v>
      </c>
      <c r="I9432" s="261">
        <v>440.6</v>
      </c>
      <c r="J9432" s="512">
        <v>125.5</v>
      </c>
      <c r="K9432" s="512">
        <v>74.400000000000006</v>
      </c>
      <c r="L9432" s="512">
        <v>51.1</v>
      </c>
    </row>
    <row r="9433" spans="1:13" ht="26.4" customHeight="1">
      <c r="A9433" s="505"/>
      <c r="B9433" s="505" t="s">
        <v>2215</v>
      </c>
      <c r="C9433" s="505" t="s">
        <v>3</v>
      </c>
      <c r="D9433" s="505" t="s">
        <v>3</v>
      </c>
      <c r="E9433" s="505" t="s">
        <v>3</v>
      </c>
      <c r="F9433" s="505" t="s">
        <v>3</v>
      </c>
      <c r="G9433" s="505" t="s">
        <v>3</v>
      </c>
      <c r="H9433" s="505" t="s">
        <v>3</v>
      </c>
      <c r="I9433" s="505" t="s">
        <v>3</v>
      </c>
      <c r="J9433" s="513">
        <f>J9432</f>
        <v>125.5</v>
      </c>
      <c r="K9433" s="513">
        <f>K9432</f>
        <v>74.400000000000006</v>
      </c>
      <c r="L9433" s="513">
        <f>L9432</f>
        <v>51.1</v>
      </c>
    </row>
    <row r="9434" spans="1:13" ht="45" customHeight="1">
      <c r="A9434" s="506"/>
      <c r="B9434" s="518" t="s">
        <v>12645</v>
      </c>
      <c r="C9434" s="519"/>
      <c r="D9434" s="300" t="s">
        <v>3</v>
      </c>
      <c r="E9434" s="300" t="s">
        <v>3</v>
      </c>
      <c r="F9434" s="300" t="s">
        <v>3</v>
      </c>
      <c r="G9434" s="300" t="s">
        <v>3</v>
      </c>
      <c r="H9434" s="300" t="s">
        <v>3</v>
      </c>
      <c r="I9434" s="300" t="s">
        <v>3</v>
      </c>
      <c r="J9434" s="509">
        <f>J2151+J9431+J9433</f>
        <v>1518369.3895300003</v>
      </c>
      <c r="K9434" s="509">
        <f>K2151+K9431+K9433</f>
        <v>1018809.0340200001</v>
      </c>
      <c r="L9434" s="509">
        <f>L2151+L9431+L9433</f>
        <v>499560.34880000056</v>
      </c>
    </row>
  </sheetData>
  <autoFilter ref="A8:O9434"/>
  <mergeCells count="69">
    <mergeCell ref="A9:L9"/>
    <mergeCell ref="B8767:B9429"/>
    <mergeCell ref="H7471:H7472"/>
    <mergeCell ref="I7471:I7472"/>
    <mergeCell ref="J7471:J7472"/>
    <mergeCell ref="K7471:K7472"/>
    <mergeCell ref="B6640:B7601"/>
    <mergeCell ref="B7603:B8200"/>
    <mergeCell ref="B8202:B8765"/>
    <mergeCell ref="H7469:H7470"/>
    <mergeCell ref="I7469:I7470"/>
    <mergeCell ref="J7469:J7470"/>
    <mergeCell ref="K7469:K7470"/>
    <mergeCell ref="L7471:L7472"/>
    <mergeCell ref="C7471:C7472"/>
    <mergeCell ref="D7471:D7472"/>
    <mergeCell ref="E7471:E7472"/>
    <mergeCell ref="F7471:F7472"/>
    <mergeCell ref="G7471:G7472"/>
    <mergeCell ref="L7469:L7470"/>
    <mergeCell ref="C7469:C7470"/>
    <mergeCell ref="D7469:D7470"/>
    <mergeCell ref="E7469:E7470"/>
    <mergeCell ref="F7469:F7470"/>
    <mergeCell ref="G7469:G7470"/>
    <mergeCell ref="B6038:B6426"/>
    <mergeCell ref="B6428:B6638"/>
    <mergeCell ref="J6461:J6462"/>
    <mergeCell ref="K6461:K6462"/>
    <mergeCell ref="J6463:J6464"/>
    <mergeCell ref="K6463:K6464"/>
    <mergeCell ref="H6616:H6617"/>
    <mergeCell ref="I6616:I6617"/>
    <mergeCell ref="C6:C7"/>
    <mergeCell ref="D6:D7"/>
    <mergeCell ref="E6:E7"/>
    <mergeCell ref="A2:L2"/>
    <mergeCell ref="A3:L3"/>
    <mergeCell ref="A4:L4"/>
    <mergeCell ref="A5:A7"/>
    <mergeCell ref="B5:B7"/>
    <mergeCell ref="C5:D5"/>
    <mergeCell ref="E5:L5"/>
    <mergeCell ref="J6:L6"/>
    <mergeCell ref="F6:F7"/>
    <mergeCell ref="G6:G7"/>
    <mergeCell ref="H6:I6"/>
    <mergeCell ref="B219:B350"/>
    <mergeCell ref="B352:B445"/>
    <mergeCell ref="B447:B667"/>
    <mergeCell ref="B669:B794"/>
    <mergeCell ref="B10:B71"/>
    <mergeCell ref="B73:B217"/>
    <mergeCell ref="B9434:C9434"/>
    <mergeCell ref="H669:H670"/>
    <mergeCell ref="I669:I670"/>
    <mergeCell ref="B927:B1815"/>
    <mergeCell ref="B1817:B1950"/>
    <mergeCell ref="B2151:C2151"/>
    <mergeCell ref="B796:B925"/>
    <mergeCell ref="B1952:B2149"/>
    <mergeCell ref="B2152:B2300"/>
    <mergeCell ref="B2302:B2687"/>
    <mergeCell ref="B2689:B3595"/>
    <mergeCell ref="B4243:B4917"/>
    <mergeCell ref="B5404:B5591"/>
    <mergeCell ref="B3597:B4241"/>
    <mergeCell ref="B4919:B5402"/>
    <mergeCell ref="B5593:B6036"/>
  </mergeCells>
  <pageMargins left="0.19685039370078741" right="0.19685039370078741" top="0.98425196850393704" bottom="0.19685039370078741" header="0" footer="0"/>
  <pageSetup paperSize="9" scale="40" fitToHeight="1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78"/>
  <sheetViews>
    <sheetView topLeftCell="I46" zoomScaleNormal="100" workbookViewId="0">
      <selection activeCell="A74" sqref="A74:XFD75"/>
    </sheetView>
  </sheetViews>
  <sheetFormatPr defaultColWidth="9.109375" defaultRowHeight="15.6"/>
  <cols>
    <col min="1" max="1" width="4.109375" style="28" customWidth="1"/>
    <col min="2" max="2" width="25.88671875" style="28" customWidth="1"/>
    <col min="3" max="3" width="10.44140625" style="28" customWidth="1"/>
    <col min="4" max="4" width="13" style="5" customWidth="1"/>
    <col min="5" max="5" width="10.6640625" style="5" customWidth="1"/>
    <col min="6" max="6" width="24.44140625" style="28" customWidth="1"/>
    <col min="7" max="7" width="12.33203125" style="28" customWidth="1"/>
    <col min="8" max="8" width="15.44140625" style="28" customWidth="1"/>
    <col min="9" max="9" width="23" style="28" customWidth="1"/>
    <col min="10" max="10" width="22.44140625" style="28" customWidth="1"/>
    <col min="11" max="11" width="36.33203125" style="28" customWidth="1"/>
    <col min="12" max="12" width="22.6640625" style="5" customWidth="1"/>
    <col min="13" max="13" width="9.88671875" style="5" customWidth="1"/>
    <col min="14" max="14" width="13.33203125" style="5" customWidth="1"/>
    <col min="15" max="15" width="6.88671875" style="5" customWidth="1"/>
    <col min="16" max="16" width="16.44140625" style="5" customWidth="1"/>
    <col min="17" max="18" width="6.88671875" style="5" customWidth="1"/>
    <col min="19" max="19" width="10.88671875" style="5" customWidth="1"/>
    <col min="20" max="20" width="6.88671875" style="5" customWidth="1"/>
    <col min="21" max="21" width="18.109375" style="5" customWidth="1"/>
    <col min="22" max="22" width="17.6640625" style="5" customWidth="1"/>
    <col min="23" max="23" width="10.5546875" style="5" customWidth="1"/>
    <col min="24" max="24" width="11.88671875" style="5" customWidth="1"/>
    <col min="25" max="25" width="12.5546875" style="5" customWidth="1"/>
    <col min="26" max="26" width="15.5546875" style="5" customWidth="1"/>
    <col min="27" max="27" width="12" style="5" customWidth="1"/>
    <col min="28" max="28" width="24.109375" style="28" customWidth="1"/>
    <col min="29" max="16384" width="9.109375" style="28"/>
  </cols>
  <sheetData>
    <row r="1" spans="1:28">
      <c r="AA1" s="582" t="s">
        <v>39</v>
      </c>
      <c r="AB1" s="582"/>
    </row>
    <row r="2" spans="1:28" ht="19.5" customHeight="1">
      <c r="A2" s="588" t="s">
        <v>5</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row>
    <row r="3" spans="1:28">
      <c r="A3" s="589" t="s">
        <v>374</v>
      </c>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row>
    <row r="4" spans="1:28" ht="6" customHeight="1">
      <c r="A4" s="589"/>
      <c r="B4" s="589"/>
      <c r="C4" s="589"/>
      <c r="D4" s="589"/>
      <c r="E4" s="589"/>
      <c r="F4" s="589"/>
      <c r="G4" s="589"/>
      <c r="H4" s="589"/>
      <c r="I4" s="589"/>
      <c r="J4" s="589"/>
      <c r="K4" s="589"/>
      <c r="L4" s="589"/>
      <c r="M4" s="589"/>
      <c r="N4" s="589"/>
      <c r="O4" s="589"/>
      <c r="P4" s="589"/>
      <c r="Q4" s="589"/>
      <c r="R4" s="589"/>
      <c r="S4" s="589"/>
      <c r="T4" s="589"/>
      <c r="U4" s="589"/>
      <c r="V4" s="589"/>
      <c r="W4" s="589"/>
      <c r="X4" s="589"/>
      <c r="Y4" s="589"/>
      <c r="Z4" s="589"/>
      <c r="AA4" s="589"/>
      <c r="AB4" s="589"/>
    </row>
    <row r="5" spans="1:28" ht="9.75" hidden="1" customHeight="1">
      <c r="A5" s="589"/>
      <c r="B5" s="589"/>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row>
    <row r="6" spans="1:28" ht="17.399999999999999">
      <c r="A6" s="590" t="s">
        <v>376</v>
      </c>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row>
    <row r="7" spans="1:28" ht="20.399999999999999">
      <c r="A7" s="591" t="s">
        <v>6</v>
      </c>
      <c r="B7" s="591"/>
      <c r="C7" s="591"/>
      <c r="D7" s="591"/>
      <c r="E7" s="591"/>
      <c r="F7" s="591"/>
      <c r="G7" s="591"/>
      <c r="H7" s="591"/>
      <c r="I7" s="591"/>
      <c r="J7" s="591"/>
      <c r="K7" s="591"/>
      <c r="L7" s="591"/>
      <c r="M7" s="591"/>
      <c r="N7" s="591"/>
      <c r="O7" s="591"/>
      <c r="P7" s="591"/>
      <c r="Q7" s="591"/>
      <c r="R7" s="591"/>
      <c r="S7" s="591"/>
      <c r="T7" s="591"/>
      <c r="U7" s="591"/>
      <c r="V7" s="591"/>
      <c r="W7" s="591"/>
      <c r="X7" s="591"/>
      <c r="Y7" s="591"/>
      <c r="Z7" s="591"/>
      <c r="AA7" s="591"/>
      <c r="AB7" s="591"/>
    </row>
    <row r="9" spans="1:28" ht="16.2" thickBot="1">
      <c r="C9" s="14"/>
      <c r="D9" s="13"/>
      <c r="E9" s="12"/>
      <c r="F9" s="11"/>
    </row>
    <row r="10" spans="1:28" ht="12.75" customHeight="1">
      <c r="A10" s="592" t="s">
        <v>7</v>
      </c>
      <c r="B10" s="595" t="s">
        <v>40</v>
      </c>
      <c r="C10" s="595"/>
      <c r="D10" s="595" t="s">
        <v>41</v>
      </c>
      <c r="E10" s="595"/>
      <c r="F10" s="597" t="s">
        <v>42</v>
      </c>
      <c r="G10" s="597"/>
      <c r="H10" s="597"/>
      <c r="I10" s="597"/>
      <c r="J10" s="597"/>
      <c r="K10" s="586" t="s">
        <v>43</v>
      </c>
      <c r="L10" s="599" t="s">
        <v>44</v>
      </c>
      <c r="M10" s="599"/>
      <c r="N10" s="599"/>
      <c r="O10" s="586" t="s">
        <v>45</v>
      </c>
      <c r="P10" s="586"/>
      <c r="Q10" s="586"/>
      <c r="R10" s="586" t="s">
        <v>46</v>
      </c>
      <c r="S10" s="586"/>
      <c r="T10" s="586"/>
      <c r="U10" s="586" t="s">
        <v>47</v>
      </c>
      <c r="V10" s="586" t="s">
        <v>48</v>
      </c>
      <c r="W10" s="586" t="s">
        <v>49</v>
      </c>
      <c r="X10" s="586" t="s">
        <v>50</v>
      </c>
      <c r="Y10" s="586" t="s">
        <v>51</v>
      </c>
      <c r="Z10" s="586" t="s">
        <v>52</v>
      </c>
      <c r="AA10" s="586" t="s">
        <v>53</v>
      </c>
      <c r="AB10" s="583" t="s">
        <v>1</v>
      </c>
    </row>
    <row r="11" spans="1:28" ht="78" customHeight="1">
      <c r="A11" s="593"/>
      <c r="B11" s="596"/>
      <c r="C11" s="596"/>
      <c r="D11" s="596"/>
      <c r="E11" s="596"/>
      <c r="F11" s="598"/>
      <c r="G11" s="598"/>
      <c r="H11" s="598"/>
      <c r="I11" s="598"/>
      <c r="J11" s="598"/>
      <c r="K11" s="587"/>
      <c r="L11" s="600"/>
      <c r="M11" s="600"/>
      <c r="N11" s="600"/>
      <c r="O11" s="587"/>
      <c r="P11" s="587"/>
      <c r="Q11" s="587"/>
      <c r="R11" s="587"/>
      <c r="S11" s="587"/>
      <c r="T11" s="587"/>
      <c r="U11" s="587"/>
      <c r="V11" s="587"/>
      <c r="W11" s="587"/>
      <c r="X11" s="587"/>
      <c r="Y11" s="587"/>
      <c r="Z11" s="587"/>
      <c r="AA11" s="587"/>
      <c r="AB11" s="584"/>
    </row>
    <row r="12" spans="1:28" ht="122.25" customHeight="1" thickBot="1">
      <c r="A12" s="594"/>
      <c r="B12" s="10" t="s">
        <v>54</v>
      </c>
      <c r="C12" s="9" t="s">
        <v>55</v>
      </c>
      <c r="D12" s="10" t="s">
        <v>54</v>
      </c>
      <c r="E12" s="9" t="s">
        <v>56</v>
      </c>
      <c r="F12" s="31" t="s">
        <v>54</v>
      </c>
      <c r="G12" s="40" t="s">
        <v>2</v>
      </c>
      <c r="H12" s="40" t="s">
        <v>57</v>
      </c>
      <c r="I12" s="40" t="s">
        <v>58</v>
      </c>
      <c r="J12" s="40" t="s">
        <v>59</v>
      </c>
      <c r="K12" s="573"/>
      <c r="L12" s="40" t="s">
        <v>60</v>
      </c>
      <c r="M12" s="31" t="s">
        <v>61</v>
      </c>
      <c r="N12" s="31" t="s">
        <v>62</v>
      </c>
      <c r="O12" s="31" t="s">
        <v>63</v>
      </c>
      <c r="P12" s="31" t="s">
        <v>64</v>
      </c>
      <c r="Q12" s="31" t="s">
        <v>65</v>
      </c>
      <c r="R12" s="31" t="s">
        <v>63</v>
      </c>
      <c r="S12" s="31" t="s">
        <v>64</v>
      </c>
      <c r="T12" s="31" t="s">
        <v>65</v>
      </c>
      <c r="U12" s="573"/>
      <c r="V12" s="573"/>
      <c r="W12" s="573"/>
      <c r="X12" s="573"/>
      <c r="Y12" s="573"/>
      <c r="Z12" s="573"/>
      <c r="AA12" s="573"/>
      <c r="AB12" s="585"/>
    </row>
    <row r="13" spans="1:28" ht="16.2" thickBot="1">
      <c r="A13" s="105">
        <v>1</v>
      </c>
      <c r="B13" s="7">
        <v>2</v>
      </c>
      <c r="C13" s="7">
        <v>3</v>
      </c>
      <c r="D13" s="7">
        <v>4</v>
      </c>
      <c r="E13" s="7">
        <v>5</v>
      </c>
      <c r="F13" s="7">
        <v>6</v>
      </c>
      <c r="G13" s="7">
        <v>7</v>
      </c>
      <c r="H13" s="7">
        <v>8</v>
      </c>
      <c r="I13" s="7">
        <v>9</v>
      </c>
      <c r="J13" s="7">
        <v>10</v>
      </c>
      <c r="K13" s="7">
        <v>11</v>
      </c>
      <c r="L13" s="7">
        <v>12</v>
      </c>
      <c r="M13" s="7">
        <v>13</v>
      </c>
      <c r="N13" s="7">
        <v>14</v>
      </c>
      <c r="O13" s="7">
        <v>15</v>
      </c>
      <c r="P13" s="7">
        <v>16</v>
      </c>
      <c r="Q13" s="7">
        <v>17</v>
      </c>
      <c r="R13" s="7">
        <v>18</v>
      </c>
      <c r="S13" s="7">
        <v>19</v>
      </c>
      <c r="T13" s="7">
        <v>20</v>
      </c>
      <c r="U13" s="7">
        <v>21</v>
      </c>
      <c r="V13" s="7">
        <v>22</v>
      </c>
      <c r="W13" s="7">
        <v>23</v>
      </c>
      <c r="X13" s="7">
        <v>24</v>
      </c>
      <c r="Y13" s="7">
        <v>25</v>
      </c>
      <c r="Z13" s="7">
        <v>26</v>
      </c>
      <c r="AA13" s="7">
        <v>27</v>
      </c>
      <c r="AB13" s="6">
        <v>28</v>
      </c>
    </row>
    <row r="14" spans="1:28" ht="93.6">
      <c r="A14" s="90">
        <v>1</v>
      </c>
      <c r="B14" s="37" t="s">
        <v>66</v>
      </c>
      <c r="C14" s="37" t="s">
        <v>67</v>
      </c>
      <c r="D14" s="37" t="s">
        <v>68</v>
      </c>
      <c r="E14" s="37">
        <v>21673832</v>
      </c>
      <c r="F14" s="21" t="s">
        <v>69</v>
      </c>
      <c r="G14" s="21" t="s">
        <v>13</v>
      </c>
      <c r="H14" s="21" t="s">
        <v>70</v>
      </c>
      <c r="I14" s="21" t="s">
        <v>71</v>
      </c>
      <c r="J14" s="21" t="s">
        <v>72</v>
      </c>
      <c r="K14" s="21" t="s">
        <v>73</v>
      </c>
      <c r="L14" s="37" t="s">
        <v>74</v>
      </c>
      <c r="M14" s="37">
        <v>16792</v>
      </c>
      <c r="N14" s="38">
        <v>39220</v>
      </c>
      <c r="O14" s="37">
        <v>18</v>
      </c>
      <c r="P14" s="37" t="s">
        <v>75</v>
      </c>
      <c r="Q14" s="37">
        <v>2007</v>
      </c>
      <c r="R14" s="37">
        <v>16</v>
      </c>
      <c r="S14" s="37" t="s">
        <v>76</v>
      </c>
      <c r="T14" s="37">
        <v>2019</v>
      </c>
      <c r="U14" s="38">
        <v>42735</v>
      </c>
      <c r="V14" s="37" t="s">
        <v>77</v>
      </c>
      <c r="W14" s="37">
        <v>40</v>
      </c>
      <c r="X14" s="37">
        <v>113.7</v>
      </c>
      <c r="Y14" s="37">
        <v>753.62</v>
      </c>
      <c r="Z14" s="38">
        <v>42975</v>
      </c>
      <c r="AA14" s="37">
        <v>0</v>
      </c>
      <c r="AB14" s="76"/>
    </row>
    <row r="15" spans="1:28" ht="93.6">
      <c r="A15" s="91">
        <v>2</v>
      </c>
      <c r="B15" s="37" t="s">
        <v>78</v>
      </c>
      <c r="C15" s="39" t="s">
        <v>79</v>
      </c>
      <c r="D15" s="39" t="s">
        <v>80</v>
      </c>
      <c r="E15" s="39">
        <v>22859846</v>
      </c>
      <c r="F15" s="43" t="s">
        <v>81</v>
      </c>
      <c r="G15" s="43" t="s">
        <v>14</v>
      </c>
      <c r="H15" s="43" t="s">
        <v>82</v>
      </c>
      <c r="I15" s="21" t="s">
        <v>71</v>
      </c>
      <c r="J15" s="43" t="s">
        <v>83</v>
      </c>
      <c r="K15" s="44" t="s">
        <v>84</v>
      </c>
      <c r="L15" s="37" t="s">
        <v>74</v>
      </c>
      <c r="M15" s="39" t="s">
        <v>85</v>
      </c>
      <c r="N15" s="38">
        <v>39825</v>
      </c>
      <c r="O15" s="39">
        <v>12</v>
      </c>
      <c r="P15" s="39" t="s">
        <v>86</v>
      </c>
      <c r="Q15" s="39">
        <v>2009</v>
      </c>
      <c r="R15" s="39">
        <v>12</v>
      </c>
      <c r="S15" s="39" t="s">
        <v>86</v>
      </c>
      <c r="T15" s="39">
        <v>2019</v>
      </c>
      <c r="U15" s="55">
        <v>42004</v>
      </c>
      <c r="V15" s="39" t="s">
        <v>87</v>
      </c>
      <c r="W15" s="39">
        <v>32</v>
      </c>
      <c r="X15" s="77">
        <v>54.97</v>
      </c>
      <c r="Y15" s="77">
        <v>457.14</v>
      </c>
      <c r="Z15" s="39" t="s">
        <v>88</v>
      </c>
      <c r="AA15" s="39">
        <v>0</v>
      </c>
      <c r="AB15" s="41"/>
    </row>
    <row r="16" spans="1:28" ht="93.6">
      <c r="A16" s="91">
        <v>3</v>
      </c>
      <c r="B16" s="37" t="s">
        <v>78</v>
      </c>
      <c r="C16" s="39" t="s">
        <v>79</v>
      </c>
      <c r="D16" s="39" t="s">
        <v>80</v>
      </c>
      <c r="E16" s="39">
        <v>22859846</v>
      </c>
      <c r="F16" s="43" t="s">
        <v>89</v>
      </c>
      <c r="G16" s="43" t="s">
        <v>14</v>
      </c>
      <c r="H16" s="43" t="s">
        <v>90</v>
      </c>
      <c r="I16" s="21" t="s">
        <v>71</v>
      </c>
      <c r="J16" s="43" t="s">
        <v>91</v>
      </c>
      <c r="K16" s="44" t="s">
        <v>92</v>
      </c>
      <c r="L16" s="37" t="s">
        <v>74</v>
      </c>
      <c r="M16" s="39" t="s">
        <v>85</v>
      </c>
      <c r="N16" s="38">
        <v>40226</v>
      </c>
      <c r="O16" s="39">
        <v>17</v>
      </c>
      <c r="P16" s="39" t="s">
        <v>93</v>
      </c>
      <c r="Q16" s="39">
        <v>2010</v>
      </c>
      <c r="R16" s="39">
        <v>17</v>
      </c>
      <c r="S16" s="39" t="s">
        <v>93</v>
      </c>
      <c r="T16" s="39">
        <v>2018</v>
      </c>
      <c r="U16" s="55">
        <v>42735</v>
      </c>
      <c r="V16" s="39" t="s">
        <v>94</v>
      </c>
      <c r="W16" s="39">
        <v>32</v>
      </c>
      <c r="X16" s="77">
        <v>73.790000000000006</v>
      </c>
      <c r="Y16" s="77">
        <v>613.55999999999995</v>
      </c>
      <c r="Z16" s="39" t="s">
        <v>88</v>
      </c>
      <c r="AA16" s="39">
        <v>0</v>
      </c>
      <c r="AB16" s="41"/>
    </row>
    <row r="17" spans="1:28" ht="93.6">
      <c r="A17" s="91">
        <v>4</v>
      </c>
      <c r="B17" s="37" t="s">
        <v>78</v>
      </c>
      <c r="C17" s="39" t="s">
        <v>79</v>
      </c>
      <c r="D17" s="39" t="s">
        <v>80</v>
      </c>
      <c r="E17" s="39">
        <v>22859846</v>
      </c>
      <c r="F17" s="43" t="s">
        <v>95</v>
      </c>
      <c r="G17" s="43" t="s">
        <v>96</v>
      </c>
      <c r="H17" s="43" t="s">
        <v>97</v>
      </c>
      <c r="I17" s="21" t="s">
        <v>71</v>
      </c>
      <c r="J17" s="43" t="s">
        <v>98</v>
      </c>
      <c r="K17" s="44" t="s">
        <v>99</v>
      </c>
      <c r="L17" s="37" t="s">
        <v>74</v>
      </c>
      <c r="M17" s="39" t="s">
        <v>85</v>
      </c>
      <c r="N17" s="38">
        <v>40911</v>
      </c>
      <c r="O17" s="78" t="s">
        <v>100</v>
      </c>
      <c r="P17" s="39" t="s">
        <v>86</v>
      </c>
      <c r="Q17" s="39">
        <v>2012</v>
      </c>
      <c r="R17" s="78" t="s">
        <v>100</v>
      </c>
      <c r="S17" s="39" t="s">
        <v>86</v>
      </c>
      <c r="T17" s="39">
        <v>2019</v>
      </c>
      <c r="U17" s="55">
        <v>42004</v>
      </c>
      <c r="V17" s="39" t="s">
        <v>101</v>
      </c>
      <c r="W17" s="39">
        <v>32</v>
      </c>
      <c r="X17" s="77">
        <v>32.92</v>
      </c>
      <c r="Y17" s="77">
        <v>273.77</v>
      </c>
      <c r="Z17" s="39" t="s">
        <v>88</v>
      </c>
      <c r="AA17" s="39">
        <v>0</v>
      </c>
      <c r="AB17" s="41"/>
    </row>
    <row r="18" spans="1:28" ht="93.6">
      <c r="A18" s="91">
        <v>5</v>
      </c>
      <c r="B18" s="37" t="s">
        <v>78</v>
      </c>
      <c r="C18" s="39" t="s">
        <v>79</v>
      </c>
      <c r="D18" s="39" t="s">
        <v>80</v>
      </c>
      <c r="E18" s="39">
        <v>22859846</v>
      </c>
      <c r="F18" s="43" t="s">
        <v>102</v>
      </c>
      <c r="G18" s="43" t="s">
        <v>103</v>
      </c>
      <c r="H18" s="43" t="s">
        <v>104</v>
      </c>
      <c r="I18" s="21" t="s">
        <v>71</v>
      </c>
      <c r="J18" s="43" t="s">
        <v>105</v>
      </c>
      <c r="K18" s="44" t="s">
        <v>106</v>
      </c>
      <c r="L18" s="37" t="s">
        <v>74</v>
      </c>
      <c r="M18" s="39" t="s">
        <v>85</v>
      </c>
      <c r="N18" s="38">
        <v>40911</v>
      </c>
      <c r="O18" s="78" t="s">
        <v>100</v>
      </c>
      <c r="P18" s="39" t="s">
        <v>86</v>
      </c>
      <c r="Q18" s="39">
        <v>2012</v>
      </c>
      <c r="R18" s="78" t="s">
        <v>100</v>
      </c>
      <c r="S18" s="39" t="s">
        <v>86</v>
      </c>
      <c r="T18" s="39">
        <v>2019</v>
      </c>
      <c r="U18" s="55">
        <v>42004</v>
      </c>
      <c r="V18" s="39" t="s">
        <v>107</v>
      </c>
      <c r="W18" s="39">
        <v>32</v>
      </c>
      <c r="X18" s="77">
        <v>56.52</v>
      </c>
      <c r="Y18" s="77">
        <v>469.92</v>
      </c>
      <c r="Z18" s="39" t="s">
        <v>88</v>
      </c>
      <c r="AA18" s="39">
        <v>0</v>
      </c>
      <c r="AB18" s="41"/>
    </row>
    <row r="19" spans="1:28" ht="93.6">
      <c r="A19" s="91">
        <v>6</v>
      </c>
      <c r="B19" s="37" t="s">
        <v>108</v>
      </c>
      <c r="C19" s="39" t="s">
        <v>109</v>
      </c>
      <c r="D19" s="39" t="s">
        <v>68</v>
      </c>
      <c r="E19" s="39">
        <v>21673832</v>
      </c>
      <c r="F19" s="43" t="s">
        <v>110</v>
      </c>
      <c r="G19" s="43" t="s">
        <v>19</v>
      </c>
      <c r="H19" s="43" t="s">
        <v>111</v>
      </c>
      <c r="I19" s="21" t="s">
        <v>71</v>
      </c>
      <c r="J19" s="43" t="s">
        <v>112</v>
      </c>
      <c r="K19" s="44" t="s">
        <v>113</v>
      </c>
      <c r="L19" s="39" t="s">
        <v>74</v>
      </c>
      <c r="M19" s="39">
        <v>16308</v>
      </c>
      <c r="N19" s="38">
        <v>39220</v>
      </c>
      <c r="O19" s="39">
        <v>18</v>
      </c>
      <c r="P19" s="39" t="s">
        <v>75</v>
      </c>
      <c r="Q19" s="39">
        <v>2007</v>
      </c>
      <c r="R19" s="39">
        <v>16</v>
      </c>
      <c r="S19" s="39" t="s">
        <v>76</v>
      </c>
      <c r="T19" s="39">
        <v>2019</v>
      </c>
      <c r="U19" s="55">
        <v>42735</v>
      </c>
      <c r="V19" s="39" t="s">
        <v>114</v>
      </c>
      <c r="W19" s="39">
        <v>40</v>
      </c>
      <c r="X19" s="39">
        <v>113.7</v>
      </c>
      <c r="Y19" s="39">
        <v>2749.99</v>
      </c>
      <c r="Z19" s="55">
        <v>42975</v>
      </c>
      <c r="AA19" s="39">
        <v>0</v>
      </c>
      <c r="AB19" s="41"/>
    </row>
    <row r="20" spans="1:28" ht="93.6">
      <c r="A20" s="91">
        <v>7</v>
      </c>
      <c r="B20" s="37" t="s">
        <v>108</v>
      </c>
      <c r="C20" s="39" t="s">
        <v>109</v>
      </c>
      <c r="D20" s="39" t="s">
        <v>68</v>
      </c>
      <c r="E20" s="39">
        <v>21673832</v>
      </c>
      <c r="F20" s="43" t="s">
        <v>69</v>
      </c>
      <c r="G20" s="43" t="s">
        <v>19</v>
      </c>
      <c r="H20" s="43" t="s">
        <v>115</v>
      </c>
      <c r="I20" s="21" t="s">
        <v>71</v>
      </c>
      <c r="J20" s="43" t="s">
        <v>72</v>
      </c>
      <c r="K20" s="44" t="s">
        <v>116</v>
      </c>
      <c r="L20" s="39" t="s">
        <v>74</v>
      </c>
      <c r="M20" s="39" t="s">
        <v>85</v>
      </c>
      <c r="N20" s="38">
        <v>39077</v>
      </c>
      <c r="O20" s="39">
        <v>26</v>
      </c>
      <c r="P20" s="39" t="s">
        <v>117</v>
      </c>
      <c r="Q20" s="39">
        <v>2006</v>
      </c>
      <c r="R20" s="39">
        <v>25</v>
      </c>
      <c r="S20" s="39" t="s">
        <v>118</v>
      </c>
      <c r="T20" s="39">
        <v>2018</v>
      </c>
      <c r="U20" s="55">
        <v>42735</v>
      </c>
      <c r="V20" s="39" t="s">
        <v>119</v>
      </c>
      <c r="W20" s="39">
        <v>40</v>
      </c>
      <c r="X20" s="39">
        <v>113.7</v>
      </c>
      <c r="Y20" s="39">
        <v>1032.8499999999999</v>
      </c>
      <c r="Z20" s="55">
        <v>42975</v>
      </c>
      <c r="AA20" s="39">
        <v>0</v>
      </c>
      <c r="AB20" s="41"/>
    </row>
    <row r="21" spans="1:28" ht="93.6">
      <c r="A21" s="91">
        <v>8</v>
      </c>
      <c r="B21" s="37" t="s">
        <v>108</v>
      </c>
      <c r="C21" s="39" t="s">
        <v>109</v>
      </c>
      <c r="D21" s="39" t="s">
        <v>120</v>
      </c>
      <c r="E21" s="39">
        <v>14333937</v>
      </c>
      <c r="F21" s="43" t="s">
        <v>121</v>
      </c>
      <c r="G21" s="43" t="s">
        <v>15</v>
      </c>
      <c r="H21" s="43" t="s">
        <v>122</v>
      </c>
      <c r="I21" s="21" t="s">
        <v>71</v>
      </c>
      <c r="J21" s="43" t="s">
        <v>123</v>
      </c>
      <c r="K21" s="43" t="s">
        <v>124</v>
      </c>
      <c r="L21" s="39" t="s">
        <v>125</v>
      </c>
      <c r="M21" s="39" t="s">
        <v>85</v>
      </c>
      <c r="N21" s="38">
        <v>40148</v>
      </c>
      <c r="O21" s="78" t="s">
        <v>126</v>
      </c>
      <c r="P21" s="39" t="s">
        <v>117</v>
      </c>
      <c r="Q21" s="39">
        <v>2009</v>
      </c>
      <c r="R21" s="78" t="s">
        <v>126</v>
      </c>
      <c r="S21" s="39" t="s">
        <v>117</v>
      </c>
      <c r="T21" s="39">
        <v>2018</v>
      </c>
      <c r="U21" s="55">
        <v>42277</v>
      </c>
      <c r="V21" s="39" t="s">
        <v>127</v>
      </c>
      <c r="W21" s="39">
        <v>32</v>
      </c>
      <c r="X21" s="39">
        <v>113.7</v>
      </c>
      <c r="Y21" s="39">
        <v>3373.09</v>
      </c>
      <c r="Z21" s="39" t="s">
        <v>88</v>
      </c>
      <c r="AA21" s="39">
        <v>0</v>
      </c>
      <c r="AB21" s="41"/>
    </row>
    <row r="22" spans="1:28" ht="93.6">
      <c r="A22" s="92">
        <v>9</v>
      </c>
      <c r="B22" s="37" t="s">
        <v>108</v>
      </c>
      <c r="C22" s="40" t="s">
        <v>109</v>
      </c>
      <c r="D22" s="40" t="s">
        <v>80</v>
      </c>
      <c r="E22" s="40">
        <v>22859846</v>
      </c>
      <c r="F22" s="48" t="s">
        <v>128</v>
      </c>
      <c r="G22" s="43" t="s">
        <v>15</v>
      </c>
      <c r="H22" s="44" t="s">
        <v>129</v>
      </c>
      <c r="I22" s="21" t="s">
        <v>71</v>
      </c>
      <c r="J22" s="44" t="s">
        <v>130</v>
      </c>
      <c r="K22" s="44" t="s">
        <v>131</v>
      </c>
      <c r="L22" s="40" t="s">
        <v>74</v>
      </c>
      <c r="M22" s="39" t="s">
        <v>85</v>
      </c>
      <c r="N22" s="38">
        <v>40003</v>
      </c>
      <c r="O22" s="47" t="s">
        <v>132</v>
      </c>
      <c r="P22" s="40" t="s">
        <v>133</v>
      </c>
      <c r="Q22" s="40">
        <v>2009</v>
      </c>
      <c r="R22" s="47" t="s">
        <v>132</v>
      </c>
      <c r="S22" s="40" t="s">
        <v>133</v>
      </c>
      <c r="T22" s="40">
        <v>2018</v>
      </c>
      <c r="U22" s="46">
        <v>42216</v>
      </c>
      <c r="V22" s="40" t="s">
        <v>134</v>
      </c>
      <c r="W22" s="40">
        <v>32</v>
      </c>
      <c r="X22" s="40">
        <v>113.7</v>
      </c>
      <c r="Y22" s="40">
        <v>870.26</v>
      </c>
      <c r="Z22" s="40" t="s">
        <v>88</v>
      </c>
      <c r="AA22" s="40">
        <v>14.64</v>
      </c>
      <c r="AB22" s="42"/>
    </row>
    <row r="23" spans="1:28" ht="93.6">
      <c r="A23" s="92">
        <v>10</v>
      </c>
      <c r="B23" s="37" t="s">
        <v>108</v>
      </c>
      <c r="C23" s="40" t="s">
        <v>109</v>
      </c>
      <c r="D23" s="40" t="s">
        <v>80</v>
      </c>
      <c r="E23" s="40">
        <v>22859846</v>
      </c>
      <c r="F23" s="48" t="s">
        <v>135</v>
      </c>
      <c r="G23" s="48" t="s">
        <v>19</v>
      </c>
      <c r="H23" s="44" t="s">
        <v>136</v>
      </c>
      <c r="I23" s="21" t="s">
        <v>71</v>
      </c>
      <c r="J23" s="44" t="s">
        <v>137</v>
      </c>
      <c r="K23" s="44" t="s">
        <v>138</v>
      </c>
      <c r="L23" s="40" t="s">
        <v>74</v>
      </c>
      <c r="M23" s="39" t="s">
        <v>85</v>
      </c>
      <c r="N23" s="38">
        <v>40452</v>
      </c>
      <c r="O23" s="47" t="s">
        <v>126</v>
      </c>
      <c r="P23" s="40" t="s">
        <v>139</v>
      </c>
      <c r="Q23" s="40">
        <v>2010</v>
      </c>
      <c r="R23" s="47" t="s">
        <v>37</v>
      </c>
      <c r="S23" s="40" t="s">
        <v>118</v>
      </c>
      <c r="T23" s="40">
        <v>2018</v>
      </c>
      <c r="U23" s="46">
        <v>41455</v>
      </c>
      <c r="V23" s="40" t="s">
        <v>140</v>
      </c>
      <c r="W23" s="40">
        <v>32</v>
      </c>
      <c r="X23" s="40">
        <v>113.7</v>
      </c>
      <c r="Y23" s="40">
        <v>877.26</v>
      </c>
      <c r="Z23" s="40" t="s">
        <v>88</v>
      </c>
      <c r="AA23" s="40">
        <v>11.14</v>
      </c>
      <c r="AB23" s="42"/>
    </row>
    <row r="24" spans="1:28" ht="93.6">
      <c r="A24" s="92">
        <v>11</v>
      </c>
      <c r="B24" s="37" t="s">
        <v>108</v>
      </c>
      <c r="C24" s="40" t="s">
        <v>109</v>
      </c>
      <c r="D24" s="40" t="s">
        <v>80</v>
      </c>
      <c r="E24" s="40">
        <v>22859846</v>
      </c>
      <c r="F24" s="48" t="s">
        <v>141</v>
      </c>
      <c r="G24" s="48" t="s">
        <v>19</v>
      </c>
      <c r="H24" s="44" t="s">
        <v>115</v>
      </c>
      <c r="I24" s="21" t="s">
        <v>71</v>
      </c>
      <c r="J24" s="44" t="s">
        <v>142</v>
      </c>
      <c r="K24" s="44" t="s">
        <v>143</v>
      </c>
      <c r="L24" s="40" t="s">
        <v>74</v>
      </c>
      <c r="M24" s="39" t="s">
        <v>85</v>
      </c>
      <c r="N24" s="38">
        <v>40911</v>
      </c>
      <c r="O24" s="47" t="s">
        <v>100</v>
      </c>
      <c r="P24" s="40" t="s">
        <v>86</v>
      </c>
      <c r="Q24" s="40">
        <v>2012</v>
      </c>
      <c r="R24" s="47" t="s">
        <v>100</v>
      </c>
      <c r="S24" s="40" t="s">
        <v>86</v>
      </c>
      <c r="T24" s="40">
        <v>2019</v>
      </c>
      <c r="U24" s="46">
        <v>42004</v>
      </c>
      <c r="V24" s="40" t="s">
        <v>144</v>
      </c>
      <c r="W24" s="40">
        <v>32</v>
      </c>
      <c r="X24" s="40">
        <v>113.7</v>
      </c>
      <c r="Y24" s="40">
        <v>398.21</v>
      </c>
      <c r="Z24" s="40" t="s">
        <v>88</v>
      </c>
      <c r="AA24" s="40">
        <v>0</v>
      </c>
      <c r="AB24" s="42"/>
    </row>
    <row r="25" spans="1:28" ht="93.6">
      <c r="A25" s="92">
        <v>12</v>
      </c>
      <c r="B25" s="37" t="s">
        <v>145</v>
      </c>
      <c r="C25" s="40" t="s">
        <v>146</v>
      </c>
      <c r="D25" s="40" t="s">
        <v>68</v>
      </c>
      <c r="E25" s="40">
        <v>21673832</v>
      </c>
      <c r="F25" s="44" t="s">
        <v>147</v>
      </c>
      <c r="G25" s="44" t="s">
        <v>25</v>
      </c>
      <c r="H25" s="44" t="s">
        <v>148</v>
      </c>
      <c r="I25" s="21" t="s">
        <v>71</v>
      </c>
      <c r="J25" s="44" t="s">
        <v>149</v>
      </c>
      <c r="K25" s="44" t="s">
        <v>150</v>
      </c>
      <c r="L25" s="40" t="s">
        <v>125</v>
      </c>
      <c r="M25" s="40">
        <v>26100</v>
      </c>
      <c r="N25" s="38">
        <v>39877</v>
      </c>
      <c r="O25" s="47" t="s">
        <v>151</v>
      </c>
      <c r="P25" s="40" t="s">
        <v>76</v>
      </c>
      <c r="Q25" s="40">
        <v>2009</v>
      </c>
      <c r="R25" s="47" t="s">
        <v>151</v>
      </c>
      <c r="S25" s="40" t="s">
        <v>86</v>
      </c>
      <c r="T25" s="40">
        <v>2019</v>
      </c>
      <c r="U25" s="46">
        <v>42735</v>
      </c>
      <c r="V25" s="40" t="s">
        <v>152</v>
      </c>
      <c r="W25" s="40">
        <v>40</v>
      </c>
      <c r="X25" s="40">
        <v>88</v>
      </c>
      <c r="Y25" s="40">
        <v>884.88</v>
      </c>
      <c r="Z25" s="46">
        <v>42975</v>
      </c>
      <c r="AA25" s="40">
        <v>0</v>
      </c>
      <c r="AB25" s="42"/>
    </row>
    <row r="26" spans="1:28" ht="93.6">
      <c r="A26" s="92">
        <v>13</v>
      </c>
      <c r="B26" s="37" t="s">
        <v>145</v>
      </c>
      <c r="C26" s="40" t="s">
        <v>146</v>
      </c>
      <c r="D26" s="40" t="s">
        <v>120</v>
      </c>
      <c r="E26" s="40">
        <v>14333937</v>
      </c>
      <c r="F26" s="44" t="s">
        <v>153</v>
      </c>
      <c r="G26" s="44" t="s">
        <v>25</v>
      </c>
      <c r="H26" s="44" t="s">
        <v>154</v>
      </c>
      <c r="I26" s="21" t="s">
        <v>71</v>
      </c>
      <c r="J26" s="44" t="s">
        <v>155</v>
      </c>
      <c r="K26" s="44" t="s">
        <v>156</v>
      </c>
      <c r="L26" s="40" t="s">
        <v>125</v>
      </c>
      <c r="M26" s="40" t="s">
        <v>157</v>
      </c>
      <c r="N26" s="38">
        <v>39437</v>
      </c>
      <c r="O26" s="47" t="s">
        <v>32</v>
      </c>
      <c r="P26" s="40" t="s">
        <v>117</v>
      </c>
      <c r="Q26" s="40">
        <v>2007</v>
      </c>
      <c r="R26" s="47" t="s">
        <v>32</v>
      </c>
      <c r="S26" s="40" t="s">
        <v>117</v>
      </c>
      <c r="T26" s="40">
        <v>2018</v>
      </c>
      <c r="U26" s="46">
        <v>41973</v>
      </c>
      <c r="V26" s="44" t="s">
        <v>158</v>
      </c>
      <c r="W26" s="40">
        <v>32</v>
      </c>
      <c r="X26" s="40">
        <v>100</v>
      </c>
      <c r="Y26" s="79">
        <v>881.4</v>
      </c>
      <c r="Z26" s="40" t="s">
        <v>88</v>
      </c>
      <c r="AA26" s="40">
        <v>0</v>
      </c>
      <c r="AB26" s="42"/>
    </row>
    <row r="27" spans="1:28" ht="93.6">
      <c r="A27" s="92">
        <v>14</v>
      </c>
      <c r="B27" s="37" t="s">
        <v>145</v>
      </c>
      <c r="C27" s="40" t="s">
        <v>146</v>
      </c>
      <c r="D27" s="40" t="s">
        <v>120</v>
      </c>
      <c r="E27" s="40">
        <v>14333937</v>
      </c>
      <c r="F27" s="44" t="s">
        <v>159</v>
      </c>
      <c r="G27" s="44" t="s">
        <v>25</v>
      </c>
      <c r="H27" s="44" t="s">
        <v>160</v>
      </c>
      <c r="I27" s="21" t="s">
        <v>71</v>
      </c>
      <c r="J27" s="44" t="s">
        <v>161</v>
      </c>
      <c r="K27" s="44" t="s">
        <v>150</v>
      </c>
      <c r="L27" s="40" t="s">
        <v>125</v>
      </c>
      <c r="M27" s="40" t="s">
        <v>162</v>
      </c>
      <c r="N27" s="38">
        <v>39395</v>
      </c>
      <c r="O27" s="47" t="s">
        <v>132</v>
      </c>
      <c r="P27" s="40" t="s">
        <v>163</v>
      </c>
      <c r="Q27" s="40">
        <v>2007</v>
      </c>
      <c r="R27" s="47" t="s">
        <v>132</v>
      </c>
      <c r="S27" s="40" t="s">
        <v>163</v>
      </c>
      <c r="T27" s="40">
        <v>2018</v>
      </c>
      <c r="U27" s="46">
        <v>41973</v>
      </c>
      <c r="V27" s="40" t="s">
        <v>164</v>
      </c>
      <c r="W27" s="40">
        <v>32</v>
      </c>
      <c r="X27" s="40">
        <v>113</v>
      </c>
      <c r="Y27" s="40">
        <v>991.61</v>
      </c>
      <c r="Z27" s="40" t="s">
        <v>88</v>
      </c>
      <c r="AA27" s="40">
        <v>0</v>
      </c>
      <c r="AB27" s="42"/>
    </row>
    <row r="28" spans="1:28" ht="93.6">
      <c r="A28" s="92">
        <v>15</v>
      </c>
      <c r="B28" s="37" t="s">
        <v>145</v>
      </c>
      <c r="C28" s="40" t="s">
        <v>146</v>
      </c>
      <c r="D28" s="40" t="s">
        <v>120</v>
      </c>
      <c r="E28" s="40">
        <v>14333937</v>
      </c>
      <c r="F28" s="44" t="s">
        <v>165</v>
      </c>
      <c r="G28" s="44" t="s">
        <v>25</v>
      </c>
      <c r="H28" s="44" t="s">
        <v>166</v>
      </c>
      <c r="I28" s="21" t="s">
        <v>71</v>
      </c>
      <c r="J28" s="44" t="s">
        <v>167</v>
      </c>
      <c r="K28" s="44" t="s">
        <v>156</v>
      </c>
      <c r="L28" s="40" t="s">
        <v>125</v>
      </c>
      <c r="M28" s="40" t="s">
        <v>168</v>
      </c>
      <c r="N28" s="38">
        <v>39437</v>
      </c>
      <c r="O28" s="47" t="s">
        <v>32</v>
      </c>
      <c r="P28" s="40" t="s">
        <v>117</v>
      </c>
      <c r="Q28" s="40">
        <v>2007</v>
      </c>
      <c r="R28" s="47" t="s">
        <v>32</v>
      </c>
      <c r="S28" s="40" t="s">
        <v>117</v>
      </c>
      <c r="T28" s="40">
        <v>2018</v>
      </c>
      <c r="U28" s="46">
        <v>41973</v>
      </c>
      <c r="V28" s="40" t="s">
        <v>169</v>
      </c>
      <c r="W28" s="40">
        <v>32</v>
      </c>
      <c r="X28" s="40">
        <v>63</v>
      </c>
      <c r="Y28" s="40">
        <v>552.47</v>
      </c>
      <c r="Z28" s="40" t="s">
        <v>88</v>
      </c>
      <c r="AA28" s="40">
        <v>0</v>
      </c>
      <c r="AB28" s="42"/>
    </row>
    <row r="29" spans="1:28" ht="93.6">
      <c r="A29" s="92">
        <v>16</v>
      </c>
      <c r="B29" s="37" t="s">
        <v>145</v>
      </c>
      <c r="C29" s="40" t="s">
        <v>146</v>
      </c>
      <c r="D29" s="40" t="s">
        <v>120</v>
      </c>
      <c r="E29" s="40">
        <v>14333937</v>
      </c>
      <c r="F29" s="44" t="s">
        <v>170</v>
      </c>
      <c r="G29" s="44" t="s">
        <v>25</v>
      </c>
      <c r="H29" s="44" t="s">
        <v>171</v>
      </c>
      <c r="I29" s="21" t="s">
        <v>71</v>
      </c>
      <c r="J29" s="44" t="s">
        <v>172</v>
      </c>
      <c r="K29" s="44" t="s">
        <v>156</v>
      </c>
      <c r="L29" s="40" t="s">
        <v>125</v>
      </c>
      <c r="M29" s="40" t="s">
        <v>173</v>
      </c>
      <c r="N29" s="38">
        <v>39437</v>
      </c>
      <c r="O29" s="47" t="s">
        <v>32</v>
      </c>
      <c r="P29" s="40" t="s">
        <v>117</v>
      </c>
      <c r="Q29" s="40">
        <v>2007</v>
      </c>
      <c r="R29" s="47" t="s">
        <v>32</v>
      </c>
      <c r="S29" s="40" t="s">
        <v>117</v>
      </c>
      <c r="T29" s="40">
        <v>2018</v>
      </c>
      <c r="U29" s="46">
        <v>41973</v>
      </c>
      <c r="V29" s="40" t="s">
        <v>174</v>
      </c>
      <c r="W29" s="40">
        <v>32</v>
      </c>
      <c r="X29" s="40">
        <v>133</v>
      </c>
      <c r="Y29" s="40">
        <v>1172.02</v>
      </c>
      <c r="Z29" s="40" t="s">
        <v>88</v>
      </c>
      <c r="AA29" s="40">
        <v>0</v>
      </c>
      <c r="AB29" s="42"/>
    </row>
    <row r="30" spans="1:28" ht="93.6">
      <c r="A30" s="92">
        <v>17</v>
      </c>
      <c r="B30" s="37" t="s">
        <v>145</v>
      </c>
      <c r="C30" s="40" t="s">
        <v>146</v>
      </c>
      <c r="D30" s="40" t="s">
        <v>80</v>
      </c>
      <c r="E30" s="40">
        <v>22859846</v>
      </c>
      <c r="F30" s="44" t="s">
        <v>175</v>
      </c>
      <c r="G30" s="44" t="s">
        <v>25</v>
      </c>
      <c r="H30" s="44" t="s">
        <v>160</v>
      </c>
      <c r="I30" s="21" t="s">
        <v>71</v>
      </c>
      <c r="J30" s="44" t="s">
        <v>176</v>
      </c>
      <c r="K30" s="44" t="s">
        <v>150</v>
      </c>
      <c r="L30" s="40" t="s">
        <v>74</v>
      </c>
      <c r="M30" s="40" t="s">
        <v>177</v>
      </c>
      <c r="N30" s="38">
        <v>41235</v>
      </c>
      <c r="O30" s="47" t="s">
        <v>33</v>
      </c>
      <c r="P30" s="40" t="s">
        <v>163</v>
      </c>
      <c r="Q30" s="40">
        <v>2012</v>
      </c>
      <c r="R30" s="47" t="s">
        <v>33</v>
      </c>
      <c r="S30" s="40" t="s">
        <v>163</v>
      </c>
      <c r="T30" s="40">
        <v>2018</v>
      </c>
      <c r="U30" s="46">
        <v>42308</v>
      </c>
      <c r="V30" s="40" t="s">
        <v>178</v>
      </c>
      <c r="W30" s="40">
        <v>32</v>
      </c>
      <c r="X30" s="40">
        <v>69</v>
      </c>
      <c r="Y30" s="40">
        <v>606.19000000000005</v>
      </c>
      <c r="Z30" s="40" t="s">
        <v>88</v>
      </c>
      <c r="AA30" s="40">
        <v>0</v>
      </c>
      <c r="AB30" s="42"/>
    </row>
    <row r="31" spans="1:28" ht="93.6">
      <c r="A31" s="92">
        <v>18</v>
      </c>
      <c r="B31" s="37" t="s">
        <v>145</v>
      </c>
      <c r="C31" s="40" t="s">
        <v>146</v>
      </c>
      <c r="D31" s="40" t="s">
        <v>80</v>
      </c>
      <c r="E31" s="40">
        <v>22859846</v>
      </c>
      <c r="F31" s="44" t="s">
        <v>179</v>
      </c>
      <c r="G31" s="44" t="s">
        <v>25</v>
      </c>
      <c r="H31" s="44" t="s">
        <v>154</v>
      </c>
      <c r="I31" s="21" t="s">
        <v>71</v>
      </c>
      <c r="J31" s="44" t="s">
        <v>180</v>
      </c>
      <c r="K31" s="44" t="s">
        <v>150</v>
      </c>
      <c r="L31" s="40" t="s">
        <v>74</v>
      </c>
      <c r="M31" s="40" t="s">
        <v>181</v>
      </c>
      <c r="N31" s="38">
        <v>39395</v>
      </c>
      <c r="O31" s="47" t="s">
        <v>132</v>
      </c>
      <c r="P31" s="40" t="s">
        <v>163</v>
      </c>
      <c r="Q31" s="40">
        <v>2007</v>
      </c>
      <c r="R31" s="47" t="s">
        <v>132</v>
      </c>
      <c r="S31" s="40" t="s">
        <v>163</v>
      </c>
      <c r="T31" s="40">
        <v>2018</v>
      </c>
      <c r="U31" s="46">
        <v>41912</v>
      </c>
      <c r="V31" s="40" t="s">
        <v>182</v>
      </c>
      <c r="W31" s="40">
        <v>32</v>
      </c>
      <c r="X31" s="40">
        <v>62</v>
      </c>
      <c r="Y31" s="40">
        <v>542.76</v>
      </c>
      <c r="Z31" s="40" t="s">
        <v>88</v>
      </c>
      <c r="AA31" s="40">
        <v>0</v>
      </c>
      <c r="AB31" s="42"/>
    </row>
    <row r="32" spans="1:28" ht="93.6">
      <c r="A32" s="92">
        <v>19</v>
      </c>
      <c r="B32" s="37" t="s">
        <v>145</v>
      </c>
      <c r="C32" s="40" t="s">
        <v>146</v>
      </c>
      <c r="D32" s="40" t="s">
        <v>80</v>
      </c>
      <c r="E32" s="40">
        <v>22859846</v>
      </c>
      <c r="F32" s="44" t="s">
        <v>183</v>
      </c>
      <c r="G32" s="44" t="s">
        <v>25</v>
      </c>
      <c r="H32" s="44" t="s">
        <v>166</v>
      </c>
      <c r="I32" s="21" t="s">
        <v>71</v>
      </c>
      <c r="J32" s="44" t="s">
        <v>184</v>
      </c>
      <c r="K32" s="44" t="s">
        <v>150</v>
      </c>
      <c r="L32" s="40" t="s">
        <v>74</v>
      </c>
      <c r="M32" s="40" t="s">
        <v>185</v>
      </c>
      <c r="N32" s="38">
        <v>39395</v>
      </c>
      <c r="O32" s="47" t="s">
        <v>186</v>
      </c>
      <c r="P32" s="40" t="s">
        <v>163</v>
      </c>
      <c r="Q32" s="40">
        <v>2007</v>
      </c>
      <c r="R32" s="47" t="s">
        <v>132</v>
      </c>
      <c r="S32" s="40" t="s">
        <v>163</v>
      </c>
      <c r="T32" s="40">
        <v>2018</v>
      </c>
      <c r="U32" s="46">
        <v>41912</v>
      </c>
      <c r="V32" s="40" t="s">
        <v>187</v>
      </c>
      <c r="W32" s="40">
        <v>32</v>
      </c>
      <c r="X32" s="40">
        <v>62</v>
      </c>
      <c r="Y32" s="40">
        <v>546.83000000000004</v>
      </c>
      <c r="Z32" s="40" t="s">
        <v>88</v>
      </c>
      <c r="AA32" s="40">
        <v>0</v>
      </c>
      <c r="AB32" s="42"/>
    </row>
    <row r="33" spans="1:28" ht="143.25" customHeight="1">
      <c r="A33" s="601">
        <v>20</v>
      </c>
      <c r="B33" s="573" t="s">
        <v>188</v>
      </c>
      <c r="C33" s="573" t="s">
        <v>189</v>
      </c>
      <c r="D33" s="573" t="s">
        <v>80</v>
      </c>
      <c r="E33" s="573">
        <v>22859846</v>
      </c>
      <c r="F33" s="44" t="s">
        <v>190</v>
      </c>
      <c r="G33" s="44" t="s">
        <v>28</v>
      </c>
      <c r="H33" s="44" t="s">
        <v>191</v>
      </c>
      <c r="I33" s="21" t="s">
        <v>71</v>
      </c>
      <c r="J33" s="44" t="s">
        <v>192</v>
      </c>
      <c r="K33" s="604" t="s">
        <v>193</v>
      </c>
      <c r="L33" s="573" t="s">
        <v>74</v>
      </c>
      <c r="M33" s="573" t="s">
        <v>194</v>
      </c>
      <c r="N33" s="576">
        <v>39987</v>
      </c>
      <c r="O33" s="579" t="s">
        <v>34</v>
      </c>
      <c r="P33" s="573" t="s">
        <v>195</v>
      </c>
      <c r="Q33" s="573">
        <v>2009</v>
      </c>
      <c r="R33" s="579" t="s">
        <v>34</v>
      </c>
      <c r="S33" s="573" t="s">
        <v>75</v>
      </c>
      <c r="T33" s="573">
        <v>2020</v>
      </c>
      <c r="U33" s="576">
        <v>42886</v>
      </c>
      <c r="V33" s="40" t="s">
        <v>373</v>
      </c>
      <c r="W33" s="573">
        <v>40</v>
      </c>
      <c r="X33" s="573">
        <v>944.55</v>
      </c>
      <c r="Y33" s="573">
        <v>3583.8</v>
      </c>
      <c r="Z33" s="46">
        <v>43063</v>
      </c>
      <c r="AA33" s="573">
        <v>2965.94</v>
      </c>
      <c r="AB33" s="42"/>
    </row>
    <row r="34" spans="1:28" ht="93.6">
      <c r="A34" s="602"/>
      <c r="B34" s="574"/>
      <c r="C34" s="574"/>
      <c r="D34" s="574"/>
      <c r="E34" s="574"/>
      <c r="F34" s="44" t="s">
        <v>196</v>
      </c>
      <c r="G34" s="44" t="s">
        <v>28</v>
      </c>
      <c r="H34" s="44" t="s">
        <v>197</v>
      </c>
      <c r="I34" s="21" t="s">
        <v>71</v>
      </c>
      <c r="J34" s="44" t="s">
        <v>198</v>
      </c>
      <c r="K34" s="605"/>
      <c r="L34" s="574"/>
      <c r="M34" s="574"/>
      <c r="N34" s="577"/>
      <c r="O34" s="580"/>
      <c r="P34" s="574"/>
      <c r="Q34" s="574"/>
      <c r="R34" s="580"/>
      <c r="S34" s="574"/>
      <c r="T34" s="574"/>
      <c r="U34" s="577"/>
      <c r="V34" s="40" t="s">
        <v>372</v>
      </c>
      <c r="W34" s="574"/>
      <c r="X34" s="574"/>
      <c r="Y34" s="574"/>
      <c r="Z34" s="46">
        <v>43063</v>
      </c>
      <c r="AA34" s="574"/>
      <c r="AB34" s="42"/>
    </row>
    <row r="35" spans="1:28" ht="93.6">
      <c r="A35" s="602"/>
      <c r="B35" s="574"/>
      <c r="C35" s="574"/>
      <c r="D35" s="574"/>
      <c r="E35" s="574"/>
      <c r="F35" s="44" t="s">
        <v>199</v>
      </c>
      <c r="G35" s="44" t="s">
        <v>28</v>
      </c>
      <c r="H35" s="44" t="s">
        <v>200</v>
      </c>
      <c r="I35" s="21" t="s">
        <v>71</v>
      </c>
      <c r="J35" s="44" t="s">
        <v>201</v>
      </c>
      <c r="K35" s="605"/>
      <c r="L35" s="574"/>
      <c r="M35" s="574"/>
      <c r="N35" s="577"/>
      <c r="O35" s="580"/>
      <c r="P35" s="574"/>
      <c r="Q35" s="574"/>
      <c r="R35" s="580"/>
      <c r="S35" s="574"/>
      <c r="T35" s="574"/>
      <c r="U35" s="577"/>
      <c r="V35" s="40" t="s">
        <v>371</v>
      </c>
      <c r="W35" s="574"/>
      <c r="X35" s="574"/>
      <c r="Y35" s="574"/>
      <c r="Z35" s="46">
        <v>43063</v>
      </c>
      <c r="AA35" s="574"/>
      <c r="AB35" s="42"/>
    </row>
    <row r="36" spans="1:28" ht="93.6">
      <c r="A36" s="602"/>
      <c r="B36" s="574"/>
      <c r="C36" s="574"/>
      <c r="D36" s="574"/>
      <c r="E36" s="574"/>
      <c r="F36" s="44" t="s">
        <v>202</v>
      </c>
      <c r="G36" s="44" t="s">
        <v>28</v>
      </c>
      <c r="H36" s="44" t="s">
        <v>203</v>
      </c>
      <c r="I36" s="21" t="s">
        <v>71</v>
      </c>
      <c r="J36" s="44" t="s">
        <v>192</v>
      </c>
      <c r="K36" s="605"/>
      <c r="L36" s="574"/>
      <c r="M36" s="574"/>
      <c r="N36" s="577"/>
      <c r="O36" s="580"/>
      <c r="P36" s="574"/>
      <c r="Q36" s="574"/>
      <c r="R36" s="580"/>
      <c r="S36" s="574"/>
      <c r="T36" s="574"/>
      <c r="U36" s="577"/>
      <c r="V36" s="40" t="s">
        <v>370</v>
      </c>
      <c r="W36" s="574"/>
      <c r="X36" s="574"/>
      <c r="Y36" s="574"/>
      <c r="Z36" s="46">
        <v>43063</v>
      </c>
      <c r="AA36" s="574"/>
      <c r="AB36" s="42"/>
    </row>
    <row r="37" spans="1:28" ht="93.6">
      <c r="A37" s="603"/>
      <c r="B37" s="575"/>
      <c r="C37" s="575"/>
      <c r="D37" s="575"/>
      <c r="E37" s="575"/>
      <c r="F37" s="44" t="s">
        <v>204</v>
      </c>
      <c r="G37" s="44" t="s">
        <v>28</v>
      </c>
      <c r="H37" s="44" t="s">
        <v>205</v>
      </c>
      <c r="I37" s="21" t="s">
        <v>71</v>
      </c>
      <c r="J37" s="44" t="s">
        <v>206</v>
      </c>
      <c r="K37" s="606"/>
      <c r="L37" s="575"/>
      <c r="M37" s="575"/>
      <c r="N37" s="578"/>
      <c r="O37" s="581"/>
      <c r="P37" s="575"/>
      <c r="Q37" s="575"/>
      <c r="R37" s="581"/>
      <c r="S37" s="575"/>
      <c r="T37" s="575"/>
      <c r="U37" s="578"/>
      <c r="V37" s="40" t="s">
        <v>369</v>
      </c>
      <c r="W37" s="575"/>
      <c r="X37" s="575"/>
      <c r="Y37" s="575"/>
      <c r="Z37" s="46">
        <v>43063</v>
      </c>
      <c r="AA37" s="575"/>
      <c r="AB37" s="42"/>
    </row>
    <row r="38" spans="1:28" ht="93.6">
      <c r="A38" s="92">
        <v>21</v>
      </c>
      <c r="B38" s="40" t="s">
        <v>188</v>
      </c>
      <c r="C38" s="40" t="s">
        <v>189</v>
      </c>
      <c r="D38" s="40" t="s">
        <v>120</v>
      </c>
      <c r="E38" s="40">
        <v>14333937</v>
      </c>
      <c r="F38" s="44" t="s">
        <v>207</v>
      </c>
      <c r="G38" s="44" t="s">
        <v>28</v>
      </c>
      <c r="H38" s="44" t="s">
        <v>208</v>
      </c>
      <c r="I38" s="21" t="s">
        <v>71</v>
      </c>
      <c r="J38" s="44" t="s">
        <v>209</v>
      </c>
      <c r="K38" s="44" t="s">
        <v>156</v>
      </c>
      <c r="L38" s="40" t="s">
        <v>125</v>
      </c>
      <c r="M38" s="40">
        <v>9</v>
      </c>
      <c r="N38" s="38">
        <v>39437</v>
      </c>
      <c r="O38" s="47" t="s">
        <v>32</v>
      </c>
      <c r="P38" s="40" t="s">
        <v>117</v>
      </c>
      <c r="Q38" s="40">
        <v>2007</v>
      </c>
      <c r="R38" s="47" t="s">
        <v>32</v>
      </c>
      <c r="S38" s="40" t="s">
        <v>117</v>
      </c>
      <c r="T38" s="40">
        <v>2018</v>
      </c>
      <c r="U38" s="46">
        <v>41973</v>
      </c>
      <c r="V38" s="40" t="s">
        <v>210</v>
      </c>
      <c r="W38" s="40">
        <v>32</v>
      </c>
      <c r="X38" s="40">
        <v>920.63</v>
      </c>
      <c r="Y38" s="40">
        <v>1157.3</v>
      </c>
      <c r="Z38" s="40" t="s">
        <v>88</v>
      </c>
      <c r="AA38" s="40">
        <v>0</v>
      </c>
      <c r="AB38" s="42"/>
    </row>
    <row r="39" spans="1:28" ht="93.6">
      <c r="A39" s="92">
        <v>22</v>
      </c>
      <c r="B39" s="40" t="s">
        <v>211</v>
      </c>
      <c r="C39" s="40" t="s">
        <v>212</v>
      </c>
      <c r="D39" s="40" t="s">
        <v>68</v>
      </c>
      <c r="E39" s="40">
        <v>21673832</v>
      </c>
      <c r="F39" s="44" t="s">
        <v>213</v>
      </c>
      <c r="G39" s="44" t="s">
        <v>214</v>
      </c>
      <c r="H39" s="44" t="s">
        <v>215</v>
      </c>
      <c r="I39" s="21" t="s">
        <v>71</v>
      </c>
      <c r="J39" s="44" t="s">
        <v>216</v>
      </c>
      <c r="K39" s="44" t="s">
        <v>217</v>
      </c>
      <c r="L39" s="40" t="s">
        <v>74</v>
      </c>
      <c r="M39" s="40">
        <v>65</v>
      </c>
      <c r="N39" s="38">
        <v>39077</v>
      </c>
      <c r="O39" s="47" t="s">
        <v>35</v>
      </c>
      <c r="P39" s="40" t="s">
        <v>117</v>
      </c>
      <c r="Q39" s="40">
        <v>2006</v>
      </c>
      <c r="R39" s="47" t="s">
        <v>35</v>
      </c>
      <c r="S39" s="40" t="s">
        <v>139</v>
      </c>
      <c r="T39" s="40">
        <v>2020</v>
      </c>
      <c r="U39" s="46">
        <v>42735</v>
      </c>
      <c r="V39" s="40" t="s">
        <v>218</v>
      </c>
      <c r="W39" s="40">
        <v>40</v>
      </c>
      <c r="X39" s="40">
        <v>123.3</v>
      </c>
      <c r="Y39" s="40">
        <v>1115.17</v>
      </c>
      <c r="Z39" s="46">
        <v>42975</v>
      </c>
      <c r="AA39" s="40">
        <v>0</v>
      </c>
      <c r="AB39" s="42"/>
    </row>
    <row r="40" spans="1:28" ht="93.6">
      <c r="A40" s="92">
        <v>23</v>
      </c>
      <c r="B40" s="40" t="s">
        <v>211</v>
      </c>
      <c r="C40" s="40" t="s">
        <v>212</v>
      </c>
      <c r="D40" s="40" t="s">
        <v>120</v>
      </c>
      <c r="E40" s="40">
        <v>14333937</v>
      </c>
      <c r="F40" s="44" t="s">
        <v>219</v>
      </c>
      <c r="G40" s="44" t="s">
        <v>214</v>
      </c>
      <c r="H40" s="44" t="s">
        <v>215</v>
      </c>
      <c r="I40" s="21" t="s">
        <v>71</v>
      </c>
      <c r="J40" s="44" t="s">
        <v>220</v>
      </c>
      <c r="K40" s="44" t="s">
        <v>221</v>
      </c>
      <c r="L40" s="40" t="s">
        <v>125</v>
      </c>
      <c r="M40" s="40">
        <v>49</v>
      </c>
      <c r="N40" s="38">
        <v>39437</v>
      </c>
      <c r="O40" s="47" t="s">
        <v>32</v>
      </c>
      <c r="P40" s="40" t="s">
        <v>117</v>
      </c>
      <c r="Q40" s="40">
        <v>2007</v>
      </c>
      <c r="R40" s="47" t="s">
        <v>24</v>
      </c>
      <c r="S40" s="40" t="s">
        <v>117</v>
      </c>
      <c r="T40" s="40">
        <v>2018</v>
      </c>
      <c r="U40" s="46">
        <v>41973</v>
      </c>
      <c r="V40" s="40" t="s">
        <v>222</v>
      </c>
      <c r="W40" s="40">
        <v>32</v>
      </c>
      <c r="X40" s="40">
        <v>190.28</v>
      </c>
      <c r="Y40" s="40">
        <v>1582.34</v>
      </c>
      <c r="Z40" s="40" t="s">
        <v>88</v>
      </c>
      <c r="AA40" s="40">
        <v>0</v>
      </c>
      <c r="AB40" s="42"/>
    </row>
    <row r="41" spans="1:28" ht="93.6">
      <c r="A41" s="92">
        <v>24</v>
      </c>
      <c r="B41" s="40" t="s">
        <v>211</v>
      </c>
      <c r="C41" s="40" t="s">
        <v>212</v>
      </c>
      <c r="D41" s="40" t="s">
        <v>120</v>
      </c>
      <c r="E41" s="40">
        <v>14333937</v>
      </c>
      <c r="F41" s="44" t="s">
        <v>223</v>
      </c>
      <c r="G41" s="44" t="s">
        <v>214</v>
      </c>
      <c r="H41" s="44" t="s">
        <v>224</v>
      </c>
      <c r="I41" s="21" t="s">
        <v>71</v>
      </c>
      <c r="J41" s="44" t="s">
        <v>225</v>
      </c>
      <c r="K41" s="44" t="s">
        <v>226</v>
      </c>
      <c r="L41" s="40" t="s">
        <v>125</v>
      </c>
      <c r="M41" s="40">
        <v>51</v>
      </c>
      <c r="N41" s="38">
        <v>39437</v>
      </c>
      <c r="O41" s="47" t="s">
        <v>32</v>
      </c>
      <c r="P41" s="40" t="s">
        <v>117</v>
      </c>
      <c r="Q41" s="40">
        <v>2007</v>
      </c>
      <c r="R41" s="47" t="s">
        <v>24</v>
      </c>
      <c r="S41" s="40" t="s">
        <v>117</v>
      </c>
      <c r="T41" s="40">
        <v>2018</v>
      </c>
      <c r="U41" s="46">
        <v>41973</v>
      </c>
      <c r="V41" s="40" t="s">
        <v>227</v>
      </c>
      <c r="W41" s="40">
        <v>32</v>
      </c>
      <c r="X41" s="40">
        <v>128.1</v>
      </c>
      <c r="Y41" s="40">
        <v>1065.3</v>
      </c>
      <c r="Z41" s="40" t="s">
        <v>88</v>
      </c>
      <c r="AA41" s="40">
        <v>0</v>
      </c>
      <c r="AB41" s="42"/>
    </row>
    <row r="42" spans="1:28" ht="93.6">
      <c r="A42" s="92">
        <v>25</v>
      </c>
      <c r="B42" s="40" t="s">
        <v>211</v>
      </c>
      <c r="C42" s="40" t="s">
        <v>212</v>
      </c>
      <c r="D42" s="40" t="s">
        <v>120</v>
      </c>
      <c r="E42" s="40">
        <v>14333937</v>
      </c>
      <c r="F42" s="44" t="s">
        <v>228</v>
      </c>
      <c r="G42" s="44" t="s">
        <v>214</v>
      </c>
      <c r="H42" s="44" t="s">
        <v>229</v>
      </c>
      <c r="I42" s="21" t="s">
        <v>71</v>
      </c>
      <c r="J42" s="44" t="s">
        <v>230</v>
      </c>
      <c r="K42" s="44" t="s">
        <v>231</v>
      </c>
      <c r="L42" s="40" t="s">
        <v>125</v>
      </c>
      <c r="M42" s="40">
        <v>50</v>
      </c>
      <c r="N42" s="38">
        <v>39437</v>
      </c>
      <c r="O42" s="47" t="s">
        <v>232</v>
      </c>
      <c r="P42" s="40" t="s">
        <v>117</v>
      </c>
      <c r="Q42" s="40">
        <v>2007</v>
      </c>
      <c r="R42" s="47" t="s">
        <v>24</v>
      </c>
      <c r="S42" s="40" t="s">
        <v>117</v>
      </c>
      <c r="T42" s="40">
        <v>2018</v>
      </c>
      <c r="U42" s="46">
        <v>41973</v>
      </c>
      <c r="V42" s="40" t="s">
        <v>368</v>
      </c>
      <c r="W42" s="40">
        <v>32</v>
      </c>
      <c r="X42" s="40">
        <v>122.46</v>
      </c>
      <c r="Y42" s="40">
        <v>1018.36</v>
      </c>
      <c r="Z42" s="40" t="s">
        <v>88</v>
      </c>
      <c r="AA42" s="40">
        <v>0</v>
      </c>
      <c r="AB42" s="42"/>
    </row>
    <row r="43" spans="1:28" ht="93.6">
      <c r="A43" s="92">
        <v>26</v>
      </c>
      <c r="B43" s="40" t="s">
        <v>211</v>
      </c>
      <c r="C43" s="40" t="s">
        <v>212</v>
      </c>
      <c r="D43" s="40" t="s">
        <v>120</v>
      </c>
      <c r="E43" s="40">
        <v>14333937</v>
      </c>
      <c r="F43" s="44" t="s">
        <v>233</v>
      </c>
      <c r="G43" s="44" t="s">
        <v>214</v>
      </c>
      <c r="H43" s="44" t="s">
        <v>234</v>
      </c>
      <c r="I43" s="21" t="s">
        <v>71</v>
      </c>
      <c r="J43" s="44" t="s">
        <v>220</v>
      </c>
      <c r="K43" s="44" t="s">
        <v>235</v>
      </c>
      <c r="L43" s="40" t="s">
        <v>125</v>
      </c>
      <c r="M43" s="40">
        <v>52</v>
      </c>
      <c r="N43" s="38">
        <v>39437</v>
      </c>
      <c r="O43" s="47" t="s">
        <v>32</v>
      </c>
      <c r="P43" s="40" t="s">
        <v>117</v>
      </c>
      <c r="Q43" s="40">
        <v>2007</v>
      </c>
      <c r="R43" s="47" t="s">
        <v>24</v>
      </c>
      <c r="S43" s="40" t="s">
        <v>117</v>
      </c>
      <c r="T43" s="40">
        <v>2018</v>
      </c>
      <c r="U43" s="46">
        <v>41973</v>
      </c>
      <c r="V43" s="40" t="s">
        <v>236</v>
      </c>
      <c r="W43" s="40">
        <v>32</v>
      </c>
      <c r="X43" s="40">
        <v>325.75</v>
      </c>
      <c r="Y43" s="40">
        <v>2708.95</v>
      </c>
      <c r="Z43" s="40" t="s">
        <v>88</v>
      </c>
      <c r="AA43" s="40">
        <v>0</v>
      </c>
      <c r="AB43" s="42"/>
    </row>
    <row r="44" spans="1:28" ht="93.6">
      <c r="A44" s="92">
        <v>27</v>
      </c>
      <c r="B44" s="40" t="s">
        <v>211</v>
      </c>
      <c r="C44" s="40" t="s">
        <v>212</v>
      </c>
      <c r="D44" s="40" t="s">
        <v>80</v>
      </c>
      <c r="E44" s="40">
        <v>22859846</v>
      </c>
      <c r="F44" s="44" t="s">
        <v>237</v>
      </c>
      <c r="G44" s="44" t="s">
        <v>214</v>
      </c>
      <c r="H44" s="44" t="s">
        <v>234</v>
      </c>
      <c r="I44" s="21" t="s">
        <v>71</v>
      </c>
      <c r="J44" s="44" t="s">
        <v>192</v>
      </c>
      <c r="K44" s="44" t="s">
        <v>238</v>
      </c>
      <c r="L44" s="40" t="s">
        <v>125</v>
      </c>
      <c r="M44" s="40">
        <v>74</v>
      </c>
      <c r="N44" s="38">
        <v>39322</v>
      </c>
      <c r="O44" s="47" t="s">
        <v>23</v>
      </c>
      <c r="P44" s="40" t="s">
        <v>239</v>
      </c>
      <c r="Q44" s="40">
        <v>2007</v>
      </c>
      <c r="R44" s="47" t="s">
        <v>18</v>
      </c>
      <c r="S44" s="40" t="s">
        <v>195</v>
      </c>
      <c r="T44" s="40">
        <v>2020</v>
      </c>
      <c r="U44" s="55">
        <v>42886</v>
      </c>
      <c r="V44" s="39" t="s">
        <v>367</v>
      </c>
      <c r="W44" s="39">
        <v>40</v>
      </c>
      <c r="X44" s="39">
        <v>98.6</v>
      </c>
      <c r="Y44" s="39">
        <v>943.34</v>
      </c>
      <c r="Z44" s="40" t="s">
        <v>88</v>
      </c>
      <c r="AA44" s="40">
        <v>0</v>
      </c>
      <c r="AB44" s="42"/>
    </row>
    <row r="45" spans="1:28" ht="93.6">
      <c r="A45" s="92">
        <v>28</v>
      </c>
      <c r="B45" s="40" t="s">
        <v>240</v>
      </c>
      <c r="C45" s="40" t="s">
        <v>241</v>
      </c>
      <c r="D45" s="40" t="s">
        <v>68</v>
      </c>
      <c r="E45" s="40">
        <v>21673832</v>
      </c>
      <c r="F45" s="44" t="s">
        <v>147</v>
      </c>
      <c r="G45" s="44" t="s">
        <v>21</v>
      </c>
      <c r="H45" s="44" t="s">
        <v>242</v>
      </c>
      <c r="I45" s="21" t="s">
        <v>71</v>
      </c>
      <c r="J45" s="40" t="s">
        <v>216</v>
      </c>
      <c r="K45" s="40" t="s">
        <v>243</v>
      </c>
      <c r="L45" s="40" t="s">
        <v>74</v>
      </c>
      <c r="M45" s="40" t="s">
        <v>244</v>
      </c>
      <c r="N45" s="38">
        <v>39077</v>
      </c>
      <c r="O45" s="47" t="s">
        <v>35</v>
      </c>
      <c r="P45" s="40" t="s">
        <v>117</v>
      </c>
      <c r="Q45" s="40">
        <v>2006</v>
      </c>
      <c r="R45" s="47" t="s">
        <v>32</v>
      </c>
      <c r="S45" s="40" t="s">
        <v>239</v>
      </c>
      <c r="T45" s="40">
        <v>2018</v>
      </c>
      <c r="U45" s="46">
        <v>42735</v>
      </c>
      <c r="V45" s="40" t="s">
        <v>245</v>
      </c>
      <c r="W45" s="40">
        <v>40</v>
      </c>
      <c r="X45" s="40">
        <v>113.7</v>
      </c>
      <c r="Y45" s="40">
        <v>1016.9</v>
      </c>
      <c r="Z45" s="46">
        <v>42975</v>
      </c>
      <c r="AA45" s="40">
        <v>0</v>
      </c>
      <c r="AB45" s="42"/>
    </row>
    <row r="46" spans="1:28" ht="78">
      <c r="A46" s="92">
        <v>29</v>
      </c>
      <c r="B46" s="40" t="s">
        <v>240</v>
      </c>
      <c r="C46" s="40" t="s">
        <v>241</v>
      </c>
      <c r="D46" s="40" t="s">
        <v>246</v>
      </c>
      <c r="E46" s="40">
        <v>24822280</v>
      </c>
      <c r="F46" s="44" t="s">
        <v>247</v>
      </c>
      <c r="G46" s="44" t="s">
        <v>21</v>
      </c>
      <c r="H46" s="44" t="s">
        <v>248</v>
      </c>
      <c r="I46" s="44" t="s">
        <v>249</v>
      </c>
      <c r="J46" s="44" t="s">
        <v>250</v>
      </c>
      <c r="K46" s="44" t="s">
        <v>251</v>
      </c>
      <c r="L46" s="40" t="s">
        <v>125</v>
      </c>
      <c r="M46" s="40" t="s">
        <v>85</v>
      </c>
      <c r="N46" s="38">
        <v>40584</v>
      </c>
      <c r="O46" s="47" t="s">
        <v>17</v>
      </c>
      <c r="P46" s="40" t="s">
        <v>93</v>
      </c>
      <c r="Q46" s="40">
        <v>2011</v>
      </c>
      <c r="R46" s="47" t="s">
        <v>17</v>
      </c>
      <c r="S46" s="40" t="s">
        <v>93</v>
      </c>
      <c r="T46" s="40">
        <v>2018</v>
      </c>
      <c r="U46" s="46">
        <v>42766</v>
      </c>
      <c r="V46" s="40">
        <v>84229</v>
      </c>
      <c r="W46" s="40">
        <v>20</v>
      </c>
      <c r="X46" s="40">
        <v>113.7</v>
      </c>
      <c r="Y46" s="40">
        <v>1914.83</v>
      </c>
      <c r="Z46" s="46">
        <v>42975</v>
      </c>
      <c r="AA46" s="40">
        <v>0</v>
      </c>
      <c r="AB46" s="42"/>
    </row>
    <row r="47" spans="1:28" ht="93.6">
      <c r="A47" s="92">
        <v>30</v>
      </c>
      <c r="B47" s="40" t="s">
        <v>240</v>
      </c>
      <c r="C47" s="40" t="s">
        <v>241</v>
      </c>
      <c r="D47" s="40" t="s">
        <v>120</v>
      </c>
      <c r="E47" s="40">
        <v>14333937</v>
      </c>
      <c r="F47" s="44" t="s">
        <v>252</v>
      </c>
      <c r="G47" s="44" t="s">
        <v>21</v>
      </c>
      <c r="H47" s="44" t="s">
        <v>248</v>
      </c>
      <c r="I47" s="44" t="s">
        <v>71</v>
      </c>
      <c r="J47" s="44" t="s">
        <v>253</v>
      </c>
      <c r="K47" s="44" t="s">
        <v>251</v>
      </c>
      <c r="L47" s="40" t="s">
        <v>125</v>
      </c>
      <c r="M47" s="40" t="s">
        <v>254</v>
      </c>
      <c r="N47" s="38">
        <v>40584</v>
      </c>
      <c r="O47" s="47" t="s">
        <v>17</v>
      </c>
      <c r="P47" s="40" t="s">
        <v>93</v>
      </c>
      <c r="Q47" s="40">
        <v>2011</v>
      </c>
      <c r="R47" s="47" t="s">
        <v>17</v>
      </c>
      <c r="S47" s="40" t="s">
        <v>86</v>
      </c>
      <c r="T47" s="40">
        <v>2020</v>
      </c>
      <c r="U47" s="46">
        <v>42735</v>
      </c>
      <c r="V47" s="40">
        <v>11134</v>
      </c>
      <c r="W47" s="40">
        <v>40</v>
      </c>
      <c r="X47" s="40">
        <v>113.7</v>
      </c>
      <c r="Y47" s="40">
        <v>506.24</v>
      </c>
      <c r="Z47" s="46">
        <v>42975</v>
      </c>
      <c r="AA47" s="40">
        <v>0</v>
      </c>
      <c r="AB47" s="42"/>
    </row>
    <row r="48" spans="1:28" ht="93.6">
      <c r="A48" s="92">
        <v>31</v>
      </c>
      <c r="B48" s="40" t="s">
        <v>240</v>
      </c>
      <c r="C48" s="40" t="s">
        <v>241</v>
      </c>
      <c r="D48" s="40" t="s">
        <v>120</v>
      </c>
      <c r="E48" s="40">
        <v>14333937</v>
      </c>
      <c r="F48" s="44" t="s">
        <v>255</v>
      </c>
      <c r="G48" s="44" t="s">
        <v>21</v>
      </c>
      <c r="H48" s="44" t="s">
        <v>256</v>
      </c>
      <c r="I48" s="44" t="s">
        <v>71</v>
      </c>
      <c r="J48" s="44" t="s">
        <v>257</v>
      </c>
      <c r="K48" s="44" t="s">
        <v>251</v>
      </c>
      <c r="L48" s="40" t="s">
        <v>74</v>
      </c>
      <c r="M48" s="40" t="s">
        <v>258</v>
      </c>
      <c r="N48" s="38">
        <v>40584</v>
      </c>
      <c r="O48" s="47" t="s">
        <v>17</v>
      </c>
      <c r="P48" s="40" t="s">
        <v>93</v>
      </c>
      <c r="Q48" s="40">
        <v>2011</v>
      </c>
      <c r="R48" s="47" t="s">
        <v>17</v>
      </c>
      <c r="S48" s="40" t="s">
        <v>93</v>
      </c>
      <c r="T48" s="40">
        <v>2018</v>
      </c>
      <c r="U48" s="46">
        <v>41639</v>
      </c>
      <c r="V48" s="40" t="s">
        <v>259</v>
      </c>
      <c r="W48" s="40">
        <v>32</v>
      </c>
      <c r="X48" s="40">
        <v>113.7</v>
      </c>
      <c r="Y48" s="40">
        <v>1743.54</v>
      </c>
      <c r="Z48" s="40" t="s">
        <v>88</v>
      </c>
      <c r="AA48" s="40">
        <v>0</v>
      </c>
      <c r="AB48" s="42"/>
    </row>
    <row r="49" spans="1:28" ht="93.6">
      <c r="A49" s="92">
        <v>32</v>
      </c>
      <c r="B49" s="40" t="s">
        <v>240</v>
      </c>
      <c r="C49" s="40" t="s">
        <v>241</v>
      </c>
      <c r="D49" s="40" t="s">
        <v>120</v>
      </c>
      <c r="E49" s="40">
        <v>14333937</v>
      </c>
      <c r="F49" s="44" t="s">
        <v>260</v>
      </c>
      <c r="G49" s="44" t="s">
        <v>21</v>
      </c>
      <c r="H49" s="44" t="s">
        <v>261</v>
      </c>
      <c r="I49" s="44" t="s">
        <v>71</v>
      </c>
      <c r="J49" s="44" t="s">
        <v>262</v>
      </c>
      <c r="K49" s="44" t="s">
        <v>251</v>
      </c>
      <c r="L49" s="40" t="s">
        <v>74</v>
      </c>
      <c r="M49" s="40" t="s">
        <v>244</v>
      </c>
      <c r="N49" s="38">
        <v>40134</v>
      </c>
      <c r="O49" s="47" t="s">
        <v>22</v>
      </c>
      <c r="P49" s="40" t="s">
        <v>163</v>
      </c>
      <c r="Q49" s="40">
        <v>2009</v>
      </c>
      <c r="R49" s="47" t="s">
        <v>22</v>
      </c>
      <c r="S49" s="40" t="s">
        <v>163</v>
      </c>
      <c r="T49" s="40">
        <v>2018</v>
      </c>
      <c r="U49" s="46">
        <v>42338</v>
      </c>
      <c r="V49" s="40">
        <v>30564</v>
      </c>
      <c r="W49" s="40">
        <v>32</v>
      </c>
      <c r="X49" s="40">
        <v>113.7</v>
      </c>
      <c r="Y49" s="40">
        <v>1766.65</v>
      </c>
      <c r="Z49" s="40" t="s">
        <v>88</v>
      </c>
      <c r="AA49" s="40">
        <v>0</v>
      </c>
      <c r="AB49" s="42"/>
    </row>
    <row r="50" spans="1:28" ht="93.6">
      <c r="A50" s="92">
        <v>33</v>
      </c>
      <c r="B50" s="40" t="s">
        <v>240</v>
      </c>
      <c r="C50" s="40" t="s">
        <v>241</v>
      </c>
      <c r="D50" s="40" t="s">
        <v>120</v>
      </c>
      <c r="E50" s="40">
        <v>14333937</v>
      </c>
      <c r="F50" s="44" t="s">
        <v>263</v>
      </c>
      <c r="G50" s="44" t="s">
        <v>21</v>
      </c>
      <c r="H50" s="44" t="s">
        <v>264</v>
      </c>
      <c r="I50" s="44" t="s">
        <v>71</v>
      </c>
      <c r="J50" s="44" t="s">
        <v>265</v>
      </c>
      <c r="K50" s="44" t="s">
        <v>251</v>
      </c>
      <c r="L50" s="40" t="s">
        <v>74</v>
      </c>
      <c r="M50" s="40" t="s">
        <v>266</v>
      </c>
      <c r="N50" s="38">
        <v>40584</v>
      </c>
      <c r="O50" s="47" t="s">
        <v>17</v>
      </c>
      <c r="P50" s="40" t="s">
        <v>93</v>
      </c>
      <c r="Q50" s="40">
        <v>2011</v>
      </c>
      <c r="R50" s="47" t="s">
        <v>17</v>
      </c>
      <c r="S50" s="40" t="s">
        <v>93</v>
      </c>
      <c r="T50" s="40">
        <v>2018</v>
      </c>
      <c r="U50" s="46">
        <v>41639</v>
      </c>
      <c r="V50" s="40" t="s">
        <v>259</v>
      </c>
      <c r="W50" s="40">
        <v>32</v>
      </c>
      <c r="X50" s="40">
        <v>113.7</v>
      </c>
      <c r="Y50" s="40">
        <v>1743.54</v>
      </c>
      <c r="Z50" s="40" t="s">
        <v>88</v>
      </c>
      <c r="AA50" s="40">
        <v>0</v>
      </c>
      <c r="AB50" s="42"/>
    </row>
    <row r="51" spans="1:28" ht="93.6">
      <c r="A51" s="92">
        <v>34</v>
      </c>
      <c r="B51" s="40" t="s">
        <v>240</v>
      </c>
      <c r="C51" s="40" t="s">
        <v>241</v>
      </c>
      <c r="D51" s="40" t="s">
        <v>120</v>
      </c>
      <c r="E51" s="40">
        <v>14333937</v>
      </c>
      <c r="F51" s="44" t="s">
        <v>267</v>
      </c>
      <c r="G51" s="44" t="s">
        <v>21</v>
      </c>
      <c r="H51" s="44" t="s">
        <v>268</v>
      </c>
      <c r="I51" s="44" t="s">
        <v>71</v>
      </c>
      <c r="J51" s="44" t="s">
        <v>269</v>
      </c>
      <c r="K51" s="44" t="s">
        <v>251</v>
      </c>
      <c r="L51" s="40" t="s">
        <v>74</v>
      </c>
      <c r="M51" s="40" t="s">
        <v>270</v>
      </c>
      <c r="N51" s="38">
        <v>40584</v>
      </c>
      <c r="O51" s="47" t="s">
        <v>17</v>
      </c>
      <c r="P51" s="40" t="s">
        <v>93</v>
      </c>
      <c r="Q51" s="40">
        <v>2011</v>
      </c>
      <c r="R51" s="47" t="s">
        <v>17</v>
      </c>
      <c r="S51" s="40" t="s">
        <v>93</v>
      </c>
      <c r="T51" s="40">
        <v>2018</v>
      </c>
      <c r="U51" s="46">
        <v>41639</v>
      </c>
      <c r="V51" s="40">
        <v>24466</v>
      </c>
      <c r="W51" s="40">
        <v>32</v>
      </c>
      <c r="X51" s="40">
        <v>113.7</v>
      </c>
      <c r="Y51" s="40">
        <v>1374.94</v>
      </c>
      <c r="Z51" s="40" t="s">
        <v>88</v>
      </c>
      <c r="AA51" s="40">
        <v>0</v>
      </c>
      <c r="AB51" s="42"/>
    </row>
    <row r="52" spans="1:28" ht="93.6">
      <c r="A52" s="92">
        <v>35</v>
      </c>
      <c r="B52" s="40" t="s">
        <v>240</v>
      </c>
      <c r="C52" s="40" t="s">
        <v>241</v>
      </c>
      <c r="D52" s="40" t="s">
        <v>120</v>
      </c>
      <c r="E52" s="40">
        <v>14333937</v>
      </c>
      <c r="F52" s="44" t="s">
        <v>271</v>
      </c>
      <c r="G52" s="44" t="s">
        <v>30</v>
      </c>
      <c r="H52" s="44" t="s">
        <v>272</v>
      </c>
      <c r="I52" s="44" t="s">
        <v>71</v>
      </c>
      <c r="J52" s="44" t="s">
        <v>273</v>
      </c>
      <c r="K52" s="44" t="s">
        <v>274</v>
      </c>
      <c r="L52" s="40" t="s">
        <v>74</v>
      </c>
      <c r="M52" s="40" t="s">
        <v>85</v>
      </c>
      <c r="N52" s="38">
        <v>40134</v>
      </c>
      <c r="O52" s="47" t="s">
        <v>22</v>
      </c>
      <c r="P52" s="40" t="s">
        <v>163</v>
      </c>
      <c r="Q52" s="40">
        <v>2009</v>
      </c>
      <c r="R52" s="47" t="s">
        <v>22</v>
      </c>
      <c r="S52" s="40" t="s">
        <v>163</v>
      </c>
      <c r="T52" s="40">
        <v>2018</v>
      </c>
      <c r="U52" s="46">
        <v>42338</v>
      </c>
      <c r="V52" s="40" t="s">
        <v>275</v>
      </c>
      <c r="W52" s="40">
        <v>32</v>
      </c>
      <c r="X52" s="40">
        <v>113.7</v>
      </c>
      <c r="Y52" s="40">
        <v>2093.12</v>
      </c>
      <c r="Z52" s="40" t="s">
        <v>88</v>
      </c>
      <c r="AA52" s="40">
        <v>0</v>
      </c>
      <c r="AB52" s="42"/>
    </row>
    <row r="53" spans="1:28" ht="93.6">
      <c r="A53" s="92">
        <v>36</v>
      </c>
      <c r="B53" s="40" t="s">
        <v>240</v>
      </c>
      <c r="C53" s="40" t="s">
        <v>241</v>
      </c>
      <c r="D53" s="40" t="s">
        <v>120</v>
      </c>
      <c r="E53" s="40">
        <v>14333937</v>
      </c>
      <c r="F53" s="44" t="s">
        <v>276</v>
      </c>
      <c r="G53" s="44" t="s">
        <v>21</v>
      </c>
      <c r="H53" s="44" t="s">
        <v>277</v>
      </c>
      <c r="I53" s="44" t="s">
        <v>71</v>
      </c>
      <c r="J53" s="44" t="s">
        <v>278</v>
      </c>
      <c r="K53" s="44" t="s">
        <v>251</v>
      </c>
      <c r="L53" s="40" t="s">
        <v>74</v>
      </c>
      <c r="M53" s="40" t="s">
        <v>279</v>
      </c>
      <c r="N53" s="38">
        <v>40584</v>
      </c>
      <c r="O53" s="47" t="s">
        <v>17</v>
      </c>
      <c r="P53" s="40" t="s">
        <v>93</v>
      </c>
      <c r="Q53" s="40">
        <v>2011</v>
      </c>
      <c r="R53" s="47" t="s">
        <v>17</v>
      </c>
      <c r="S53" s="40" t="s">
        <v>93</v>
      </c>
      <c r="T53" s="40">
        <v>2018</v>
      </c>
      <c r="U53" s="46">
        <v>41639</v>
      </c>
      <c r="V53" s="40" t="s">
        <v>259</v>
      </c>
      <c r="W53" s="40">
        <v>32</v>
      </c>
      <c r="X53" s="40">
        <v>113.7</v>
      </c>
      <c r="Y53" s="40">
        <v>1743.54</v>
      </c>
      <c r="Z53" s="40" t="s">
        <v>88</v>
      </c>
      <c r="AA53" s="40">
        <v>0</v>
      </c>
      <c r="AB53" s="42"/>
    </row>
    <row r="54" spans="1:28" ht="93.6">
      <c r="A54" s="92">
        <v>37</v>
      </c>
      <c r="B54" s="40" t="s">
        <v>240</v>
      </c>
      <c r="C54" s="40" t="s">
        <v>241</v>
      </c>
      <c r="D54" s="40" t="s">
        <v>80</v>
      </c>
      <c r="E54" s="40">
        <v>22859846</v>
      </c>
      <c r="F54" s="44" t="s">
        <v>280</v>
      </c>
      <c r="G54" s="44" t="s">
        <v>21</v>
      </c>
      <c r="H54" s="44" t="s">
        <v>281</v>
      </c>
      <c r="I54" s="44" t="s">
        <v>71</v>
      </c>
      <c r="J54" s="44" t="s">
        <v>282</v>
      </c>
      <c r="K54" s="44" t="s">
        <v>283</v>
      </c>
      <c r="L54" s="40" t="s">
        <v>74</v>
      </c>
      <c r="M54" s="40" t="s">
        <v>85</v>
      </c>
      <c r="N54" s="38">
        <v>39395</v>
      </c>
      <c r="O54" s="47" t="s">
        <v>132</v>
      </c>
      <c r="P54" s="40" t="s">
        <v>163</v>
      </c>
      <c r="Q54" s="40">
        <v>2007</v>
      </c>
      <c r="R54" s="47" t="s">
        <v>132</v>
      </c>
      <c r="S54" s="40" t="s">
        <v>163</v>
      </c>
      <c r="T54" s="40">
        <v>2018</v>
      </c>
      <c r="U54" s="46">
        <v>41912</v>
      </c>
      <c r="V54" s="40" t="s">
        <v>284</v>
      </c>
      <c r="W54" s="40">
        <v>32</v>
      </c>
      <c r="X54" s="40">
        <v>113.7</v>
      </c>
      <c r="Y54" s="40">
        <v>699.38</v>
      </c>
      <c r="Z54" s="40" t="s">
        <v>88</v>
      </c>
      <c r="AA54" s="40">
        <v>0</v>
      </c>
      <c r="AB54" s="42"/>
    </row>
    <row r="55" spans="1:28" ht="93.6">
      <c r="A55" s="92">
        <v>38</v>
      </c>
      <c r="B55" s="40" t="s">
        <v>240</v>
      </c>
      <c r="C55" s="40" t="s">
        <v>241</v>
      </c>
      <c r="D55" s="40" t="s">
        <v>80</v>
      </c>
      <c r="E55" s="40">
        <v>22859846</v>
      </c>
      <c r="F55" s="44" t="s">
        <v>285</v>
      </c>
      <c r="G55" s="44" t="s">
        <v>21</v>
      </c>
      <c r="H55" s="44" t="s">
        <v>286</v>
      </c>
      <c r="I55" s="44" t="s">
        <v>71</v>
      </c>
      <c r="J55" s="44" t="s">
        <v>206</v>
      </c>
      <c r="K55" s="44" t="s">
        <v>287</v>
      </c>
      <c r="L55" s="40" t="s">
        <v>74</v>
      </c>
      <c r="M55" s="40" t="s">
        <v>85</v>
      </c>
      <c r="N55" s="38">
        <v>39825</v>
      </c>
      <c r="O55" s="47" t="s">
        <v>20</v>
      </c>
      <c r="P55" s="40" t="s">
        <v>86</v>
      </c>
      <c r="Q55" s="40">
        <v>2009</v>
      </c>
      <c r="R55" s="47" t="s">
        <v>20</v>
      </c>
      <c r="S55" s="40" t="s">
        <v>86</v>
      </c>
      <c r="T55" s="40">
        <v>2019</v>
      </c>
      <c r="U55" s="46">
        <v>42004</v>
      </c>
      <c r="V55" s="40" t="s">
        <v>288</v>
      </c>
      <c r="W55" s="40">
        <v>32</v>
      </c>
      <c r="X55" s="40">
        <v>113.7</v>
      </c>
      <c r="Y55" s="40">
        <v>551.70000000000005</v>
      </c>
      <c r="Z55" s="40" t="s">
        <v>88</v>
      </c>
      <c r="AA55" s="40">
        <v>0</v>
      </c>
      <c r="AB55" s="42"/>
    </row>
    <row r="56" spans="1:28" ht="93.6">
      <c r="A56" s="92">
        <v>39</v>
      </c>
      <c r="B56" s="40" t="s">
        <v>240</v>
      </c>
      <c r="C56" s="40" t="s">
        <v>241</v>
      </c>
      <c r="D56" s="40" t="s">
        <v>80</v>
      </c>
      <c r="E56" s="40">
        <v>22859846</v>
      </c>
      <c r="F56" s="44" t="s">
        <v>289</v>
      </c>
      <c r="G56" s="44" t="s">
        <v>21</v>
      </c>
      <c r="H56" s="44" t="s">
        <v>290</v>
      </c>
      <c r="I56" s="44" t="s">
        <v>71</v>
      </c>
      <c r="J56" s="44" t="s">
        <v>291</v>
      </c>
      <c r="K56" s="44" t="s">
        <v>292</v>
      </c>
      <c r="L56" s="40" t="s">
        <v>74</v>
      </c>
      <c r="M56" s="40" t="s">
        <v>85</v>
      </c>
      <c r="N56" s="38">
        <v>40603</v>
      </c>
      <c r="O56" s="47" t="s">
        <v>126</v>
      </c>
      <c r="P56" s="40" t="s">
        <v>76</v>
      </c>
      <c r="Q56" s="40">
        <v>2011</v>
      </c>
      <c r="R56" s="47" t="s">
        <v>36</v>
      </c>
      <c r="S56" s="40" t="s">
        <v>93</v>
      </c>
      <c r="T56" s="40">
        <v>2018</v>
      </c>
      <c r="U56" s="46">
        <v>41639</v>
      </c>
      <c r="V56" s="40" t="s">
        <v>293</v>
      </c>
      <c r="W56" s="40">
        <v>32</v>
      </c>
      <c r="X56" s="40">
        <v>113.7</v>
      </c>
      <c r="Y56" s="40">
        <v>1238.54</v>
      </c>
      <c r="Z56" s="40" t="s">
        <v>88</v>
      </c>
      <c r="AA56" s="40">
        <v>0</v>
      </c>
      <c r="AB56" s="42"/>
    </row>
    <row r="57" spans="1:28" ht="180.75" customHeight="1">
      <c r="A57" s="92">
        <v>40</v>
      </c>
      <c r="B57" s="40" t="s">
        <v>240</v>
      </c>
      <c r="C57" s="40" t="s">
        <v>241</v>
      </c>
      <c r="D57" s="40" t="s">
        <v>80</v>
      </c>
      <c r="E57" s="40">
        <v>22859846</v>
      </c>
      <c r="F57" s="44" t="s">
        <v>294</v>
      </c>
      <c r="G57" s="44" t="s">
        <v>21</v>
      </c>
      <c r="H57" s="44" t="s">
        <v>295</v>
      </c>
      <c r="I57" s="44" t="s">
        <v>71</v>
      </c>
      <c r="J57" s="44" t="s">
        <v>206</v>
      </c>
      <c r="K57" s="44" t="s">
        <v>296</v>
      </c>
      <c r="L57" s="40" t="s">
        <v>74</v>
      </c>
      <c r="M57" s="40" t="s">
        <v>85</v>
      </c>
      <c r="N57" s="38">
        <v>39825</v>
      </c>
      <c r="O57" s="47" t="s">
        <v>20</v>
      </c>
      <c r="P57" s="40" t="s">
        <v>86</v>
      </c>
      <c r="Q57" s="40">
        <v>2009</v>
      </c>
      <c r="R57" s="47" t="s">
        <v>20</v>
      </c>
      <c r="S57" s="40" t="s">
        <v>86</v>
      </c>
      <c r="T57" s="40">
        <v>2019</v>
      </c>
      <c r="U57" s="46">
        <v>42004</v>
      </c>
      <c r="V57" s="40" t="s">
        <v>297</v>
      </c>
      <c r="W57" s="40">
        <v>32</v>
      </c>
      <c r="X57" s="40">
        <v>113.7</v>
      </c>
      <c r="Y57" s="40">
        <v>554.57000000000005</v>
      </c>
      <c r="Z57" s="40" t="s">
        <v>88</v>
      </c>
      <c r="AA57" s="40">
        <v>0</v>
      </c>
      <c r="AB57" s="42"/>
    </row>
    <row r="58" spans="1:28" ht="93.6">
      <c r="A58" s="92">
        <v>41</v>
      </c>
      <c r="B58" s="40" t="s">
        <v>298</v>
      </c>
      <c r="C58" s="40" t="s">
        <v>299</v>
      </c>
      <c r="D58" s="40" t="s">
        <v>68</v>
      </c>
      <c r="E58" s="40">
        <v>21673832</v>
      </c>
      <c r="F58" s="44" t="s">
        <v>300</v>
      </c>
      <c r="G58" s="44" t="s">
        <v>301</v>
      </c>
      <c r="H58" s="44" t="s">
        <v>302</v>
      </c>
      <c r="I58" s="44" t="s">
        <v>71</v>
      </c>
      <c r="J58" s="44" t="s">
        <v>303</v>
      </c>
      <c r="K58" s="44" t="s">
        <v>304</v>
      </c>
      <c r="L58" s="39" t="s">
        <v>74</v>
      </c>
      <c r="M58" s="40" t="s">
        <v>85</v>
      </c>
      <c r="N58" s="38">
        <v>40169</v>
      </c>
      <c r="O58" s="47" t="s">
        <v>33</v>
      </c>
      <c r="P58" s="40" t="s">
        <v>117</v>
      </c>
      <c r="Q58" s="40">
        <v>2009</v>
      </c>
      <c r="R58" s="47" t="s">
        <v>33</v>
      </c>
      <c r="S58" s="40" t="s">
        <v>139</v>
      </c>
      <c r="T58" s="40">
        <v>2018</v>
      </c>
      <c r="U58" s="46">
        <v>42735</v>
      </c>
      <c r="V58" s="40">
        <v>60578</v>
      </c>
      <c r="W58" s="40">
        <v>40</v>
      </c>
      <c r="X58" s="40">
        <v>1871.32</v>
      </c>
      <c r="Y58" s="40">
        <v>2754.34</v>
      </c>
      <c r="Z58" s="46">
        <v>42975</v>
      </c>
      <c r="AA58" s="40">
        <v>0</v>
      </c>
      <c r="AB58" s="42"/>
    </row>
    <row r="59" spans="1:28" ht="93.6">
      <c r="A59" s="92">
        <v>42</v>
      </c>
      <c r="B59" s="40" t="s">
        <v>298</v>
      </c>
      <c r="C59" s="40" t="s">
        <v>299</v>
      </c>
      <c r="D59" s="40" t="s">
        <v>120</v>
      </c>
      <c r="E59" s="40">
        <v>14333937</v>
      </c>
      <c r="F59" s="44" t="s">
        <v>305</v>
      </c>
      <c r="G59" s="44" t="s">
        <v>301</v>
      </c>
      <c r="H59" s="44" t="s">
        <v>302</v>
      </c>
      <c r="I59" s="44" t="s">
        <v>71</v>
      </c>
      <c r="J59" s="44" t="s">
        <v>306</v>
      </c>
      <c r="K59" s="44" t="s">
        <v>307</v>
      </c>
      <c r="L59" s="93"/>
      <c r="M59" s="40" t="s">
        <v>85</v>
      </c>
      <c r="N59" s="38">
        <v>39814</v>
      </c>
      <c r="O59" s="47" t="s">
        <v>126</v>
      </c>
      <c r="P59" s="40" t="s">
        <v>86</v>
      </c>
      <c r="Q59" s="40">
        <v>2009</v>
      </c>
      <c r="R59" s="47" t="s">
        <v>38</v>
      </c>
      <c r="S59" s="40" t="s">
        <v>117</v>
      </c>
      <c r="T59" s="40">
        <v>2018</v>
      </c>
      <c r="U59" s="46">
        <v>41973</v>
      </c>
      <c r="V59" s="40" t="s">
        <v>308</v>
      </c>
      <c r="W59" s="40">
        <v>32</v>
      </c>
      <c r="X59" s="40">
        <v>839.85</v>
      </c>
      <c r="Y59" s="40">
        <v>1055.8599999999999</v>
      </c>
      <c r="Z59" s="40" t="s">
        <v>88</v>
      </c>
      <c r="AA59" s="40">
        <v>0</v>
      </c>
      <c r="AB59" s="42"/>
    </row>
    <row r="60" spans="1:28" ht="94.2" thickBot="1">
      <c r="A60" s="92">
        <v>43</v>
      </c>
      <c r="B60" s="40" t="s">
        <v>298</v>
      </c>
      <c r="C60" s="40" t="s">
        <v>299</v>
      </c>
      <c r="D60" s="40" t="s">
        <v>80</v>
      </c>
      <c r="E60" s="40">
        <v>22859846</v>
      </c>
      <c r="F60" s="44" t="s">
        <v>309</v>
      </c>
      <c r="G60" s="44" t="s">
        <v>301</v>
      </c>
      <c r="H60" s="44" t="s">
        <v>302</v>
      </c>
      <c r="I60" s="44" t="s">
        <v>71</v>
      </c>
      <c r="J60" s="44" t="s">
        <v>310</v>
      </c>
      <c r="K60" s="44" t="s">
        <v>311</v>
      </c>
      <c r="L60" s="40" t="s">
        <v>74</v>
      </c>
      <c r="M60" s="40" t="s">
        <v>85</v>
      </c>
      <c r="N60" s="38">
        <v>40226</v>
      </c>
      <c r="O60" s="47" t="s">
        <v>22</v>
      </c>
      <c r="P60" s="40" t="s">
        <v>93</v>
      </c>
      <c r="Q60" s="40">
        <v>2010</v>
      </c>
      <c r="R60" s="47" t="s">
        <v>22</v>
      </c>
      <c r="S60" s="40" t="s">
        <v>93</v>
      </c>
      <c r="T60" s="40">
        <v>2018</v>
      </c>
      <c r="U60" s="46">
        <v>42400</v>
      </c>
      <c r="V60" s="40">
        <v>33717</v>
      </c>
      <c r="W60" s="40">
        <v>32</v>
      </c>
      <c r="X60" s="40">
        <v>1803.77</v>
      </c>
      <c r="Y60" s="40">
        <v>1301.04</v>
      </c>
      <c r="Z60" s="40" t="s">
        <v>88</v>
      </c>
      <c r="AA60" s="40">
        <v>0</v>
      </c>
      <c r="AB60" s="42"/>
    </row>
    <row r="61" spans="1:28" ht="125.4" thickBot="1">
      <c r="A61" s="92">
        <v>44</v>
      </c>
      <c r="B61" s="40" t="s">
        <v>298</v>
      </c>
      <c r="C61" s="80" t="s">
        <v>299</v>
      </c>
      <c r="D61" s="81" t="s">
        <v>366</v>
      </c>
      <c r="E61" s="81">
        <v>4053001</v>
      </c>
      <c r="F61" s="82" t="s">
        <v>365</v>
      </c>
      <c r="G61" s="82" t="s">
        <v>29</v>
      </c>
      <c r="H61" s="82" t="s">
        <v>364</v>
      </c>
      <c r="I61" s="82" t="s">
        <v>363</v>
      </c>
      <c r="J61" s="82">
        <v>0</v>
      </c>
      <c r="K61" s="82" t="s">
        <v>362</v>
      </c>
      <c r="L61" s="81" t="s">
        <v>361</v>
      </c>
      <c r="M61" s="81">
        <v>50</v>
      </c>
      <c r="N61" s="83">
        <v>43083</v>
      </c>
      <c r="O61" s="84" t="s">
        <v>31</v>
      </c>
      <c r="P61" s="81" t="s">
        <v>117</v>
      </c>
      <c r="Q61" s="81">
        <v>2017</v>
      </c>
      <c r="R61" s="84" t="s">
        <v>38</v>
      </c>
      <c r="S61" s="81" t="s">
        <v>117</v>
      </c>
      <c r="T61" s="81">
        <v>2017</v>
      </c>
      <c r="U61" s="83">
        <v>43008</v>
      </c>
      <c r="V61" s="85">
        <v>64800</v>
      </c>
      <c r="W61" s="81">
        <v>10</v>
      </c>
      <c r="X61" s="81"/>
      <c r="Y61" s="81">
        <v>384.16</v>
      </c>
      <c r="Z61" s="40" t="s">
        <v>88</v>
      </c>
      <c r="AA61" s="81">
        <v>0</v>
      </c>
      <c r="AB61" s="86"/>
    </row>
    <row r="62" spans="1:28" ht="93.6">
      <c r="A62" s="92">
        <v>45</v>
      </c>
      <c r="B62" s="40" t="s">
        <v>312</v>
      </c>
      <c r="C62" s="87" t="s">
        <v>313</v>
      </c>
      <c r="D62" s="40" t="s">
        <v>120</v>
      </c>
      <c r="E62" s="40">
        <v>14333937</v>
      </c>
      <c r="F62" s="44" t="s">
        <v>314</v>
      </c>
      <c r="G62" s="44" t="s">
        <v>315</v>
      </c>
      <c r="H62" s="44" t="s">
        <v>316</v>
      </c>
      <c r="I62" s="44" t="s">
        <v>71</v>
      </c>
      <c r="J62" s="44" t="s">
        <v>317</v>
      </c>
      <c r="K62" s="44" t="s">
        <v>318</v>
      </c>
      <c r="L62" s="40" t="s">
        <v>74</v>
      </c>
      <c r="M62" s="40" t="s">
        <v>319</v>
      </c>
      <c r="N62" s="38">
        <v>41699</v>
      </c>
      <c r="O62" s="47" t="s">
        <v>126</v>
      </c>
      <c r="P62" s="40" t="s">
        <v>76</v>
      </c>
      <c r="Q62" s="40">
        <v>2014</v>
      </c>
      <c r="R62" s="47" t="s">
        <v>126</v>
      </c>
      <c r="S62" s="40" t="s">
        <v>86</v>
      </c>
      <c r="T62" s="40">
        <v>2020</v>
      </c>
      <c r="U62" s="88">
        <v>41517</v>
      </c>
      <c r="V62" s="45" t="s">
        <v>320</v>
      </c>
      <c r="W62" s="40">
        <v>32</v>
      </c>
      <c r="X62" s="40">
        <v>477.24</v>
      </c>
      <c r="Y62" s="40">
        <v>3968.83</v>
      </c>
      <c r="Z62" s="40" t="s">
        <v>88</v>
      </c>
      <c r="AA62" s="40">
        <v>0</v>
      </c>
      <c r="AB62" s="42"/>
    </row>
    <row r="63" spans="1:28" ht="187.2">
      <c r="A63" s="92">
        <v>46</v>
      </c>
      <c r="B63" s="40" t="s">
        <v>312</v>
      </c>
      <c r="C63" s="40" t="s">
        <v>313</v>
      </c>
      <c r="D63" s="15" t="s">
        <v>321</v>
      </c>
      <c r="E63" s="40">
        <v>39895103</v>
      </c>
      <c r="F63" s="44" t="s">
        <v>322</v>
      </c>
      <c r="G63" s="44" t="s">
        <v>16</v>
      </c>
      <c r="H63" s="44" t="s">
        <v>323</v>
      </c>
      <c r="I63" s="44" t="s">
        <v>324</v>
      </c>
      <c r="J63" s="44">
        <v>198.7</v>
      </c>
      <c r="K63" s="44" t="s">
        <v>325</v>
      </c>
      <c r="L63" s="40" t="s">
        <v>74</v>
      </c>
      <c r="M63" s="40">
        <v>24</v>
      </c>
      <c r="N63" s="38">
        <v>39007</v>
      </c>
      <c r="O63" s="47" t="s">
        <v>22</v>
      </c>
      <c r="P63" s="40" t="s">
        <v>139</v>
      </c>
      <c r="Q63" s="40">
        <v>2006</v>
      </c>
      <c r="R63" s="47" t="s">
        <v>31</v>
      </c>
      <c r="S63" s="40" t="s">
        <v>163</v>
      </c>
      <c r="T63" s="40">
        <v>2017</v>
      </c>
      <c r="U63" s="45" t="s">
        <v>326</v>
      </c>
      <c r="V63" s="45" t="s">
        <v>326</v>
      </c>
      <c r="W63" s="40">
        <v>18</v>
      </c>
      <c r="X63" s="40">
        <v>0.17</v>
      </c>
      <c r="Y63" s="40"/>
      <c r="Z63" s="40" t="s">
        <v>88</v>
      </c>
      <c r="AA63" s="40">
        <v>0</v>
      </c>
      <c r="AB63" s="15" t="s">
        <v>327</v>
      </c>
    </row>
    <row r="64" spans="1:28" ht="187.8" thickBot="1">
      <c r="A64" s="92">
        <v>47</v>
      </c>
      <c r="B64" s="40" t="s">
        <v>27</v>
      </c>
      <c r="C64" s="87" t="s">
        <v>328</v>
      </c>
      <c r="D64" s="40" t="s">
        <v>329</v>
      </c>
      <c r="E64" s="40">
        <v>25928252</v>
      </c>
      <c r="F64" s="44" t="s">
        <v>330</v>
      </c>
      <c r="G64" s="44" t="s">
        <v>331</v>
      </c>
      <c r="H64" s="44" t="s">
        <v>332</v>
      </c>
      <c r="I64" s="44" t="s">
        <v>333</v>
      </c>
      <c r="J64" s="44">
        <v>925.1</v>
      </c>
      <c r="K64" s="44" t="s">
        <v>334</v>
      </c>
      <c r="L64" s="40" t="s">
        <v>74</v>
      </c>
      <c r="M64" s="40">
        <v>198</v>
      </c>
      <c r="N64" s="38">
        <v>37375</v>
      </c>
      <c r="O64" s="47" t="s">
        <v>36</v>
      </c>
      <c r="P64" s="40" t="s">
        <v>335</v>
      </c>
      <c r="Q64" s="40">
        <v>2002</v>
      </c>
      <c r="R64" s="47" t="s">
        <v>23</v>
      </c>
      <c r="S64" s="40" t="s">
        <v>93</v>
      </c>
      <c r="T64" s="40">
        <v>2018</v>
      </c>
      <c r="U64" s="55">
        <v>42887</v>
      </c>
      <c r="V64" s="89">
        <v>1927940</v>
      </c>
      <c r="W64" s="40">
        <v>15</v>
      </c>
      <c r="X64" s="40">
        <v>113.7</v>
      </c>
      <c r="Y64" s="40">
        <v>30938.92</v>
      </c>
      <c r="Z64" s="46">
        <v>42999</v>
      </c>
      <c r="AA64" s="40">
        <v>0</v>
      </c>
      <c r="AB64" s="42"/>
    </row>
    <row r="65" spans="1:1025" s="73" customFormat="1" ht="15" customHeight="1" thickBot="1">
      <c r="A65" s="115"/>
      <c r="B65" s="611" t="s">
        <v>4</v>
      </c>
      <c r="C65" s="611"/>
      <c r="D65" s="116"/>
      <c r="E65" s="116"/>
      <c r="F65" s="119"/>
      <c r="G65" s="119"/>
      <c r="H65" s="119"/>
      <c r="I65" s="119"/>
      <c r="J65" s="119">
        <v>2238.14</v>
      </c>
      <c r="K65" s="119"/>
      <c r="L65" s="116"/>
      <c r="M65" s="116"/>
      <c r="N65" s="116"/>
      <c r="O65" s="116"/>
      <c r="P65" s="116"/>
      <c r="Q65" s="116"/>
      <c r="R65" s="116"/>
      <c r="S65" s="116"/>
      <c r="T65" s="116"/>
      <c r="U65" s="120"/>
      <c r="V65" s="121">
        <v>3234660</v>
      </c>
      <c r="W65" s="116"/>
      <c r="X65" s="117">
        <f>SUM(X14:X64)</f>
        <v>11141.92</v>
      </c>
      <c r="Y65" s="116">
        <f>SUM(Y14:Y64)</f>
        <v>88573.03</v>
      </c>
      <c r="Z65" s="116"/>
      <c r="AA65" s="116">
        <f>SUM(AA14:AA64)</f>
        <v>2991.7200000000003</v>
      </c>
      <c r="AB65" s="118"/>
    </row>
    <row r="66" spans="1:1025" s="123" customFormat="1">
      <c r="A66" s="122"/>
      <c r="B66" s="610" t="s">
        <v>360</v>
      </c>
      <c r="C66" s="610"/>
      <c r="D66" s="610"/>
      <c r="E66" s="610"/>
      <c r="F66" s="610"/>
      <c r="G66" s="610"/>
      <c r="H66" s="610"/>
      <c r="I66" s="610"/>
      <c r="J66" s="610"/>
      <c r="K66" s="610"/>
      <c r="L66" s="610"/>
      <c r="M66" s="610"/>
      <c r="N66" s="610"/>
      <c r="O66" s="610"/>
      <c r="P66" s="122"/>
      <c r="Q66" s="122"/>
      <c r="R66" s="122"/>
      <c r="S66" s="122"/>
      <c r="T66" s="122"/>
      <c r="U66" s="122"/>
      <c r="V66" s="122"/>
      <c r="W66" s="122"/>
      <c r="X66" s="122"/>
      <c r="Y66" s="122"/>
      <c r="Z66" s="122"/>
      <c r="AA66" s="122"/>
      <c r="AB66" s="122"/>
    </row>
    <row r="67" spans="1:1025" hidden="1">
      <c r="A67" s="13"/>
      <c r="B67" s="610"/>
      <c r="C67" s="610"/>
      <c r="D67" s="610"/>
      <c r="E67" s="610"/>
      <c r="F67" s="610"/>
      <c r="G67" s="610"/>
      <c r="H67" s="610"/>
      <c r="I67" s="610"/>
      <c r="J67" s="610"/>
      <c r="K67" s="610"/>
      <c r="L67" s="610"/>
      <c r="M67" s="610"/>
      <c r="N67" s="610"/>
      <c r="O67" s="610"/>
      <c r="P67" s="13"/>
      <c r="Q67" s="13"/>
      <c r="R67" s="13"/>
      <c r="S67" s="13"/>
      <c r="T67" s="13"/>
      <c r="U67" s="13"/>
      <c r="V67" s="13"/>
      <c r="W67" s="13"/>
      <c r="X67" s="13"/>
      <c r="Y67" s="13"/>
      <c r="Z67" s="13"/>
      <c r="AA67" s="13"/>
      <c r="AB67" s="13"/>
    </row>
    <row r="68" spans="1:1025" customFormat="1" ht="62.4">
      <c r="A68" s="94">
        <v>1</v>
      </c>
      <c r="B68" s="95" t="s">
        <v>380</v>
      </c>
      <c r="C68" s="95" t="s">
        <v>381</v>
      </c>
      <c r="D68" s="95" t="s">
        <v>382</v>
      </c>
      <c r="E68" s="95">
        <v>2402305747</v>
      </c>
      <c r="F68" s="96" t="s">
        <v>383</v>
      </c>
      <c r="G68" s="96" t="s">
        <v>384</v>
      </c>
      <c r="H68" s="96" t="s">
        <v>385</v>
      </c>
      <c r="I68" s="96" t="s">
        <v>386</v>
      </c>
      <c r="J68" s="96">
        <v>107.4</v>
      </c>
      <c r="K68" s="96" t="s">
        <v>387</v>
      </c>
      <c r="L68" s="95" t="s">
        <v>388</v>
      </c>
      <c r="M68" s="95">
        <v>20</v>
      </c>
      <c r="N68" s="97">
        <v>41442</v>
      </c>
      <c r="O68" s="95">
        <v>17</v>
      </c>
      <c r="P68" s="95" t="s">
        <v>389</v>
      </c>
      <c r="Q68" s="95">
        <v>2013</v>
      </c>
      <c r="R68" s="95">
        <v>31</v>
      </c>
      <c r="S68" s="95" t="s">
        <v>390</v>
      </c>
      <c r="T68" s="95">
        <v>2019</v>
      </c>
      <c r="U68" s="97">
        <v>42766</v>
      </c>
      <c r="V68" s="95">
        <v>113.14</v>
      </c>
      <c r="W68" s="95" t="s">
        <v>391</v>
      </c>
      <c r="X68" s="95">
        <v>301.19</v>
      </c>
      <c r="Y68" s="98">
        <v>956.27</v>
      </c>
      <c r="Z68" s="97">
        <v>42944</v>
      </c>
      <c r="AA68" s="95" t="s">
        <v>3</v>
      </c>
      <c r="AB68" s="99"/>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c r="GG68" s="71"/>
      <c r="GH68" s="71"/>
      <c r="GI68" s="71"/>
      <c r="GJ68" s="71"/>
      <c r="GK68" s="71"/>
      <c r="GL68" s="71"/>
      <c r="GM68" s="71"/>
      <c r="GN68" s="71"/>
      <c r="GO68" s="71"/>
      <c r="GP68" s="71"/>
      <c r="GQ68" s="71"/>
      <c r="GR68" s="71"/>
      <c r="GS68" s="71"/>
      <c r="GT68" s="71"/>
      <c r="GU68" s="71"/>
      <c r="GV68" s="71"/>
      <c r="GW68" s="71"/>
      <c r="GX68" s="71"/>
      <c r="GY68" s="71"/>
      <c r="GZ68" s="71"/>
      <c r="HA68" s="71"/>
      <c r="HB68" s="71"/>
      <c r="HC68" s="71"/>
      <c r="HD68" s="71"/>
      <c r="HE68" s="71"/>
      <c r="HF68" s="71"/>
      <c r="HG68" s="71"/>
      <c r="HH68" s="71"/>
      <c r="HI68" s="71"/>
      <c r="HJ68" s="71"/>
      <c r="HK68" s="71"/>
      <c r="HL68" s="71"/>
      <c r="HM68" s="71"/>
      <c r="HN68" s="71"/>
      <c r="HO68" s="71"/>
      <c r="HP68" s="71"/>
      <c r="HQ68" s="71"/>
      <c r="HR68" s="71"/>
      <c r="HS68" s="71"/>
      <c r="HT68" s="71"/>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c r="JA68" s="71"/>
      <c r="JB68" s="71"/>
      <c r="JC68" s="71"/>
      <c r="JD68" s="71"/>
      <c r="JE68" s="71"/>
      <c r="JF68" s="71"/>
      <c r="JG68" s="71"/>
      <c r="JH68" s="71"/>
      <c r="JI68" s="71"/>
      <c r="JJ68" s="71"/>
      <c r="JK68" s="71"/>
      <c r="JL68" s="71"/>
      <c r="JM68" s="71"/>
      <c r="JN68" s="71"/>
      <c r="JO68" s="71"/>
      <c r="JP68" s="71"/>
      <c r="JQ68" s="71"/>
      <c r="JR68" s="71"/>
      <c r="JS68" s="71"/>
      <c r="JT68" s="71"/>
      <c r="JU68" s="71"/>
      <c r="JV68" s="71"/>
      <c r="JW68" s="71"/>
      <c r="JX68" s="71"/>
      <c r="JY68" s="71"/>
      <c r="JZ68" s="71"/>
      <c r="KA68" s="71"/>
      <c r="KB68" s="71"/>
      <c r="KC68" s="71"/>
      <c r="KD68" s="71"/>
      <c r="KE68" s="71"/>
      <c r="KF68" s="71"/>
      <c r="KG68" s="71"/>
      <c r="KH68" s="71"/>
      <c r="KI68" s="71"/>
      <c r="KJ68" s="71"/>
      <c r="KK68" s="71"/>
      <c r="KL68" s="71"/>
      <c r="KM68" s="71"/>
      <c r="KN68" s="71"/>
      <c r="KO68" s="71"/>
      <c r="KP68" s="71"/>
      <c r="KQ68" s="71"/>
      <c r="KR68" s="71"/>
      <c r="KS68" s="71"/>
      <c r="KT68" s="71"/>
      <c r="KU68" s="71"/>
      <c r="KV68" s="71"/>
      <c r="KW68" s="71"/>
      <c r="KX68" s="71"/>
      <c r="KY68" s="71"/>
      <c r="KZ68" s="71"/>
      <c r="LA68" s="71"/>
      <c r="LB68" s="71"/>
      <c r="LC68" s="71"/>
      <c r="LD68" s="71"/>
      <c r="LE68" s="71"/>
      <c r="LF68" s="71"/>
      <c r="LG68" s="71"/>
      <c r="LH68" s="71"/>
      <c r="LI68" s="71"/>
      <c r="LJ68" s="71"/>
      <c r="LK68" s="71"/>
      <c r="LL68" s="71"/>
      <c r="LM68" s="71"/>
      <c r="LN68" s="71"/>
      <c r="LO68" s="71"/>
      <c r="LP68" s="71"/>
      <c r="LQ68" s="71"/>
      <c r="LR68" s="71"/>
      <c r="LS68" s="71"/>
      <c r="LT68" s="71"/>
      <c r="LU68" s="71"/>
      <c r="LV68" s="71"/>
      <c r="LW68" s="71"/>
      <c r="LX68" s="71"/>
      <c r="LY68" s="71"/>
      <c r="LZ68" s="71"/>
      <c r="MA68" s="71"/>
      <c r="MB68" s="71"/>
      <c r="MC68" s="71"/>
      <c r="MD68" s="71"/>
      <c r="ME68" s="71"/>
      <c r="MF68" s="71"/>
      <c r="MG68" s="71"/>
      <c r="MH68" s="71"/>
      <c r="MI68" s="71"/>
      <c r="MJ68" s="71"/>
      <c r="MK68" s="71"/>
      <c r="ML68" s="71"/>
      <c r="MM68" s="71"/>
      <c r="MN68" s="71"/>
      <c r="MO68" s="71"/>
      <c r="MP68" s="71"/>
      <c r="MQ68" s="71"/>
      <c r="MR68" s="71"/>
      <c r="MS68" s="71"/>
      <c r="MT68" s="71"/>
      <c r="MU68" s="71"/>
      <c r="MV68" s="71"/>
      <c r="MW68" s="71"/>
      <c r="MX68" s="71"/>
      <c r="MY68" s="71"/>
      <c r="MZ68" s="71"/>
      <c r="NA68" s="71"/>
      <c r="NB68" s="71"/>
      <c r="NC68" s="71"/>
      <c r="ND68" s="71"/>
      <c r="NE68" s="71"/>
      <c r="NF68" s="71"/>
      <c r="NG68" s="71"/>
      <c r="NH68" s="71"/>
      <c r="NI68" s="71"/>
      <c r="NJ68" s="71"/>
      <c r="NK68" s="71"/>
      <c r="NL68" s="71"/>
      <c r="NM68" s="71"/>
      <c r="NN68" s="71"/>
      <c r="NO68" s="71"/>
      <c r="NP68" s="71"/>
      <c r="NQ68" s="71"/>
      <c r="NR68" s="71"/>
      <c r="NS68" s="71"/>
      <c r="NT68" s="71"/>
      <c r="NU68" s="71"/>
      <c r="NV68" s="71"/>
      <c r="NW68" s="71"/>
      <c r="NX68" s="71"/>
      <c r="NY68" s="71"/>
      <c r="NZ68" s="71"/>
      <c r="OA68" s="71"/>
      <c r="OB68" s="71"/>
      <c r="OC68" s="71"/>
      <c r="OD68" s="71"/>
      <c r="OE68" s="71"/>
      <c r="OF68" s="71"/>
      <c r="OG68" s="71"/>
      <c r="OH68" s="71"/>
      <c r="OI68" s="71"/>
      <c r="OJ68" s="71"/>
      <c r="OK68" s="71"/>
      <c r="OL68" s="71"/>
      <c r="OM68" s="71"/>
      <c r="ON68" s="71"/>
      <c r="OO68" s="71"/>
      <c r="OP68" s="71"/>
      <c r="OQ68" s="71"/>
      <c r="OR68" s="71"/>
      <c r="OS68" s="71"/>
      <c r="OT68" s="71"/>
      <c r="OU68" s="71"/>
      <c r="OV68" s="71"/>
      <c r="OW68" s="71"/>
      <c r="OX68" s="71"/>
      <c r="OY68" s="71"/>
      <c r="OZ68" s="71"/>
      <c r="PA68" s="71"/>
      <c r="PB68" s="71"/>
      <c r="PC68" s="71"/>
      <c r="PD68" s="71"/>
      <c r="PE68" s="71"/>
      <c r="PF68" s="71"/>
      <c r="PG68" s="71"/>
      <c r="PH68" s="71"/>
      <c r="PI68" s="71"/>
      <c r="PJ68" s="71"/>
      <c r="PK68" s="71"/>
      <c r="PL68" s="71"/>
      <c r="PM68" s="71"/>
      <c r="PN68" s="71"/>
      <c r="PO68" s="71"/>
      <c r="PP68" s="71"/>
      <c r="PQ68" s="71"/>
      <c r="PR68" s="71"/>
      <c r="PS68" s="71"/>
      <c r="PT68" s="71"/>
      <c r="PU68" s="71"/>
      <c r="PV68" s="71"/>
      <c r="PW68" s="71"/>
      <c r="PX68" s="71"/>
      <c r="PY68" s="71"/>
      <c r="PZ68" s="71"/>
      <c r="QA68" s="71"/>
      <c r="QB68" s="71"/>
      <c r="QC68" s="71"/>
      <c r="QD68" s="71"/>
      <c r="QE68" s="71"/>
      <c r="QF68" s="71"/>
      <c r="QG68" s="71"/>
      <c r="QH68" s="71"/>
      <c r="QI68" s="71"/>
      <c r="QJ68" s="71"/>
      <c r="QK68" s="71"/>
      <c r="QL68" s="71"/>
      <c r="QM68" s="71"/>
      <c r="QN68" s="71"/>
      <c r="QO68" s="71"/>
      <c r="QP68" s="71"/>
      <c r="QQ68" s="71"/>
      <c r="QR68" s="71"/>
      <c r="QS68" s="71"/>
      <c r="QT68" s="71"/>
      <c r="QU68" s="71"/>
      <c r="QV68" s="71"/>
      <c r="QW68" s="71"/>
      <c r="QX68" s="71"/>
      <c r="QY68" s="71"/>
      <c r="QZ68" s="71"/>
      <c r="RA68" s="71"/>
      <c r="RB68" s="71"/>
      <c r="RC68" s="71"/>
      <c r="RD68" s="71"/>
      <c r="RE68" s="71"/>
      <c r="RF68" s="71"/>
      <c r="RG68" s="71"/>
      <c r="RH68" s="71"/>
      <c r="RI68" s="71"/>
      <c r="RJ68" s="71"/>
      <c r="RK68" s="71"/>
      <c r="RL68" s="71"/>
      <c r="RM68" s="71"/>
      <c r="RN68" s="71"/>
      <c r="RO68" s="71"/>
      <c r="RP68" s="71"/>
      <c r="RQ68" s="71"/>
      <c r="RR68" s="71"/>
      <c r="RS68" s="71"/>
      <c r="RT68" s="71"/>
      <c r="RU68" s="71"/>
      <c r="RV68" s="71"/>
      <c r="RW68" s="71"/>
      <c r="RX68" s="71"/>
      <c r="RY68" s="71"/>
      <c r="RZ68" s="71"/>
      <c r="SA68" s="71"/>
      <c r="SB68" s="71"/>
      <c r="SC68" s="71"/>
      <c r="SD68" s="71"/>
      <c r="SE68" s="71"/>
      <c r="SF68" s="71"/>
      <c r="SG68" s="71"/>
      <c r="SH68" s="71"/>
      <c r="SI68" s="71"/>
      <c r="SJ68" s="71"/>
      <c r="SK68" s="71"/>
      <c r="SL68" s="71"/>
      <c r="SM68" s="71"/>
      <c r="SN68" s="71"/>
      <c r="SO68" s="71"/>
      <c r="SP68" s="71"/>
      <c r="SQ68" s="71"/>
      <c r="SR68" s="71"/>
      <c r="SS68" s="71"/>
      <c r="ST68" s="71"/>
      <c r="SU68" s="71"/>
      <c r="SV68" s="71"/>
      <c r="SW68" s="71"/>
      <c r="SX68" s="71"/>
      <c r="SY68" s="71"/>
      <c r="SZ68" s="71"/>
      <c r="TA68" s="71"/>
      <c r="TB68" s="71"/>
      <c r="TC68" s="71"/>
      <c r="TD68" s="71"/>
      <c r="TE68" s="71"/>
      <c r="TF68" s="71"/>
      <c r="TG68" s="71"/>
      <c r="TH68" s="71"/>
      <c r="TI68" s="71"/>
      <c r="TJ68" s="71"/>
      <c r="TK68" s="71"/>
      <c r="TL68" s="71"/>
      <c r="TM68" s="71"/>
      <c r="TN68" s="71"/>
      <c r="TO68" s="71"/>
      <c r="TP68" s="71"/>
      <c r="TQ68" s="71"/>
      <c r="TR68" s="71"/>
      <c r="TS68" s="71"/>
      <c r="TT68" s="71"/>
      <c r="TU68" s="71"/>
      <c r="TV68" s="71"/>
      <c r="TW68" s="71"/>
      <c r="TX68" s="71"/>
      <c r="TY68" s="71"/>
      <c r="TZ68" s="71"/>
      <c r="UA68" s="71"/>
      <c r="UB68" s="71"/>
      <c r="UC68" s="71"/>
      <c r="UD68" s="71"/>
      <c r="UE68" s="71"/>
      <c r="UF68" s="71"/>
      <c r="UG68" s="71"/>
      <c r="UH68" s="71"/>
      <c r="UI68" s="71"/>
      <c r="UJ68" s="71"/>
      <c r="UK68" s="71"/>
      <c r="UL68" s="71"/>
      <c r="UM68" s="71"/>
      <c r="UN68" s="71"/>
      <c r="UO68" s="71"/>
      <c r="UP68" s="71"/>
      <c r="UQ68" s="71"/>
      <c r="UR68" s="71"/>
      <c r="US68" s="71"/>
      <c r="UT68" s="71"/>
      <c r="UU68" s="71"/>
      <c r="UV68" s="71"/>
      <c r="UW68" s="71"/>
      <c r="UX68" s="71"/>
      <c r="UY68" s="71"/>
      <c r="UZ68" s="71"/>
      <c r="VA68" s="71"/>
      <c r="VB68" s="71"/>
      <c r="VC68" s="71"/>
      <c r="VD68" s="71"/>
      <c r="VE68" s="71"/>
      <c r="VF68" s="71"/>
      <c r="VG68" s="71"/>
      <c r="VH68" s="71"/>
      <c r="VI68" s="71"/>
      <c r="VJ68" s="71"/>
      <c r="VK68" s="71"/>
      <c r="VL68" s="71"/>
      <c r="VM68" s="71"/>
      <c r="VN68" s="71"/>
      <c r="VO68" s="71"/>
      <c r="VP68" s="71"/>
      <c r="VQ68" s="71"/>
      <c r="VR68" s="71"/>
      <c r="VS68" s="71"/>
      <c r="VT68" s="71"/>
      <c r="VU68" s="71"/>
      <c r="VV68" s="71"/>
      <c r="VW68" s="71"/>
      <c r="VX68" s="71"/>
      <c r="VY68" s="71"/>
      <c r="VZ68" s="71"/>
      <c r="WA68" s="71"/>
      <c r="WB68" s="71"/>
      <c r="WC68" s="71"/>
      <c r="WD68" s="71"/>
      <c r="WE68" s="71"/>
      <c r="WF68" s="71"/>
      <c r="WG68" s="71"/>
      <c r="WH68" s="71"/>
      <c r="WI68" s="71"/>
      <c r="WJ68" s="71"/>
      <c r="WK68" s="71"/>
      <c r="WL68" s="71"/>
      <c r="WM68" s="71"/>
      <c r="WN68" s="71"/>
      <c r="WO68" s="71"/>
      <c r="WP68" s="71"/>
      <c r="WQ68" s="71"/>
      <c r="WR68" s="71"/>
      <c r="WS68" s="71"/>
      <c r="WT68" s="71"/>
      <c r="WU68" s="71"/>
      <c r="WV68" s="71"/>
      <c r="WW68" s="71"/>
      <c r="WX68" s="71"/>
      <c r="WY68" s="71"/>
      <c r="WZ68" s="71"/>
      <c r="XA68" s="71"/>
      <c r="XB68" s="71"/>
      <c r="XC68" s="71"/>
      <c r="XD68" s="71"/>
      <c r="XE68" s="71"/>
      <c r="XF68" s="71"/>
      <c r="XG68" s="71"/>
      <c r="XH68" s="71"/>
      <c r="XI68" s="71"/>
      <c r="XJ68" s="71"/>
      <c r="XK68" s="71"/>
      <c r="XL68" s="71"/>
      <c r="XM68" s="71"/>
      <c r="XN68" s="71"/>
      <c r="XO68" s="71"/>
      <c r="XP68" s="71"/>
      <c r="XQ68" s="71"/>
      <c r="XR68" s="71"/>
      <c r="XS68" s="71"/>
      <c r="XT68" s="71"/>
      <c r="XU68" s="71"/>
      <c r="XV68" s="71"/>
      <c r="XW68" s="71"/>
      <c r="XX68" s="71"/>
      <c r="XY68" s="71"/>
      <c r="XZ68" s="71"/>
      <c r="YA68" s="71"/>
      <c r="YB68" s="71"/>
      <c r="YC68" s="71"/>
      <c r="YD68" s="71"/>
      <c r="YE68" s="71"/>
      <c r="YF68" s="71"/>
      <c r="YG68" s="71"/>
      <c r="YH68" s="71"/>
      <c r="YI68" s="71"/>
      <c r="YJ68" s="71"/>
      <c r="YK68" s="71"/>
      <c r="YL68" s="71"/>
      <c r="YM68" s="71"/>
      <c r="YN68" s="71"/>
      <c r="YO68" s="71"/>
      <c r="YP68" s="71"/>
      <c r="YQ68" s="71"/>
      <c r="YR68" s="71"/>
      <c r="YS68" s="71"/>
      <c r="YT68" s="71"/>
      <c r="YU68" s="71"/>
      <c r="YV68" s="71"/>
      <c r="YW68" s="71"/>
      <c r="YX68" s="71"/>
      <c r="YY68" s="71"/>
      <c r="YZ68" s="71"/>
      <c r="ZA68" s="71"/>
      <c r="ZB68" s="71"/>
      <c r="ZC68" s="71"/>
      <c r="ZD68" s="71"/>
      <c r="ZE68" s="71"/>
      <c r="ZF68" s="71"/>
      <c r="ZG68" s="71"/>
      <c r="ZH68" s="71"/>
      <c r="ZI68" s="71"/>
      <c r="ZJ68" s="71"/>
      <c r="ZK68" s="71"/>
      <c r="ZL68" s="71"/>
      <c r="ZM68" s="71"/>
      <c r="ZN68" s="71"/>
      <c r="ZO68" s="71"/>
      <c r="ZP68" s="71"/>
      <c r="ZQ68" s="71"/>
      <c r="ZR68" s="71"/>
      <c r="ZS68" s="71"/>
      <c r="ZT68" s="71"/>
      <c r="ZU68" s="71"/>
      <c r="ZV68" s="71"/>
      <c r="ZW68" s="71"/>
      <c r="ZX68" s="71"/>
      <c r="ZY68" s="71"/>
      <c r="ZZ68" s="71"/>
      <c r="AAA68" s="71"/>
      <c r="AAB68" s="71"/>
      <c r="AAC68" s="71"/>
      <c r="AAD68" s="71"/>
      <c r="AAE68" s="71"/>
      <c r="AAF68" s="71"/>
      <c r="AAG68" s="71"/>
      <c r="AAH68" s="71"/>
      <c r="AAI68" s="71"/>
      <c r="AAJ68" s="71"/>
      <c r="AAK68" s="71"/>
      <c r="AAL68" s="71"/>
      <c r="AAM68" s="71"/>
      <c r="AAN68" s="71"/>
      <c r="AAO68" s="71"/>
      <c r="AAP68" s="71"/>
      <c r="AAQ68" s="71"/>
      <c r="AAR68" s="71"/>
      <c r="AAS68" s="71"/>
      <c r="AAT68" s="71"/>
      <c r="AAU68" s="71"/>
      <c r="AAV68" s="71"/>
      <c r="AAW68" s="71"/>
      <c r="AAX68" s="71"/>
      <c r="AAY68" s="71"/>
      <c r="AAZ68" s="71"/>
      <c r="ABA68" s="71"/>
      <c r="ABB68" s="71"/>
      <c r="ABC68" s="71"/>
      <c r="ABD68" s="71"/>
      <c r="ABE68" s="71"/>
      <c r="ABF68" s="71"/>
      <c r="ABG68" s="71"/>
      <c r="ABH68" s="71"/>
      <c r="ABI68" s="71"/>
      <c r="ABJ68" s="71"/>
      <c r="ABK68" s="71"/>
      <c r="ABL68" s="71"/>
      <c r="ABM68" s="71"/>
      <c r="ABN68" s="71"/>
      <c r="ABO68" s="71"/>
      <c r="ABP68" s="71"/>
      <c r="ABQ68" s="71"/>
      <c r="ABR68" s="71"/>
      <c r="ABS68" s="71"/>
      <c r="ABT68" s="71"/>
      <c r="ABU68" s="71"/>
      <c r="ABV68" s="71"/>
      <c r="ABW68" s="71"/>
      <c r="ABX68" s="71"/>
      <c r="ABY68" s="71"/>
      <c r="ABZ68" s="71"/>
      <c r="ACA68" s="71"/>
      <c r="ACB68" s="71"/>
      <c r="ACC68" s="71"/>
      <c r="ACD68" s="71"/>
      <c r="ACE68" s="71"/>
      <c r="ACF68" s="71"/>
      <c r="ACG68" s="71"/>
      <c r="ACH68" s="71"/>
      <c r="ACI68" s="71"/>
      <c r="ACJ68" s="71"/>
      <c r="ACK68" s="71"/>
      <c r="ACL68" s="71"/>
      <c r="ACM68" s="71"/>
      <c r="ACN68" s="71"/>
      <c r="ACO68" s="71"/>
      <c r="ACP68" s="71"/>
      <c r="ACQ68" s="71"/>
      <c r="ACR68" s="71"/>
      <c r="ACS68" s="71"/>
      <c r="ACT68" s="71"/>
      <c r="ACU68" s="71"/>
      <c r="ACV68" s="71"/>
      <c r="ACW68" s="71"/>
      <c r="ACX68" s="71"/>
      <c r="ACY68" s="71"/>
      <c r="ACZ68" s="71"/>
      <c r="ADA68" s="71"/>
      <c r="ADB68" s="71"/>
      <c r="ADC68" s="71"/>
      <c r="ADD68" s="71"/>
      <c r="ADE68" s="71"/>
      <c r="ADF68" s="71"/>
      <c r="ADG68" s="71"/>
      <c r="ADH68" s="71"/>
      <c r="ADI68" s="71"/>
      <c r="ADJ68" s="71"/>
      <c r="ADK68" s="71"/>
      <c r="ADL68" s="71"/>
      <c r="ADM68" s="71"/>
      <c r="ADN68" s="71"/>
      <c r="ADO68" s="71"/>
      <c r="ADP68" s="71"/>
      <c r="ADQ68" s="71"/>
      <c r="ADR68" s="71"/>
      <c r="ADS68" s="71"/>
      <c r="ADT68" s="71"/>
      <c r="ADU68" s="71"/>
      <c r="ADV68" s="71"/>
      <c r="ADW68" s="71"/>
      <c r="ADX68" s="71"/>
      <c r="ADY68" s="71"/>
      <c r="ADZ68" s="71"/>
      <c r="AEA68" s="71"/>
      <c r="AEB68" s="71"/>
      <c r="AEC68" s="71"/>
      <c r="AED68" s="71"/>
      <c r="AEE68" s="71"/>
      <c r="AEF68" s="71"/>
      <c r="AEG68" s="71"/>
      <c r="AEH68" s="71"/>
      <c r="AEI68" s="71"/>
      <c r="AEJ68" s="71"/>
      <c r="AEK68" s="71"/>
      <c r="AEL68" s="71"/>
      <c r="AEM68" s="71"/>
      <c r="AEN68" s="71"/>
      <c r="AEO68" s="71"/>
      <c r="AEP68" s="71"/>
      <c r="AEQ68" s="71"/>
      <c r="AER68" s="71"/>
      <c r="AES68" s="71"/>
      <c r="AET68" s="71"/>
      <c r="AEU68" s="71"/>
      <c r="AEV68" s="71"/>
      <c r="AEW68" s="71"/>
      <c r="AEX68" s="71"/>
      <c r="AEY68" s="71"/>
      <c r="AEZ68" s="71"/>
      <c r="AFA68" s="71"/>
      <c r="AFB68" s="71"/>
      <c r="AFC68" s="71"/>
      <c r="AFD68" s="71"/>
      <c r="AFE68" s="71"/>
      <c r="AFF68" s="71"/>
      <c r="AFG68" s="71"/>
      <c r="AFH68" s="71"/>
      <c r="AFI68" s="71"/>
      <c r="AFJ68" s="71"/>
      <c r="AFK68" s="71"/>
      <c r="AFL68" s="71"/>
      <c r="AFM68" s="71"/>
      <c r="AFN68" s="71"/>
      <c r="AFO68" s="71"/>
      <c r="AFP68" s="71"/>
      <c r="AFQ68" s="71"/>
      <c r="AFR68" s="71"/>
      <c r="AFS68" s="71"/>
      <c r="AFT68" s="71"/>
      <c r="AFU68" s="71"/>
      <c r="AFV68" s="71"/>
      <c r="AFW68" s="71"/>
      <c r="AFX68" s="71"/>
      <c r="AFY68" s="71"/>
      <c r="AFZ68" s="71"/>
      <c r="AGA68" s="71"/>
      <c r="AGB68" s="71"/>
      <c r="AGC68" s="71"/>
      <c r="AGD68" s="71"/>
      <c r="AGE68" s="71"/>
      <c r="AGF68" s="71"/>
      <c r="AGG68" s="71"/>
      <c r="AGH68" s="71"/>
      <c r="AGI68" s="71"/>
      <c r="AGJ68" s="71"/>
      <c r="AGK68" s="71"/>
      <c r="AGL68" s="71"/>
      <c r="AGM68" s="71"/>
      <c r="AGN68" s="71"/>
      <c r="AGO68" s="71"/>
      <c r="AGP68" s="71"/>
      <c r="AGQ68" s="71"/>
      <c r="AGR68" s="71"/>
      <c r="AGS68" s="71"/>
      <c r="AGT68" s="71"/>
      <c r="AGU68" s="71"/>
      <c r="AGV68" s="71"/>
      <c r="AGW68" s="71"/>
      <c r="AGX68" s="71"/>
      <c r="AGY68" s="71"/>
      <c r="AGZ68" s="71"/>
      <c r="AHA68" s="71"/>
      <c r="AHB68" s="71"/>
      <c r="AHC68" s="71"/>
      <c r="AHD68" s="71"/>
      <c r="AHE68" s="71"/>
      <c r="AHF68" s="71"/>
      <c r="AHG68" s="71"/>
      <c r="AHH68" s="71"/>
      <c r="AHI68" s="71"/>
      <c r="AHJ68" s="71"/>
      <c r="AHK68" s="71"/>
      <c r="AHL68" s="71"/>
      <c r="AHM68" s="71"/>
      <c r="AHN68" s="71"/>
      <c r="AHO68" s="71"/>
      <c r="AHP68" s="71"/>
      <c r="AHQ68" s="71"/>
      <c r="AHR68" s="71"/>
      <c r="AHS68" s="71"/>
      <c r="AHT68" s="71"/>
      <c r="AHU68" s="71"/>
      <c r="AHV68" s="71"/>
      <c r="AHW68" s="71"/>
      <c r="AHX68" s="71"/>
      <c r="AHY68" s="71"/>
      <c r="AHZ68" s="71"/>
      <c r="AIA68" s="71"/>
      <c r="AIB68" s="71"/>
      <c r="AIC68" s="71"/>
      <c r="AID68" s="71"/>
      <c r="AIE68" s="71"/>
      <c r="AIF68" s="71"/>
      <c r="AIG68" s="71"/>
      <c r="AIH68" s="71"/>
      <c r="AII68" s="71"/>
      <c r="AIJ68" s="71"/>
      <c r="AIK68" s="71"/>
      <c r="AIL68" s="71"/>
      <c r="AIM68" s="71"/>
      <c r="AIN68" s="71"/>
      <c r="AIO68" s="71"/>
      <c r="AIP68" s="71"/>
      <c r="AIQ68" s="71"/>
      <c r="AIR68" s="71"/>
      <c r="AIS68" s="71"/>
      <c r="AIT68" s="71"/>
      <c r="AIU68" s="71"/>
      <c r="AIV68" s="71"/>
      <c r="AIW68" s="71"/>
      <c r="AIX68" s="71"/>
      <c r="AIY68" s="71"/>
      <c r="AIZ68" s="71"/>
      <c r="AJA68" s="71"/>
      <c r="AJB68" s="71"/>
      <c r="AJC68" s="71"/>
      <c r="AJD68" s="71"/>
      <c r="AJE68" s="71"/>
      <c r="AJF68" s="71"/>
      <c r="AJG68" s="71"/>
      <c r="AJH68" s="71"/>
      <c r="AJI68" s="71"/>
      <c r="AJJ68" s="71"/>
      <c r="AJK68" s="71"/>
      <c r="AJL68" s="71"/>
      <c r="AJM68" s="71"/>
      <c r="AJN68" s="71"/>
      <c r="AJO68" s="71"/>
      <c r="AJP68" s="71"/>
      <c r="AJQ68" s="71"/>
      <c r="AJR68" s="71"/>
      <c r="AJS68" s="71"/>
      <c r="AJT68" s="71"/>
      <c r="AJU68" s="71"/>
      <c r="AJV68" s="71"/>
      <c r="AJW68" s="71"/>
      <c r="AJX68" s="71"/>
      <c r="AJY68" s="71"/>
      <c r="AJZ68" s="71"/>
      <c r="AKA68" s="71"/>
      <c r="AKB68" s="71"/>
      <c r="AKC68" s="71"/>
      <c r="AKD68" s="71"/>
      <c r="AKE68" s="71"/>
      <c r="AKF68" s="71"/>
      <c r="AKG68" s="71"/>
      <c r="AKH68" s="71"/>
      <c r="AKI68" s="71"/>
      <c r="AKJ68" s="71"/>
      <c r="AKK68" s="71"/>
      <c r="AKL68" s="71"/>
      <c r="AKM68" s="71"/>
      <c r="AKN68" s="71"/>
      <c r="AKO68" s="71"/>
      <c r="AKP68" s="71"/>
      <c r="AKQ68" s="71"/>
      <c r="AKR68" s="71"/>
      <c r="AKS68" s="71"/>
      <c r="AKT68" s="71"/>
      <c r="AKU68" s="71"/>
      <c r="AKV68" s="71"/>
      <c r="AKW68" s="71"/>
      <c r="AKX68" s="71"/>
      <c r="AKY68" s="71"/>
      <c r="AKZ68" s="71"/>
      <c r="ALA68" s="71"/>
      <c r="ALB68" s="71"/>
      <c r="ALC68" s="71"/>
      <c r="ALD68" s="71"/>
      <c r="ALE68" s="71"/>
      <c r="ALF68" s="71"/>
      <c r="ALG68" s="71"/>
      <c r="ALH68" s="71"/>
      <c r="ALI68" s="71"/>
      <c r="ALJ68" s="71"/>
      <c r="ALK68" s="71"/>
      <c r="ALL68" s="71"/>
      <c r="ALM68" s="71"/>
      <c r="ALN68" s="71"/>
      <c r="ALO68" s="71"/>
      <c r="ALP68" s="71"/>
      <c r="ALQ68" s="71"/>
      <c r="ALR68" s="71"/>
      <c r="ALS68" s="71"/>
      <c r="ALT68" s="71"/>
      <c r="ALU68" s="71"/>
      <c r="ALV68" s="71"/>
      <c r="ALW68" s="71"/>
      <c r="ALX68" s="71"/>
      <c r="ALY68" s="71"/>
      <c r="ALZ68" s="71"/>
      <c r="AMA68" s="71"/>
      <c r="AMB68" s="71"/>
      <c r="AMC68" s="71"/>
      <c r="AMD68" s="71"/>
      <c r="AME68" s="71"/>
      <c r="AMF68" s="71"/>
      <c r="AMG68" s="71"/>
      <c r="AMH68" s="71"/>
      <c r="AMI68" s="71"/>
      <c r="AMJ68" s="71"/>
      <c r="AMK68" s="71"/>
    </row>
    <row r="69" spans="1:1025" customFormat="1" ht="109.2">
      <c r="A69" s="100">
        <v>2</v>
      </c>
      <c r="B69" s="95" t="s">
        <v>392</v>
      </c>
      <c r="C69" s="101" t="s">
        <v>393</v>
      </c>
      <c r="D69" s="101" t="s">
        <v>394</v>
      </c>
      <c r="E69" s="101">
        <v>22020055</v>
      </c>
      <c r="F69" s="102" t="s">
        <v>322</v>
      </c>
      <c r="G69" s="102" t="s">
        <v>395</v>
      </c>
      <c r="H69" s="102" t="s">
        <v>396</v>
      </c>
      <c r="I69" s="102" t="s">
        <v>397</v>
      </c>
      <c r="J69" s="102">
        <v>65</v>
      </c>
      <c r="K69" s="102" t="s">
        <v>398</v>
      </c>
      <c r="L69" s="95" t="s">
        <v>388</v>
      </c>
      <c r="M69" s="101">
        <v>8</v>
      </c>
      <c r="N69" s="103">
        <v>41348</v>
      </c>
      <c r="O69" s="101">
        <v>15</v>
      </c>
      <c r="P69" s="101" t="s">
        <v>399</v>
      </c>
      <c r="Q69" s="101">
        <v>2013</v>
      </c>
      <c r="R69" s="101">
        <v>15</v>
      </c>
      <c r="S69" s="101" t="s">
        <v>399</v>
      </c>
      <c r="T69" s="101">
        <v>2018</v>
      </c>
      <c r="U69" s="103" t="s">
        <v>3</v>
      </c>
      <c r="V69" s="101" t="s">
        <v>3</v>
      </c>
      <c r="W69" s="95" t="s">
        <v>3</v>
      </c>
      <c r="X69" s="101">
        <v>13.7</v>
      </c>
      <c r="Y69" s="101">
        <v>0</v>
      </c>
      <c r="Z69" s="95" t="s">
        <v>3</v>
      </c>
      <c r="AA69" s="95" t="s">
        <v>3</v>
      </c>
      <c r="AB69" s="104" t="s">
        <v>400</v>
      </c>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c r="JA69" s="71"/>
      <c r="JB69" s="71"/>
      <c r="JC69" s="71"/>
      <c r="JD69" s="71"/>
      <c r="JE69" s="71"/>
      <c r="JF69" s="71"/>
      <c r="JG69" s="71"/>
      <c r="JH69" s="71"/>
      <c r="JI69" s="71"/>
      <c r="JJ69" s="71"/>
      <c r="JK69" s="71"/>
      <c r="JL69" s="71"/>
      <c r="JM69" s="71"/>
      <c r="JN69" s="71"/>
      <c r="JO69" s="71"/>
      <c r="JP69" s="71"/>
      <c r="JQ69" s="71"/>
      <c r="JR69" s="71"/>
      <c r="JS69" s="71"/>
      <c r="JT69" s="71"/>
      <c r="JU69" s="71"/>
      <c r="JV69" s="71"/>
      <c r="JW69" s="71"/>
      <c r="JX69" s="71"/>
      <c r="JY69" s="71"/>
      <c r="JZ69" s="71"/>
      <c r="KA69" s="71"/>
      <c r="KB69" s="71"/>
      <c r="KC69" s="71"/>
      <c r="KD69" s="71"/>
      <c r="KE69" s="71"/>
      <c r="KF69" s="71"/>
      <c r="KG69" s="71"/>
      <c r="KH69" s="71"/>
      <c r="KI69" s="71"/>
      <c r="KJ69" s="71"/>
      <c r="KK69" s="71"/>
      <c r="KL69" s="71"/>
      <c r="KM69" s="71"/>
      <c r="KN69" s="71"/>
      <c r="KO69" s="71"/>
      <c r="KP69" s="71"/>
      <c r="KQ69" s="71"/>
      <c r="KR69" s="71"/>
      <c r="KS69" s="71"/>
      <c r="KT69" s="71"/>
      <c r="KU69" s="71"/>
      <c r="KV69" s="71"/>
      <c r="KW69" s="71"/>
      <c r="KX69" s="71"/>
      <c r="KY69" s="71"/>
      <c r="KZ69" s="71"/>
      <c r="LA69" s="71"/>
      <c r="LB69" s="71"/>
      <c r="LC69" s="71"/>
      <c r="LD69" s="71"/>
      <c r="LE69" s="71"/>
      <c r="LF69" s="71"/>
      <c r="LG69" s="71"/>
      <c r="LH69" s="71"/>
      <c r="LI69" s="71"/>
      <c r="LJ69" s="71"/>
      <c r="LK69" s="71"/>
      <c r="LL69" s="71"/>
      <c r="LM69" s="71"/>
      <c r="LN69" s="71"/>
      <c r="LO69" s="71"/>
      <c r="LP69" s="71"/>
      <c r="LQ69" s="71"/>
      <c r="LR69" s="71"/>
      <c r="LS69" s="71"/>
      <c r="LT69" s="71"/>
      <c r="LU69" s="71"/>
      <c r="LV69" s="71"/>
      <c r="LW69" s="71"/>
      <c r="LX69" s="71"/>
      <c r="LY69" s="71"/>
      <c r="LZ69" s="71"/>
      <c r="MA69" s="71"/>
      <c r="MB69" s="71"/>
      <c r="MC69" s="71"/>
      <c r="MD69" s="71"/>
      <c r="ME69" s="71"/>
      <c r="MF69" s="71"/>
      <c r="MG69" s="71"/>
      <c r="MH69" s="71"/>
      <c r="MI69" s="71"/>
      <c r="MJ69" s="71"/>
      <c r="MK69" s="71"/>
      <c r="ML69" s="71"/>
      <c r="MM69" s="71"/>
      <c r="MN69" s="71"/>
      <c r="MO69" s="71"/>
      <c r="MP69" s="71"/>
      <c r="MQ69" s="71"/>
      <c r="MR69" s="71"/>
      <c r="MS69" s="71"/>
      <c r="MT69" s="71"/>
      <c r="MU69" s="71"/>
      <c r="MV69" s="71"/>
      <c r="MW69" s="71"/>
      <c r="MX69" s="71"/>
      <c r="MY69" s="71"/>
      <c r="MZ69" s="71"/>
      <c r="NA69" s="71"/>
      <c r="NB69" s="71"/>
      <c r="NC69" s="71"/>
      <c r="ND69" s="71"/>
      <c r="NE69" s="71"/>
      <c r="NF69" s="71"/>
      <c r="NG69" s="71"/>
      <c r="NH69" s="71"/>
      <c r="NI69" s="71"/>
      <c r="NJ69" s="71"/>
      <c r="NK69" s="71"/>
      <c r="NL69" s="71"/>
      <c r="NM69" s="71"/>
      <c r="NN69" s="71"/>
      <c r="NO69" s="71"/>
      <c r="NP69" s="71"/>
      <c r="NQ69" s="71"/>
      <c r="NR69" s="71"/>
      <c r="NS69" s="71"/>
      <c r="NT69" s="71"/>
      <c r="NU69" s="71"/>
      <c r="NV69" s="71"/>
      <c r="NW69" s="71"/>
      <c r="NX69" s="71"/>
      <c r="NY69" s="71"/>
      <c r="NZ69" s="71"/>
      <c r="OA69" s="71"/>
      <c r="OB69" s="71"/>
      <c r="OC69" s="71"/>
      <c r="OD69" s="71"/>
      <c r="OE69" s="71"/>
      <c r="OF69" s="71"/>
      <c r="OG69" s="71"/>
      <c r="OH69" s="71"/>
      <c r="OI69" s="71"/>
      <c r="OJ69" s="71"/>
      <c r="OK69" s="71"/>
      <c r="OL69" s="71"/>
      <c r="OM69" s="71"/>
      <c r="ON69" s="71"/>
      <c r="OO69" s="71"/>
      <c r="OP69" s="71"/>
      <c r="OQ69" s="71"/>
      <c r="OR69" s="71"/>
      <c r="OS69" s="71"/>
      <c r="OT69" s="71"/>
      <c r="OU69" s="71"/>
      <c r="OV69" s="71"/>
      <c r="OW69" s="71"/>
      <c r="OX69" s="71"/>
      <c r="OY69" s="71"/>
      <c r="OZ69" s="71"/>
      <c r="PA69" s="71"/>
      <c r="PB69" s="71"/>
      <c r="PC69" s="71"/>
      <c r="PD69" s="71"/>
      <c r="PE69" s="71"/>
      <c r="PF69" s="71"/>
      <c r="PG69" s="71"/>
      <c r="PH69" s="71"/>
      <c r="PI69" s="71"/>
      <c r="PJ69" s="71"/>
      <c r="PK69" s="71"/>
      <c r="PL69" s="71"/>
      <c r="PM69" s="71"/>
      <c r="PN69" s="71"/>
      <c r="PO69" s="71"/>
      <c r="PP69" s="71"/>
      <c r="PQ69" s="71"/>
      <c r="PR69" s="71"/>
      <c r="PS69" s="71"/>
      <c r="PT69" s="71"/>
      <c r="PU69" s="71"/>
      <c r="PV69" s="71"/>
      <c r="PW69" s="71"/>
      <c r="PX69" s="71"/>
      <c r="PY69" s="71"/>
      <c r="PZ69" s="71"/>
      <c r="QA69" s="71"/>
      <c r="QB69" s="71"/>
      <c r="QC69" s="71"/>
      <c r="QD69" s="71"/>
      <c r="QE69" s="71"/>
      <c r="QF69" s="71"/>
      <c r="QG69" s="71"/>
      <c r="QH69" s="71"/>
      <c r="QI69" s="71"/>
      <c r="QJ69" s="71"/>
      <c r="QK69" s="71"/>
      <c r="QL69" s="71"/>
      <c r="QM69" s="71"/>
      <c r="QN69" s="71"/>
      <c r="QO69" s="71"/>
      <c r="QP69" s="71"/>
      <c r="QQ69" s="71"/>
      <c r="QR69" s="71"/>
      <c r="QS69" s="71"/>
      <c r="QT69" s="71"/>
      <c r="QU69" s="71"/>
      <c r="QV69" s="71"/>
      <c r="QW69" s="71"/>
      <c r="QX69" s="71"/>
      <c r="QY69" s="71"/>
      <c r="QZ69" s="71"/>
      <c r="RA69" s="71"/>
      <c r="RB69" s="71"/>
      <c r="RC69" s="71"/>
      <c r="RD69" s="71"/>
      <c r="RE69" s="71"/>
      <c r="RF69" s="71"/>
      <c r="RG69" s="71"/>
      <c r="RH69" s="71"/>
      <c r="RI69" s="71"/>
      <c r="RJ69" s="71"/>
      <c r="RK69" s="71"/>
      <c r="RL69" s="71"/>
      <c r="RM69" s="71"/>
      <c r="RN69" s="71"/>
      <c r="RO69" s="71"/>
      <c r="RP69" s="71"/>
      <c r="RQ69" s="71"/>
      <c r="RR69" s="71"/>
      <c r="RS69" s="71"/>
      <c r="RT69" s="71"/>
      <c r="RU69" s="71"/>
      <c r="RV69" s="71"/>
      <c r="RW69" s="71"/>
      <c r="RX69" s="71"/>
      <c r="RY69" s="71"/>
      <c r="RZ69" s="71"/>
      <c r="SA69" s="71"/>
      <c r="SB69" s="71"/>
      <c r="SC69" s="71"/>
      <c r="SD69" s="71"/>
      <c r="SE69" s="71"/>
      <c r="SF69" s="71"/>
      <c r="SG69" s="71"/>
      <c r="SH69" s="71"/>
      <c r="SI69" s="71"/>
      <c r="SJ69" s="71"/>
      <c r="SK69" s="71"/>
      <c r="SL69" s="71"/>
      <c r="SM69" s="71"/>
      <c r="SN69" s="71"/>
      <c r="SO69" s="71"/>
      <c r="SP69" s="71"/>
      <c r="SQ69" s="71"/>
      <c r="SR69" s="71"/>
      <c r="SS69" s="71"/>
      <c r="ST69" s="71"/>
      <c r="SU69" s="71"/>
      <c r="SV69" s="71"/>
      <c r="SW69" s="71"/>
      <c r="SX69" s="71"/>
      <c r="SY69" s="71"/>
      <c r="SZ69" s="71"/>
      <c r="TA69" s="71"/>
      <c r="TB69" s="71"/>
      <c r="TC69" s="71"/>
      <c r="TD69" s="71"/>
      <c r="TE69" s="71"/>
      <c r="TF69" s="71"/>
      <c r="TG69" s="71"/>
      <c r="TH69" s="71"/>
      <c r="TI69" s="71"/>
      <c r="TJ69" s="71"/>
      <c r="TK69" s="71"/>
      <c r="TL69" s="71"/>
      <c r="TM69" s="71"/>
      <c r="TN69" s="71"/>
      <c r="TO69" s="71"/>
      <c r="TP69" s="71"/>
      <c r="TQ69" s="71"/>
      <c r="TR69" s="71"/>
      <c r="TS69" s="71"/>
      <c r="TT69" s="71"/>
      <c r="TU69" s="71"/>
      <c r="TV69" s="71"/>
      <c r="TW69" s="71"/>
      <c r="TX69" s="71"/>
      <c r="TY69" s="71"/>
      <c r="TZ69" s="71"/>
      <c r="UA69" s="71"/>
      <c r="UB69" s="71"/>
      <c r="UC69" s="71"/>
      <c r="UD69" s="71"/>
      <c r="UE69" s="71"/>
      <c r="UF69" s="71"/>
      <c r="UG69" s="71"/>
      <c r="UH69" s="71"/>
      <c r="UI69" s="71"/>
      <c r="UJ69" s="71"/>
      <c r="UK69" s="71"/>
      <c r="UL69" s="71"/>
      <c r="UM69" s="71"/>
      <c r="UN69" s="71"/>
      <c r="UO69" s="71"/>
      <c r="UP69" s="71"/>
      <c r="UQ69" s="71"/>
      <c r="UR69" s="71"/>
      <c r="US69" s="71"/>
      <c r="UT69" s="71"/>
      <c r="UU69" s="71"/>
      <c r="UV69" s="71"/>
      <c r="UW69" s="71"/>
      <c r="UX69" s="71"/>
      <c r="UY69" s="71"/>
      <c r="UZ69" s="71"/>
      <c r="VA69" s="71"/>
      <c r="VB69" s="71"/>
      <c r="VC69" s="71"/>
      <c r="VD69" s="71"/>
      <c r="VE69" s="71"/>
      <c r="VF69" s="71"/>
      <c r="VG69" s="71"/>
      <c r="VH69" s="71"/>
      <c r="VI69" s="71"/>
      <c r="VJ69" s="71"/>
      <c r="VK69" s="71"/>
      <c r="VL69" s="71"/>
      <c r="VM69" s="71"/>
      <c r="VN69" s="71"/>
      <c r="VO69" s="71"/>
      <c r="VP69" s="71"/>
      <c r="VQ69" s="71"/>
      <c r="VR69" s="71"/>
      <c r="VS69" s="71"/>
      <c r="VT69" s="71"/>
      <c r="VU69" s="71"/>
      <c r="VV69" s="71"/>
      <c r="VW69" s="71"/>
      <c r="VX69" s="71"/>
      <c r="VY69" s="71"/>
      <c r="VZ69" s="71"/>
      <c r="WA69" s="71"/>
      <c r="WB69" s="71"/>
      <c r="WC69" s="71"/>
      <c r="WD69" s="71"/>
      <c r="WE69" s="71"/>
      <c r="WF69" s="71"/>
      <c r="WG69" s="71"/>
      <c r="WH69" s="71"/>
      <c r="WI69" s="71"/>
      <c r="WJ69" s="71"/>
      <c r="WK69" s="71"/>
      <c r="WL69" s="71"/>
      <c r="WM69" s="71"/>
      <c r="WN69" s="71"/>
      <c r="WO69" s="71"/>
      <c r="WP69" s="71"/>
      <c r="WQ69" s="71"/>
      <c r="WR69" s="71"/>
      <c r="WS69" s="71"/>
      <c r="WT69" s="71"/>
      <c r="WU69" s="71"/>
      <c r="WV69" s="71"/>
      <c r="WW69" s="71"/>
      <c r="WX69" s="71"/>
      <c r="WY69" s="71"/>
      <c r="WZ69" s="71"/>
      <c r="XA69" s="71"/>
      <c r="XB69" s="71"/>
      <c r="XC69" s="71"/>
      <c r="XD69" s="71"/>
      <c r="XE69" s="71"/>
      <c r="XF69" s="71"/>
      <c r="XG69" s="71"/>
      <c r="XH69" s="71"/>
      <c r="XI69" s="71"/>
      <c r="XJ69" s="71"/>
      <c r="XK69" s="71"/>
      <c r="XL69" s="71"/>
      <c r="XM69" s="71"/>
      <c r="XN69" s="71"/>
      <c r="XO69" s="71"/>
      <c r="XP69" s="71"/>
      <c r="XQ69" s="71"/>
      <c r="XR69" s="71"/>
      <c r="XS69" s="71"/>
      <c r="XT69" s="71"/>
      <c r="XU69" s="71"/>
      <c r="XV69" s="71"/>
      <c r="XW69" s="71"/>
      <c r="XX69" s="71"/>
      <c r="XY69" s="71"/>
      <c r="XZ69" s="71"/>
      <c r="YA69" s="71"/>
      <c r="YB69" s="71"/>
      <c r="YC69" s="71"/>
      <c r="YD69" s="71"/>
      <c r="YE69" s="71"/>
      <c r="YF69" s="71"/>
      <c r="YG69" s="71"/>
      <c r="YH69" s="71"/>
      <c r="YI69" s="71"/>
      <c r="YJ69" s="71"/>
      <c r="YK69" s="71"/>
      <c r="YL69" s="71"/>
      <c r="YM69" s="71"/>
      <c r="YN69" s="71"/>
      <c r="YO69" s="71"/>
      <c r="YP69" s="71"/>
      <c r="YQ69" s="71"/>
      <c r="YR69" s="71"/>
      <c r="YS69" s="71"/>
      <c r="YT69" s="71"/>
      <c r="YU69" s="71"/>
      <c r="YV69" s="71"/>
      <c r="YW69" s="71"/>
      <c r="YX69" s="71"/>
      <c r="YY69" s="71"/>
      <c r="YZ69" s="71"/>
      <c r="ZA69" s="71"/>
      <c r="ZB69" s="71"/>
      <c r="ZC69" s="71"/>
      <c r="ZD69" s="71"/>
      <c r="ZE69" s="71"/>
      <c r="ZF69" s="71"/>
      <c r="ZG69" s="71"/>
      <c r="ZH69" s="71"/>
      <c r="ZI69" s="71"/>
      <c r="ZJ69" s="71"/>
      <c r="ZK69" s="71"/>
      <c r="ZL69" s="71"/>
      <c r="ZM69" s="71"/>
      <c r="ZN69" s="71"/>
      <c r="ZO69" s="71"/>
      <c r="ZP69" s="71"/>
      <c r="ZQ69" s="71"/>
      <c r="ZR69" s="71"/>
      <c r="ZS69" s="71"/>
      <c r="ZT69" s="71"/>
      <c r="ZU69" s="71"/>
      <c r="ZV69" s="71"/>
      <c r="ZW69" s="71"/>
      <c r="ZX69" s="71"/>
      <c r="ZY69" s="71"/>
      <c r="ZZ69" s="71"/>
      <c r="AAA69" s="71"/>
      <c r="AAB69" s="71"/>
      <c r="AAC69" s="71"/>
      <c r="AAD69" s="71"/>
      <c r="AAE69" s="71"/>
      <c r="AAF69" s="71"/>
      <c r="AAG69" s="71"/>
      <c r="AAH69" s="71"/>
      <c r="AAI69" s="71"/>
      <c r="AAJ69" s="71"/>
      <c r="AAK69" s="71"/>
      <c r="AAL69" s="71"/>
      <c r="AAM69" s="71"/>
      <c r="AAN69" s="71"/>
      <c r="AAO69" s="71"/>
      <c r="AAP69" s="71"/>
      <c r="AAQ69" s="71"/>
      <c r="AAR69" s="71"/>
      <c r="AAS69" s="71"/>
      <c r="AAT69" s="71"/>
      <c r="AAU69" s="71"/>
      <c r="AAV69" s="71"/>
      <c r="AAW69" s="71"/>
      <c r="AAX69" s="71"/>
      <c r="AAY69" s="71"/>
      <c r="AAZ69" s="71"/>
      <c r="ABA69" s="71"/>
      <c r="ABB69" s="71"/>
      <c r="ABC69" s="71"/>
      <c r="ABD69" s="71"/>
      <c r="ABE69" s="71"/>
      <c r="ABF69" s="71"/>
      <c r="ABG69" s="71"/>
      <c r="ABH69" s="71"/>
      <c r="ABI69" s="71"/>
      <c r="ABJ69" s="71"/>
      <c r="ABK69" s="71"/>
      <c r="ABL69" s="71"/>
      <c r="ABM69" s="71"/>
      <c r="ABN69" s="71"/>
      <c r="ABO69" s="71"/>
      <c r="ABP69" s="71"/>
      <c r="ABQ69" s="71"/>
      <c r="ABR69" s="71"/>
      <c r="ABS69" s="71"/>
      <c r="ABT69" s="71"/>
      <c r="ABU69" s="71"/>
      <c r="ABV69" s="71"/>
      <c r="ABW69" s="71"/>
      <c r="ABX69" s="71"/>
      <c r="ABY69" s="71"/>
      <c r="ABZ69" s="71"/>
      <c r="ACA69" s="71"/>
      <c r="ACB69" s="71"/>
      <c r="ACC69" s="71"/>
      <c r="ACD69" s="71"/>
      <c r="ACE69" s="71"/>
      <c r="ACF69" s="71"/>
      <c r="ACG69" s="71"/>
      <c r="ACH69" s="71"/>
      <c r="ACI69" s="71"/>
      <c r="ACJ69" s="71"/>
      <c r="ACK69" s="71"/>
      <c r="ACL69" s="71"/>
      <c r="ACM69" s="71"/>
      <c r="ACN69" s="71"/>
      <c r="ACO69" s="71"/>
      <c r="ACP69" s="71"/>
      <c r="ACQ69" s="71"/>
      <c r="ACR69" s="71"/>
      <c r="ACS69" s="71"/>
      <c r="ACT69" s="71"/>
      <c r="ACU69" s="71"/>
      <c r="ACV69" s="71"/>
      <c r="ACW69" s="71"/>
      <c r="ACX69" s="71"/>
      <c r="ACY69" s="71"/>
      <c r="ACZ69" s="71"/>
      <c r="ADA69" s="71"/>
      <c r="ADB69" s="71"/>
      <c r="ADC69" s="71"/>
      <c r="ADD69" s="71"/>
      <c r="ADE69" s="71"/>
      <c r="ADF69" s="71"/>
      <c r="ADG69" s="71"/>
      <c r="ADH69" s="71"/>
      <c r="ADI69" s="71"/>
      <c r="ADJ69" s="71"/>
      <c r="ADK69" s="71"/>
      <c r="ADL69" s="71"/>
      <c r="ADM69" s="71"/>
      <c r="ADN69" s="71"/>
      <c r="ADO69" s="71"/>
      <c r="ADP69" s="71"/>
      <c r="ADQ69" s="71"/>
      <c r="ADR69" s="71"/>
      <c r="ADS69" s="71"/>
      <c r="ADT69" s="71"/>
      <c r="ADU69" s="71"/>
      <c r="ADV69" s="71"/>
      <c r="ADW69" s="71"/>
      <c r="ADX69" s="71"/>
      <c r="ADY69" s="71"/>
      <c r="ADZ69" s="71"/>
      <c r="AEA69" s="71"/>
      <c r="AEB69" s="71"/>
      <c r="AEC69" s="71"/>
      <c r="AED69" s="71"/>
      <c r="AEE69" s="71"/>
      <c r="AEF69" s="71"/>
      <c r="AEG69" s="71"/>
      <c r="AEH69" s="71"/>
      <c r="AEI69" s="71"/>
      <c r="AEJ69" s="71"/>
      <c r="AEK69" s="71"/>
      <c r="AEL69" s="71"/>
      <c r="AEM69" s="71"/>
      <c r="AEN69" s="71"/>
      <c r="AEO69" s="71"/>
      <c r="AEP69" s="71"/>
      <c r="AEQ69" s="71"/>
      <c r="AER69" s="71"/>
      <c r="AES69" s="71"/>
      <c r="AET69" s="71"/>
      <c r="AEU69" s="71"/>
      <c r="AEV69" s="71"/>
      <c r="AEW69" s="71"/>
      <c r="AEX69" s="71"/>
      <c r="AEY69" s="71"/>
      <c r="AEZ69" s="71"/>
      <c r="AFA69" s="71"/>
      <c r="AFB69" s="71"/>
      <c r="AFC69" s="71"/>
      <c r="AFD69" s="71"/>
      <c r="AFE69" s="71"/>
      <c r="AFF69" s="71"/>
      <c r="AFG69" s="71"/>
      <c r="AFH69" s="71"/>
      <c r="AFI69" s="71"/>
      <c r="AFJ69" s="71"/>
      <c r="AFK69" s="71"/>
      <c r="AFL69" s="71"/>
      <c r="AFM69" s="71"/>
      <c r="AFN69" s="71"/>
      <c r="AFO69" s="71"/>
      <c r="AFP69" s="71"/>
      <c r="AFQ69" s="71"/>
      <c r="AFR69" s="71"/>
      <c r="AFS69" s="71"/>
      <c r="AFT69" s="71"/>
      <c r="AFU69" s="71"/>
      <c r="AFV69" s="71"/>
      <c r="AFW69" s="71"/>
      <c r="AFX69" s="71"/>
      <c r="AFY69" s="71"/>
      <c r="AFZ69" s="71"/>
      <c r="AGA69" s="71"/>
      <c r="AGB69" s="71"/>
      <c r="AGC69" s="71"/>
      <c r="AGD69" s="71"/>
      <c r="AGE69" s="71"/>
      <c r="AGF69" s="71"/>
      <c r="AGG69" s="71"/>
      <c r="AGH69" s="71"/>
      <c r="AGI69" s="71"/>
      <c r="AGJ69" s="71"/>
      <c r="AGK69" s="71"/>
      <c r="AGL69" s="71"/>
      <c r="AGM69" s="71"/>
      <c r="AGN69" s="71"/>
      <c r="AGO69" s="71"/>
      <c r="AGP69" s="71"/>
      <c r="AGQ69" s="71"/>
      <c r="AGR69" s="71"/>
      <c r="AGS69" s="71"/>
      <c r="AGT69" s="71"/>
      <c r="AGU69" s="71"/>
      <c r="AGV69" s="71"/>
      <c r="AGW69" s="71"/>
      <c r="AGX69" s="71"/>
      <c r="AGY69" s="71"/>
      <c r="AGZ69" s="71"/>
      <c r="AHA69" s="71"/>
      <c r="AHB69" s="71"/>
      <c r="AHC69" s="71"/>
      <c r="AHD69" s="71"/>
      <c r="AHE69" s="71"/>
      <c r="AHF69" s="71"/>
      <c r="AHG69" s="71"/>
      <c r="AHH69" s="71"/>
      <c r="AHI69" s="71"/>
      <c r="AHJ69" s="71"/>
      <c r="AHK69" s="71"/>
      <c r="AHL69" s="71"/>
      <c r="AHM69" s="71"/>
      <c r="AHN69" s="71"/>
      <c r="AHO69" s="71"/>
      <c r="AHP69" s="71"/>
      <c r="AHQ69" s="71"/>
      <c r="AHR69" s="71"/>
      <c r="AHS69" s="71"/>
      <c r="AHT69" s="71"/>
      <c r="AHU69" s="71"/>
      <c r="AHV69" s="71"/>
      <c r="AHW69" s="71"/>
      <c r="AHX69" s="71"/>
      <c r="AHY69" s="71"/>
      <c r="AHZ69" s="71"/>
      <c r="AIA69" s="71"/>
      <c r="AIB69" s="71"/>
      <c r="AIC69" s="71"/>
      <c r="AID69" s="71"/>
      <c r="AIE69" s="71"/>
      <c r="AIF69" s="71"/>
      <c r="AIG69" s="71"/>
      <c r="AIH69" s="71"/>
      <c r="AII69" s="71"/>
      <c r="AIJ69" s="71"/>
      <c r="AIK69" s="71"/>
      <c r="AIL69" s="71"/>
      <c r="AIM69" s="71"/>
      <c r="AIN69" s="71"/>
      <c r="AIO69" s="71"/>
      <c r="AIP69" s="71"/>
      <c r="AIQ69" s="71"/>
      <c r="AIR69" s="71"/>
      <c r="AIS69" s="71"/>
      <c r="AIT69" s="71"/>
      <c r="AIU69" s="71"/>
      <c r="AIV69" s="71"/>
      <c r="AIW69" s="71"/>
      <c r="AIX69" s="71"/>
      <c r="AIY69" s="71"/>
      <c r="AIZ69" s="71"/>
      <c r="AJA69" s="71"/>
      <c r="AJB69" s="71"/>
      <c r="AJC69" s="71"/>
      <c r="AJD69" s="71"/>
      <c r="AJE69" s="71"/>
      <c r="AJF69" s="71"/>
      <c r="AJG69" s="71"/>
      <c r="AJH69" s="71"/>
      <c r="AJI69" s="71"/>
      <c r="AJJ69" s="71"/>
      <c r="AJK69" s="71"/>
      <c r="AJL69" s="71"/>
      <c r="AJM69" s="71"/>
      <c r="AJN69" s="71"/>
      <c r="AJO69" s="71"/>
      <c r="AJP69" s="71"/>
      <c r="AJQ69" s="71"/>
      <c r="AJR69" s="71"/>
      <c r="AJS69" s="71"/>
      <c r="AJT69" s="71"/>
      <c r="AJU69" s="71"/>
      <c r="AJV69" s="71"/>
      <c r="AJW69" s="71"/>
      <c r="AJX69" s="71"/>
      <c r="AJY69" s="71"/>
      <c r="AJZ69" s="71"/>
      <c r="AKA69" s="71"/>
      <c r="AKB69" s="71"/>
      <c r="AKC69" s="71"/>
      <c r="AKD69" s="71"/>
      <c r="AKE69" s="71"/>
      <c r="AKF69" s="71"/>
      <c r="AKG69" s="71"/>
      <c r="AKH69" s="71"/>
      <c r="AKI69" s="71"/>
      <c r="AKJ69" s="71"/>
      <c r="AKK69" s="71"/>
      <c r="AKL69" s="71"/>
      <c r="AKM69" s="71"/>
      <c r="AKN69" s="71"/>
      <c r="AKO69" s="71"/>
      <c r="AKP69" s="71"/>
      <c r="AKQ69" s="71"/>
      <c r="AKR69" s="71"/>
      <c r="AKS69" s="71"/>
      <c r="AKT69" s="71"/>
      <c r="AKU69" s="71"/>
      <c r="AKV69" s="71"/>
      <c r="AKW69" s="71"/>
      <c r="AKX69" s="71"/>
      <c r="AKY69" s="71"/>
      <c r="AKZ69" s="71"/>
      <c r="ALA69" s="71"/>
      <c r="ALB69" s="71"/>
      <c r="ALC69" s="71"/>
      <c r="ALD69" s="71"/>
      <c r="ALE69" s="71"/>
      <c r="ALF69" s="71"/>
      <c r="ALG69" s="71"/>
      <c r="ALH69" s="71"/>
      <c r="ALI69" s="71"/>
      <c r="ALJ69" s="71"/>
      <c r="ALK69" s="71"/>
      <c r="ALL69" s="71"/>
      <c r="ALM69" s="71"/>
      <c r="ALN69" s="71"/>
      <c r="ALO69" s="71"/>
      <c r="ALP69" s="71"/>
      <c r="ALQ69" s="71"/>
      <c r="ALR69" s="71"/>
      <c r="ALS69" s="71"/>
      <c r="ALT69" s="71"/>
      <c r="ALU69" s="71"/>
      <c r="ALV69" s="71"/>
      <c r="ALW69" s="71"/>
      <c r="ALX69" s="71"/>
      <c r="ALY69" s="71"/>
      <c r="ALZ69" s="71"/>
      <c r="AMA69" s="71"/>
      <c r="AMB69" s="71"/>
      <c r="AMC69" s="71"/>
      <c r="AMD69" s="71"/>
      <c r="AME69" s="71"/>
      <c r="AMF69" s="71"/>
      <c r="AMG69" s="71"/>
      <c r="AMH69" s="71"/>
      <c r="AMI69" s="71"/>
      <c r="AMJ69" s="71"/>
      <c r="AMK69" s="71"/>
    </row>
    <row r="70" spans="1:1025" customFormat="1" ht="93.6">
      <c r="A70" s="100">
        <v>3</v>
      </c>
      <c r="B70" s="95" t="s">
        <v>401</v>
      </c>
      <c r="C70" s="101" t="s">
        <v>402</v>
      </c>
      <c r="D70" s="101" t="s">
        <v>403</v>
      </c>
      <c r="E70" s="101">
        <v>39790445</v>
      </c>
      <c r="F70" s="102" t="s">
        <v>322</v>
      </c>
      <c r="G70" s="102" t="s">
        <v>404</v>
      </c>
      <c r="H70" s="102" t="s">
        <v>405</v>
      </c>
      <c r="I70" s="102" t="s">
        <v>406</v>
      </c>
      <c r="J70" s="102">
        <v>20.399999999999999</v>
      </c>
      <c r="K70" s="102" t="s">
        <v>407</v>
      </c>
      <c r="L70" s="101" t="s">
        <v>408</v>
      </c>
      <c r="M70" s="101" t="s">
        <v>409</v>
      </c>
      <c r="N70" s="103">
        <v>42954</v>
      </c>
      <c r="O70" s="101">
        <v>7</v>
      </c>
      <c r="P70" s="101" t="s">
        <v>410</v>
      </c>
      <c r="Q70" s="101">
        <v>2017</v>
      </c>
      <c r="R70" s="101">
        <v>6</v>
      </c>
      <c r="S70" s="101" t="s">
        <v>411</v>
      </c>
      <c r="T70" s="101">
        <v>2020</v>
      </c>
      <c r="U70" s="103" t="s">
        <v>412</v>
      </c>
      <c r="V70" s="101">
        <v>12.24</v>
      </c>
      <c r="W70" s="101" t="s">
        <v>3</v>
      </c>
      <c r="X70" s="101" t="s">
        <v>3</v>
      </c>
      <c r="Y70" s="101">
        <v>0.08</v>
      </c>
      <c r="Z70" s="103">
        <v>42935</v>
      </c>
      <c r="AA70" s="101">
        <v>4051.79</v>
      </c>
      <c r="AB70" s="104" t="s">
        <v>413</v>
      </c>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c r="GG70" s="71"/>
      <c r="GH70" s="71"/>
      <c r="GI70" s="71"/>
      <c r="GJ70" s="71"/>
      <c r="GK70" s="71"/>
      <c r="GL70" s="71"/>
      <c r="GM70" s="71"/>
      <c r="GN70" s="71"/>
      <c r="GO70" s="71"/>
      <c r="GP70" s="71"/>
      <c r="GQ70" s="71"/>
      <c r="GR70" s="71"/>
      <c r="GS70" s="71"/>
      <c r="GT70" s="71"/>
      <c r="GU70" s="71"/>
      <c r="GV70" s="71"/>
      <c r="GW70" s="71"/>
      <c r="GX70" s="71"/>
      <c r="GY70" s="71"/>
      <c r="GZ70" s="71"/>
      <c r="HA70" s="71"/>
      <c r="HB70" s="71"/>
      <c r="HC70" s="71"/>
      <c r="HD70" s="71"/>
      <c r="HE70" s="71"/>
      <c r="HF70" s="71"/>
      <c r="HG70" s="71"/>
      <c r="HH70" s="71"/>
      <c r="HI70" s="71"/>
      <c r="HJ70" s="71"/>
      <c r="HK70" s="71"/>
      <c r="HL70" s="71"/>
      <c r="HM70" s="71"/>
      <c r="HN70" s="71"/>
      <c r="HO70" s="71"/>
      <c r="HP70" s="71"/>
      <c r="HQ70" s="71"/>
      <c r="HR70" s="71"/>
      <c r="HS70" s="71"/>
      <c r="HT70" s="71"/>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c r="JA70" s="71"/>
      <c r="JB70" s="71"/>
      <c r="JC70" s="71"/>
      <c r="JD70" s="71"/>
      <c r="JE70" s="71"/>
      <c r="JF70" s="71"/>
      <c r="JG70" s="71"/>
      <c r="JH70" s="71"/>
      <c r="JI70" s="71"/>
      <c r="JJ70" s="71"/>
      <c r="JK70" s="71"/>
      <c r="JL70" s="71"/>
      <c r="JM70" s="71"/>
      <c r="JN70" s="71"/>
      <c r="JO70" s="71"/>
      <c r="JP70" s="71"/>
      <c r="JQ70" s="71"/>
      <c r="JR70" s="71"/>
      <c r="JS70" s="71"/>
      <c r="JT70" s="71"/>
      <c r="JU70" s="71"/>
      <c r="JV70" s="71"/>
      <c r="JW70" s="71"/>
      <c r="JX70" s="71"/>
      <c r="JY70" s="71"/>
      <c r="JZ70" s="71"/>
      <c r="KA70" s="71"/>
      <c r="KB70" s="71"/>
      <c r="KC70" s="71"/>
      <c r="KD70" s="71"/>
      <c r="KE70" s="71"/>
      <c r="KF70" s="71"/>
      <c r="KG70" s="71"/>
      <c r="KH70" s="71"/>
      <c r="KI70" s="71"/>
      <c r="KJ70" s="71"/>
      <c r="KK70" s="71"/>
      <c r="KL70" s="71"/>
      <c r="KM70" s="71"/>
      <c r="KN70" s="71"/>
      <c r="KO70" s="71"/>
      <c r="KP70" s="71"/>
      <c r="KQ70" s="71"/>
      <c r="KR70" s="71"/>
      <c r="KS70" s="71"/>
      <c r="KT70" s="71"/>
      <c r="KU70" s="71"/>
      <c r="KV70" s="71"/>
      <c r="KW70" s="71"/>
      <c r="KX70" s="71"/>
      <c r="KY70" s="71"/>
      <c r="KZ70" s="71"/>
      <c r="LA70" s="71"/>
      <c r="LB70" s="71"/>
      <c r="LC70" s="71"/>
      <c r="LD70" s="71"/>
      <c r="LE70" s="71"/>
      <c r="LF70" s="71"/>
      <c r="LG70" s="71"/>
      <c r="LH70" s="71"/>
      <c r="LI70" s="71"/>
      <c r="LJ70" s="71"/>
      <c r="LK70" s="71"/>
      <c r="LL70" s="71"/>
      <c r="LM70" s="71"/>
      <c r="LN70" s="71"/>
      <c r="LO70" s="71"/>
      <c r="LP70" s="71"/>
      <c r="LQ70" s="71"/>
      <c r="LR70" s="71"/>
      <c r="LS70" s="71"/>
      <c r="LT70" s="71"/>
      <c r="LU70" s="71"/>
      <c r="LV70" s="71"/>
      <c r="LW70" s="71"/>
      <c r="LX70" s="71"/>
      <c r="LY70" s="71"/>
      <c r="LZ70" s="71"/>
      <c r="MA70" s="71"/>
      <c r="MB70" s="71"/>
      <c r="MC70" s="71"/>
      <c r="MD70" s="71"/>
      <c r="ME70" s="71"/>
      <c r="MF70" s="71"/>
      <c r="MG70" s="71"/>
      <c r="MH70" s="71"/>
      <c r="MI70" s="71"/>
      <c r="MJ70" s="71"/>
      <c r="MK70" s="71"/>
      <c r="ML70" s="71"/>
      <c r="MM70" s="71"/>
      <c r="MN70" s="71"/>
      <c r="MO70" s="71"/>
      <c r="MP70" s="71"/>
      <c r="MQ70" s="71"/>
      <c r="MR70" s="71"/>
      <c r="MS70" s="71"/>
      <c r="MT70" s="71"/>
      <c r="MU70" s="71"/>
      <c r="MV70" s="71"/>
      <c r="MW70" s="71"/>
      <c r="MX70" s="71"/>
      <c r="MY70" s="71"/>
      <c r="MZ70" s="71"/>
      <c r="NA70" s="71"/>
      <c r="NB70" s="71"/>
      <c r="NC70" s="71"/>
      <c r="ND70" s="71"/>
      <c r="NE70" s="71"/>
      <c r="NF70" s="71"/>
      <c r="NG70" s="71"/>
      <c r="NH70" s="71"/>
      <c r="NI70" s="71"/>
      <c r="NJ70" s="71"/>
      <c r="NK70" s="71"/>
      <c r="NL70" s="71"/>
      <c r="NM70" s="71"/>
      <c r="NN70" s="71"/>
      <c r="NO70" s="71"/>
      <c r="NP70" s="71"/>
      <c r="NQ70" s="71"/>
      <c r="NR70" s="71"/>
      <c r="NS70" s="71"/>
      <c r="NT70" s="71"/>
      <c r="NU70" s="71"/>
      <c r="NV70" s="71"/>
      <c r="NW70" s="71"/>
      <c r="NX70" s="71"/>
      <c r="NY70" s="71"/>
      <c r="NZ70" s="71"/>
      <c r="OA70" s="71"/>
      <c r="OB70" s="71"/>
      <c r="OC70" s="71"/>
      <c r="OD70" s="71"/>
      <c r="OE70" s="71"/>
      <c r="OF70" s="71"/>
      <c r="OG70" s="71"/>
      <c r="OH70" s="71"/>
      <c r="OI70" s="71"/>
      <c r="OJ70" s="71"/>
      <c r="OK70" s="71"/>
      <c r="OL70" s="71"/>
      <c r="OM70" s="71"/>
      <c r="ON70" s="71"/>
      <c r="OO70" s="71"/>
      <c r="OP70" s="71"/>
      <c r="OQ70" s="71"/>
      <c r="OR70" s="71"/>
      <c r="OS70" s="71"/>
      <c r="OT70" s="71"/>
      <c r="OU70" s="71"/>
      <c r="OV70" s="71"/>
      <c r="OW70" s="71"/>
      <c r="OX70" s="71"/>
      <c r="OY70" s="71"/>
      <c r="OZ70" s="71"/>
      <c r="PA70" s="71"/>
      <c r="PB70" s="71"/>
      <c r="PC70" s="71"/>
      <c r="PD70" s="71"/>
      <c r="PE70" s="71"/>
      <c r="PF70" s="71"/>
      <c r="PG70" s="71"/>
      <c r="PH70" s="71"/>
      <c r="PI70" s="71"/>
      <c r="PJ70" s="71"/>
      <c r="PK70" s="71"/>
      <c r="PL70" s="71"/>
      <c r="PM70" s="71"/>
      <c r="PN70" s="71"/>
      <c r="PO70" s="71"/>
      <c r="PP70" s="71"/>
      <c r="PQ70" s="71"/>
      <c r="PR70" s="71"/>
      <c r="PS70" s="71"/>
      <c r="PT70" s="71"/>
      <c r="PU70" s="71"/>
      <c r="PV70" s="71"/>
      <c r="PW70" s="71"/>
      <c r="PX70" s="71"/>
      <c r="PY70" s="71"/>
      <c r="PZ70" s="71"/>
      <c r="QA70" s="71"/>
      <c r="QB70" s="71"/>
      <c r="QC70" s="71"/>
      <c r="QD70" s="71"/>
      <c r="QE70" s="71"/>
      <c r="QF70" s="71"/>
      <c r="QG70" s="71"/>
      <c r="QH70" s="71"/>
      <c r="QI70" s="71"/>
      <c r="QJ70" s="71"/>
      <c r="QK70" s="71"/>
      <c r="QL70" s="71"/>
      <c r="QM70" s="71"/>
      <c r="QN70" s="71"/>
      <c r="QO70" s="71"/>
      <c r="QP70" s="71"/>
      <c r="QQ70" s="71"/>
      <c r="QR70" s="71"/>
      <c r="QS70" s="71"/>
      <c r="QT70" s="71"/>
      <c r="QU70" s="71"/>
      <c r="QV70" s="71"/>
      <c r="QW70" s="71"/>
      <c r="QX70" s="71"/>
      <c r="QY70" s="71"/>
      <c r="QZ70" s="71"/>
      <c r="RA70" s="71"/>
      <c r="RB70" s="71"/>
      <c r="RC70" s="71"/>
      <c r="RD70" s="71"/>
      <c r="RE70" s="71"/>
      <c r="RF70" s="71"/>
      <c r="RG70" s="71"/>
      <c r="RH70" s="71"/>
      <c r="RI70" s="71"/>
      <c r="RJ70" s="71"/>
      <c r="RK70" s="71"/>
      <c r="RL70" s="71"/>
      <c r="RM70" s="71"/>
      <c r="RN70" s="71"/>
      <c r="RO70" s="71"/>
      <c r="RP70" s="71"/>
      <c r="RQ70" s="71"/>
      <c r="RR70" s="71"/>
      <c r="RS70" s="71"/>
      <c r="RT70" s="71"/>
      <c r="RU70" s="71"/>
      <c r="RV70" s="71"/>
      <c r="RW70" s="71"/>
      <c r="RX70" s="71"/>
      <c r="RY70" s="71"/>
      <c r="RZ70" s="71"/>
      <c r="SA70" s="71"/>
      <c r="SB70" s="71"/>
      <c r="SC70" s="71"/>
      <c r="SD70" s="71"/>
      <c r="SE70" s="71"/>
      <c r="SF70" s="71"/>
      <c r="SG70" s="71"/>
      <c r="SH70" s="71"/>
      <c r="SI70" s="71"/>
      <c r="SJ70" s="71"/>
      <c r="SK70" s="71"/>
      <c r="SL70" s="71"/>
      <c r="SM70" s="71"/>
      <c r="SN70" s="71"/>
      <c r="SO70" s="71"/>
      <c r="SP70" s="71"/>
      <c r="SQ70" s="71"/>
      <c r="SR70" s="71"/>
      <c r="SS70" s="71"/>
      <c r="ST70" s="71"/>
      <c r="SU70" s="71"/>
      <c r="SV70" s="71"/>
      <c r="SW70" s="71"/>
      <c r="SX70" s="71"/>
      <c r="SY70" s="71"/>
      <c r="SZ70" s="71"/>
      <c r="TA70" s="71"/>
      <c r="TB70" s="71"/>
      <c r="TC70" s="71"/>
      <c r="TD70" s="71"/>
      <c r="TE70" s="71"/>
      <c r="TF70" s="71"/>
      <c r="TG70" s="71"/>
      <c r="TH70" s="71"/>
      <c r="TI70" s="71"/>
      <c r="TJ70" s="71"/>
      <c r="TK70" s="71"/>
      <c r="TL70" s="71"/>
      <c r="TM70" s="71"/>
      <c r="TN70" s="71"/>
      <c r="TO70" s="71"/>
      <c r="TP70" s="71"/>
      <c r="TQ70" s="71"/>
      <c r="TR70" s="71"/>
      <c r="TS70" s="71"/>
      <c r="TT70" s="71"/>
      <c r="TU70" s="71"/>
      <c r="TV70" s="71"/>
      <c r="TW70" s="71"/>
      <c r="TX70" s="71"/>
      <c r="TY70" s="71"/>
      <c r="TZ70" s="71"/>
      <c r="UA70" s="71"/>
      <c r="UB70" s="71"/>
      <c r="UC70" s="71"/>
      <c r="UD70" s="71"/>
      <c r="UE70" s="71"/>
      <c r="UF70" s="71"/>
      <c r="UG70" s="71"/>
      <c r="UH70" s="71"/>
      <c r="UI70" s="71"/>
      <c r="UJ70" s="71"/>
      <c r="UK70" s="71"/>
      <c r="UL70" s="71"/>
      <c r="UM70" s="71"/>
      <c r="UN70" s="71"/>
      <c r="UO70" s="71"/>
      <c r="UP70" s="71"/>
      <c r="UQ70" s="71"/>
      <c r="UR70" s="71"/>
      <c r="US70" s="71"/>
      <c r="UT70" s="71"/>
      <c r="UU70" s="71"/>
      <c r="UV70" s="71"/>
      <c r="UW70" s="71"/>
      <c r="UX70" s="71"/>
      <c r="UY70" s="71"/>
      <c r="UZ70" s="71"/>
      <c r="VA70" s="71"/>
      <c r="VB70" s="71"/>
      <c r="VC70" s="71"/>
      <c r="VD70" s="71"/>
      <c r="VE70" s="71"/>
      <c r="VF70" s="71"/>
      <c r="VG70" s="71"/>
      <c r="VH70" s="71"/>
      <c r="VI70" s="71"/>
      <c r="VJ70" s="71"/>
      <c r="VK70" s="71"/>
      <c r="VL70" s="71"/>
      <c r="VM70" s="71"/>
      <c r="VN70" s="71"/>
      <c r="VO70" s="71"/>
      <c r="VP70" s="71"/>
      <c r="VQ70" s="71"/>
      <c r="VR70" s="71"/>
      <c r="VS70" s="71"/>
      <c r="VT70" s="71"/>
      <c r="VU70" s="71"/>
      <c r="VV70" s="71"/>
      <c r="VW70" s="71"/>
      <c r="VX70" s="71"/>
      <c r="VY70" s="71"/>
      <c r="VZ70" s="71"/>
      <c r="WA70" s="71"/>
      <c r="WB70" s="71"/>
      <c r="WC70" s="71"/>
      <c r="WD70" s="71"/>
      <c r="WE70" s="71"/>
      <c r="WF70" s="71"/>
      <c r="WG70" s="71"/>
      <c r="WH70" s="71"/>
      <c r="WI70" s="71"/>
      <c r="WJ70" s="71"/>
      <c r="WK70" s="71"/>
      <c r="WL70" s="71"/>
      <c r="WM70" s="71"/>
      <c r="WN70" s="71"/>
      <c r="WO70" s="71"/>
      <c r="WP70" s="71"/>
      <c r="WQ70" s="71"/>
      <c r="WR70" s="71"/>
      <c r="WS70" s="71"/>
      <c r="WT70" s="71"/>
      <c r="WU70" s="71"/>
      <c r="WV70" s="71"/>
      <c r="WW70" s="71"/>
      <c r="WX70" s="71"/>
      <c r="WY70" s="71"/>
      <c r="WZ70" s="71"/>
      <c r="XA70" s="71"/>
      <c r="XB70" s="71"/>
      <c r="XC70" s="71"/>
      <c r="XD70" s="71"/>
      <c r="XE70" s="71"/>
      <c r="XF70" s="71"/>
      <c r="XG70" s="71"/>
      <c r="XH70" s="71"/>
      <c r="XI70" s="71"/>
      <c r="XJ70" s="71"/>
      <c r="XK70" s="71"/>
      <c r="XL70" s="71"/>
      <c r="XM70" s="71"/>
      <c r="XN70" s="71"/>
      <c r="XO70" s="71"/>
      <c r="XP70" s="71"/>
      <c r="XQ70" s="71"/>
      <c r="XR70" s="71"/>
      <c r="XS70" s="71"/>
      <c r="XT70" s="71"/>
      <c r="XU70" s="71"/>
      <c r="XV70" s="71"/>
      <c r="XW70" s="71"/>
      <c r="XX70" s="71"/>
      <c r="XY70" s="71"/>
      <c r="XZ70" s="71"/>
      <c r="YA70" s="71"/>
      <c r="YB70" s="71"/>
      <c r="YC70" s="71"/>
      <c r="YD70" s="71"/>
      <c r="YE70" s="71"/>
      <c r="YF70" s="71"/>
      <c r="YG70" s="71"/>
      <c r="YH70" s="71"/>
      <c r="YI70" s="71"/>
      <c r="YJ70" s="71"/>
      <c r="YK70" s="71"/>
      <c r="YL70" s="71"/>
      <c r="YM70" s="71"/>
      <c r="YN70" s="71"/>
      <c r="YO70" s="71"/>
      <c r="YP70" s="71"/>
      <c r="YQ70" s="71"/>
      <c r="YR70" s="71"/>
      <c r="YS70" s="71"/>
      <c r="YT70" s="71"/>
      <c r="YU70" s="71"/>
      <c r="YV70" s="71"/>
      <c r="YW70" s="71"/>
      <c r="YX70" s="71"/>
      <c r="YY70" s="71"/>
      <c r="YZ70" s="71"/>
      <c r="ZA70" s="71"/>
      <c r="ZB70" s="71"/>
      <c r="ZC70" s="71"/>
      <c r="ZD70" s="71"/>
      <c r="ZE70" s="71"/>
      <c r="ZF70" s="71"/>
      <c r="ZG70" s="71"/>
      <c r="ZH70" s="71"/>
      <c r="ZI70" s="71"/>
      <c r="ZJ70" s="71"/>
      <c r="ZK70" s="71"/>
      <c r="ZL70" s="71"/>
      <c r="ZM70" s="71"/>
      <c r="ZN70" s="71"/>
      <c r="ZO70" s="71"/>
      <c r="ZP70" s="71"/>
      <c r="ZQ70" s="71"/>
      <c r="ZR70" s="71"/>
      <c r="ZS70" s="71"/>
      <c r="ZT70" s="71"/>
      <c r="ZU70" s="71"/>
      <c r="ZV70" s="71"/>
      <c r="ZW70" s="71"/>
      <c r="ZX70" s="71"/>
      <c r="ZY70" s="71"/>
      <c r="ZZ70" s="71"/>
      <c r="AAA70" s="71"/>
      <c r="AAB70" s="71"/>
      <c r="AAC70" s="71"/>
      <c r="AAD70" s="71"/>
      <c r="AAE70" s="71"/>
      <c r="AAF70" s="71"/>
      <c r="AAG70" s="71"/>
      <c r="AAH70" s="71"/>
      <c r="AAI70" s="71"/>
      <c r="AAJ70" s="71"/>
      <c r="AAK70" s="71"/>
      <c r="AAL70" s="71"/>
      <c r="AAM70" s="71"/>
      <c r="AAN70" s="71"/>
      <c r="AAO70" s="71"/>
      <c r="AAP70" s="71"/>
      <c r="AAQ70" s="71"/>
      <c r="AAR70" s="71"/>
      <c r="AAS70" s="71"/>
      <c r="AAT70" s="71"/>
      <c r="AAU70" s="71"/>
      <c r="AAV70" s="71"/>
      <c r="AAW70" s="71"/>
      <c r="AAX70" s="71"/>
      <c r="AAY70" s="71"/>
      <c r="AAZ70" s="71"/>
      <c r="ABA70" s="71"/>
      <c r="ABB70" s="71"/>
      <c r="ABC70" s="71"/>
      <c r="ABD70" s="71"/>
      <c r="ABE70" s="71"/>
      <c r="ABF70" s="71"/>
      <c r="ABG70" s="71"/>
      <c r="ABH70" s="71"/>
      <c r="ABI70" s="71"/>
      <c r="ABJ70" s="71"/>
      <c r="ABK70" s="71"/>
      <c r="ABL70" s="71"/>
      <c r="ABM70" s="71"/>
      <c r="ABN70" s="71"/>
      <c r="ABO70" s="71"/>
      <c r="ABP70" s="71"/>
      <c r="ABQ70" s="71"/>
      <c r="ABR70" s="71"/>
      <c r="ABS70" s="71"/>
      <c r="ABT70" s="71"/>
      <c r="ABU70" s="71"/>
      <c r="ABV70" s="71"/>
      <c r="ABW70" s="71"/>
      <c r="ABX70" s="71"/>
      <c r="ABY70" s="71"/>
      <c r="ABZ70" s="71"/>
      <c r="ACA70" s="71"/>
      <c r="ACB70" s="71"/>
      <c r="ACC70" s="71"/>
      <c r="ACD70" s="71"/>
      <c r="ACE70" s="71"/>
      <c r="ACF70" s="71"/>
      <c r="ACG70" s="71"/>
      <c r="ACH70" s="71"/>
      <c r="ACI70" s="71"/>
      <c r="ACJ70" s="71"/>
      <c r="ACK70" s="71"/>
      <c r="ACL70" s="71"/>
      <c r="ACM70" s="71"/>
      <c r="ACN70" s="71"/>
      <c r="ACO70" s="71"/>
      <c r="ACP70" s="71"/>
      <c r="ACQ70" s="71"/>
      <c r="ACR70" s="71"/>
      <c r="ACS70" s="71"/>
      <c r="ACT70" s="71"/>
      <c r="ACU70" s="71"/>
      <c r="ACV70" s="71"/>
      <c r="ACW70" s="71"/>
      <c r="ACX70" s="71"/>
      <c r="ACY70" s="71"/>
      <c r="ACZ70" s="71"/>
      <c r="ADA70" s="71"/>
      <c r="ADB70" s="71"/>
      <c r="ADC70" s="71"/>
      <c r="ADD70" s="71"/>
      <c r="ADE70" s="71"/>
      <c r="ADF70" s="71"/>
      <c r="ADG70" s="71"/>
      <c r="ADH70" s="71"/>
      <c r="ADI70" s="71"/>
      <c r="ADJ70" s="71"/>
      <c r="ADK70" s="71"/>
      <c r="ADL70" s="71"/>
      <c r="ADM70" s="71"/>
      <c r="ADN70" s="71"/>
      <c r="ADO70" s="71"/>
      <c r="ADP70" s="71"/>
      <c r="ADQ70" s="71"/>
      <c r="ADR70" s="71"/>
      <c r="ADS70" s="71"/>
      <c r="ADT70" s="71"/>
      <c r="ADU70" s="71"/>
      <c r="ADV70" s="71"/>
      <c r="ADW70" s="71"/>
      <c r="ADX70" s="71"/>
      <c r="ADY70" s="71"/>
      <c r="ADZ70" s="71"/>
      <c r="AEA70" s="71"/>
      <c r="AEB70" s="71"/>
      <c r="AEC70" s="71"/>
      <c r="AED70" s="71"/>
      <c r="AEE70" s="71"/>
      <c r="AEF70" s="71"/>
      <c r="AEG70" s="71"/>
      <c r="AEH70" s="71"/>
      <c r="AEI70" s="71"/>
      <c r="AEJ70" s="71"/>
      <c r="AEK70" s="71"/>
      <c r="AEL70" s="71"/>
      <c r="AEM70" s="71"/>
      <c r="AEN70" s="71"/>
      <c r="AEO70" s="71"/>
      <c r="AEP70" s="71"/>
      <c r="AEQ70" s="71"/>
      <c r="AER70" s="71"/>
      <c r="AES70" s="71"/>
      <c r="AET70" s="71"/>
      <c r="AEU70" s="71"/>
      <c r="AEV70" s="71"/>
      <c r="AEW70" s="71"/>
      <c r="AEX70" s="71"/>
      <c r="AEY70" s="71"/>
      <c r="AEZ70" s="71"/>
      <c r="AFA70" s="71"/>
      <c r="AFB70" s="71"/>
      <c r="AFC70" s="71"/>
      <c r="AFD70" s="71"/>
      <c r="AFE70" s="71"/>
      <c r="AFF70" s="71"/>
      <c r="AFG70" s="71"/>
      <c r="AFH70" s="71"/>
      <c r="AFI70" s="71"/>
      <c r="AFJ70" s="71"/>
      <c r="AFK70" s="71"/>
      <c r="AFL70" s="71"/>
      <c r="AFM70" s="71"/>
      <c r="AFN70" s="71"/>
      <c r="AFO70" s="71"/>
      <c r="AFP70" s="71"/>
      <c r="AFQ70" s="71"/>
      <c r="AFR70" s="71"/>
      <c r="AFS70" s="71"/>
      <c r="AFT70" s="71"/>
      <c r="AFU70" s="71"/>
      <c r="AFV70" s="71"/>
      <c r="AFW70" s="71"/>
      <c r="AFX70" s="71"/>
      <c r="AFY70" s="71"/>
      <c r="AFZ70" s="71"/>
      <c r="AGA70" s="71"/>
      <c r="AGB70" s="71"/>
      <c r="AGC70" s="71"/>
      <c r="AGD70" s="71"/>
      <c r="AGE70" s="71"/>
      <c r="AGF70" s="71"/>
      <c r="AGG70" s="71"/>
      <c r="AGH70" s="71"/>
      <c r="AGI70" s="71"/>
      <c r="AGJ70" s="71"/>
      <c r="AGK70" s="71"/>
      <c r="AGL70" s="71"/>
      <c r="AGM70" s="71"/>
      <c r="AGN70" s="71"/>
      <c r="AGO70" s="71"/>
      <c r="AGP70" s="71"/>
      <c r="AGQ70" s="71"/>
      <c r="AGR70" s="71"/>
      <c r="AGS70" s="71"/>
      <c r="AGT70" s="71"/>
      <c r="AGU70" s="71"/>
      <c r="AGV70" s="71"/>
      <c r="AGW70" s="71"/>
      <c r="AGX70" s="71"/>
      <c r="AGY70" s="71"/>
      <c r="AGZ70" s="71"/>
      <c r="AHA70" s="71"/>
      <c r="AHB70" s="71"/>
      <c r="AHC70" s="71"/>
      <c r="AHD70" s="71"/>
      <c r="AHE70" s="71"/>
      <c r="AHF70" s="71"/>
      <c r="AHG70" s="71"/>
      <c r="AHH70" s="71"/>
      <c r="AHI70" s="71"/>
      <c r="AHJ70" s="71"/>
      <c r="AHK70" s="71"/>
      <c r="AHL70" s="71"/>
      <c r="AHM70" s="71"/>
      <c r="AHN70" s="71"/>
      <c r="AHO70" s="71"/>
      <c r="AHP70" s="71"/>
      <c r="AHQ70" s="71"/>
      <c r="AHR70" s="71"/>
      <c r="AHS70" s="71"/>
      <c r="AHT70" s="71"/>
      <c r="AHU70" s="71"/>
      <c r="AHV70" s="71"/>
      <c r="AHW70" s="71"/>
      <c r="AHX70" s="71"/>
      <c r="AHY70" s="71"/>
      <c r="AHZ70" s="71"/>
      <c r="AIA70" s="71"/>
      <c r="AIB70" s="71"/>
      <c r="AIC70" s="71"/>
      <c r="AID70" s="71"/>
      <c r="AIE70" s="71"/>
      <c r="AIF70" s="71"/>
      <c r="AIG70" s="71"/>
      <c r="AIH70" s="71"/>
      <c r="AII70" s="71"/>
      <c r="AIJ70" s="71"/>
      <c r="AIK70" s="71"/>
      <c r="AIL70" s="71"/>
      <c r="AIM70" s="71"/>
      <c r="AIN70" s="71"/>
      <c r="AIO70" s="71"/>
      <c r="AIP70" s="71"/>
      <c r="AIQ70" s="71"/>
      <c r="AIR70" s="71"/>
      <c r="AIS70" s="71"/>
      <c r="AIT70" s="71"/>
      <c r="AIU70" s="71"/>
      <c r="AIV70" s="71"/>
      <c r="AIW70" s="71"/>
      <c r="AIX70" s="71"/>
      <c r="AIY70" s="71"/>
      <c r="AIZ70" s="71"/>
      <c r="AJA70" s="71"/>
      <c r="AJB70" s="71"/>
      <c r="AJC70" s="71"/>
      <c r="AJD70" s="71"/>
      <c r="AJE70" s="71"/>
      <c r="AJF70" s="71"/>
      <c r="AJG70" s="71"/>
      <c r="AJH70" s="71"/>
      <c r="AJI70" s="71"/>
      <c r="AJJ70" s="71"/>
      <c r="AJK70" s="71"/>
      <c r="AJL70" s="71"/>
      <c r="AJM70" s="71"/>
      <c r="AJN70" s="71"/>
      <c r="AJO70" s="71"/>
      <c r="AJP70" s="71"/>
      <c r="AJQ70" s="71"/>
      <c r="AJR70" s="71"/>
      <c r="AJS70" s="71"/>
      <c r="AJT70" s="71"/>
      <c r="AJU70" s="71"/>
      <c r="AJV70" s="71"/>
      <c r="AJW70" s="71"/>
      <c r="AJX70" s="71"/>
      <c r="AJY70" s="71"/>
      <c r="AJZ70" s="71"/>
      <c r="AKA70" s="71"/>
      <c r="AKB70" s="71"/>
      <c r="AKC70" s="71"/>
      <c r="AKD70" s="71"/>
      <c r="AKE70" s="71"/>
      <c r="AKF70" s="71"/>
      <c r="AKG70" s="71"/>
      <c r="AKH70" s="71"/>
      <c r="AKI70" s="71"/>
      <c r="AKJ70" s="71"/>
      <c r="AKK70" s="71"/>
      <c r="AKL70" s="71"/>
      <c r="AKM70" s="71"/>
      <c r="AKN70" s="71"/>
      <c r="AKO70" s="71"/>
      <c r="AKP70" s="71"/>
      <c r="AKQ70" s="71"/>
      <c r="AKR70" s="71"/>
      <c r="AKS70" s="71"/>
      <c r="AKT70" s="71"/>
      <c r="AKU70" s="71"/>
      <c r="AKV70" s="71"/>
      <c r="AKW70" s="71"/>
      <c r="AKX70" s="71"/>
      <c r="AKY70" s="71"/>
      <c r="AKZ70" s="71"/>
      <c r="ALA70" s="71"/>
      <c r="ALB70" s="71"/>
      <c r="ALC70" s="71"/>
      <c r="ALD70" s="71"/>
      <c r="ALE70" s="71"/>
      <c r="ALF70" s="71"/>
      <c r="ALG70" s="71"/>
      <c r="ALH70" s="71"/>
      <c r="ALI70" s="71"/>
      <c r="ALJ70" s="71"/>
      <c r="ALK70" s="71"/>
      <c r="ALL70" s="71"/>
      <c r="ALM70" s="71"/>
      <c r="ALN70" s="71"/>
      <c r="ALO70" s="71"/>
      <c r="ALP70" s="71"/>
      <c r="ALQ70" s="71"/>
      <c r="ALR70" s="71"/>
      <c r="ALS70" s="71"/>
      <c r="ALT70" s="71"/>
      <c r="ALU70" s="71"/>
      <c r="ALV70" s="71"/>
      <c r="ALW70" s="71"/>
      <c r="ALX70" s="71"/>
      <c r="ALY70" s="71"/>
      <c r="ALZ70" s="71"/>
      <c r="AMA70" s="71"/>
      <c r="AMB70" s="71"/>
      <c r="AMC70" s="71"/>
      <c r="AMD70" s="71"/>
      <c r="AME70" s="71"/>
      <c r="AMF70" s="71"/>
      <c r="AMG70" s="71"/>
      <c r="AMH70" s="71"/>
      <c r="AMI70" s="71"/>
      <c r="AMJ70" s="71"/>
      <c r="AMK70" s="71"/>
    </row>
    <row r="71" spans="1:1025" customFormat="1" ht="46.8">
      <c r="A71" s="100">
        <v>4</v>
      </c>
      <c r="B71" s="95" t="s">
        <v>414</v>
      </c>
      <c r="C71" s="95" t="s">
        <v>415</v>
      </c>
      <c r="D71" s="101" t="s">
        <v>416</v>
      </c>
      <c r="E71" s="101">
        <v>14333937</v>
      </c>
      <c r="F71" s="102" t="s">
        <v>417</v>
      </c>
      <c r="G71" s="102" t="s">
        <v>26</v>
      </c>
      <c r="H71" s="102" t="s">
        <v>418</v>
      </c>
      <c r="I71" s="102" t="s">
        <v>419</v>
      </c>
      <c r="J71" s="102" t="s">
        <v>420</v>
      </c>
      <c r="K71" s="96" t="s">
        <v>421</v>
      </c>
      <c r="L71" s="101" t="s">
        <v>408</v>
      </c>
      <c r="M71" s="101" t="s">
        <v>422</v>
      </c>
      <c r="N71" s="103">
        <v>39933</v>
      </c>
      <c r="O71" s="101">
        <v>30</v>
      </c>
      <c r="P71" s="101" t="s">
        <v>423</v>
      </c>
      <c r="Q71" s="101">
        <v>2009</v>
      </c>
      <c r="R71" s="101">
        <v>30</v>
      </c>
      <c r="S71" s="101" t="s">
        <v>423</v>
      </c>
      <c r="T71" s="101">
        <v>2018</v>
      </c>
      <c r="U71" s="103">
        <v>42460</v>
      </c>
      <c r="V71" s="101" t="s">
        <v>424</v>
      </c>
      <c r="W71" s="101">
        <v>32</v>
      </c>
      <c r="X71" s="101">
        <v>156.09</v>
      </c>
      <c r="Y71" s="101">
        <v>1411.67</v>
      </c>
      <c r="Z71" s="101" t="s">
        <v>3</v>
      </c>
      <c r="AA71" s="101" t="s">
        <v>3</v>
      </c>
      <c r="AB71" s="104"/>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c r="MU71" s="71"/>
      <c r="MV71" s="71"/>
      <c r="MW71" s="71"/>
      <c r="MX71" s="71"/>
      <c r="MY71" s="71"/>
      <c r="MZ71" s="71"/>
      <c r="NA71" s="71"/>
      <c r="NB71" s="71"/>
      <c r="NC71" s="71"/>
      <c r="ND71" s="71"/>
      <c r="NE71" s="71"/>
      <c r="NF71" s="71"/>
      <c r="NG71" s="71"/>
      <c r="NH71" s="71"/>
      <c r="NI71" s="71"/>
      <c r="NJ71" s="71"/>
      <c r="NK71" s="71"/>
      <c r="NL71" s="71"/>
      <c r="NM71" s="71"/>
      <c r="NN71" s="71"/>
      <c r="NO71" s="71"/>
      <c r="NP71" s="71"/>
      <c r="NQ71" s="71"/>
      <c r="NR71" s="71"/>
      <c r="NS71" s="71"/>
      <c r="NT71" s="71"/>
      <c r="NU71" s="71"/>
      <c r="NV71" s="71"/>
      <c r="NW71" s="71"/>
      <c r="NX71" s="71"/>
      <c r="NY71" s="71"/>
      <c r="NZ71" s="71"/>
      <c r="OA71" s="71"/>
      <c r="OB71" s="71"/>
      <c r="OC71" s="71"/>
      <c r="OD71" s="71"/>
      <c r="OE71" s="71"/>
      <c r="OF71" s="71"/>
      <c r="OG71" s="71"/>
      <c r="OH71" s="71"/>
      <c r="OI71" s="71"/>
      <c r="OJ71" s="71"/>
      <c r="OK71" s="71"/>
      <c r="OL71" s="71"/>
      <c r="OM71" s="71"/>
      <c r="ON71" s="71"/>
      <c r="OO71" s="71"/>
      <c r="OP71" s="71"/>
      <c r="OQ71" s="71"/>
      <c r="OR71" s="71"/>
      <c r="OS71" s="71"/>
      <c r="OT71" s="71"/>
      <c r="OU71" s="71"/>
      <c r="OV71" s="71"/>
      <c r="OW71" s="71"/>
      <c r="OX71" s="71"/>
      <c r="OY71" s="71"/>
      <c r="OZ71" s="71"/>
      <c r="PA71" s="71"/>
      <c r="PB71" s="71"/>
      <c r="PC71" s="71"/>
      <c r="PD71" s="71"/>
      <c r="PE71" s="71"/>
      <c r="PF71" s="71"/>
      <c r="PG71" s="71"/>
      <c r="PH71" s="71"/>
      <c r="PI71" s="71"/>
      <c r="PJ71" s="71"/>
      <c r="PK71" s="71"/>
      <c r="PL71" s="71"/>
      <c r="PM71" s="71"/>
      <c r="PN71" s="71"/>
      <c r="PO71" s="71"/>
      <c r="PP71" s="71"/>
      <c r="PQ71" s="71"/>
      <c r="PR71" s="71"/>
      <c r="PS71" s="71"/>
      <c r="PT71" s="71"/>
      <c r="PU71" s="71"/>
      <c r="PV71" s="71"/>
      <c r="PW71" s="71"/>
      <c r="PX71" s="71"/>
      <c r="PY71" s="71"/>
      <c r="PZ71" s="71"/>
      <c r="QA71" s="71"/>
      <c r="QB71" s="71"/>
      <c r="QC71" s="71"/>
      <c r="QD71" s="71"/>
      <c r="QE71" s="71"/>
      <c r="QF71" s="71"/>
      <c r="QG71" s="71"/>
      <c r="QH71" s="71"/>
      <c r="QI71" s="71"/>
      <c r="QJ71" s="71"/>
      <c r="QK71" s="71"/>
      <c r="QL71" s="71"/>
      <c r="QM71" s="71"/>
      <c r="QN71" s="71"/>
      <c r="QO71" s="71"/>
      <c r="QP71" s="71"/>
      <c r="QQ71" s="71"/>
      <c r="QR71" s="71"/>
      <c r="QS71" s="71"/>
      <c r="QT71" s="71"/>
      <c r="QU71" s="71"/>
      <c r="QV71" s="71"/>
      <c r="QW71" s="71"/>
      <c r="QX71" s="71"/>
      <c r="QY71" s="71"/>
      <c r="QZ71" s="71"/>
      <c r="RA71" s="71"/>
      <c r="RB71" s="71"/>
      <c r="RC71" s="71"/>
      <c r="RD71" s="71"/>
      <c r="RE71" s="71"/>
      <c r="RF71" s="71"/>
      <c r="RG71" s="71"/>
      <c r="RH71" s="71"/>
      <c r="RI71" s="71"/>
      <c r="RJ71" s="71"/>
      <c r="RK71" s="71"/>
      <c r="RL71" s="71"/>
      <c r="RM71" s="71"/>
      <c r="RN71" s="71"/>
      <c r="RO71" s="71"/>
      <c r="RP71" s="71"/>
      <c r="RQ71" s="71"/>
      <c r="RR71" s="71"/>
      <c r="RS71" s="71"/>
      <c r="RT71" s="71"/>
      <c r="RU71" s="71"/>
      <c r="RV71" s="71"/>
      <c r="RW71" s="71"/>
      <c r="RX71" s="71"/>
      <c r="RY71" s="71"/>
      <c r="RZ71" s="71"/>
      <c r="SA71" s="71"/>
      <c r="SB71" s="71"/>
      <c r="SC71" s="71"/>
      <c r="SD71" s="71"/>
      <c r="SE71" s="71"/>
      <c r="SF71" s="71"/>
      <c r="SG71" s="71"/>
      <c r="SH71" s="71"/>
      <c r="SI71" s="71"/>
      <c r="SJ71" s="71"/>
      <c r="SK71" s="71"/>
      <c r="SL71" s="71"/>
      <c r="SM71" s="71"/>
      <c r="SN71" s="71"/>
      <c r="SO71" s="71"/>
      <c r="SP71" s="71"/>
      <c r="SQ71" s="71"/>
      <c r="SR71" s="71"/>
      <c r="SS71" s="71"/>
      <c r="ST71" s="71"/>
      <c r="SU71" s="71"/>
      <c r="SV71" s="71"/>
      <c r="SW71" s="71"/>
      <c r="SX71" s="71"/>
      <c r="SY71" s="71"/>
      <c r="SZ71" s="71"/>
      <c r="TA71" s="71"/>
      <c r="TB71" s="71"/>
      <c r="TC71" s="71"/>
      <c r="TD71" s="71"/>
      <c r="TE71" s="71"/>
      <c r="TF71" s="71"/>
      <c r="TG71" s="71"/>
      <c r="TH71" s="71"/>
      <c r="TI71" s="71"/>
      <c r="TJ71" s="71"/>
      <c r="TK71" s="71"/>
      <c r="TL71" s="71"/>
      <c r="TM71" s="71"/>
      <c r="TN71" s="71"/>
      <c r="TO71" s="71"/>
      <c r="TP71" s="71"/>
      <c r="TQ71" s="71"/>
      <c r="TR71" s="71"/>
      <c r="TS71" s="71"/>
      <c r="TT71" s="71"/>
      <c r="TU71" s="71"/>
      <c r="TV71" s="71"/>
      <c r="TW71" s="71"/>
      <c r="TX71" s="71"/>
      <c r="TY71" s="71"/>
      <c r="TZ71" s="71"/>
      <c r="UA71" s="71"/>
      <c r="UB71" s="71"/>
      <c r="UC71" s="71"/>
      <c r="UD71" s="71"/>
      <c r="UE71" s="71"/>
      <c r="UF71" s="71"/>
      <c r="UG71" s="71"/>
      <c r="UH71" s="71"/>
      <c r="UI71" s="71"/>
      <c r="UJ71" s="71"/>
      <c r="UK71" s="71"/>
      <c r="UL71" s="71"/>
      <c r="UM71" s="71"/>
      <c r="UN71" s="71"/>
      <c r="UO71" s="71"/>
      <c r="UP71" s="71"/>
      <c r="UQ71" s="71"/>
      <c r="UR71" s="71"/>
      <c r="US71" s="71"/>
      <c r="UT71" s="71"/>
      <c r="UU71" s="71"/>
      <c r="UV71" s="71"/>
      <c r="UW71" s="71"/>
      <c r="UX71" s="71"/>
      <c r="UY71" s="71"/>
      <c r="UZ71" s="71"/>
      <c r="VA71" s="71"/>
      <c r="VB71" s="71"/>
      <c r="VC71" s="71"/>
      <c r="VD71" s="71"/>
      <c r="VE71" s="71"/>
      <c r="VF71" s="71"/>
      <c r="VG71" s="71"/>
      <c r="VH71" s="71"/>
      <c r="VI71" s="71"/>
      <c r="VJ71" s="71"/>
      <c r="VK71" s="71"/>
      <c r="VL71" s="71"/>
      <c r="VM71" s="71"/>
      <c r="VN71" s="71"/>
      <c r="VO71" s="71"/>
      <c r="VP71" s="71"/>
      <c r="VQ71" s="71"/>
      <c r="VR71" s="71"/>
      <c r="VS71" s="71"/>
      <c r="VT71" s="71"/>
      <c r="VU71" s="71"/>
      <c r="VV71" s="71"/>
      <c r="VW71" s="71"/>
      <c r="VX71" s="71"/>
      <c r="VY71" s="71"/>
      <c r="VZ71" s="71"/>
      <c r="WA71" s="71"/>
      <c r="WB71" s="71"/>
      <c r="WC71" s="71"/>
      <c r="WD71" s="71"/>
      <c r="WE71" s="71"/>
      <c r="WF71" s="71"/>
      <c r="WG71" s="71"/>
      <c r="WH71" s="71"/>
      <c r="WI71" s="71"/>
      <c r="WJ71" s="71"/>
      <c r="WK71" s="71"/>
      <c r="WL71" s="71"/>
      <c r="WM71" s="71"/>
      <c r="WN71" s="71"/>
      <c r="WO71" s="71"/>
      <c r="WP71" s="71"/>
      <c r="WQ71" s="71"/>
      <c r="WR71" s="71"/>
      <c r="WS71" s="71"/>
      <c r="WT71" s="71"/>
      <c r="WU71" s="71"/>
      <c r="WV71" s="71"/>
      <c r="WW71" s="71"/>
      <c r="WX71" s="71"/>
      <c r="WY71" s="71"/>
      <c r="WZ71" s="71"/>
      <c r="XA71" s="71"/>
      <c r="XB71" s="71"/>
      <c r="XC71" s="71"/>
      <c r="XD71" s="71"/>
      <c r="XE71" s="71"/>
      <c r="XF71" s="71"/>
      <c r="XG71" s="71"/>
      <c r="XH71" s="71"/>
      <c r="XI71" s="71"/>
      <c r="XJ71" s="71"/>
      <c r="XK71" s="71"/>
      <c r="XL71" s="71"/>
      <c r="XM71" s="71"/>
      <c r="XN71" s="71"/>
      <c r="XO71" s="71"/>
      <c r="XP71" s="71"/>
      <c r="XQ71" s="71"/>
      <c r="XR71" s="71"/>
      <c r="XS71" s="71"/>
      <c r="XT71" s="71"/>
      <c r="XU71" s="71"/>
      <c r="XV71" s="71"/>
      <c r="XW71" s="71"/>
      <c r="XX71" s="71"/>
      <c r="XY71" s="71"/>
      <c r="XZ71" s="71"/>
      <c r="YA71" s="71"/>
      <c r="YB71" s="71"/>
      <c r="YC71" s="71"/>
      <c r="YD71" s="71"/>
      <c r="YE71" s="71"/>
      <c r="YF71" s="71"/>
      <c r="YG71" s="71"/>
      <c r="YH71" s="71"/>
      <c r="YI71" s="71"/>
      <c r="YJ71" s="71"/>
      <c r="YK71" s="71"/>
      <c r="YL71" s="71"/>
      <c r="YM71" s="71"/>
      <c r="YN71" s="71"/>
      <c r="YO71" s="71"/>
      <c r="YP71" s="71"/>
      <c r="YQ71" s="71"/>
      <c r="YR71" s="71"/>
      <c r="YS71" s="71"/>
      <c r="YT71" s="71"/>
      <c r="YU71" s="71"/>
      <c r="YV71" s="71"/>
      <c r="YW71" s="71"/>
      <c r="YX71" s="71"/>
      <c r="YY71" s="71"/>
      <c r="YZ71" s="71"/>
      <c r="ZA71" s="71"/>
      <c r="ZB71" s="71"/>
      <c r="ZC71" s="71"/>
      <c r="ZD71" s="71"/>
      <c r="ZE71" s="71"/>
      <c r="ZF71" s="71"/>
      <c r="ZG71" s="71"/>
      <c r="ZH71" s="71"/>
      <c r="ZI71" s="71"/>
      <c r="ZJ71" s="71"/>
      <c r="ZK71" s="71"/>
      <c r="ZL71" s="71"/>
      <c r="ZM71" s="71"/>
      <c r="ZN71" s="71"/>
      <c r="ZO71" s="71"/>
      <c r="ZP71" s="71"/>
      <c r="ZQ71" s="71"/>
      <c r="ZR71" s="71"/>
      <c r="ZS71" s="71"/>
      <c r="ZT71" s="71"/>
      <c r="ZU71" s="71"/>
      <c r="ZV71" s="71"/>
      <c r="ZW71" s="71"/>
      <c r="ZX71" s="71"/>
      <c r="ZY71" s="71"/>
      <c r="ZZ71" s="71"/>
      <c r="AAA71" s="71"/>
      <c r="AAB71" s="71"/>
      <c r="AAC71" s="71"/>
      <c r="AAD71" s="71"/>
      <c r="AAE71" s="71"/>
      <c r="AAF71" s="71"/>
      <c r="AAG71" s="71"/>
      <c r="AAH71" s="71"/>
      <c r="AAI71" s="71"/>
      <c r="AAJ71" s="71"/>
      <c r="AAK71" s="71"/>
      <c r="AAL71" s="71"/>
      <c r="AAM71" s="71"/>
      <c r="AAN71" s="71"/>
      <c r="AAO71" s="71"/>
      <c r="AAP71" s="71"/>
      <c r="AAQ71" s="71"/>
      <c r="AAR71" s="71"/>
      <c r="AAS71" s="71"/>
      <c r="AAT71" s="71"/>
      <c r="AAU71" s="71"/>
      <c r="AAV71" s="71"/>
      <c r="AAW71" s="71"/>
      <c r="AAX71" s="71"/>
      <c r="AAY71" s="71"/>
      <c r="AAZ71" s="71"/>
      <c r="ABA71" s="71"/>
      <c r="ABB71" s="71"/>
      <c r="ABC71" s="71"/>
      <c r="ABD71" s="71"/>
      <c r="ABE71" s="71"/>
      <c r="ABF71" s="71"/>
      <c r="ABG71" s="71"/>
      <c r="ABH71" s="71"/>
      <c r="ABI71" s="71"/>
      <c r="ABJ71" s="71"/>
      <c r="ABK71" s="71"/>
      <c r="ABL71" s="71"/>
      <c r="ABM71" s="71"/>
      <c r="ABN71" s="71"/>
      <c r="ABO71" s="71"/>
      <c r="ABP71" s="71"/>
      <c r="ABQ71" s="71"/>
      <c r="ABR71" s="71"/>
      <c r="ABS71" s="71"/>
      <c r="ABT71" s="71"/>
      <c r="ABU71" s="71"/>
      <c r="ABV71" s="71"/>
      <c r="ABW71" s="71"/>
      <c r="ABX71" s="71"/>
      <c r="ABY71" s="71"/>
      <c r="ABZ71" s="71"/>
      <c r="ACA71" s="71"/>
      <c r="ACB71" s="71"/>
      <c r="ACC71" s="71"/>
      <c r="ACD71" s="71"/>
      <c r="ACE71" s="71"/>
      <c r="ACF71" s="71"/>
      <c r="ACG71" s="71"/>
      <c r="ACH71" s="71"/>
      <c r="ACI71" s="71"/>
      <c r="ACJ71" s="71"/>
      <c r="ACK71" s="71"/>
      <c r="ACL71" s="71"/>
      <c r="ACM71" s="71"/>
      <c r="ACN71" s="71"/>
      <c r="ACO71" s="71"/>
      <c r="ACP71" s="71"/>
      <c r="ACQ71" s="71"/>
      <c r="ACR71" s="71"/>
      <c r="ACS71" s="71"/>
      <c r="ACT71" s="71"/>
      <c r="ACU71" s="71"/>
      <c r="ACV71" s="71"/>
      <c r="ACW71" s="71"/>
      <c r="ACX71" s="71"/>
      <c r="ACY71" s="71"/>
      <c r="ACZ71" s="71"/>
      <c r="ADA71" s="71"/>
      <c r="ADB71" s="71"/>
      <c r="ADC71" s="71"/>
      <c r="ADD71" s="71"/>
      <c r="ADE71" s="71"/>
      <c r="ADF71" s="71"/>
      <c r="ADG71" s="71"/>
      <c r="ADH71" s="71"/>
      <c r="ADI71" s="71"/>
      <c r="ADJ71" s="71"/>
      <c r="ADK71" s="71"/>
      <c r="ADL71" s="71"/>
      <c r="ADM71" s="71"/>
      <c r="ADN71" s="71"/>
      <c r="ADO71" s="71"/>
      <c r="ADP71" s="71"/>
      <c r="ADQ71" s="71"/>
      <c r="ADR71" s="71"/>
      <c r="ADS71" s="71"/>
      <c r="ADT71" s="71"/>
      <c r="ADU71" s="71"/>
      <c r="ADV71" s="71"/>
      <c r="ADW71" s="71"/>
      <c r="ADX71" s="71"/>
      <c r="ADY71" s="71"/>
      <c r="ADZ71" s="71"/>
      <c r="AEA71" s="71"/>
      <c r="AEB71" s="71"/>
      <c r="AEC71" s="71"/>
      <c r="AED71" s="71"/>
      <c r="AEE71" s="71"/>
      <c r="AEF71" s="71"/>
      <c r="AEG71" s="71"/>
      <c r="AEH71" s="71"/>
      <c r="AEI71" s="71"/>
      <c r="AEJ71" s="71"/>
      <c r="AEK71" s="71"/>
      <c r="AEL71" s="71"/>
      <c r="AEM71" s="71"/>
      <c r="AEN71" s="71"/>
      <c r="AEO71" s="71"/>
      <c r="AEP71" s="71"/>
      <c r="AEQ71" s="71"/>
      <c r="AER71" s="71"/>
      <c r="AES71" s="71"/>
      <c r="AET71" s="71"/>
      <c r="AEU71" s="71"/>
      <c r="AEV71" s="71"/>
      <c r="AEW71" s="71"/>
      <c r="AEX71" s="71"/>
      <c r="AEY71" s="71"/>
      <c r="AEZ71" s="71"/>
      <c r="AFA71" s="71"/>
      <c r="AFB71" s="71"/>
      <c r="AFC71" s="71"/>
      <c r="AFD71" s="71"/>
      <c r="AFE71" s="71"/>
      <c r="AFF71" s="71"/>
      <c r="AFG71" s="71"/>
      <c r="AFH71" s="71"/>
      <c r="AFI71" s="71"/>
      <c r="AFJ71" s="71"/>
      <c r="AFK71" s="71"/>
      <c r="AFL71" s="71"/>
      <c r="AFM71" s="71"/>
      <c r="AFN71" s="71"/>
      <c r="AFO71" s="71"/>
      <c r="AFP71" s="71"/>
      <c r="AFQ71" s="71"/>
      <c r="AFR71" s="71"/>
      <c r="AFS71" s="71"/>
      <c r="AFT71" s="71"/>
      <c r="AFU71" s="71"/>
      <c r="AFV71" s="71"/>
      <c r="AFW71" s="71"/>
      <c r="AFX71" s="71"/>
      <c r="AFY71" s="71"/>
      <c r="AFZ71" s="71"/>
      <c r="AGA71" s="71"/>
      <c r="AGB71" s="71"/>
      <c r="AGC71" s="71"/>
      <c r="AGD71" s="71"/>
      <c r="AGE71" s="71"/>
      <c r="AGF71" s="71"/>
      <c r="AGG71" s="71"/>
      <c r="AGH71" s="71"/>
      <c r="AGI71" s="71"/>
      <c r="AGJ71" s="71"/>
      <c r="AGK71" s="71"/>
      <c r="AGL71" s="71"/>
      <c r="AGM71" s="71"/>
      <c r="AGN71" s="71"/>
      <c r="AGO71" s="71"/>
      <c r="AGP71" s="71"/>
      <c r="AGQ71" s="71"/>
      <c r="AGR71" s="71"/>
      <c r="AGS71" s="71"/>
      <c r="AGT71" s="71"/>
      <c r="AGU71" s="71"/>
      <c r="AGV71" s="71"/>
      <c r="AGW71" s="71"/>
      <c r="AGX71" s="71"/>
      <c r="AGY71" s="71"/>
      <c r="AGZ71" s="71"/>
      <c r="AHA71" s="71"/>
      <c r="AHB71" s="71"/>
      <c r="AHC71" s="71"/>
      <c r="AHD71" s="71"/>
      <c r="AHE71" s="71"/>
      <c r="AHF71" s="71"/>
      <c r="AHG71" s="71"/>
      <c r="AHH71" s="71"/>
      <c r="AHI71" s="71"/>
      <c r="AHJ71" s="71"/>
      <c r="AHK71" s="71"/>
      <c r="AHL71" s="71"/>
      <c r="AHM71" s="71"/>
      <c r="AHN71" s="71"/>
      <c r="AHO71" s="71"/>
      <c r="AHP71" s="71"/>
      <c r="AHQ71" s="71"/>
      <c r="AHR71" s="71"/>
      <c r="AHS71" s="71"/>
      <c r="AHT71" s="71"/>
      <c r="AHU71" s="71"/>
      <c r="AHV71" s="71"/>
      <c r="AHW71" s="71"/>
      <c r="AHX71" s="71"/>
      <c r="AHY71" s="71"/>
      <c r="AHZ71" s="71"/>
      <c r="AIA71" s="71"/>
      <c r="AIB71" s="71"/>
      <c r="AIC71" s="71"/>
      <c r="AID71" s="71"/>
      <c r="AIE71" s="71"/>
      <c r="AIF71" s="71"/>
      <c r="AIG71" s="71"/>
      <c r="AIH71" s="71"/>
      <c r="AII71" s="71"/>
      <c r="AIJ71" s="71"/>
      <c r="AIK71" s="71"/>
      <c r="AIL71" s="71"/>
      <c r="AIM71" s="71"/>
      <c r="AIN71" s="71"/>
      <c r="AIO71" s="71"/>
      <c r="AIP71" s="71"/>
      <c r="AIQ71" s="71"/>
      <c r="AIR71" s="71"/>
      <c r="AIS71" s="71"/>
      <c r="AIT71" s="71"/>
      <c r="AIU71" s="71"/>
      <c r="AIV71" s="71"/>
      <c r="AIW71" s="71"/>
      <c r="AIX71" s="71"/>
      <c r="AIY71" s="71"/>
      <c r="AIZ71" s="71"/>
      <c r="AJA71" s="71"/>
      <c r="AJB71" s="71"/>
      <c r="AJC71" s="71"/>
      <c r="AJD71" s="71"/>
      <c r="AJE71" s="71"/>
      <c r="AJF71" s="71"/>
      <c r="AJG71" s="71"/>
      <c r="AJH71" s="71"/>
      <c r="AJI71" s="71"/>
      <c r="AJJ71" s="71"/>
      <c r="AJK71" s="71"/>
      <c r="AJL71" s="71"/>
      <c r="AJM71" s="71"/>
      <c r="AJN71" s="71"/>
      <c r="AJO71" s="71"/>
      <c r="AJP71" s="71"/>
      <c r="AJQ71" s="71"/>
      <c r="AJR71" s="71"/>
      <c r="AJS71" s="71"/>
      <c r="AJT71" s="71"/>
      <c r="AJU71" s="71"/>
      <c r="AJV71" s="71"/>
      <c r="AJW71" s="71"/>
      <c r="AJX71" s="71"/>
      <c r="AJY71" s="71"/>
      <c r="AJZ71" s="71"/>
      <c r="AKA71" s="71"/>
      <c r="AKB71" s="71"/>
      <c r="AKC71" s="71"/>
      <c r="AKD71" s="71"/>
      <c r="AKE71" s="71"/>
      <c r="AKF71" s="71"/>
      <c r="AKG71" s="71"/>
      <c r="AKH71" s="71"/>
      <c r="AKI71" s="71"/>
      <c r="AKJ71" s="71"/>
      <c r="AKK71" s="71"/>
      <c r="AKL71" s="71"/>
      <c r="AKM71" s="71"/>
      <c r="AKN71" s="71"/>
      <c r="AKO71" s="71"/>
      <c r="AKP71" s="71"/>
      <c r="AKQ71" s="71"/>
      <c r="AKR71" s="71"/>
      <c r="AKS71" s="71"/>
      <c r="AKT71" s="71"/>
      <c r="AKU71" s="71"/>
      <c r="AKV71" s="71"/>
      <c r="AKW71" s="71"/>
      <c r="AKX71" s="71"/>
      <c r="AKY71" s="71"/>
      <c r="AKZ71" s="71"/>
      <c r="ALA71" s="71"/>
      <c r="ALB71" s="71"/>
      <c r="ALC71" s="71"/>
      <c r="ALD71" s="71"/>
      <c r="ALE71" s="71"/>
      <c r="ALF71" s="71"/>
      <c r="ALG71" s="71"/>
      <c r="ALH71" s="71"/>
      <c r="ALI71" s="71"/>
      <c r="ALJ71" s="71"/>
      <c r="ALK71" s="71"/>
      <c r="ALL71" s="71"/>
      <c r="ALM71" s="71"/>
      <c r="ALN71" s="71"/>
      <c r="ALO71" s="71"/>
      <c r="ALP71" s="71"/>
      <c r="ALQ71" s="71"/>
      <c r="ALR71" s="71"/>
      <c r="ALS71" s="71"/>
      <c r="ALT71" s="71"/>
      <c r="ALU71" s="71"/>
      <c r="ALV71" s="71"/>
      <c r="ALW71" s="71"/>
      <c r="ALX71" s="71"/>
      <c r="ALY71" s="71"/>
      <c r="ALZ71" s="71"/>
      <c r="AMA71" s="71"/>
      <c r="AMB71" s="71"/>
      <c r="AMC71" s="71"/>
      <c r="AMD71" s="71"/>
      <c r="AME71" s="71"/>
      <c r="AMF71" s="71"/>
      <c r="AMG71" s="71"/>
      <c r="AMH71" s="71"/>
      <c r="AMI71" s="71"/>
      <c r="AMJ71" s="71"/>
      <c r="AMK71" s="71"/>
    </row>
    <row r="72" spans="1:1025" customFormat="1" ht="125.4" thickBot="1">
      <c r="A72" s="100">
        <v>5</v>
      </c>
      <c r="B72" s="95" t="s">
        <v>425</v>
      </c>
      <c r="C72" s="95" t="s">
        <v>426</v>
      </c>
      <c r="D72" s="101" t="s">
        <v>427</v>
      </c>
      <c r="E72" s="101">
        <v>25731006</v>
      </c>
      <c r="F72" s="102" t="s">
        <v>428</v>
      </c>
      <c r="G72" s="102" t="s">
        <v>379</v>
      </c>
      <c r="H72" s="102" t="s">
        <v>429</v>
      </c>
      <c r="I72" s="102" t="s">
        <v>430</v>
      </c>
      <c r="J72" s="102">
        <v>42.8</v>
      </c>
      <c r="K72" s="96" t="s">
        <v>431</v>
      </c>
      <c r="L72" s="95" t="s">
        <v>388</v>
      </c>
      <c r="M72" s="101">
        <v>218</v>
      </c>
      <c r="N72" s="103">
        <v>40542</v>
      </c>
      <c r="O72" s="101">
        <v>30</v>
      </c>
      <c r="P72" s="101" t="s">
        <v>390</v>
      </c>
      <c r="Q72" s="101">
        <v>2010</v>
      </c>
      <c r="R72" s="101">
        <v>31</v>
      </c>
      <c r="S72" s="101" t="s">
        <v>390</v>
      </c>
      <c r="T72" s="101">
        <v>2018</v>
      </c>
      <c r="U72" s="103">
        <v>41670</v>
      </c>
      <c r="V72" s="101">
        <v>16.2</v>
      </c>
      <c r="W72" s="101">
        <v>5</v>
      </c>
      <c r="X72" s="101">
        <v>16.05</v>
      </c>
      <c r="Y72" s="101">
        <v>134.38</v>
      </c>
      <c r="Z72" s="101" t="s">
        <v>3</v>
      </c>
      <c r="AA72" s="101" t="s">
        <v>3</v>
      </c>
      <c r="AB72" s="104"/>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c r="HE72" s="71"/>
      <c r="HF72" s="71"/>
      <c r="HG72" s="71"/>
      <c r="HH72" s="71"/>
      <c r="HI72" s="71"/>
      <c r="HJ72" s="71"/>
      <c r="HK72" s="71"/>
      <c r="HL72" s="71"/>
      <c r="HM72" s="71"/>
      <c r="HN72" s="71"/>
      <c r="HO72" s="71"/>
      <c r="HP72" s="71"/>
      <c r="HQ72" s="71"/>
      <c r="HR72" s="71"/>
      <c r="HS72" s="71"/>
      <c r="HT72" s="71"/>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c r="MU72" s="71"/>
      <c r="MV72" s="71"/>
      <c r="MW72" s="71"/>
      <c r="MX72" s="71"/>
      <c r="MY72" s="71"/>
      <c r="MZ72" s="71"/>
      <c r="NA72" s="71"/>
      <c r="NB72" s="71"/>
      <c r="NC72" s="71"/>
      <c r="ND72" s="71"/>
      <c r="NE72" s="71"/>
      <c r="NF72" s="71"/>
      <c r="NG72" s="71"/>
      <c r="NH72" s="71"/>
      <c r="NI72" s="71"/>
      <c r="NJ72" s="71"/>
      <c r="NK72" s="71"/>
      <c r="NL72" s="71"/>
      <c r="NM72" s="71"/>
      <c r="NN72" s="71"/>
      <c r="NO72" s="71"/>
      <c r="NP72" s="71"/>
      <c r="NQ72" s="71"/>
      <c r="NR72" s="71"/>
      <c r="NS72" s="71"/>
      <c r="NT72" s="71"/>
      <c r="NU72" s="71"/>
      <c r="NV72" s="71"/>
      <c r="NW72" s="71"/>
      <c r="NX72" s="71"/>
      <c r="NY72" s="71"/>
      <c r="NZ72" s="71"/>
      <c r="OA72" s="71"/>
      <c r="OB72" s="71"/>
      <c r="OC72" s="71"/>
      <c r="OD72" s="71"/>
      <c r="OE72" s="71"/>
      <c r="OF72" s="71"/>
      <c r="OG72" s="71"/>
      <c r="OH72" s="71"/>
      <c r="OI72" s="71"/>
      <c r="OJ72" s="71"/>
      <c r="OK72" s="71"/>
      <c r="OL72" s="71"/>
      <c r="OM72" s="71"/>
      <c r="ON72" s="71"/>
      <c r="OO72" s="71"/>
      <c r="OP72" s="71"/>
      <c r="OQ72" s="71"/>
      <c r="OR72" s="71"/>
      <c r="OS72" s="71"/>
      <c r="OT72" s="71"/>
      <c r="OU72" s="71"/>
      <c r="OV72" s="71"/>
      <c r="OW72" s="71"/>
      <c r="OX72" s="71"/>
      <c r="OY72" s="71"/>
      <c r="OZ72" s="71"/>
      <c r="PA72" s="71"/>
      <c r="PB72" s="71"/>
      <c r="PC72" s="71"/>
      <c r="PD72" s="71"/>
      <c r="PE72" s="71"/>
      <c r="PF72" s="71"/>
      <c r="PG72" s="71"/>
      <c r="PH72" s="71"/>
      <c r="PI72" s="71"/>
      <c r="PJ72" s="71"/>
      <c r="PK72" s="71"/>
      <c r="PL72" s="71"/>
      <c r="PM72" s="71"/>
      <c r="PN72" s="71"/>
      <c r="PO72" s="71"/>
      <c r="PP72" s="71"/>
      <c r="PQ72" s="71"/>
      <c r="PR72" s="71"/>
      <c r="PS72" s="71"/>
      <c r="PT72" s="71"/>
      <c r="PU72" s="71"/>
      <c r="PV72" s="71"/>
      <c r="PW72" s="71"/>
      <c r="PX72" s="71"/>
      <c r="PY72" s="71"/>
      <c r="PZ72" s="71"/>
      <c r="QA72" s="71"/>
      <c r="QB72" s="71"/>
      <c r="QC72" s="71"/>
      <c r="QD72" s="71"/>
      <c r="QE72" s="71"/>
      <c r="QF72" s="71"/>
      <c r="QG72" s="71"/>
      <c r="QH72" s="71"/>
      <c r="QI72" s="71"/>
      <c r="QJ72" s="71"/>
      <c r="QK72" s="71"/>
      <c r="QL72" s="71"/>
      <c r="QM72" s="71"/>
      <c r="QN72" s="71"/>
      <c r="QO72" s="71"/>
      <c r="QP72" s="71"/>
      <c r="QQ72" s="71"/>
      <c r="QR72" s="71"/>
      <c r="QS72" s="71"/>
      <c r="QT72" s="71"/>
      <c r="QU72" s="71"/>
      <c r="QV72" s="71"/>
      <c r="QW72" s="71"/>
      <c r="QX72" s="71"/>
      <c r="QY72" s="71"/>
      <c r="QZ72" s="71"/>
      <c r="RA72" s="71"/>
      <c r="RB72" s="71"/>
      <c r="RC72" s="71"/>
      <c r="RD72" s="71"/>
      <c r="RE72" s="71"/>
      <c r="RF72" s="71"/>
      <c r="RG72" s="71"/>
      <c r="RH72" s="71"/>
      <c r="RI72" s="71"/>
      <c r="RJ72" s="71"/>
      <c r="RK72" s="71"/>
      <c r="RL72" s="71"/>
      <c r="RM72" s="71"/>
      <c r="RN72" s="71"/>
      <c r="RO72" s="71"/>
      <c r="RP72" s="71"/>
      <c r="RQ72" s="71"/>
      <c r="RR72" s="71"/>
      <c r="RS72" s="71"/>
      <c r="RT72" s="71"/>
      <c r="RU72" s="71"/>
      <c r="RV72" s="71"/>
      <c r="RW72" s="71"/>
      <c r="RX72" s="71"/>
      <c r="RY72" s="71"/>
      <c r="RZ72" s="71"/>
      <c r="SA72" s="71"/>
      <c r="SB72" s="71"/>
      <c r="SC72" s="71"/>
      <c r="SD72" s="71"/>
      <c r="SE72" s="71"/>
      <c r="SF72" s="71"/>
      <c r="SG72" s="71"/>
      <c r="SH72" s="71"/>
      <c r="SI72" s="71"/>
      <c r="SJ72" s="71"/>
      <c r="SK72" s="71"/>
      <c r="SL72" s="71"/>
      <c r="SM72" s="71"/>
      <c r="SN72" s="71"/>
      <c r="SO72" s="71"/>
      <c r="SP72" s="71"/>
      <c r="SQ72" s="71"/>
      <c r="SR72" s="71"/>
      <c r="SS72" s="71"/>
      <c r="ST72" s="71"/>
      <c r="SU72" s="71"/>
      <c r="SV72" s="71"/>
      <c r="SW72" s="71"/>
      <c r="SX72" s="71"/>
      <c r="SY72" s="71"/>
      <c r="SZ72" s="71"/>
      <c r="TA72" s="71"/>
      <c r="TB72" s="71"/>
      <c r="TC72" s="71"/>
      <c r="TD72" s="71"/>
      <c r="TE72" s="71"/>
      <c r="TF72" s="71"/>
      <c r="TG72" s="71"/>
      <c r="TH72" s="71"/>
      <c r="TI72" s="71"/>
      <c r="TJ72" s="71"/>
      <c r="TK72" s="71"/>
      <c r="TL72" s="71"/>
      <c r="TM72" s="71"/>
      <c r="TN72" s="71"/>
      <c r="TO72" s="71"/>
      <c r="TP72" s="71"/>
      <c r="TQ72" s="71"/>
      <c r="TR72" s="71"/>
      <c r="TS72" s="71"/>
      <c r="TT72" s="71"/>
      <c r="TU72" s="71"/>
      <c r="TV72" s="71"/>
      <c r="TW72" s="71"/>
      <c r="TX72" s="71"/>
      <c r="TY72" s="71"/>
      <c r="TZ72" s="71"/>
      <c r="UA72" s="71"/>
      <c r="UB72" s="71"/>
      <c r="UC72" s="71"/>
      <c r="UD72" s="71"/>
      <c r="UE72" s="71"/>
      <c r="UF72" s="71"/>
      <c r="UG72" s="71"/>
      <c r="UH72" s="71"/>
      <c r="UI72" s="71"/>
      <c r="UJ72" s="71"/>
      <c r="UK72" s="71"/>
      <c r="UL72" s="71"/>
      <c r="UM72" s="71"/>
      <c r="UN72" s="71"/>
      <c r="UO72" s="71"/>
      <c r="UP72" s="71"/>
      <c r="UQ72" s="71"/>
      <c r="UR72" s="71"/>
      <c r="US72" s="71"/>
      <c r="UT72" s="71"/>
      <c r="UU72" s="71"/>
      <c r="UV72" s="71"/>
      <c r="UW72" s="71"/>
      <c r="UX72" s="71"/>
      <c r="UY72" s="71"/>
      <c r="UZ72" s="71"/>
      <c r="VA72" s="71"/>
      <c r="VB72" s="71"/>
      <c r="VC72" s="71"/>
      <c r="VD72" s="71"/>
      <c r="VE72" s="71"/>
      <c r="VF72" s="71"/>
      <c r="VG72" s="71"/>
      <c r="VH72" s="71"/>
      <c r="VI72" s="71"/>
      <c r="VJ72" s="71"/>
      <c r="VK72" s="71"/>
      <c r="VL72" s="71"/>
      <c r="VM72" s="71"/>
      <c r="VN72" s="71"/>
      <c r="VO72" s="71"/>
      <c r="VP72" s="71"/>
      <c r="VQ72" s="71"/>
      <c r="VR72" s="71"/>
      <c r="VS72" s="71"/>
      <c r="VT72" s="71"/>
      <c r="VU72" s="71"/>
      <c r="VV72" s="71"/>
      <c r="VW72" s="71"/>
      <c r="VX72" s="71"/>
      <c r="VY72" s="71"/>
      <c r="VZ72" s="71"/>
      <c r="WA72" s="71"/>
      <c r="WB72" s="71"/>
      <c r="WC72" s="71"/>
      <c r="WD72" s="71"/>
      <c r="WE72" s="71"/>
      <c r="WF72" s="71"/>
      <c r="WG72" s="71"/>
      <c r="WH72" s="71"/>
      <c r="WI72" s="71"/>
      <c r="WJ72" s="71"/>
      <c r="WK72" s="71"/>
      <c r="WL72" s="71"/>
      <c r="WM72" s="71"/>
      <c r="WN72" s="71"/>
      <c r="WO72" s="71"/>
      <c r="WP72" s="71"/>
      <c r="WQ72" s="71"/>
      <c r="WR72" s="71"/>
      <c r="WS72" s="71"/>
      <c r="WT72" s="71"/>
      <c r="WU72" s="71"/>
      <c r="WV72" s="71"/>
      <c r="WW72" s="71"/>
      <c r="WX72" s="71"/>
      <c r="WY72" s="71"/>
      <c r="WZ72" s="71"/>
      <c r="XA72" s="71"/>
      <c r="XB72" s="71"/>
      <c r="XC72" s="71"/>
      <c r="XD72" s="71"/>
      <c r="XE72" s="71"/>
      <c r="XF72" s="71"/>
      <c r="XG72" s="71"/>
      <c r="XH72" s="71"/>
      <c r="XI72" s="71"/>
      <c r="XJ72" s="71"/>
      <c r="XK72" s="71"/>
      <c r="XL72" s="71"/>
      <c r="XM72" s="71"/>
      <c r="XN72" s="71"/>
      <c r="XO72" s="71"/>
      <c r="XP72" s="71"/>
      <c r="XQ72" s="71"/>
      <c r="XR72" s="71"/>
      <c r="XS72" s="71"/>
      <c r="XT72" s="71"/>
      <c r="XU72" s="71"/>
      <c r="XV72" s="71"/>
      <c r="XW72" s="71"/>
      <c r="XX72" s="71"/>
      <c r="XY72" s="71"/>
      <c r="XZ72" s="71"/>
      <c r="YA72" s="71"/>
      <c r="YB72" s="71"/>
      <c r="YC72" s="71"/>
      <c r="YD72" s="71"/>
      <c r="YE72" s="71"/>
      <c r="YF72" s="71"/>
      <c r="YG72" s="71"/>
      <c r="YH72" s="71"/>
      <c r="YI72" s="71"/>
      <c r="YJ72" s="71"/>
      <c r="YK72" s="71"/>
      <c r="YL72" s="71"/>
      <c r="YM72" s="71"/>
      <c r="YN72" s="71"/>
      <c r="YO72" s="71"/>
      <c r="YP72" s="71"/>
      <c r="YQ72" s="71"/>
      <c r="YR72" s="71"/>
      <c r="YS72" s="71"/>
      <c r="YT72" s="71"/>
      <c r="YU72" s="71"/>
      <c r="YV72" s="71"/>
      <c r="YW72" s="71"/>
      <c r="YX72" s="71"/>
      <c r="YY72" s="71"/>
      <c r="YZ72" s="71"/>
      <c r="ZA72" s="71"/>
      <c r="ZB72" s="71"/>
      <c r="ZC72" s="71"/>
      <c r="ZD72" s="71"/>
      <c r="ZE72" s="71"/>
      <c r="ZF72" s="71"/>
      <c r="ZG72" s="71"/>
      <c r="ZH72" s="71"/>
      <c r="ZI72" s="71"/>
      <c r="ZJ72" s="71"/>
      <c r="ZK72" s="71"/>
      <c r="ZL72" s="71"/>
      <c r="ZM72" s="71"/>
      <c r="ZN72" s="71"/>
      <c r="ZO72" s="71"/>
      <c r="ZP72" s="71"/>
      <c r="ZQ72" s="71"/>
      <c r="ZR72" s="71"/>
      <c r="ZS72" s="71"/>
      <c r="ZT72" s="71"/>
      <c r="ZU72" s="71"/>
      <c r="ZV72" s="71"/>
      <c r="ZW72" s="71"/>
      <c r="ZX72" s="71"/>
      <c r="ZY72" s="71"/>
      <c r="ZZ72" s="71"/>
      <c r="AAA72" s="71"/>
      <c r="AAB72" s="71"/>
      <c r="AAC72" s="71"/>
      <c r="AAD72" s="71"/>
      <c r="AAE72" s="71"/>
      <c r="AAF72" s="71"/>
      <c r="AAG72" s="71"/>
      <c r="AAH72" s="71"/>
      <c r="AAI72" s="71"/>
      <c r="AAJ72" s="71"/>
      <c r="AAK72" s="71"/>
      <c r="AAL72" s="71"/>
      <c r="AAM72" s="71"/>
      <c r="AAN72" s="71"/>
      <c r="AAO72" s="71"/>
      <c r="AAP72" s="71"/>
      <c r="AAQ72" s="71"/>
      <c r="AAR72" s="71"/>
      <c r="AAS72" s="71"/>
      <c r="AAT72" s="71"/>
      <c r="AAU72" s="71"/>
      <c r="AAV72" s="71"/>
      <c r="AAW72" s="71"/>
      <c r="AAX72" s="71"/>
      <c r="AAY72" s="71"/>
      <c r="AAZ72" s="71"/>
      <c r="ABA72" s="71"/>
      <c r="ABB72" s="71"/>
      <c r="ABC72" s="71"/>
      <c r="ABD72" s="71"/>
      <c r="ABE72" s="71"/>
      <c r="ABF72" s="71"/>
      <c r="ABG72" s="71"/>
      <c r="ABH72" s="71"/>
      <c r="ABI72" s="71"/>
      <c r="ABJ72" s="71"/>
      <c r="ABK72" s="71"/>
      <c r="ABL72" s="71"/>
      <c r="ABM72" s="71"/>
      <c r="ABN72" s="71"/>
      <c r="ABO72" s="71"/>
      <c r="ABP72" s="71"/>
      <c r="ABQ72" s="71"/>
      <c r="ABR72" s="71"/>
      <c r="ABS72" s="71"/>
      <c r="ABT72" s="71"/>
      <c r="ABU72" s="71"/>
      <c r="ABV72" s="71"/>
      <c r="ABW72" s="71"/>
      <c r="ABX72" s="71"/>
      <c r="ABY72" s="71"/>
      <c r="ABZ72" s="71"/>
      <c r="ACA72" s="71"/>
      <c r="ACB72" s="71"/>
      <c r="ACC72" s="71"/>
      <c r="ACD72" s="71"/>
      <c r="ACE72" s="71"/>
      <c r="ACF72" s="71"/>
      <c r="ACG72" s="71"/>
      <c r="ACH72" s="71"/>
      <c r="ACI72" s="71"/>
      <c r="ACJ72" s="71"/>
      <c r="ACK72" s="71"/>
      <c r="ACL72" s="71"/>
      <c r="ACM72" s="71"/>
      <c r="ACN72" s="71"/>
      <c r="ACO72" s="71"/>
      <c r="ACP72" s="71"/>
      <c r="ACQ72" s="71"/>
      <c r="ACR72" s="71"/>
      <c r="ACS72" s="71"/>
      <c r="ACT72" s="71"/>
      <c r="ACU72" s="71"/>
      <c r="ACV72" s="71"/>
      <c r="ACW72" s="71"/>
      <c r="ACX72" s="71"/>
      <c r="ACY72" s="71"/>
      <c r="ACZ72" s="71"/>
      <c r="ADA72" s="71"/>
      <c r="ADB72" s="71"/>
      <c r="ADC72" s="71"/>
      <c r="ADD72" s="71"/>
      <c r="ADE72" s="71"/>
      <c r="ADF72" s="71"/>
      <c r="ADG72" s="71"/>
      <c r="ADH72" s="71"/>
      <c r="ADI72" s="71"/>
      <c r="ADJ72" s="71"/>
      <c r="ADK72" s="71"/>
      <c r="ADL72" s="71"/>
      <c r="ADM72" s="71"/>
      <c r="ADN72" s="71"/>
      <c r="ADO72" s="71"/>
      <c r="ADP72" s="71"/>
      <c r="ADQ72" s="71"/>
      <c r="ADR72" s="71"/>
      <c r="ADS72" s="71"/>
      <c r="ADT72" s="71"/>
      <c r="ADU72" s="71"/>
      <c r="ADV72" s="71"/>
      <c r="ADW72" s="71"/>
      <c r="ADX72" s="71"/>
      <c r="ADY72" s="71"/>
      <c r="ADZ72" s="71"/>
      <c r="AEA72" s="71"/>
      <c r="AEB72" s="71"/>
      <c r="AEC72" s="71"/>
      <c r="AED72" s="71"/>
      <c r="AEE72" s="71"/>
      <c r="AEF72" s="71"/>
      <c r="AEG72" s="71"/>
      <c r="AEH72" s="71"/>
      <c r="AEI72" s="71"/>
      <c r="AEJ72" s="71"/>
      <c r="AEK72" s="71"/>
      <c r="AEL72" s="71"/>
      <c r="AEM72" s="71"/>
      <c r="AEN72" s="71"/>
      <c r="AEO72" s="71"/>
      <c r="AEP72" s="71"/>
      <c r="AEQ72" s="71"/>
      <c r="AER72" s="71"/>
      <c r="AES72" s="71"/>
      <c r="AET72" s="71"/>
      <c r="AEU72" s="71"/>
      <c r="AEV72" s="71"/>
      <c r="AEW72" s="71"/>
      <c r="AEX72" s="71"/>
      <c r="AEY72" s="71"/>
      <c r="AEZ72" s="71"/>
      <c r="AFA72" s="71"/>
      <c r="AFB72" s="71"/>
      <c r="AFC72" s="71"/>
      <c r="AFD72" s="71"/>
      <c r="AFE72" s="71"/>
      <c r="AFF72" s="71"/>
      <c r="AFG72" s="71"/>
      <c r="AFH72" s="71"/>
      <c r="AFI72" s="71"/>
      <c r="AFJ72" s="71"/>
      <c r="AFK72" s="71"/>
      <c r="AFL72" s="71"/>
      <c r="AFM72" s="71"/>
      <c r="AFN72" s="71"/>
      <c r="AFO72" s="71"/>
      <c r="AFP72" s="71"/>
      <c r="AFQ72" s="71"/>
      <c r="AFR72" s="71"/>
      <c r="AFS72" s="71"/>
      <c r="AFT72" s="71"/>
      <c r="AFU72" s="71"/>
      <c r="AFV72" s="71"/>
      <c r="AFW72" s="71"/>
      <c r="AFX72" s="71"/>
      <c r="AFY72" s="71"/>
      <c r="AFZ72" s="71"/>
      <c r="AGA72" s="71"/>
      <c r="AGB72" s="71"/>
      <c r="AGC72" s="71"/>
      <c r="AGD72" s="71"/>
      <c r="AGE72" s="71"/>
      <c r="AGF72" s="71"/>
      <c r="AGG72" s="71"/>
      <c r="AGH72" s="71"/>
      <c r="AGI72" s="71"/>
      <c r="AGJ72" s="71"/>
      <c r="AGK72" s="71"/>
      <c r="AGL72" s="71"/>
      <c r="AGM72" s="71"/>
      <c r="AGN72" s="71"/>
      <c r="AGO72" s="71"/>
      <c r="AGP72" s="71"/>
      <c r="AGQ72" s="71"/>
      <c r="AGR72" s="71"/>
      <c r="AGS72" s="71"/>
      <c r="AGT72" s="71"/>
      <c r="AGU72" s="71"/>
      <c r="AGV72" s="71"/>
      <c r="AGW72" s="71"/>
      <c r="AGX72" s="71"/>
      <c r="AGY72" s="71"/>
      <c r="AGZ72" s="71"/>
      <c r="AHA72" s="71"/>
      <c r="AHB72" s="71"/>
      <c r="AHC72" s="71"/>
      <c r="AHD72" s="71"/>
      <c r="AHE72" s="71"/>
      <c r="AHF72" s="71"/>
      <c r="AHG72" s="71"/>
      <c r="AHH72" s="71"/>
      <c r="AHI72" s="71"/>
      <c r="AHJ72" s="71"/>
      <c r="AHK72" s="71"/>
      <c r="AHL72" s="71"/>
      <c r="AHM72" s="71"/>
      <c r="AHN72" s="71"/>
      <c r="AHO72" s="71"/>
      <c r="AHP72" s="71"/>
      <c r="AHQ72" s="71"/>
      <c r="AHR72" s="71"/>
      <c r="AHS72" s="71"/>
      <c r="AHT72" s="71"/>
      <c r="AHU72" s="71"/>
      <c r="AHV72" s="71"/>
      <c r="AHW72" s="71"/>
      <c r="AHX72" s="71"/>
      <c r="AHY72" s="71"/>
      <c r="AHZ72" s="71"/>
      <c r="AIA72" s="71"/>
      <c r="AIB72" s="71"/>
      <c r="AIC72" s="71"/>
      <c r="AID72" s="71"/>
      <c r="AIE72" s="71"/>
      <c r="AIF72" s="71"/>
      <c r="AIG72" s="71"/>
      <c r="AIH72" s="71"/>
      <c r="AII72" s="71"/>
      <c r="AIJ72" s="71"/>
      <c r="AIK72" s="71"/>
      <c r="AIL72" s="71"/>
      <c r="AIM72" s="71"/>
      <c r="AIN72" s="71"/>
      <c r="AIO72" s="71"/>
      <c r="AIP72" s="71"/>
      <c r="AIQ72" s="71"/>
      <c r="AIR72" s="71"/>
      <c r="AIS72" s="71"/>
      <c r="AIT72" s="71"/>
      <c r="AIU72" s="71"/>
      <c r="AIV72" s="71"/>
      <c r="AIW72" s="71"/>
      <c r="AIX72" s="71"/>
      <c r="AIY72" s="71"/>
      <c r="AIZ72" s="71"/>
      <c r="AJA72" s="71"/>
      <c r="AJB72" s="71"/>
      <c r="AJC72" s="71"/>
      <c r="AJD72" s="71"/>
      <c r="AJE72" s="71"/>
      <c r="AJF72" s="71"/>
      <c r="AJG72" s="71"/>
      <c r="AJH72" s="71"/>
      <c r="AJI72" s="71"/>
      <c r="AJJ72" s="71"/>
      <c r="AJK72" s="71"/>
      <c r="AJL72" s="71"/>
      <c r="AJM72" s="71"/>
      <c r="AJN72" s="71"/>
      <c r="AJO72" s="71"/>
      <c r="AJP72" s="71"/>
      <c r="AJQ72" s="71"/>
      <c r="AJR72" s="71"/>
      <c r="AJS72" s="71"/>
      <c r="AJT72" s="71"/>
      <c r="AJU72" s="71"/>
      <c r="AJV72" s="71"/>
      <c r="AJW72" s="71"/>
      <c r="AJX72" s="71"/>
      <c r="AJY72" s="71"/>
      <c r="AJZ72" s="71"/>
      <c r="AKA72" s="71"/>
      <c r="AKB72" s="71"/>
      <c r="AKC72" s="71"/>
      <c r="AKD72" s="71"/>
      <c r="AKE72" s="71"/>
      <c r="AKF72" s="71"/>
      <c r="AKG72" s="71"/>
      <c r="AKH72" s="71"/>
      <c r="AKI72" s="71"/>
      <c r="AKJ72" s="71"/>
      <c r="AKK72" s="71"/>
      <c r="AKL72" s="71"/>
      <c r="AKM72" s="71"/>
      <c r="AKN72" s="71"/>
      <c r="AKO72" s="71"/>
      <c r="AKP72" s="71"/>
      <c r="AKQ72" s="71"/>
      <c r="AKR72" s="71"/>
      <c r="AKS72" s="71"/>
      <c r="AKT72" s="71"/>
      <c r="AKU72" s="71"/>
      <c r="AKV72" s="71"/>
      <c r="AKW72" s="71"/>
      <c r="AKX72" s="71"/>
      <c r="AKY72" s="71"/>
      <c r="AKZ72" s="71"/>
      <c r="ALA72" s="71"/>
      <c r="ALB72" s="71"/>
      <c r="ALC72" s="71"/>
      <c r="ALD72" s="71"/>
      <c r="ALE72" s="71"/>
      <c r="ALF72" s="71"/>
      <c r="ALG72" s="71"/>
      <c r="ALH72" s="71"/>
      <c r="ALI72" s="71"/>
      <c r="ALJ72" s="71"/>
      <c r="ALK72" s="71"/>
      <c r="ALL72" s="71"/>
      <c r="ALM72" s="71"/>
      <c r="ALN72" s="71"/>
      <c r="ALO72" s="71"/>
      <c r="ALP72" s="71"/>
      <c r="ALQ72" s="71"/>
      <c r="ALR72" s="71"/>
      <c r="ALS72" s="71"/>
      <c r="ALT72" s="71"/>
      <c r="ALU72" s="71"/>
      <c r="ALV72" s="71"/>
      <c r="ALW72" s="71"/>
      <c r="ALX72" s="71"/>
      <c r="ALY72" s="71"/>
      <c r="ALZ72" s="71"/>
      <c r="AMA72" s="71"/>
      <c r="AMB72" s="71"/>
      <c r="AMC72" s="71"/>
      <c r="AMD72" s="71"/>
      <c r="AME72" s="71"/>
      <c r="AMF72" s="71"/>
      <c r="AMG72" s="71"/>
      <c r="AMH72" s="71"/>
      <c r="AMI72" s="71"/>
      <c r="AMJ72" s="71"/>
      <c r="AMK72" s="71"/>
    </row>
    <row r="73" spans="1:1025" s="114" customFormat="1" ht="15" customHeight="1">
      <c r="A73" s="108"/>
      <c r="B73" s="607" t="s">
        <v>4</v>
      </c>
      <c r="C73" s="607"/>
      <c r="D73" s="109"/>
      <c r="E73" s="109"/>
      <c r="F73" s="110"/>
      <c r="G73" s="110"/>
      <c r="H73" s="110"/>
      <c r="I73" s="110"/>
      <c r="J73" s="110">
        <v>260.95999999999998</v>
      </c>
      <c r="K73" s="110"/>
      <c r="L73" s="109"/>
      <c r="M73" s="109"/>
      <c r="N73" s="109"/>
      <c r="O73" s="109"/>
      <c r="P73" s="109"/>
      <c r="Q73" s="109"/>
      <c r="R73" s="109"/>
      <c r="S73" s="109"/>
      <c r="T73" s="109"/>
      <c r="U73" s="109"/>
      <c r="V73" s="109">
        <v>174.67</v>
      </c>
      <c r="W73" s="109"/>
      <c r="X73" s="109">
        <v>487.03</v>
      </c>
      <c r="Y73" s="109">
        <v>2502.4</v>
      </c>
      <c r="Z73" s="109"/>
      <c r="AA73" s="111">
        <v>4051.79</v>
      </c>
      <c r="AB73" s="112"/>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c r="ES73" s="113"/>
      <c r="ET73" s="113"/>
      <c r="EU73" s="113"/>
      <c r="EV73" s="113"/>
      <c r="EW73" s="113"/>
      <c r="EX73" s="113"/>
      <c r="EY73" s="113"/>
      <c r="EZ73" s="113"/>
      <c r="FA73" s="113"/>
      <c r="FB73" s="113"/>
      <c r="FC73" s="113"/>
      <c r="FD73" s="113"/>
      <c r="FE73" s="113"/>
      <c r="FF73" s="113"/>
      <c r="FG73" s="113"/>
      <c r="FH73" s="113"/>
      <c r="FI73" s="113"/>
      <c r="FJ73" s="113"/>
      <c r="FK73" s="113"/>
      <c r="FL73" s="113"/>
      <c r="FM73" s="113"/>
      <c r="FN73" s="113"/>
      <c r="FO73" s="113"/>
      <c r="FP73" s="113"/>
      <c r="FQ73" s="113"/>
      <c r="FR73" s="113"/>
      <c r="FS73" s="113"/>
      <c r="FT73" s="113"/>
      <c r="FU73" s="113"/>
      <c r="FV73" s="113"/>
      <c r="FW73" s="113"/>
      <c r="FX73" s="113"/>
      <c r="FY73" s="113"/>
      <c r="FZ73" s="113"/>
      <c r="GA73" s="113"/>
      <c r="GB73" s="113"/>
      <c r="GC73" s="113"/>
      <c r="GD73" s="113"/>
      <c r="GE73" s="113"/>
      <c r="GF73" s="113"/>
      <c r="GG73" s="113"/>
      <c r="GH73" s="113"/>
      <c r="GI73" s="113"/>
      <c r="GJ73" s="113"/>
      <c r="GK73" s="113"/>
      <c r="GL73" s="113"/>
      <c r="GM73" s="113"/>
      <c r="GN73" s="113"/>
      <c r="GO73" s="113"/>
      <c r="GP73" s="113"/>
      <c r="GQ73" s="113"/>
      <c r="GR73" s="113"/>
      <c r="GS73" s="113"/>
      <c r="GT73" s="113"/>
      <c r="GU73" s="113"/>
      <c r="GV73" s="113"/>
      <c r="GW73" s="113"/>
      <c r="GX73" s="113"/>
      <c r="GY73" s="113"/>
      <c r="GZ73" s="113"/>
      <c r="HA73" s="113"/>
      <c r="HB73" s="113"/>
      <c r="HC73" s="113"/>
      <c r="HD73" s="113"/>
      <c r="HE73" s="113"/>
      <c r="HF73" s="113"/>
      <c r="HG73" s="113"/>
      <c r="HH73" s="113"/>
      <c r="HI73" s="113"/>
      <c r="HJ73" s="113"/>
      <c r="HK73" s="113"/>
      <c r="HL73" s="113"/>
      <c r="HM73" s="113"/>
      <c r="HN73" s="113"/>
      <c r="HO73" s="113"/>
      <c r="HP73" s="113"/>
      <c r="HQ73" s="113"/>
      <c r="HR73" s="113"/>
      <c r="HS73" s="113"/>
      <c r="HT73" s="113"/>
      <c r="HU73" s="113"/>
      <c r="HV73" s="113"/>
      <c r="HW73" s="113"/>
      <c r="HX73" s="113"/>
      <c r="HY73" s="113"/>
      <c r="HZ73" s="113"/>
      <c r="IA73" s="113"/>
      <c r="IB73" s="113"/>
      <c r="IC73" s="113"/>
      <c r="ID73" s="113"/>
      <c r="IE73" s="113"/>
      <c r="IF73" s="113"/>
      <c r="IG73" s="113"/>
      <c r="IH73" s="113"/>
      <c r="II73" s="113"/>
      <c r="IJ73" s="113"/>
      <c r="IK73" s="113"/>
      <c r="IL73" s="113"/>
      <c r="IM73" s="113"/>
      <c r="IN73" s="113"/>
      <c r="IO73" s="113"/>
      <c r="IP73" s="113"/>
      <c r="IQ73" s="113"/>
      <c r="IR73" s="113"/>
      <c r="IS73" s="113"/>
      <c r="IT73" s="113"/>
      <c r="IU73" s="113"/>
      <c r="IV73" s="113"/>
      <c r="IW73" s="113"/>
      <c r="IX73" s="113"/>
      <c r="IY73" s="113"/>
      <c r="IZ73" s="113"/>
      <c r="JA73" s="113"/>
      <c r="JB73" s="113"/>
      <c r="JC73" s="113"/>
      <c r="JD73" s="113"/>
      <c r="JE73" s="113"/>
      <c r="JF73" s="113"/>
      <c r="JG73" s="113"/>
      <c r="JH73" s="113"/>
      <c r="JI73" s="113"/>
      <c r="JJ73" s="113"/>
      <c r="JK73" s="113"/>
      <c r="JL73" s="113"/>
      <c r="JM73" s="113"/>
      <c r="JN73" s="113"/>
      <c r="JO73" s="113"/>
      <c r="JP73" s="113"/>
      <c r="JQ73" s="113"/>
      <c r="JR73" s="113"/>
      <c r="JS73" s="113"/>
      <c r="JT73" s="113"/>
      <c r="JU73" s="113"/>
      <c r="JV73" s="113"/>
      <c r="JW73" s="113"/>
      <c r="JX73" s="113"/>
      <c r="JY73" s="113"/>
      <c r="JZ73" s="113"/>
      <c r="KA73" s="113"/>
      <c r="KB73" s="113"/>
      <c r="KC73" s="113"/>
      <c r="KD73" s="113"/>
      <c r="KE73" s="113"/>
      <c r="KF73" s="113"/>
      <c r="KG73" s="113"/>
      <c r="KH73" s="113"/>
      <c r="KI73" s="113"/>
      <c r="KJ73" s="113"/>
      <c r="KK73" s="113"/>
      <c r="KL73" s="113"/>
      <c r="KM73" s="113"/>
      <c r="KN73" s="113"/>
      <c r="KO73" s="113"/>
      <c r="KP73" s="113"/>
      <c r="KQ73" s="113"/>
      <c r="KR73" s="113"/>
      <c r="KS73" s="113"/>
      <c r="KT73" s="113"/>
      <c r="KU73" s="113"/>
      <c r="KV73" s="113"/>
      <c r="KW73" s="113"/>
      <c r="KX73" s="113"/>
      <c r="KY73" s="113"/>
      <c r="KZ73" s="113"/>
      <c r="LA73" s="113"/>
      <c r="LB73" s="113"/>
      <c r="LC73" s="113"/>
      <c r="LD73" s="113"/>
      <c r="LE73" s="113"/>
      <c r="LF73" s="113"/>
      <c r="LG73" s="113"/>
      <c r="LH73" s="113"/>
      <c r="LI73" s="113"/>
      <c r="LJ73" s="113"/>
      <c r="LK73" s="113"/>
      <c r="LL73" s="113"/>
      <c r="LM73" s="113"/>
      <c r="LN73" s="113"/>
      <c r="LO73" s="113"/>
      <c r="LP73" s="113"/>
      <c r="LQ73" s="113"/>
      <c r="LR73" s="113"/>
      <c r="LS73" s="113"/>
      <c r="LT73" s="113"/>
      <c r="LU73" s="113"/>
      <c r="LV73" s="113"/>
      <c r="LW73" s="113"/>
      <c r="LX73" s="113"/>
      <c r="LY73" s="113"/>
      <c r="LZ73" s="113"/>
      <c r="MA73" s="113"/>
      <c r="MB73" s="113"/>
      <c r="MC73" s="113"/>
      <c r="MD73" s="113"/>
      <c r="ME73" s="113"/>
      <c r="MF73" s="113"/>
      <c r="MG73" s="113"/>
      <c r="MH73" s="113"/>
      <c r="MI73" s="113"/>
      <c r="MJ73" s="113"/>
      <c r="MK73" s="113"/>
      <c r="ML73" s="113"/>
      <c r="MM73" s="113"/>
      <c r="MN73" s="113"/>
      <c r="MO73" s="113"/>
      <c r="MP73" s="113"/>
      <c r="MQ73" s="113"/>
      <c r="MR73" s="113"/>
      <c r="MS73" s="113"/>
      <c r="MT73" s="113"/>
      <c r="MU73" s="113"/>
      <c r="MV73" s="113"/>
      <c r="MW73" s="113"/>
      <c r="MX73" s="113"/>
      <c r="MY73" s="113"/>
      <c r="MZ73" s="113"/>
      <c r="NA73" s="113"/>
      <c r="NB73" s="113"/>
      <c r="NC73" s="113"/>
      <c r="ND73" s="113"/>
      <c r="NE73" s="113"/>
      <c r="NF73" s="113"/>
      <c r="NG73" s="113"/>
      <c r="NH73" s="113"/>
      <c r="NI73" s="113"/>
      <c r="NJ73" s="113"/>
      <c r="NK73" s="113"/>
      <c r="NL73" s="113"/>
      <c r="NM73" s="113"/>
      <c r="NN73" s="113"/>
      <c r="NO73" s="113"/>
      <c r="NP73" s="113"/>
      <c r="NQ73" s="113"/>
      <c r="NR73" s="113"/>
      <c r="NS73" s="113"/>
      <c r="NT73" s="113"/>
      <c r="NU73" s="113"/>
      <c r="NV73" s="113"/>
      <c r="NW73" s="113"/>
      <c r="NX73" s="113"/>
      <c r="NY73" s="113"/>
      <c r="NZ73" s="113"/>
      <c r="OA73" s="113"/>
      <c r="OB73" s="113"/>
      <c r="OC73" s="113"/>
      <c r="OD73" s="113"/>
      <c r="OE73" s="113"/>
      <c r="OF73" s="113"/>
      <c r="OG73" s="113"/>
      <c r="OH73" s="113"/>
      <c r="OI73" s="113"/>
      <c r="OJ73" s="113"/>
      <c r="OK73" s="113"/>
      <c r="OL73" s="113"/>
      <c r="OM73" s="113"/>
      <c r="ON73" s="113"/>
      <c r="OO73" s="113"/>
      <c r="OP73" s="113"/>
      <c r="OQ73" s="113"/>
      <c r="OR73" s="113"/>
      <c r="OS73" s="113"/>
      <c r="OT73" s="113"/>
      <c r="OU73" s="113"/>
      <c r="OV73" s="113"/>
      <c r="OW73" s="113"/>
      <c r="OX73" s="113"/>
      <c r="OY73" s="113"/>
      <c r="OZ73" s="113"/>
      <c r="PA73" s="113"/>
      <c r="PB73" s="113"/>
      <c r="PC73" s="113"/>
      <c r="PD73" s="113"/>
      <c r="PE73" s="113"/>
      <c r="PF73" s="113"/>
      <c r="PG73" s="113"/>
      <c r="PH73" s="113"/>
      <c r="PI73" s="113"/>
      <c r="PJ73" s="113"/>
      <c r="PK73" s="113"/>
      <c r="PL73" s="113"/>
      <c r="PM73" s="113"/>
      <c r="PN73" s="113"/>
      <c r="PO73" s="113"/>
      <c r="PP73" s="113"/>
      <c r="PQ73" s="113"/>
      <c r="PR73" s="113"/>
      <c r="PS73" s="113"/>
      <c r="PT73" s="113"/>
      <c r="PU73" s="113"/>
      <c r="PV73" s="113"/>
      <c r="PW73" s="113"/>
      <c r="PX73" s="113"/>
      <c r="PY73" s="113"/>
      <c r="PZ73" s="113"/>
      <c r="QA73" s="113"/>
      <c r="QB73" s="113"/>
      <c r="QC73" s="113"/>
      <c r="QD73" s="113"/>
      <c r="QE73" s="113"/>
      <c r="QF73" s="113"/>
      <c r="QG73" s="113"/>
      <c r="QH73" s="113"/>
      <c r="QI73" s="113"/>
      <c r="QJ73" s="113"/>
      <c r="QK73" s="113"/>
      <c r="QL73" s="113"/>
      <c r="QM73" s="113"/>
      <c r="QN73" s="113"/>
      <c r="QO73" s="113"/>
      <c r="QP73" s="113"/>
      <c r="QQ73" s="113"/>
      <c r="QR73" s="113"/>
      <c r="QS73" s="113"/>
      <c r="QT73" s="113"/>
      <c r="QU73" s="113"/>
      <c r="QV73" s="113"/>
      <c r="QW73" s="113"/>
      <c r="QX73" s="113"/>
      <c r="QY73" s="113"/>
      <c r="QZ73" s="113"/>
      <c r="RA73" s="113"/>
      <c r="RB73" s="113"/>
      <c r="RC73" s="113"/>
      <c r="RD73" s="113"/>
      <c r="RE73" s="113"/>
      <c r="RF73" s="113"/>
      <c r="RG73" s="113"/>
      <c r="RH73" s="113"/>
      <c r="RI73" s="113"/>
      <c r="RJ73" s="113"/>
      <c r="RK73" s="113"/>
      <c r="RL73" s="113"/>
      <c r="RM73" s="113"/>
      <c r="RN73" s="113"/>
      <c r="RO73" s="113"/>
      <c r="RP73" s="113"/>
      <c r="RQ73" s="113"/>
      <c r="RR73" s="113"/>
      <c r="RS73" s="113"/>
      <c r="RT73" s="113"/>
      <c r="RU73" s="113"/>
      <c r="RV73" s="113"/>
      <c r="RW73" s="113"/>
      <c r="RX73" s="113"/>
      <c r="RY73" s="113"/>
      <c r="RZ73" s="113"/>
      <c r="SA73" s="113"/>
      <c r="SB73" s="113"/>
      <c r="SC73" s="113"/>
      <c r="SD73" s="113"/>
      <c r="SE73" s="113"/>
      <c r="SF73" s="113"/>
      <c r="SG73" s="113"/>
      <c r="SH73" s="113"/>
      <c r="SI73" s="113"/>
      <c r="SJ73" s="113"/>
      <c r="SK73" s="113"/>
      <c r="SL73" s="113"/>
      <c r="SM73" s="113"/>
      <c r="SN73" s="113"/>
      <c r="SO73" s="113"/>
      <c r="SP73" s="113"/>
      <c r="SQ73" s="113"/>
      <c r="SR73" s="113"/>
      <c r="SS73" s="113"/>
      <c r="ST73" s="113"/>
      <c r="SU73" s="113"/>
      <c r="SV73" s="113"/>
      <c r="SW73" s="113"/>
      <c r="SX73" s="113"/>
      <c r="SY73" s="113"/>
      <c r="SZ73" s="113"/>
      <c r="TA73" s="113"/>
      <c r="TB73" s="113"/>
      <c r="TC73" s="113"/>
      <c r="TD73" s="113"/>
      <c r="TE73" s="113"/>
      <c r="TF73" s="113"/>
      <c r="TG73" s="113"/>
      <c r="TH73" s="113"/>
      <c r="TI73" s="113"/>
      <c r="TJ73" s="113"/>
      <c r="TK73" s="113"/>
      <c r="TL73" s="113"/>
      <c r="TM73" s="113"/>
      <c r="TN73" s="113"/>
      <c r="TO73" s="113"/>
      <c r="TP73" s="113"/>
      <c r="TQ73" s="113"/>
      <c r="TR73" s="113"/>
      <c r="TS73" s="113"/>
      <c r="TT73" s="113"/>
      <c r="TU73" s="113"/>
      <c r="TV73" s="113"/>
      <c r="TW73" s="113"/>
      <c r="TX73" s="113"/>
      <c r="TY73" s="113"/>
      <c r="TZ73" s="113"/>
      <c r="UA73" s="113"/>
      <c r="UB73" s="113"/>
      <c r="UC73" s="113"/>
      <c r="UD73" s="113"/>
      <c r="UE73" s="113"/>
      <c r="UF73" s="113"/>
      <c r="UG73" s="113"/>
      <c r="UH73" s="113"/>
      <c r="UI73" s="113"/>
      <c r="UJ73" s="113"/>
      <c r="UK73" s="113"/>
      <c r="UL73" s="113"/>
      <c r="UM73" s="113"/>
      <c r="UN73" s="113"/>
      <c r="UO73" s="113"/>
      <c r="UP73" s="113"/>
      <c r="UQ73" s="113"/>
      <c r="UR73" s="113"/>
      <c r="US73" s="113"/>
      <c r="UT73" s="113"/>
      <c r="UU73" s="113"/>
      <c r="UV73" s="113"/>
      <c r="UW73" s="113"/>
      <c r="UX73" s="113"/>
      <c r="UY73" s="113"/>
      <c r="UZ73" s="113"/>
      <c r="VA73" s="113"/>
      <c r="VB73" s="113"/>
      <c r="VC73" s="113"/>
      <c r="VD73" s="113"/>
      <c r="VE73" s="113"/>
      <c r="VF73" s="113"/>
      <c r="VG73" s="113"/>
      <c r="VH73" s="113"/>
      <c r="VI73" s="113"/>
      <c r="VJ73" s="113"/>
      <c r="VK73" s="113"/>
      <c r="VL73" s="113"/>
      <c r="VM73" s="113"/>
      <c r="VN73" s="113"/>
      <c r="VO73" s="113"/>
      <c r="VP73" s="113"/>
      <c r="VQ73" s="113"/>
      <c r="VR73" s="113"/>
      <c r="VS73" s="113"/>
      <c r="VT73" s="113"/>
      <c r="VU73" s="113"/>
      <c r="VV73" s="113"/>
      <c r="VW73" s="113"/>
      <c r="VX73" s="113"/>
      <c r="VY73" s="113"/>
      <c r="VZ73" s="113"/>
      <c r="WA73" s="113"/>
      <c r="WB73" s="113"/>
      <c r="WC73" s="113"/>
      <c r="WD73" s="113"/>
      <c r="WE73" s="113"/>
      <c r="WF73" s="113"/>
      <c r="WG73" s="113"/>
      <c r="WH73" s="113"/>
      <c r="WI73" s="113"/>
      <c r="WJ73" s="113"/>
      <c r="WK73" s="113"/>
      <c r="WL73" s="113"/>
      <c r="WM73" s="113"/>
      <c r="WN73" s="113"/>
      <c r="WO73" s="113"/>
      <c r="WP73" s="113"/>
      <c r="WQ73" s="113"/>
      <c r="WR73" s="113"/>
      <c r="WS73" s="113"/>
      <c r="WT73" s="113"/>
      <c r="WU73" s="113"/>
      <c r="WV73" s="113"/>
      <c r="WW73" s="113"/>
      <c r="WX73" s="113"/>
      <c r="WY73" s="113"/>
      <c r="WZ73" s="113"/>
      <c r="XA73" s="113"/>
      <c r="XB73" s="113"/>
      <c r="XC73" s="113"/>
      <c r="XD73" s="113"/>
      <c r="XE73" s="113"/>
      <c r="XF73" s="113"/>
      <c r="XG73" s="113"/>
      <c r="XH73" s="113"/>
      <c r="XI73" s="113"/>
      <c r="XJ73" s="113"/>
      <c r="XK73" s="113"/>
      <c r="XL73" s="113"/>
      <c r="XM73" s="113"/>
      <c r="XN73" s="113"/>
      <c r="XO73" s="113"/>
      <c r="XP73" s="113"/>
      <c r="XQ73" s="113"/>
      <c r="XR73" s="113"/>
      <c r="XS73" s="113"/>
      <c r="XT73" s="113"/>
      <c r="XU73" s="113"/>
      <c r="XV73" s="113"/>
      <c r="XW73" s="113"/>
      <c r="XX73" s="113"/>
      <c r="XY73" s="113"/>
      <c r="XZ73" s="113"/>
      <c r="YA73" s="113"/>
      <c r="YB73" s="113"/>
      <c r="YC73" s="113"/>
      <c r="YD73" s="113"/>
      <c r="YE73" s="113"/>
      <c r="YF73" s="113"/>
      <c r="YG73" s="113"/>
      <c r="YH73" s="113"/>
      <c r="YI73" s="113"/>
      <c r="YJ73" s="113"/>
      <c r="YK73" s="113"/>
      <c r="YL73" s="113"/>
      <c r="YM73" s="113"/>
      <c r="YN73" s="113"/>
      <c r="YO73" s="113"/>
      <c r="YP73" s="113"/>
      <c r="YQ73" s="113"/>
      <c r="YR73" s="113"/>
      <c r="YS73" s="113"/>
      <c r="YT73" s="113"/>
      <c r="YU73" s="113"/>
      <c r="YV73" s="113"/>
      <c r="YW73" s="113"/>
      <c r="YX73" s="113"/>
      <c r="YY73" s="113"/>
      <c r="YZ73" s="113"/>
      <c r="ZA73" s="113"/>
      <c r="ZB73" s="113"/>
      <c r="ZC73" s="113"/>
      <c r="ZD73" s="113"/>
      <c r="ZE73" s="113"/>
      <c r="ZF73" s="113"/>
      <c r="ZG73" s="113"/>
      <c r="ZH73" s="113"/>
      <c r="ZI73" s="113"/>
      <c r="ZJ73" s="113"/>
      <c r="ZK73" s="113"/>
      <c r="ZL73" s="113"/>
      <c r="ZM73" s="113"/>
      <c r="ZN73" s="113"/>
      <c r="ZO73" s="113"/>
      <c r="ZP73" s="113"/>
      <c r="ZQ73" s="113"/>
      <c r="ZR73" s="113"/>
      <c r="ZS73" s="113"/>
      <c r="ZT73" s="113"/>
      <c r="ZU73" s="113"/>
      <c r="ZV73" s="113"/>
      <c r="ZW73" s="113"/>
      <c r="ZX73" s="113"/>
      <c r="ZY73" s="113"/>
      <c r="ZZ73" s="113"/>
      <c r="AAA73" s="113"/>
      <c r="AAB73" s="113"/>
      <c r="AAC73" s="113"/>
      <c r="AAD73" s="113"/>
      <c r="AAE73" s="113"/>
      <c r="AAF73" s="113"/>
      <c r="AAG73" s="113"/>
      <c r="AAH73" s="113"/>
      <c r="AAI73" s="113"/>
      <c r="AAJ73" s="113"/>
      <c r="AAK73" s="113"/>
      <c r="AAL73" s="113"/>
      <c r="AAM73" s="113"/>
      <c r="AAN73" s="113"/>
      <c r="AAO73" s="113"/>
      <c r="AAP73" s="113"/>
      <c r="AAQ73" s="113"/>
      <c r="AAR73" s="113"/>
      <c r="AAS73" s="113"/>
      <c r="AAT73" s="113"/>
      <c r="AAU73" s="113"/>
      <c r="AAV73" s="113"/>
      <c r="AAW73" s="113"/>
      <c r="AAX73" s="113"/>
      <c r="AAY73" s="113"/>
      <c r="AAZ73" s="113"/>
      <c r="ABA73" s="113"/>
      <c r="ABB73" s="113"/>
      <c r="ABC73" s="113"/>
      <c r="ABD73" s="113"/>
      <c r="ABE73" s="113"/>
      <c r="ABF73" s="113"/>
      <c r="ABG73" s="113"/>
      <c r="ABH73" s="113"/>
      <c r="ABI73" s="113"/>
      <c r="ABJ73" s="113"/>
      <c r="ABK73" s="113"/>
      <c r="ABL73" s="113"/>
      <c r="ABM73" s="113"/>
      <c r="ABN73" s="113"/>
      <c r="ABO73" s="113"/>
      <c r="ABP73" s="113"/>
      <c r="ABQ73" s="113"/>
      <c r="ABR73" s="113"/>
      <c r="ABS73" s="113"/>
      <c r="ABT73" s="113"/>
      <c r="ABU73" s="113"/>
      <c r="ABV73" s="113"/>
      <c r="ABW73" s="113"/>
      <c r="ABX73" s="113"/>
      <c r="ABY73" s="113"/>
      <c r="ABZ73" s="113"/>
      <c r="ACA73" s="113"/>
      <c r="ACB73" s="113"/>
      <c r="ACC73" s="113"/>
      <c r="ACD73" s="113"/>
      <c r="ACE73" s="113"/>
      <c r="ACF73" s="113"/>
      <c r="ACG73" s="113"/>
      <c r="ACH73" s="113"/>
      <c r="ACI73" s="113"/>
      <c r="ACJ73" s="113"/>
      <c r="ACK73" s="113"/>
      <c r="ACL73" s="113"/>
      <c r="ACM73" s="113"/>
      <c r="ACN73" s="113"/>
      <c r="ACO73" s="113"/>
      <c r="ACP73" s="113"/>
      <c r="ACQ73" s="113"/>
      <c r="ACR73" s="113"/>
      <c r="ACS73" s="113"/>
      <c r="ACT73" s="113"/>
      <c r="ACU73" s="113"/>
      <c r="ACV73" s="113"/>
      <c r="ACW73" s="113"/>
      <c r="ACX73" s="113"/>
      <c r="ACY73" s="113"/>
      <c r="ACZ73" s="113"/>
      <c r="ADA73" s="113"/>
      <c r="ADB73" s="113"/>
      <c r="ADC73" s="113"/>
      <c r="ADD73" s="113"/>
      <c r="ADE73" s="113"/>
      <c r="ADF73" s="113"/>
      <c r="ADG73" s="113"/>
      <c r="ADH73" s="113"/>
      <c r="ADI73" s="113"/>
      <c r="ADJ73" s="113"/>
      <c r="ADK73" s="113"/>
      <c r="ADL73" s="113"/>
      <c r="ADM73" s="113"/>
      <c r="ADN73" s="113"/>
      <c r="ADO73" s="113"/>
      <c r="ADP73" s="113"/>
      <c r="ADQ73" s="113"/>
      <c r="ADR73" s="113"/>
      <c r="ADS73" s="113"/>
      <c r="ADT73" s="113"/>
      <c r="ADU73" s="113"/>
      <c r="ADV73" s="113"/>
      <c r="ADW73" s="113"/>
      <c r="ADX73" s="113"/>
      <c r="ADY73" s="113"/>
      <c r="ADZ73" s="113"/>
      <c r="AEA73" s="113"/>
      <c r="AEB73" s="113"/>
      <c r="AEC73" s="113"/>
      <c r="AED73" s="113"/>
      <c r="AEE73" s="113"/>
      <c r="AEF73" s="113"/>
      <c r="AEG73" s="113"/>
      <c r="AEH73" s="113"/>
      <c r="AEI73" s="113"/>
      <c r="AEJ73" s="113"/>
      <c r="AEK73" s="113"/>
      <c r="AEL73" s="113"/>
      <c r="AEM73" s="113"/>
      <c r="AEN73" s="113"/>
      <c r="AEO73" s="113"/>
      <c r="AEP73" s="113"/>
      <c r="AEQ73" s="113"/>
      <c r="AER73" s="113"/>
      <c r="AES73" s="113"/>
      <c r="AET73" s="113"/>
      <c r="AEU73" s="113"/>
      <c r="AEV73" s="113"/>
      <c r="AEW73" s="113"/>
      <c r="AEX73" s="113"/>
      <c r="AEY73" s="113"/>
      <c r="AEZ73" s="113"/>
      <c r="AFA73" s="113"/>
      <c r="AFB73" s="113"/>
      <c r="AFC73" s="113"/>
      <c r="AFD73" s="113"/>
      <c r="AFE73" s="113"/>
      <c r="AFF73" s="113"/>
      <c r="AFG73" s="113"/>
      <c r="AFH73" s="113"/>
      <c r="AFI73" s="113"/>
      <c r="AFJ73" s="113"/>
      <c r="AFK73" s="113"/>
      <c r="AFL73" s="113"/>
      <c r="AFM73" s="113"/>
      <c r="AFN73" s="113"/>
      <c r="AFO73" s="113"/>
      <c r="AFP73" s="113"/>
      <c r="AFQ73" s="113"/>
      <c r="AFR73" s="113"/>
      <c r="AFS73" s="113"/>
      <c r="AFT73" s="113"/>
      <c r="AFU73" s="113"/>
      <c r="AFV73" s="113"/>
      <c r="AFW73" s="113"/>
      <c r="AFX73" s="113"/>
      <c r="AFY73" s="113"/>
      <c r="AFZ73" s="113"/>
      <c r="AGA73" s="113"/>
      <c r="AGB73" s="113"/>
      <c r="AGC73" s="113"/>
      <c r="AGD73" s="113"/>
      <c r="AGE73" s="113"/>
      <c r="AGF73" s="113"/>
      <c r="AGG73" s="113"/>
      <c r="AGH73" s="113"/>
      <c r="AGI73" s="113"/>
      <c r="AGJ73" s="113"/>
      <c r="AGK73" s="113"/>
      <c r="AGL73" s="113"/>
      <c r="AGM73" s="113"/>
      <c r="AGN73" s="113"/>
      <c r="AGO73" s="113"/>
      <c r="AGP73" s="113"/>
      <c r="AGQ73" s="113"/>
      <c r="AGR73" s="113"/>
      <c r="AGS73" s="113"/>
      <c r="AGT73" s="113"/>
      <c r="AGU73" s="113"/>
      <c r="AGV73" s="113"/>
      <c r="AGW73" s="113"/>
      <c r="AGX73" s="113"/>
      <c r="AGY73" s="113"/>
      <c r="AGZ73" s="113"/>
      <c r="AHA73" s="113"/>
      <c r="AHB73" s="113"/>
      <c r="AHC73" s="113"/>
      <c r="AHD73" s="113"/>
      <c r="AHE73" s="113"/>
      <c r="AHF73" s="113"/>
      <c r="AHG73" s="113"/>
      <c r="AHH73" s="113"/>
      <c r="AHI73" s="113"/>
      <c r="AHJ73" s="113"/>
      <c r="AHK73" s="113"/>
      <c r="AHL73" s="113"/>
      <c r="AHM73" s="113"/>
      <c r="AHN73" s="113"/>
      <c r="AHO73" s="113"/>
      <c r="AHP73" s="113"/>
      <c r="AHQ73" s="113"/>
      <c r="AHR73" s="113"/>
      <c r="AHS73" s="113"/>
      <c r="AHT73" s="113"/>
      <c r="AHU73" s="113"/>
      <c r="AHV73" s="113"/>
      <c r="AHW73" s="113"/>
      <c r="AHX73" s="113"/>
      <c r="AHY73" s="113"/>
      <c r="AHZ73" s="113"/>
      <c r="AIA73" s="113"/>
      <c r="AIB73" s="113"/>
      <c r="AIC73" s="113"/>
      <c r="AID73" s="113"/>
      <c r="AIE73" s="113"/>
      <c r="AIF73" s="113"/>
      <c r="AIG73" s="113"/>
      <c r="AIH73" s="113"/>
      <c r="AII73" s="113"/>
      <c r="AIJ73" s="113"/>
      <c r="AIK73" s="113"/>
      <c r="AIL73" s="113"/>
      <c r="AIM73" s="113"/>
      <c r="AIN73" s="113"/>
      <c r="AIO73" s="113"/>
      <c r="AIP73" s="113"/>
      <c r="AIQ73" s="113"/>
      <c r="AIR73" s="113"/>
      <c r="AIS73" s="113"/>
      <c r="AIT73" s="113"/>
      <c r="AIU73" s="113"/>
      <c r="AIV73" s="113"/>
      <c r="AIW73" s="113"/>
      <c r="AIX73" s="113"/>
      <c r="AIY73" s="113"/>
      <c r="AIZ73" s="113"/>
      <c r="AJA73" s="113"/>
      <c r="AJB73" s="113"/>
      <c r="AJC73" s="113"/>
      <c r="AJD73" s="113"/>
      <c r="AJE73" s="113"/>
      <c r="AJF73" s="113"/>
      <c r="AJG73" s="113"/>
      <c r="AJH73" s="113"/>
      <c r="AJI73" s="113"/>
      <c r="AJJ73" s="113"/>
      <c r="AJK73" s="113"/>
      <c r="AJL73" s="113"/>
      <c r="AJM73" s="113"/>
      <c r="AJN73" s="113"/>
      <c r="AJO73" s="113"/>
      <c r="AJP73" s="113"/>
      <c r="AJQ73" s="113"/>
      <c r="AJR73" s="113"/>
      <c r="AJS73" s="113"/>
      <c r="AJT73" s="113"/>
      <c r="AJU73" s="113"/>
      <c r="AJV73" s="113"/>
      <c r="AJW73" s="113"/>
      <c r="AJX73" s="113"/>
      <c r="AJY73" s="113"/>
      <c r="AJZ73" s="113"/>
      <c r="AKA73" s="113"/>
      <c r="AKB73" s="113"/>
      <c r="AKC73" s="113"/>
      <c r="AKD73" s="113"/>
      <c r="AKE73" s="113"/>
      <c r="AKF73" s="113"/>
      <c r="AKG73" s="113"/>
      <c r="AKH73" s="113"/>
      <c r="AKI73" s="113"/>
      <c r="AKJ73" s="113"/>
      <c r="AKK73" s="113"/>
      <c r="AKL73" s="113"/>
      <c r="AKM73" s="113"/>
      <c r="AKN73" s="113"/>
      <c r="AKO73" s="113"/>
      <c r="AKP73" s="113"/>
      <c r="AKQ73" s="113"/>
      <c r="AKR73" s="113"/>
      <c r="AKS73" s="113"/>
      <c r="AKT73" s="113"/>
      <c r="AKU73" s="113"/>
      <c r="AKV73" s="113"/>
      <c r="AKW73" s="113"/>
      <c r="AKX73" s="113"/>
      <c r="AKY73" s="113"/>
      <c r="AKZ73" s="113"/>
      <c r="ALA73" s="113"/>
      <c r="ALB73" s="113"/>
      <c r="ALC73" s="113"/>
      <c r="ALD73" s="113"/>
      <c r="ALE73" s="113"/>
      <c r="ALF73" s="113"/>
      <c r="ALG73" s="113"/>
      <c r="ALH73" s="113"/>
      <c r="ALI73" s="113"/>
      <c r="ALJ73" s="113"/>
      <c r="ALK73" s="113"/>
      <c r="ALL73" s="113"/>
      <c r="ALM73" s="113"/>
      <c r="ALN73" s="113"/>
      <c r="ALO73" s="113"/>
      <c r="ALP73" s="113"/>
      <c r="ALQ73" s="113"/>
      <c r="ALR73" s="113"/>
      <c r="ALS73" s="113"/>
      <c r="ALT73" s="113"/>
      <c r="ALU73" s="113"/>
      <c r="ALV73" s="113"/>
      <c r="ALW73" s="113"/>
      <c r="ALX73" s="113"/>
      <c r="ALY73" s="113"/>
      <c r="ALZ73" s="113"/>
      <c r="AMA73" s="113"/>
      <c r="AMB73" s="113"/>
      <c r="AMC73" s="113"/>
      <c r="AMD73" s="113"/>
      <c r="AME73" s="113"/>
      <c r="AMF73" s="113"/>
      <c r="AMG73" s="113"/>
      <c r="AMH73" s="113"/>
      <c r="AMI73" s="113"/>
      <c r="AMJ73" s="113"/>
      <c r="AMK73" s="113"/>
    </row>
    <row r="74" spans="1:1025" ht="62.4">
      <c r="A74" s="72">
        <v>1</v>
      </c>
      <c r="B74" s="74" t="s">
        <v>359</v>
      </c>
      <c r="C74" s="72" t="s">
        <v>3</v>
      </c>
      <c r="D74" s="72" t="s">
        <v>3</v>
      </c>
      <c r="E74" s="72" t="s">
        <v>3</v>
      </c>
      <c r="F74" s="72" t="s">
        <v>3</v>
      </c>
      <c r="G74" s="72" t="s">
        <v>3</v>
      </c>
      <c r="H74" s="72" t="s">
        <v>3</v>
      </c>
      <c r="I74" s="72" t="s">
        <v>3</v>
      </c>
      <c r="J74" s="72" t="s">
        <v>3</v>
      </c>
      <c r="K74" s="72" t="s">
        <v>3</v>
      </c>
      <c r="L74" s="72" t="s">
        <v>3</v>
      </c>
      <c r="M74" s="72" t="s">
        <v>3</v>
      </c>
      <c r="N74" s="72" t="s">
        <v>3</v>
      </c>
      <c r="O74" s="72" t="s">
        <v>3</v>
      </c>
      <c r="P74" s="72" t="s">
        <v>3</v>
      </c>
      <c r="Q74" s="72" t="s">
        <v>3</v>
      </c>
      <c r="R74" s="72" t="s">
        <v>3</v>
      </c>
      <c r="S74" s="72" t="s">
        <v>3</v>
      </c>
      <c r="T74" s="72" t="s">
        <v>3</v>
      </c>
      <c r="U74" s="72" t="s">
        <v>3</v>
      </c>
      <c r="V74" s="72" t="s">
        <v>3</v>
      </c>
      <c r="W74" s="72" t="s">
        <v>3</v>
      </c>
      <c r="X74" s="72" t="s">
        <v>3</v>
      </c>
      <c r="Y74" s="72" t="s">
        <v>3</v>
      </c>
      <c r="Z74" s="72" t="s">
        <v>3</v>
      </c>
      <c r="AA74" s="72" t="s">
        <v>3</v>
      </c>
      <c r="AB74" s="72" t="s">
        <v>3</v>
      </c>
    </row>
    <row r="75" spans="1:1025" ht="78">
      <c r="A75" s="106">
        <v>1</v>
      </c>
      <c r="B75" s="2" t="s">
        <v>358</v>
      </c>
      <c r="C75" s="72" t="s">
        <v>3</v>
      </c>
      <c r="D75" s="72" t="s">
        <v>3</v>
      </c>
      <c r="E75" s="72" t="s">
        <v>3</v>
      </c>
      <c r="F75" s="72" t="s">
        <v>3</v>
      </c>
      <c r="G75" s="72" t="s">
        <v>3</v>
      </c>
      <c r="H75" s="72" t="s">
        <v>3</v>
      </c>
      <c r="I75" s="72" t="s">
        <v>3</v>
      </c>
      <c r="J75" s="72" t="s">
        <v>3</v>
      </c>
      <c r="K75" s="72" t="s">
        <v>3</v>
      </c>
      <c r="L75" s="72" t="s">
        <v>3</v>
      </c>
      <c r="M75" s="72" t="s">
        <v>3</v>
      </c>
      <c r="N75" s="72" t="s">
        <v>3</v>
      </c>
      <c r="O75" s="72" t="s">
        <v>3</v>
      </c>
      <c r="P75" s="72" t="s">
        <v>3</v>
      </c>
      <c r="Q75" s="72" t="s">
        <v>3</v>
      </c>
      <c r="R75" s="72" t="s">
        <v>3</v>
      </c>
      <c r="S75" s="72" t="s">
        <v>3</v>
      </c>
      <c r="T75" s="72" t="s">
        <v>3</v>
      </c>
      <c r="U75" s="72" t="s">
        <v>3</v>
      </c>
      <c r="V75" s="72" t="s">
        <v>3</v>
      </c>
      <c r="W75" s="72" t="s">
        <v>3</v>
      </c>
      <c r="X75" s="72" t="s">
        <v>3</v>
      </c>
      <c r="Y75" s="72" t="s">
        <v>3</v>
      </c>
      <c r="Z75" s="72" t="s">
        <v>3</v>
      </c>
      <c r="AA75" s="72" t="s">
        <v>3</v>
      </c>
      <c r="AB75" s="72" t="s">
        <v>3</v>
      </c>
    </row>
    <row r="76" spans="1:1025" customFormat="1" ht="15" customHeight="1">
      <c r="A76" s="75"/>
      <c r="B76" s="608" t="s">
        <v>4</v>
      </c>
      <c r="C76" s="608"/>
      <c r="D76" s="608"/>
      <c r="E76" s="608"/>
      <c r="F76" s="608"/>
      <c r="G76" s="608"/>
      <c r="H76" s="608"/>
      <c r="I76" s="608"/>
      <c r="J76" s="107">
        <f>J73+J65</f>
        <v>2499.1</v>
      </c>
      <c r="K76" s="72" t="s">
        <v>3</v>
      </c>
      <c r="L76" s="72" t="s">
        <v>3</v>
      </c>
      <c r="M76" s="72" t="s">
        <v>3</v>
      </c>
      <c r="N76" s="72" t="s">
        <v>3</v>
      </c>
      <c r="O76" s="72" t="s">
        <v>3</v>
      </c>
      <c r="P76" s="72" t="s">
        <v>3</v>
      </c>
      <c r="Q76" s="72" t="s">
        <v>3</v>
      </c>
      <c r="R76" s="72" t="s">
        <v>3</v>
      </c>
      <c r="S76" s="72" t="s">
        <v>3</v>
      </c>
      <c r="T76" s="72" t="s">
        <v>3</v>
      </c>
      <c r="U76" s="107" t="s">
        <v>3</v>
      </c>
      <c r="V76" s="107">
        <f t="shared" ref="V76:AA76" si="0">V73+V65</f>
        <v>3234834.67</v>
      </c>
      <c r="W76" s="107" t="s">
        <v>3</v>
      </c>
      <c r="X76" s="107">
        <f t="shared" si="0"/>
        <v>11628.95</v>
      </c>
      <c r="Y76" s="107">
        <f t="shared" si="0"/>
        <v>91075.43</v>
      </c>
      <c r="Z76" s="107" t="s">
        <v>3</v>
      </c>
      <c r="AA76" s="107">
        <f t="shared" si="0"/>
        <v>7043.51</v>
      </c>
      <c r="AB76" s="107" t="s">
        <v>3</v>
      </c>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c r="JA76" s="71"/>
      <c r="JB76" s="71"/>
      <c r="JC76" s="71"/>
      <c r="JD76" s="71"/>
      <c r="JE76" s="71"/>
      <c r="JF76" s="71"/>
      <c r="JG76" s="71"/>
      <c r="JH76" s="71"/>
      <c r="JI76" s="71"/>
      <c r="JJ76" s="71"/>
      <c r="JK76" s="71"/>
      <c r="JL76" s="71"/>
      <c r="JM76" s="71"/>
      <c r="JN76" s="71"/>
      <c r="JO76" s="71"/>
      <c r="JP76" s="71"/>
      <c r="JQ76" s="71"/>
      <c r="JR76" s="71"/>
      <c r="JS76" s="71"/>
      <c r="JT76" s="71"/>
      <c r="JU76" s="71"/>
      <c r="JV76" s="71"/>
      <c r="JW76" s="71"/>
      <c r="JX76" s="71"/>
      <c r="JY76" s="71"/>
      <c r="JZ76" s="71"/>
      <c r="KA76" s="71"/>
      <c r="KB76" s="71"/>
      <c r="KC76" s="71"/>
      <c r="KD76" s="71"/>
      <c r="KE76" s="71"/>
      <c r="KF76" s="71"/>
      <c r="KG76" s="71"/>
      <c r="KH76" s="71"/>
      <c r="KI76" s="71"/>
      <c r="KJ76" s="71"/>
      <c r="KK76" s="71"/>
      <c r="KL76" s="71"/>
      <c r="KM76" s="71"/>
      <c r="KN76" s="71"/>
      <c r="KO76" s="71"/>
      <c r="KP76" s="71"/>
      <c r="KQ76" s="71"/>
      <c r="KR76" s="71"/>
      <c r="KS76" s="71"/>
      <c r="KT76" s="71"/>
      <c r="KU76" s="71"/>
      <c r="KV76" s="71"/>
      <c r="KW76" s="71"/>
      <c r="KX76" s="71"/>
      <c r="KY76" s="71"/>
      <c r="KZ76" s="71"/>
      <c r="LA76" s="71"/>
      <c r="LB76" s="71"/>
      <c r="LC76" s="71"/>
      <c r="LD76" s="71"/>
      <c r="LE76" s="71"/>
      <c r="LF76" s="71"/>
      <c r="LG76" s="71"/>
      <c r="LH76" s="71"/>
      <c r="LI76" s="71"/>
      <c r="LJ76" s="71"/>
      <c r="LK76" s="71"/>
      <c r="LL76" s="71"/>
      <c r="LM76" s="71"/>
      <c r="LN76" s="71"/>
      <c r="LO76" s="71"/>
      <c r="LP76" s="71"/>
      <c r="LQ76" s="71"/>
      <c r="LR76" s="71"/>
      <c r="LS76" s="71"/>
      <c r="LT76" s="71"/>
      <c r="LU76" s="71"/>
      <c r="LV76" s="71"/>
      <c r="LW76" s="71"/>
      <c r="LX76" s="71"/>
      <c r="LY76" s="71"/>
      <c r="LZ76" s="71"/>
      <c r="MA76" s="71"/>
      <c r="MB76" s="71"/>
      <c r="MC76" s="71"/>
      <c r="MD76" s="71"/>
      <c r="ME76" s="71"/>
      <c r="MF76" s="71"/>
      <c r="MG76" s="71"/>
      <c r="MH76" s="71"/>
      <c r="MI76" s="71"/>
      <c r="MJ76" s="71"/>
      <c r="MK76" s="71"/>
      <c r="ML76" s="71"/>
      <c r="MM76" s="71"/>
      <c r="MN76" s="71"/>
      <c r="MO76" s="71"/>
      <c r="MP76" s="71"/>
      <c r="MQ76" s="71"/>
      <c r="MR76" s="71"/>
      <c r="MS76" s="71"/>
      <c r="MT76" s="71"/>
      <c r="MU76" s="71"/>
      <c r="MV76" s="71"/>
      <c r="MW76" s="71"/>
      <c r="MX76" s="71"/>
      <c r="MY76" s="71"/>
      <c r="MZ76" s="71"/>
      <c r="NA76" s="71"/>
      <c r="NB76" s="71"/>
      <c r="NC76" s="71"/>
      <c r="ND76" s="71"/>
      <c r="NE76" s="71"/>
      <c r="NF76" s="71"/>
      <c r="NG76" s="71"/>
      <c r="NH76" s="71"/>
      <c r="NI76" s="71"/>
      <c r="NJ76" s="71"/>
      <c r="NK76" s="71"/>
      <c r="NL76" s="71"/>
      <c r="NM76" s="71"/>
      <c r="NN76" s="71"/>
      <c r="NO76" s="71"/>
      <c r="NP76" s="71"/>
      <c r="NQ76" s="71"/>
      <c r="NR76" s="71"/>
      <c r="NS76" s="71"/>
      <c r="NT76" s="71"/>
      <c r="NU76" s="71"/>
      <c r="NV76" s="71"/>
      <c r="NW76" s="71"/>
      <c r="NX76" s="71"/>
      <c r="NY76" s="71"/>
      <c r="NZ76" s="71"/>
      <c r="OA76" s="71"/>
      <c r="OB76" s="71"/>
      <c r="OC76" s="71"/>
      <c r="OD76" s="71"/>
      <c r="OE76" s="71"/>
      <c r="OF76" s="71"/>
      <c r="OG76" s="71"/>
      <c r="OH76" s="71"/>
      <c r="OI76" s="71"/>
      <c r="OJ76" s="71"/>
      <c r="OK76" s="71"/>
      <c r="OL76" s="71"/>
      <c r="OM76" s="71"/>
      <c r="ON76" s="71"/>
      <c r="OO76" s="71"/>
      <c r="OP76" s="71"/>
      <c r="OQ76" s="71"/>
      <c r="OR76" s="71"/>
      <c r="OS76" s="71"/>
      <c r="OT76" s="71"/>
      <c r="OU76" s="71"/>
      <c r="OV76" s="71"/>
      <c r="OW76" s="71"/>
      <c r="OX76" s="71"/>
      <c r="OY76" s="71"/>
      <c r="OZ76" s="71"/>
      <c r="PA76" s="71"/>
      <c r="PB76" s="71"/>
      <c r="PC76" s="71"/>
      <c r="PD76" s="71"/>
      <c r="PE76" s="71"/>
      <c r="PF76" s="71"/>
      <c r="PG76" s="71"/>
      <c r="PH76" s="71"/>
      <c r="PI76" s="71"/>
      <c r="PJ76" s="71"/>
      <c r="PK76" s="71"/>
      <c r="PL76" s="71"/>
      <c r="PM76" s="71"/>
      <c r="PN76" s="71"/>
      <c r="PO76" s="71"/>
      <c r="PP76" s="71"/>
      <c r="PQ76" s="71"/>
      <c r="PR76" s="71"/>
      <c r="PS76" s="71"/>
      <c r="PT76" s="71"/>
      <c r="PU76" s="71"/>
      <c r="PV76" s="71"/>
      <c r="PW76" s="71"/>
      <c r="PX76" s="71"/>
      <c r="PY76" s="71"/>
      <c r="PZ76" s="71"/>
      <c r="QA76" s="71"/>
      <c r="QB76" s="71"/>
      <c r="QC76" s="71"/>
      <c r="QD76" s="71"/>
      <c r="QE76" s="71"/>
      <c r="QF76" s="71"/>
      <c r="QG76" s="71"/>
      <c r="QH76" s="71"/>
      <c r="QI76" s="71"/>
      <c r="QJ76" s="71"/>
      <c r="QK76" s="71"/>
      <c r="QL76" s="71"/>
      <c r="QM76" s="71"/>
      <c r="QN76" s="71"/>
      <c r="QO76" s="71"/>
      <c r="QP76" s="71"/>
      <c r="QQ76" s="71"/>
      <c r="QR76" s="71"/>
      <c r="QS76" s="71"/>
      <c r="QT76" s="71"/>
      <c r="QU76" s="71"/>
      <c r="QV76" s="71"/>
      <c r="QW76" s="71"/>
      <c r="QX76" s="71"/>
      <c r="QY76" s="71"/>
      <c r="QZ76" s="71"/>
      <c r="RA76" s="71"/>
      <c r="RB76" s="71"/>
      <c r="RC76" s="71"/>
      <c r="RD76" s="71"/>
      <c r="RE76" s="71"/>
      <c r="RF76" s="71"/>
      <c r="RG76" s="71"/>
      <c r="RH76" s="71"/>
      <c r="RI76" s="71"/>
      <c r="RJ76" s="71"/>
      <c r="RK76" s="71"/>
      <c r="RL76" s="71"/>
      <c r="RM76" s="71"/>
      <c r="RN76" s="71"/>
      <c r="RO76" s="71"/>
      <c r="RP76" s="71"/>
      <c r="RQ76" s="71"/>
      <c r="RR76" s="71"/>
      <c r="RS76" s="71"/>
      <c r="RT76" s="71"/>
      <c r="RU76" s="71"/>
      <c r="RV76" s="71"/>
      <c r="RW76" s="71"/>
      <c r="RX76" s="71"/>
      <c r="RY76" s="71"/>
      <c r="RZ76" s="71"/>
      <c r="SA76" s="71"/>
      <c r="SB76" s="71"/>
      <c r="SC76" s="71"/>
      <c r="SD76" s="71"/>
      <c r="SE76" s="71"/>
      <c r="SF76" s="71"/>
      <c r="SG76" s="71"/>
      <c r="SH76" s="71"/>
      <c r="SI76" s="71"/>
      <c r="SJ76" s="71"/>
      <c r="SK76" s="71"/>
      <c r="SL76" s="71"/>
      <c r="SM76" s="71"/>
      <c r="SN76" s="71"/>
      <c r="SO76" s="71"/>
      <c r="SP76" s="71"/>
      <c r="SQ76" s="71"/>
      <c r="SR76" s="71"/>
      <c r="SS76" s="71"/>
      <c r="ST76" s="71"/>
      <c r="SU76" s="71"/>
      <c r="SV76" s="71"/>
      <c r="SW76" s="71"/>
      <c r="SX76" s="71"/>
      <c r="SY76" s="71"/>
      <c r="SZ76" s="71"/>
      <c r="TA76" s="71"/>
      <c r="TB76" s="71"/>
      <c r="TC76" s="71"/>
      <c r="TD76" s="71"/>
      <c r="TE76" s="71"/>
      <c r="TF76" s="71"/>
      <c r="TG76" s="71"/>
      <c r="TH76" s="71"/>
      <c r="TI76" s="71"/>
      <c r="TJ76" s="71"/>
      <c r="TK76" s="71"/>
      <c r="TL76" s="71"/>
      <c r="TM76" s="71"/>
      <c r="TN76" s="71"/>
      <c r="TO76" s="71"/>
      <c r="TP76" s="71"/>
      <c r="TQ76" s="71"/>
      <c r="TR76" s="71"/>
      <c r="TS76" s="71"/>
      <c r="TT76" s="71"/>
      <c r="TU76" s="71"/>
      <c r="TV76" s="71"/>
      <c r="TW76" s="71"/>
      <c r="TX76" s="71"/>
      <c r="TY76" s="71"/>
      <c r="TZ76" s="71"/>
      <c r="UA76" s="71"/>
      <c r="UB76" s="71"/>
      <c r="UC76" s="71"/>
      <c r="UD76" s="71"/>
      <c r="UE76" s="71"/>
      <c r="UF76" s="71"/>
      <c r="UG76" s="71"/>
      <c r="UH76" s="71"/>
      <c r="UI76" s="71"/>
      <c r="UJ76" s="71"/>
      <c r="UK76" s="71"/>
      <c r="UL76" s="71"/>
      <c r="UM76" s="71"/>
      <c r="UN76" s="71"/>
      <c r="UO76" s="71"/>
      <c r="UP76" s="71"/>
      <c r="UQ76" s="71"/>
      <c r="UR76" s="71"/>
      <c r="US76" s="71"/>
      <c r="UT76" s="71"/>
      <c r="UU76" s="71"/>
      <c r="UV76" s="71"/>
      <c r="UW76" s="71"/>
      <c r="UX76" s="71"/>
      <c r="UY76" s="71"/>
      <c r="UZ76" s="71"/>
      <c r="VA76" s="71"/>
      <c r="VB76" s="71"/>
      <c r="VC76" s="71"/>
      <c r="VD76" s="71"/>
      <c r="VE76" s="71"/>
      <c r="VF76" s="71"/>
      <c r="VG76" s="71"/>
      <c r="VH76" s="71"/>
      <c r="VI76" s="71"/>
      <c r="VJ76" s="71"/>
      <c r="VK76" s="71"/>
      <c r="VL76" s="71"/>
      <c r="VM76" s="71"/>
      <c r="VN76" s="71"/>
      <c r="VO76" s="71"/>
      <c r="VP76" s="71"/>
      <c r="VQ76" s="71"/>
      <c r="VR76" s="71"/>
      <c r="VS76" s="71"/>
      <c r="VT76" s="71"/>
      <c r="VU76" s="71"/>
      <c r="VV76" s="71"/>
      <c r="VW76" s="71"/>
      <c r="VX76" s="71"/>
      <c r="VY76" s="71"/>
      <c r="VZ76" s="71"/>
      <c r="WA76" s="71"/>
      <c r="WB76" s="71"/>
      <c r="WC76" s="71"/>
      <c r="WD76" s="71"/>
      <c r="WE76" s="71"/>
      <c r="WF76" s="71"/>
      <c r="WG76" s="71"/>
      <c r="WH76" s="71"/>
      <c r="WI76" s="71"/>
      <c r="WJ76" s="71"/>
      <c r="WK76" s="71"/>
      <c r="WL76" s="71"/>
      <c r="WM76" s="71"/>
      <c r="WN76" s="71"/>
      <c r="WO76" s="71"/>
      <c r="WP76" s="71"/>
      <c r="WQ76" s="71"/>
      <c r="WR76" s="71"/>
      <c r="WS76" s="71"/>
      <c r="WT76" s="71"/>
      <c r="WU76" s="71"/>
      <c r="WV76" s="71"/>
      <c r="WW76" s="71"/>
      <c r="WX76" s="71"/>
      <c r="WY76" s="71"/>
      <c r="WZ76" s="71"/>
      <c r="XA76" s="71"/>
      <c r="XB76" s="71"/>
      <c r="XC76" s="71"/>
      <c r="XD76" s="71"/>
      <c r="XE76" s="71"/>
      <c r="XF76" s="71"/>
      <c r="XG76" s="71"/>
      <c r="XH76" s="71"/>
      <c r="XI76" s="71"/>
      <c r="XJ76" s="71"/>
      <c r="XK76" s="71"/>
      <c r="XL76" s="71"/>
      <c r="XM76" s="71"/>
      <c r="XN76" s="71"/>
      <c r="XO76" s="71"/>
      <c r="XP76" s="71"/>
      <c r="XQ76" s="71"/>
      <c r="XR76" s="71"/>
      <c r="XS76" s="71"/>
      <c r="XT76" s="71"/>
      <c r="XU76" s="71"/>
      <c r="XV76" s="71"/>
      <c r="XW76" s="71"/>
      <c r="XX76" s="71"/>
      <c r="XY76" s="71"/>
      <c r="XZ76" s="71"/>
      <c r="YA76" s="71"/>
      <c r="YB76" s="71"/>
      <c r="YC76" s="71"/>
      <c r="YD76" s="71"/>
      <c r="YE76" s="71"/>
      <c r="YF76" s="71"/>
      <c r="YG76" s="71"/>
      <c r="YH76" s="71"/>
      <c r="YI76" s="71"/>
      <c r="YJ76" s="71"/>
      <c r="YK76" s="71"/>
      <c r="YL76" s="71"/>
      <c r="YM76" s="71"/>
      <c r="YN76" s="71"/>
      <c r="YO76" s="71"/>
      <c r="YP76" s="71"/>
      <c r="YQ76" s="71"/>
      <c r="YR76" s="71"/>
      <c r="YS76" s="71"/>
      <c r="YT76" s="71"/>
      <c r="YU76" s="71"/>
      <c r="YV76" s="71"/>
      <c r="YW76" s="71"/>
      <c r="YX76" s="71"/>
      <c r="YY76" s="71"/>
      <c r="YZ76" s="71"/>
      <c r="ZA76" s="71"/>
      <c r="ZB76" s="71"/>
      <c r="ZC76" s="71"/>
      <c r="ZD76" s="71"/>
      <c r="ZE76" s="71"/>
      <c r="ZF76" s="71"/>
      <c r="ZG76" s="71"/>
      <c r="ZH76" s="71"/>
      <c r="ZI76" s="71"/>
      <c r="ZJ76" s="71"/>
      <c r="ZK76" s="71"/>
      <c r="ZL76" s="71"/>
      <c r="ZM76" s="71"/>
      <c r="ZN76" s="71"/>
      <c r="ZO76" s="71"/>
      <c r="ZP76" s="71"/>
      <c r="ZQ76" s="71"/>
      <c r="ZR76" s="71"/>
      <c r="ZS76" s="71"/>
      <c r="ZT76" s="71"/>
      <c r="ZU76" s="71"/>
      <c r="ZV76" s="71"/>
      <c r="ZW76" s="71"/>
      <c r="ZX76" s="71"/>
      <c r="ZY76" s="71"/>
      <c r="ZZ76" s="71"/>
      <c r="AAA76" s="71"/>
      <c r="AAB76" s="71"/>
      <c r="AAC76" s="71"/>
      <c r="AAD76" s="71"/>
      <c r="AAE76" s="71"/>
      <c r="AAF76" s="71"/>
      <c r="AAG76" s="71"/>
      <c r="AAH76" s="71"/>
      <c r="AAI76" s="71"/>
      <c r="AAJ76" s="71"/>
      <c r="AAK76" s="71"/>
      <c r="AAL76" s="71"/>
      <c r="AAM76" s="71"/>
      <c r="AAN76" s="71"/>
      <c r="AAO76" s="71"/>
      <c r="AAP76" s="71"/>
      <c r="AAQ76" s="71"/>
      <c r="AAR76" s="71"/>
      <c r="AAS76" s="71"/>
      <c r="AAT76" s="71"/>
      <c r="AAU76" s="71"/>
      <c r="AAV76" s="71"/>
      <c r="AAW76" s="71"/>
      <c r="AAX76" s="71"/>
      <c r="AAY76" s="71"/>
      <c r="AAZ76" s="71"/>
      <c r="ABA76" s="71"/>
      <c r="ABB76" s="71"/>
      <c r="ABC76" s="71"/>
      <c r="ABD76" s="71"/>
      <c r="ABE76" s="71"/>
      <c r="ABF76" s="71"/>
      <c r="ABG76" s="71"/>
      <c r="ABH76" s="71"/>
      <c r="ABI76" s="71"/>
      <c r="ABJ76" s="71"/>
      <c r="ABK76" s="71"/>
      <c r="ABL76" s="71"/>
      <c r="ABM76" s="71"/>
      <c r="ABN76" s="71"/>
      <c r="ABO76" s="71"/>
      <c r="ABP76" s="71"/>
      <c r="ABQ76" s="71"/>
      <c r="ABR76" s="71"/>
      <c r="ABS76" s="71"/>
      <c r="ABT76" s="71"/>
      <c r="ABU76" s="71"/>
      <c r="ABV76" s="71"/>
      <c r="ABW76" s="71"/>
      <c r="ABX76" s="71"/>
      <c r="ABY76" s="71"/>
      <c r="ABZ76" s="71"/>
      <c r="ACA76" s="71"/>
      <c r="ACB76" s="71"/>
      <c r="ACC76" s="71"/>
      <c r="ACD76" s="71"/>
      <c r="ACE76" s="71"/>
      <c r="ACF76" s="71"/>
      <c r="ACG76" s="71"/>
      <c r="ACH76" s="71"/>
      <c r="ACI76" s="71"/>
      <c r="ACJ76" s="71"/>
      <c r="ACK76" s="71"/>
      <c r="ACL76" s="71"/>
      <c r="ACM76" s="71"/>
      <c r="ACN76" s="71"/>
      <c r="ACO76" s="71"/>
      <c r="ACP76" s="71"/>
      <c r="ACQ76" s="71"/>
      <c r="ACR76" s="71"/>
      <c r="ACS76" s="71"/>
      <c r="ACT76" s="71"/>
      <c r="ACU76" s="71"/>
      <c r="ACV76" s="71"/>
      <c r="ACW76" s="71"/>
      <c r="ACX76" s="71"/>
      <c r="ACY76" s="71"/>
      <c r="ACZ76" s="71"/>
      <c r="ADA76" s="71"/>
      <c r="ADB76" s="71"/>
      <c r="ADC76" s="71"/>
      <c r="ADD76" s="71"/>
      <c r="ADE76" s="71"/>
      <c r="ADF76" s="71"/>
      <c r="ADG76" s="71"/>
      <c r="ADH76" s="71"/>
      <c r="ADI76" s="71"/>
      <c r="ADJ76" s="71"/>
      <c r="ADK76" s="71"/>
      <c r="ADL76" s="71"/>
      <c r="ADM76" s="71"/>
      <c r="ADN76" s="71"/>
      <c r="ADO76" s="71"/>
      <c r="ADP76" s="71"/>
      <c r="ADQ76" s="71"/>
      <c r="ADR76" s="71"/>
      <c r="ADS76" s="71"/>
      <c r="ADT76" s="71"/>
      <c r="ADU76" s="71"/>
      <c r="ADV76" s="71"/>
      <c r="ADW76" s="71"/>
      <c r="ADX76" s="71"/>
      <c r="ADY76" s="71"/>
      <c r="ADZ76" s="71"/>
      <c r="AEA76" s="71"/>
      <c r="AEB76" s="71"/>
      <c r="AEC76" s="71"/>
      <c r="AED76" s="71"/>
      <c r="AEE76" s="71"/>
      <c r="AEF76" s="71"/>
      <c r="AEG76" s="71"/>
      <c r="AEH76" s="71"/>
      <c r="AEI76" s="71"/>
      <c r="AEJ76" s="71"/>
      <c r="AEK76" s="71"/>
      <c r="AEL76" s="71"/>
      <c r="AEM76" s="71"/>
      <c r="AEN76" s="71"/>
      <c r="AEO76" s="71"/>
      <c r="AEP76" s="71"/>
      <c r="AEQ76" s="71"/>
      <c r="AER76" s="71"/>
      <c r="AES76" s="71"/>
      <c r="AET76" s="71"/>
      <c r="AEU76" s="71"/>
      <c r="AEV76" s="71"/>
      <c r="AEW76" s="71"/>
      <c r="AEX76" s="71"/>
      <c r="AEY76" s="71"/>
      <c r="AEZ76" s="71"/>
      <c r="AFA76" s="71"/>
      <c r="AFB76" s="71"/>
      <c r="AFC76" s="71"/>
      <c r="AFD76" s="71"/>
      <c r="AFE76" s="71"/>
      <c r="AFF76" s="71"/>
      <c r="AFG76" s="71"/>
      <c r="AFH76" s="71"/>
      <c r="AFI76" s="71"/>
      <c r="AFJ76" s="71"/>
      <c r="AFK76" s="71"/>
      <c r="AFL76" s="71"/>
      <c r="AFM76" s="71"/>
      <c r="AFN76" s="71"/>
      <c r="AFO76" s="71"/>
      <c r="AFP76" s="71"/>
      <c r="AFQ76" s="71"/>
      <c r="AFR76" s="71"/>
      <c r="AFS76" s="71"/>
      <c r="AFT76" s="71"/>
      <c r="AFU76" s="71"/>
      <c r="AFV76" s="71"/>
      <c r="AFW76" s="71"/>
      <c r="AFX76" s="71"/>
      <c r="AFY76" s="71"/>
      <c r="AFZ76" s="71"/>
      <c r="AGA76" s="71"/>
      <c r="AGB76" s="71"/>
      <c r="AGC76" s="71"/>
      <c r="AGD76" s="71"/>
      <c r="AGE76" s="71"/>
      <c r="AGF76" s="71"/>
      <c r="AGG76" s="71"/>
      <c r="AGH76" s="71"/>
      <c r="AGI76" s="71"/>
      <c r="AGJ76" s="71"/>
      <c r="AGK76" s="71"/>
      <c r="AGL76" s="71"/>
      <c r="AGM76" s="71"/>
      <c r="AGN76" s="71"/>
      <c r="AGO76" s="71"/>
      <c r="AGP76" s="71"/>
      <c r="AGQ76" s="71"/>
      <c r="AGR76" s="71"/>
      <c r="AGS76" s="71"/>
      <c r="AGT76" s="71"/>
      <c r="AGU76" s="71"/>
      <c r="AGV76" s="71"/>
      <c r="AGW76" s="71"/>
      <c r="AGX76" s="71"/>
      <c r="AGY76" s="71"/>
      <c r="AGZ76" s="71"/>
      <c r="AHA76" s="71"/>
      <c r="AHB76" s="71"/>
      <c r="AHC76" s="71"/>
      <c r="AHD76" s="71"/>
      <c r="AHE76" s="71"/>
      <c r="AHF76" s="71"/>
      <c r="AHG76" s="71"/>
      <c r="AHH76" s="71"/>
      <c r="AHI76" s="71"/>
      <c r="AHJ76" s="71"/>
      <c r="AHK76" s="71"/>
      <c r="AHL76" s="71"/>
      <c r="AHM76" s="71"/>
      <c r="AHN76" s="71"/>
      <c r="AHO76" s="71"/>
      <c r="AHP76" s="71"/>
      <c r="AHQ76" s="71"/>
      <c r="AHR76" s="71"/>
      <c r="AHS76" s="71"/>
      <c r="AHT76" s="71"/>
      <c r="AHU76" s="71"/>
      <c r="AHV76" s="71"/>
      <c r="AHW76" s="71"/>
      <c r="AHX76" s="71"/>
      <c r="AHY76" s="71"/>
      <c r="AHZ76" s="71"/>
      <c r="AIA76" s="71"/>
      <c r="AIB76" s="71"/>
      <c r="AIC76" s="71"/>
      <c r="AID76" s="71"/>
      <c r="AIE76" s="71"/>
      <c r="AIF76" s="71"/>
      <c r="AIG76" s="71"/>
      <c r="AIH76" s="71"/>
      <c r="AII76" s="71"/>
      <c r="AIJ76" s="71"/>
      <c r="AIK76" s="71"/>
      <c r="AIL76" s="71"/>
      <c r="AIM76" s="71"/>
      <c r="AIN76" s="71"/>
      <c r="AIO76" s="71"/>
      <c r="AIP76" s="71"/>
      <c r="AIQ76" s="71"/>
      <c r="AIR76" s="71"/>
      <c r="AIS76" s="71"/>
      <c r="AIT76" s="71"/>
      <c r="AIU76" s="71"/>
      <c r="AIV76" s="71"/>
      <c r="AIW76" s="71"/>
      <c r="AIX76" s="71"/>
      <c r="AIY76" s="71"/>
      <c r="AIZ76" s="71"/>
      <c r="AJA76" s="71"/>
      <c r="AJB76" s="71"/>
      <c r="AJC76" s="71"/>
      <c r="AJD76" s="71"/>
      <c r="AJE76" s="71"/>
      <c r="AJF76" s="71"/>
      <c r="AJG76" s="71"/>
      <c r="AJH76" s="71"/>
      <c r="AJI76" s="71"/>
      <c r="AJJ76" s="71"/>
      <c r="AJK76" s="71"/>
      <c r="AJL76" s="71"/>
      <c r="AJM76" s="71"/>
      <c r="AJN76" s="71"/>
      <c r="AJO76" s="71"/>
      <c r="AJP76" s="71"/>
      <c r="AJQ76" s="71"/>
      <c r="AJR76" s="71"/>
      <c r="AJS76" s="71"/>
      <c r="AJT76" s="71"/>
      <c r="AJU76" s="71"/>
      <c r="AJV76" s="71"/>
      <c r="AJW76" s="71"/>
      <c r="AJX76" s="71"/>
      <c r="AJY76" s="71"/>
      <c r="AJZ76" s="71"/>
      <c r="AKA76" s="71"/>
      <c r="AKB76" s="71"/>
      <c r="AKC76" s="71"/>
      <c r="AKD76" s="71"/>
      <c r="AKE76" s="71"/>
      <c r="AKF76" s="71"/>
      <c r="AKG76" s="71"/>
      <c r="AKH76" s="71"/>
      <c r="AKI76" s="71"/>
      <c r="AKJ76" s="71"/>
      <c r="AKK76" s="71"/>
      <c r="AKL76" s="71"/>
      <c r="AKM76" s="71"/>
      <c r="AKN76" s="71"/>
      <c r="AKO76" s="71"/>
      <c r="AKP76" s="71"/>
      <c r="AKQ76" s="71"/>
      <c r="AKR76" s="71"/>
      <c r="AKS76" s="71"/>
      <c r="AKT76" s="71"/>
      <c r="AKU76" s="71"/>
      <c r="AKV76" s="71"/>
      <c r="AKW76" s="71"/>
      <c r="AKX76" s="71"/>
      <c r="AKY76" s="71"/>
      <c r="AKZ76" s="71"/>
      <c r="ALA76" s="71"/>
      <c r="ALB76" s="71"/>
      <c r="ALC76" s="71"/>
      <c r="ALD76" s="71"/>
      <c r="ALE76" s="71"/>
      <c r="ALF76" s="71"/>
      <c r="ALG76" s="71"/>
      <c r="ALH76" s="71"/>
      <c r="ALI76" s="71"/>
      <c r="ALJ76" s="71"/>
      <c r="ALK76" s="71"/>
      <c r="ALL76" s="71"/>
      <c r="ALM76" s="71"/>
      <c r="ALN76" s="71"/>
      <c r="ALO76" s="71"/>
      <c r="ALP76" s="71"/>
      <c r="ALQ76" s="71"/>
      <c r="ALR76" s="71"/>
      <c r="ALS76" s="71"/>
      <c r="ALT76" s="71"/>
      <c r="ALU76" s="71"/>
      <c r="ALV76" s="71"/>
      <c r="ALW76" s="71"/>
      <c r="ALX76" s="71"/>
      <c r="ALY76" s="71"/>
      <c r="ALZ76" s="71"/>
      <c r="AMA76" s="71"/>
      <c r="AMB76" s="71"/>
      <c r="AMC76" s="71"/>
      <c r="AMD76" s="71"/>
      <c r="AME76" s="71"/>
      <c r="AMF76" s="71"/>
      <c r="AMG76" s="71"/>
      <c r="AMH76" s="71"/>
      <c r="AMI76" s="71"/>
      <c r="AMJ76" s="71"/>
      <c r="AMK76" s="71"/>
    </row>
    <row r="78" spans="1:1025">
      <c r="B78" s="609" t="s">
        <v>432</v>
      </c>
      <c r="C78" s="609"/>
      <c r="D78" s="609"/>
      <c r="E78" s="609"/>
      <c r="F78" s="609"/>
      <c r="G78" s="609"/>
      <c r="H78" s="609"/>
      <c r="I78" s="609"/>
      <c r="J78" s="609"/>
      <c r="K78" s="22"/>
      <c r="L78" s="22"/>
      <c r="M78" s="22"/>
      <c r="N78" s="22"/>
      <c r="O78" s="22"/>
      <c r="P78" s="22"/>
      <c r="Q78" s="22"/>
      <c r="R78" s="22"/>
      <c r="S78" s="22"/>
      <c r="T78" s="22"/>
      <c r="U78" s="22"/>
      <c r="V78" s="22"/>
      <c r="W78" s="22"/>
      <c r="X78" s="22"/>
      <c r="Y78" s="22"/>
      <c r="Z78" s="22"/>
      <c r="AA78" s="22"/>
      <c r="AB78" s="22"/>
    </row>
  </sheetData>
  <mergeCells count="46">
    <mergeCell ref="B73:C73"/>
    <mergeCell ref="B76:I76"/>
    <mergeCell ref="B78:J78"/>
    <mergeCell ref="B66:O67"/>
    <mergeCell ref="S33:S37"/>
    <mergeCell ref="B65:C65"/>
    <mergeCell ref="A33:A37"/>
    <mergeCell ref="K33:K37"/>
    <mergeCell ref="N33:N37"/>
    <mergeCell ref="O33:O37"/>
    <mergeCell ref="P33:P37"/>
    <mergeCell ref="E33:E37"/>
    <mergeCell ref="L33:L37"/>
    <mergeCell ref="M33:M37"/>
    <mergeCell ref="B33:B37"/>
    <mergeCell ref="D33:D37"/>
    <mergeCell ref="V10:V12"/>
    <mergeCell ref="W10:W12"/>
    <mergeCell ref="X10:X12"/>
    <mergeCell ref="Z10:Z12"/>
    <mergeCell ref="L10:N11"/>
    <mergeCell ref="AA1:AB1"/>
    <mergeCell ref="AB10:AB12"/>
    <mergeCell ref="AA10:AA12"/>
    <mergeCell ref="R10:T11"/>
    <mergeCell ref="Y10:Y12"/>
    <mergeCell ref="A2:AB2"/>
    <mergeCell ref="A3:AB5"/>
    <mergeCell ref="A6:AB6"/>
    <mergeCell ref="A7:AB7"/>
    <mergeCell ref="A10:A12"/>
    <mergeCell ref="B10:C11"/>
    <mergeCell ref="D10:E11"/>
    <mergeCell ref="F10:J11"/>
    <mergeCell ref="K10:K12"/>
    <mergeCell ref="O10:Q11"/>
    <mergeCell ref="U10:U12"/>
    <mergeCell ref="W33:W37"/>
    <mergeCell ref="Y33:Y37"/>
    <mergeCell ref="C33:C37"/>
    <mergeCell ref="X33:X37"/>
    <mergeCell ref="AA33:AA37"/>
    <mergeCell ref="T33:T37"/>
    <mergeCell ref="U33:U37"/>
    <mergeCell ref="Q33:Q37"/>
    <mergeCell ref="R33:R37"/>
  </mergeCells>
  <pageMargins left="0.19685039370078741" right="0.19685039370078741" top="0.98425196850393704" bottom="0.19685039370078741" header="0" footer="0"/>
  <pageSetup paperSize="9" scale="3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Z74"/>
  <sheetViews>
    <sheetView zoomScale="91" zoomScaleNormal="91" workbookViewId="0">
      <selection activeCell="F11" sqref="F11"/>
    </sheetView>
  </sheetViews>
  <sheetFormatPr defaultColWidth="9.109375" defaultRowHeight="15.6"/>
  <cols>
    <col min="1" max="1" width="3.33203125" style="28" customWidth="1"/>
    <col min="2" max="2" width="35.5546875" style="28" customWidth="1"/>
    <col min="3" max="3" width="10.5546875" style="28" customWidth="1"/>
    <col min="4" max="4" width="36" style="5" customWidth="1"/>
    <col min="5" max="5" width="11.6640625" style="5" customWidth="1"/>
    <col min="6" max="6" width="37.44140625" style="5" customWidth="1"/>
    <col min="7" max="7" width="11.6640625" style="5" customWidth="1"/>
    <col min="8" max="8" width="9.5546875" style="5" customWidth="1"/>
    <col min="9" max="9" width="7.44140625" style="28" customWidth="1"/>
    <col min="10" max="10" width="11.109375" style="28" customWidth="1"/>
    <col min="11" max="11" width="14.6640625" style="28" customWidth="1"/>
    <col min="12" max="12" width="15" style="5" bestFit="1" customWidth="1"/>
    <col min="13" max="13" width="14.6640625" style="5" customWidth="1"/>
    <col min="14" max="15" width="15" style="5" bestFit="1" customWidth="1"/>
    <col min="16" max="16" width="13.6640625" style="5" bestFit="1" customWidth="1"/>
    <col min="17" max="17" width="15" style="5" bestFit="1" customWidth="1"/>
    <col min="18" max="18" width="13.6640625" style="5" bestFit="1" customWidth="1"/>
    <col min="19" max="19" width="15" style="5" bestFit="1" customWidth="1"/>
    <col min="20" max="20" width="13.6640625" style="5" bestFit="1" customWidth="1"/>
    <col min="21" max="21" width="14.88671875" style="5" bestFit="1" customWidth="1"/>
    <col min="22" max="22" width="13.6640625" style="5" bestFit="1" customWidth="1"/>
    <col min="23" max="23" width="17.33203125" style="5" customWidth="1"/>
    <col min="24" max="24" width="8.33203125" style="28" customWidth="1"/>
    <col min="25" max="25" width="29.5546875" style="28" customWidth="1"/>
    <col min="26" max="16384" width="9.109375" style="28"/>
  </cols>
  <sheetData>
    <row r="1" spans="1:25">
      <c r="X1" s="582" t="s">
        <v>336</v>
      </c>
      <c r="Y1" s="582"/>
    </row>
    <row r="3" spans="1:25" ht="48" customHeight="1">
      <c r="A3" s="629" t="s">
        <v>375</v>
      </c>
      <c r="B3" s="629"/>
      <c r="C3" s="629"/>
      <c r="D3" s="629"/>
      <c r="E3" s="629"/>
      <c r="F3" s="629"/>
      <c r="G3" s="629"/>
      <c r="H3" s="629"/>
      <c r="I3" s="629"/>
      <c r="J3" s="629"/>
      <c r="K3" s="629"/>
      <c r="L3" s="629"/>
      <c r="M3" s="629"/>
      <c r="N3" s="629"/>
      <c r="O3" s="629"/>
      <c r="P3" s="629"/>
      <c r="Q3" s="629"/>
      <c r="R3" s="629"/>
      <c r="S3" s="629"/>
      <c r="T3" s="629"/>
      <c r="U3" s="629"/>
      <c r="V3" s="629"/>
      <c r="W3" s="629"/>
      <c r="X3" s="629"/>
      <c r="Y3" s="629"/>
    </row>
    <row r="4" spans="1:25" ht="17.25" customHeight="1">
      <c r="A4" s="630" t="s">
        <v>27</v>
      </c>
      <c r="B4" s="630"/>
      <c r="C4" s="630"/>
      <c r="D4" s="630"/>
      <c r="E4" s="630"/>
      <c r="F4" s="630"/>
      <c r="G4" s="630"/>
      <c r="H4" s="630"/>
      <c r="I4" s="630"/>
      <c r="J4" s="630"/>
      <c r="K4" s="630"/>
      <c r="L4" s="630"/>
      <c r="M4" s="630"/>
      <c r="N4" s="630"/>
      <c r="O4" s="630"/>
      <c r="P4" s="630"/>
      <c r="Q4" s="630"/>
      <c r="R4" s="630"/>
      <c r="S4" s="630"/>
      <c r="T4" s="630"/>
      <c r="U4" s="630"/>
      <c r="V4" s="630"/>
      <c r="W4" s="630"/>
      <c r="X4" s="630"/>
      <c r="Y4" s="630"/>
    </row>
    <row r="5" spans="1:25" ht="24" customHeight="1">
      <c r="A5" s="631" t="s">
        <v>6</v>
      </c>
      <c r="B5" s="631"/>
      <c r="C5" s="631"/>
      <c r="D5" s="631"/>
      <c r="E5" s="631"/>
      <c r="F5" s="631"/>
      <c r="G5" s="631"/>
      <c r="H5" s="631"/>
      <c r="I5" s="631"/>
      <c r="J5" s="631"/>
      <c r="K5" s="631"/>
      <c r="L5" s="631"/>
      <c r="M5" s="631"/>
      <c r="N5" s="631"/>
      <c r="O5" s="631"/>
      <c r="P5" s="631"/>
      <c r="Q5" s="631"/>
      <c r="R5" s="631"/>
      <c r="S5" s="631"/>
      <c r="T5" s="631"/>
      <c r="U5" s="631"/>
      <c r="V5" s="631"/>
      <c r="W5" s="631"/>
      <c r="X5" s="631"/>
      <c r="Y5" s="631"/>
    </row>
    <row r="6" spans="1:25" ht="12" customHeight="1" thickBot="1">
      <c r="A6" s="20"/>
      <c r="B6" s="19"/>
      <c r="C6" s="19"/>
      <c r="D6" s="34"/>
      <c r="E6" s="34"/>
      <c r="F6" s="34"/>
      <c r="G6" s="34"/>
      <c r="H6" s="34"/>
      <c r="I6" s="19"/>
      <c r="J6" s="19"/>
      <c r="K6" s="19"/>
      <c r="L6" s="34"/>
      <c r="M6" s="34"/>
      <c r="N6" s="34"/>
      <c r="O6" s="34"/>
      <c r="P6" s="34"/>
      <c r="Q6" s="34"/>
      <c r="R6" s="34"/>
      <c r="S6" s="34"/>
      <c r="T6" s="34"/>
      <c r="U6" s="34"/>
      <c r="V6" s="34"/>
      <c r="W6" s="34"/>
      <c r="X6" s="19"/>
      <c r="Y6" s="18"/>
    </row>
    <row r="7" spans="1:25" ht="27" customHeight="1">
      <c r="A7" s="592" t="s">
        <v>7</v>
      </c>
      <c r="B7" s="595" t="s">
        <v>337</v>
      </c>
      <c r="C7" s="595"/>
      <c r="D7" s="595" t="s">
        <v>41</v>
      </c>
      <c r="E7" s="595"/>
      <c r="F7" s="633" t="s">
        <v>42</v>
      </c>
      <c r="G7" s="633"/>
      <c r="H7" s="633"/>
      <c r="I7" s="599" t="s">
        <v>338</v>
      </c>
      <c r="J7" s="599"/>
      <c r="K7" s="633" t="s">
        <v>339</v>
      </c>
      <c r="L7" s="633"/>
      <c r="M7" s="633"/>
      <c r="N7" s="633"/>
      <c r="O7" s="634" t="s">
        <v>340</v>
      </c>
      <c r="P7" s="634"/>
      <c r="Q7" s="634"/>
      <c r="R7" s="634"/>
      <c r="S7" s="634"/>
      <c r="T7" s="634"/>
      <c r="U7" s="634"/>
      <c r="V7" s="634"/>
      <c r="W7" s="634" t="s">
        <v>341</v>
      </c>
      <c r="X7" s="634" t="s">
        <v>342</v>
      </c>
      <c r="Y7" s="636" t="s">
        <v>1</v>
      </c>
    </row>
    <row r="8" spans="1:25" ht="33.75" customHeight="1">
      <c r="A8" s="593"/>
      <c r="B8" s="596"/>
      <c r="C8" s="596"/>
      <c r="D8" s="596"/>
      <c r="E8" s="596"/>
      <c r="F8" s="635"/>
      <c r="G8" s="635"/>
      <c r="H8" s="635"/>
      <c r="I8" s="600"/>
      <c r="J8" s="600"/>
      <c r="K8" s="635" t="s">
        <v>343</v>
      </c>
      <c r="L8" s="635"/>
      <c r="M8" s="635" t="s">
        <v>344</v>
      </c>
      <c r="N8" s="635"/>
      <c r="O8" s="632" t="s">
        <v>345</v>
      </c>
      <c r="P8" s="632"/>
      <c r="Q8" s="632" t="s">
        <v>346</v>
      </c>
      <c r="R8" s="632"/>
      <c r="S8" s="632" t="s">
        <v>347</v>
      </c>
      <c r="T8" s="632"/>
      <c r="U8" s="632" t="s">
        <v>348</v>
      </c>
      <c r="V8" s="632"/>
      <c r="W8" s="632"/>
      <c r="X8" s="632"/>
      <c r="Y8" s="637"/>
    </row>
    <row r="9" spans="1:25" ht="111.75" customHeight="1" thickBot="1">
      <c r="A9" s="594"/>
      <c r="B9" s="10" t="s">
        <v>349</v>
      </c>
      <c r="C9" s="9" t="s">
        <v>350</v>
      </c>
      <c r="D9" s="10" t="s">
        <v>349</v>
      </c>
      <c r="E9" s="9" t="s">
        <v>351</v>
      </c>
      <c r="F9" s="17" t="s">
        <v>54</v>
      </c>
      <c r="G9" s="36" t="s">
        <v>2</v>
      </c>
      <c r="H9" s="36" t="s">
        <v>57</v>
      </c>
      <c r="I9" s="17" t="s">
        <v>61</v>
      </c>
      <c r="J9" s="36" t="s">
        <v>352</v>
      </c>
      <c r="K9" s="17" t="s">
        <v>353</v>
      </c>
      <c r="L9" s="36" t="s">
        <v>354</v>
      </c>
      <c r="M9" s="17" t="s">
        <v>353</v>
      </c>
      <c r="N9" s="36" t="s">
        <v>354</v>
      </c>
      <c r="O9" s="17" t="s">
        <v>353</v>
      </c>
      <c r="P9" s="36" t="s">
        <v>354</v>
      </c>
      <c r="Q9" s="17" t="s">
        <v>353</v>
      </c>
      <c r="R9" s="36" t="s">
        <v>354</v>
      </c>
      <c r="S9" s="17" t="s">
        <v>353</v>
      </c>
      <c r="T9" s="36" t="s">
        <v>354</v>
      </c>
      <c r="U9" s="17" t="s">
        <v>353</v>
      </c>
      <c r="V9" s="36" t="s">
        <v>354</v>
      </c>
      <c r="W9" s="604"/>
      <c r="X9" s="604"/>
      <c r="Y9" s="638"/>
    </row>
    <row r="10" spans="1:25" ht="16.2" thickBot="1">
      <c r="A10" s="16">
        <v>1</v>
      </c>
      <c r="B10" s="8">
        <v>2</v>
      </c>
      <c r="C10" s="8">
        <v>3</v>
      </c>
      <c r="D10" s="8">
        <v>4</v>
      </c>
      <c r="E10" s="8">
        <v>5</v>
      </c>
      <c r="F10" s="7">
        <v>6</v>
      </c>
      <c r="G10" s="7">
        <v>7</v>
      </c>
      <c r="H10" s="7">
        <v>8</v>
      </c>
      <c r="I10" s="7">
        <v>9</v>
      </c>
      <c r="J10" s="7">
        <v>10</v>
      </c>
      <c r="K10" s="7">
        <v>11</v>
      </c>
      <c r="L10" s="7">
        <v>12</v>
      </c>
      <c r="M10" s="7">
        <v>13</v>
      </c>
      <c r="N10" s="7">
        <v>14</v>
      </c>
      <c r="O10" s="7">
        <v>15</v>
      </c>
      <c r="P10" s="7">
        <v>16</v>
      </c>
      <c r="Q10" s="7">
        <v>17</v>
      </c>
      <c r="R10" s="7">
        <v>18</v>
      </c>
      <c r="S10" s="7">
        <v>19</v>
      </c>
      <c r="T10" s="7">
        <v>20</v>
      </c>
      <c r="U10" s="7">
        <v>21</v>
      </c>
      <c r="V10" s="7">
        <v>22</v>
      </c>
      <c r="W10" s="7">
        <v>23</v>
      </c>
      <c r="X10" s="7">
        <v>24</v>
      </c>
      <c r="Y10" s="6">
        <v>25</v>
      </c>
    </row>
    <row r="11" spans="1:25" ht="46.8">
      <c r="A11" s="33">
        <v>1</v>
      </c>
      <c r="B11" s="24" t="s">
        <v>66</v>
      </c>
      <c r="C11" s="24" t="s">
        <v>67</v>
      </c>
      <c r="D11" s="23" t="s">
        <v>68</v>
      </c>
      <c r="E11" s="23">
        <v>21673832</v>
      </c>
      <c r="F11" s="21" t="s">
        <v>69</v>
      </c>
      <c r="G11" s="21" t="s">
        <v>13</v>
      </c>
      <c r="H11" s="21" t="s">
        <v>70</v>
      </c>
      <c r="I11" s="49">
        <v>16792</v>
      </c>
      <c r="J11" s="30">
        <v>39220</v>
      </c>
      <c r="K11" s="56">
        <v>1959.41</v>
      </c>
      <c r="L11" s="56">
        <v>900.46</v>
      </c>
      <c r="M11" s="57">
        <v>12811.09</v>
      </c>
      <c r="N11" s="57">
        <v>3787.12</v>
      </c>
      <c r="O11" s="58">
        <v>4537.76</v>
      </c>
      <c r="P11" s="58">
        <v>1460.86</v>
      </c>
      <c r="Q11" s="58">
        <v>957.66</v>
      </c>
      <c r="R11" s="58">
        <v>483.58</v>
      </c>
      <c r="S11" s="58">
        <v>1401.12</v>
      </c>
      <c r="T11" s="58">
        <v>420.33</v>
      </c>
      <c r="U11" s="58">
        <v>5914.55</v>
      </c>
      <c r="V11" s="58">
        <v>1422.35</v>
      </c>
      <c r="W11" s="58">
        <v>0</v>
      </c>
      <c r="X11" s="69" t="s">
        <v>3</v>
      </c>
      <c r="Y11" s="69" t="s">
        <v>3</v>
      </c>
    </row>
    <row r="12" spans="1:25" ht="62.4">
      <c r="A12" s="50">
        <v>2</v>
      </c>
      <c r="B12" s="24" t="s">
        <v>78</v>
      </c>
      <c r="C12" s="51" t="s">
        <v>79</v>
      </c>
      <c r="D12" s="25" t="s">
        <v>80</v>
      </c>
      <c r="E12" s="25">
        <v>22859846</v>
      </c>
      <c r="F12" s="35" t="s">
        <v>81</v>
      </c>
      <c r="G12" s="35" t="s">
        <v>14</v>
      </c>
      <c r="H12" s="35" t="s">
        <v>82</v>
      </c>
      <c r="I12" s="51" t="s">
        <v>85</v>
      </c>
      <c r="J12" s="30">
        <v>39825</v>
      </c>
      <c r="K12" s="59">
        <v>4826.04</v>
      </c>
      <c r="L12" s="59">
        <v>2010.85</v>
      </c>
      <c r="M12" s="60">
        <v>5189.8</v>
      </c>
      <c r="N12" s="60">
        <v>2162.42</v>
      </c>
      <c r="O12" s="61">
        <v>1235.31</v>
      </c>
      <c r="P12" s="61">
        <v>514.71</v>
      </c>
      <c r="Q12" s="61">
        <v>1283.29</v>
      </c>
      <c r="R12" s="61">
        <v>534.70000000000005</v>
      </c>
      <c r="S12" s="61">
        <v>1312.86</v>
      </c>
      <c r="T12" s="61">
        <v>547.03</v>
      </c>
      <c r="U12" s="62">
        <v>1358.34</v>
      </c>
      <c r="V12" s="62">
        <v>565.98</v>
      </c>
      <c r="W12" s="61">
        <v>0</v>
      </c>
      <c r="X12" s="69" t="s">
        <v>3</v>
      </c>
      <c r="Y12" s="69" t="s">
        <v>3</v>
      </c>
    </row>
    <row r="13" spans="1:25" ht="46.8">
      <c r="A13" s="50">
        <v>3</v>
      </c>
      <c r="B13" s="24" t="s">
        <v>78</v>
      </c>
      <c r="C13" s="51" t="s">
        <v>79</v>
      </c>
      <c r="D13" s="25" t="s">
        <v>80</v>
      </c>
      <c r="E13" s="27">
        <v>22859846</v>
      </c>
      <c r="F13" s="35" t="s">
        <v>89</v>
      </c>
      <c r="G13" s="35" t="s">
        <v>14</v>
      </c>
      <c r="H13" s="35" t="s">
        <v>90</v>
      </c>
      <c r="I13" s="51" t="s">
        <v>85</v>
      </c>
      <c r="J13" s="30">
        <v>40226</v>
      </c>
      <c r="K13" s="59">
        <v>6600.23</v>
      </c>
      <c r="L13" s="59">
        <v>2750.1</v>
      </c>
      <c r="M13" s="60">
        <v>6965.45</v>
      </c>
      <c r="N13" s="60">
        <v>2902.28</v>
      </c>
      <c r="O13" s="61">
        <v>1657.98</v>
      </c>
      <c r="P13" s="61">
        <v>690.83</v>
      </c>
      <c r="Q13" s="62">
        <v>1722.33</v>
      </c>
      <c r="R13" s="61">
        <v>717.64</v>
      </c>
      <c r="S13" s="61">
        <v>1762.03</v>
      </c>
      <c r="T13" s="61">
        <v>734.18</v>
      </c>
      <c r="U13" s="62">
        <v>1823.11</v>
      </c>
      <c r="V13" s="62">
        <v>759.63</v>
      </c>
      <c r="W13" s="61">
        <v>0</v>
      </c>
      <c r="X13" s="69" t="s">
        <v>3</v>
      </c>
      <c r="Y13" s="69" t="s">
        <v>3</v>
      </c>
    </row>
    <row r="14" spans="1:25" ht="46.8">
      <c r="A14" s="50">
        <v>4</v>
      </c>
      <c r="B14" s="24" t="s">
        <v>78</v>
      </c>
      <c r="C14" s="51" t="s">
        <v>79</v>
      </c>
      <c r="D14" s="25" t="s">
        <v>80</v>
      </c>
      <c r="E14" s="27">
        <v>22859846</v>
      </c>
      <c r="F14" s="35" t="s">
        <v>95</v>
      </c>
      <c r="G14" s="35" t="s">
        <v>96</v>
      </c>
      <c r="H14" s="35" t="s">
        <v>97</v>
      </c>
      <c r="I14" s="51" t="s">
        <v>85</v>
      </c>
      <c r="J14" s="30">
        <v>40911</v>
      </c>
      <c r="K14" s="59">
        <v>2890.2</v>
      </c>
      <c r="L14" s="59">
        <v>1204.25</v>
      </c>
      <c r="M14" s="60">
        <v>3108.05</v>
      </c>
      <c r="N14" s="60">
        <v>1295.02</v>
      </c>
      <c r="O14" s="61">
        <v>739.81</v>
      </c>
      <c r="P14" s="61">
        <v>308.25</v>
      </c>
      <c r="Q14" s="61">
        <v>768.53</v>
      </c>
      <c r="R14" s="61">
        <v>320.22000000000003</v>
      </c>
      <c r="S14" s="61">
        <v>786.24</v>
      </c>
      <c r="T14" s="61">
        <v>327.60000000000002</v>
      </c>
      <c r="U14" s="62">
        <v>813.47</v>
      </c>
      <c r="V14" s="62">
        <v>338.95</v>
      </c>
      <c r="W14" s="61">
        <v>0</v>
      </c>
      <c r="X14" s="69" t="s">
        <v>3</v>
      </c>
      <c r="Y14" s="69" t="s">
        <v>3</v>
      </c>
    </row>
    <row r="15" spans="1:25" ht="46.8">
      <c r="A15" s="32">
        <v>5</v>
      </c>
      <c r="B15" s="24" t="s">
        <v>78</v>
      </c>
      <c r="C15" s="51" t="s">
        <v>79</v>
      </c>
      <c r="D15" s="25" t="s">
        <v>80</v>
      </c>
      <c r="E15" s="25">
        <v>22859846</v>
      </c>
      <c r="F15" s="35" t="s">
        <v>102</v>
      </c>
      <c r="G15" s="35" t="s">
        <v>103</v>
      </c>
      <c r="H15" s="35" t="s">
        <v>104</v>
      </c>
      <c r="I15" s="51" t="s">
        <v>85</v>
      </c>
      <c r="J15" s="30">
        <v>40911</v>
      </c>
      <c r="K15" s="63">
        <v>4960.8</v>
      </c>
      <c r="L15" s="63">
        <v>2067</v>
      </c>
      <c r="M15" s="64">
        <v>5334.62</v>
      </c>
      <c r="N15" s="64">
        <v>2222.7600000000002</v>
      </c>
      <c r="O15" s="65">
        <v>1269.79</v>
      </c>
      <c r="P15" s="65">
        <v>529.09</v>
      </c>
      <c r="Q15" s="65">
        <v>1319.06</v>
      </c>
      <c r="R15" s="65">
        <v>549.61</v>
      </c>
      <c r="S15" s="65">
        <v>1349.48</v>
      </c>
      <c r="T15" s="65">
        <v>562.28</v>
      </c>
      <c r="U15" s="66">
        <v>1396.29</v>
      </c>
      <c r="V15" s="66">
        <v>581.78</v>
      </c>
      <c r="W15" s="65">
        <v>0</v>
      </c>
      <c r="X15" s="69" t="s">
        <v>3</v>
      </c>
      <c r="Y15" s="69" t="s">
        <v>3</v>
      </c>
    </row>
    <row r="16" spans="1:25" ht="46.8">
      <c r="A16" s="32">
        <v>6</v>
      </c>
      <c r="B16" s="24" t="s">
        <v>108</v>
      </c>
      <c r="C16" s="51" t="s">
        <v>109</v>
      </c>
      <c r="D16" s="25" t="s">
        <v>68</v>
      </c>
      <c r="E16" s="25">
        <v>21673832</v>
      </c>
      <c r="F16" s="35" t="s">
        <v>110</v>
      </c>
      <c r="G16" s="35" t="s">
        <v>19</v>
      </c>
      <c r="H16" s="35" t="s">
        <v>111</v>
      </c>
      <c r="I16" s="52">
        <v>16308</v>
      </c>
      <c r="J16" s="53">
        <v>39220</v>
      </c>
      <c r="K16" s="63">
        <v>11579</v>
      </c>
      <c r="L16" s="63">
        <v>4824.58</v>
      </c>
      <c r="M16" s="67">
        <v>29534.82</v>
      </c>
      <c r="N16" s="67">
        <v>7383.7</v>
      </c>
      <c r="O16" s="65">
        <v>2715.41</v>
      </c>
      <c r="P16" s="65">
        <v>678.85</v>
      </c>
      <c r="Q16" s="65">
        <v>1870.22</v>
      </c>
      <c r="R16" s="65">
        <v>467.55</v>
      </c>
      <c r="S16" s="65">
        <v>3916.59</v>
      </c>
      <c r="T16" s="65">
        <v>979.15</v>
      </c>
      <c r="U16" s="65">
        <v>21032.6</v>
      </c>
      <c r="V16" s="65">
        <v>5258.15</v>
      </c>
      <c r="W16" s="65">
        <v>0</v>
      </c>
      <c r="X16" s="69" t="s">
        <v>3</v>
      </c>
      <c r="Y16" s="69" t="s">
        <v>3</v>
      </c>
    </row>
    <row r="17" spans="1:25" ht="46.8">
      <c r="A17" s="32">
        <v>7</v>
      </c>
      <c r="B17" s="24" t="s">
        <v>108</v>
      </c>
      <c r="C17" s="51" t="s">
        <v>109</v>
      </c>
      <c r="D17" s="25" t="s">
        <v>68</v>
      </c>
      <c r="E17" s="25">
        <v>21673832</v>
      </c>
      <c r="F17" s="35" t="s">
        <v>69</v>
      </c>
      <c r="G17" s="35" t="s">
        <v>19</v>
      </c>
      <c r="H17" s="35" t="s">
        <v>115</v>
      </c>
      <c r="I17" s="51" t="s">
        <v>85</v>
      </c>
      <c r="J17" s="30">
        <v>39077</v>
      </c>
      <c r="K17" s="63">
        <v>5978.8</v>
      </c>
      <c r="L17" s="63">
        <v>2491.17</v>
      </c>
      <c r="M17" s="67">
        <v>11258.76</v>
      </c>
      <c r="N17" s="67">
        <v>2814.69</v>
      </c>
      <c r="O17" s="65">
        <v>1523.85</v>
      </c>
      <c r="P17" s="65">
        <v>380.96</v>
      </c>
      <c r="Q17" s="65">
        <v>1583.52</v>
      </c>
      <c r="R17" s="65">
        <v>395.88</v>
      </c>
      <c r="S17" s="65">
        <v>1629.18</v>
      </c>
      <c r="T17" s="65">
        <v>407.3</v>
      </c>
      <c r="U17" s="65">
        <v>6522.21</v>
      </c>
      <c r="V17" s="65">
        <v>1630.55</v>
      </c>
      <c r="W17" s="65">
        <v>0</v>
      </c>
      <c r="X17" s="69" t="s">
        <v>3</v>
      </c>
      <c r="Y17" s="69" t="s">
        <v>3</v>
      </c>
    </row>
    <row r="18" spans="1:25" ht="46.8">
      <c r="A18" s="32">
        <v>8</v>
      </c>
      <c r="B18" s="24" t="s">
        <v>108</v>
      </c>
      <c r="C18" s="51" t="s">
        <v>109</v>
      </c>
      <c r="D18" s="25" t="s">
        <v>120</v>
      </c>
      <c r="E18" s="25">
        <v>14333937</v>
      </c>
      <c r="F18" s="35" t="s">
        <v>121</v>
      </c>
      <c r="G18" s="35" t="s">
        <v>15</v>
      </c>
      <c r="H18" s="35" t="s">
        <v>122</v>
      </c>
      <c r="I18" s="51" t="s">
        <v>85</v>
      </c>
      <c r="J18" s="30">
        <v>40148</v>
      </c>
      <c r="K18" s="63">
        <v>38557</v>
      </c>
      <c r="L18" s="63">
        <v>16065.42</v>
      </c>
      <c r="M18" s="67">
        <v>37887.71</v>
      </c>
      <c r="N18" s="67">
        <v>9471.89</v>
      </c>
      <c r="O18" s="65">
        <v>12028</v>
      </c>
      <c r="P18" s="65">
        <v>3006.96</v>
      </c>
      <c r="Q18" s="65">
        <v>6319.84</v>
      </c>
      <c r="R18" s="65">
        <v>1579.96</v>
      </c>
      <c r="S18" s="65">
        <v>9619.6</v>
      </c>
      <c r="T18" s="65">
        <v>2404.9</v>
      </c>
      <c r="U18" s="65">
        <v>9920.27</v>
      </c>
      <c r="V18" s="65">
        <v>2480.0700000000002</v>
      </c>
      <c r="W18" s="65">
        <v>0</v>
      </c>
      <c r="X18" s="69" t="s">
        <v>3</v>
      </c>
      <c r="Y18" s="69" t="s">
        <v>3</v>
      </c>
    </row>
    <row r="19" spans="1:25" ht="46.8">
      <c r="A19" s="32">
        <v>9</v>
      </c>
      <c r="B19" s="24" t="s">
        <v>108</v>
      </c>
      <c r="C19" s="29" t="s">
        <v>109</v>
      </c>
      <c r="D19" s="26" t="s">
        <v>80</v>
      </c>
      <c r="E19" s="26">
        <v>22859846</v>
      </c>
      <c r="F19" s="15" t="s">
        <v>128</v>
      </c>
      <c r="G19" s="35" t="s">
        <v>15</v>
      </c>
      <c r="H19" s="36" t="s">
        <v>355</v>
      </c>
      <c r="I19" s="51" t="s">
        <v>85</v>
      </c>
      <c r="J19" s="30">
        <v>40003</v>
      </c>
      <c r="K19" s="63">
        <v>8706.7000000000007</v>
      </c>
      <c r="L19" s="63">
        <v>3627.79</v>
      </c>
      <c r="M19" s="67">
        <v>9782.2999999999993</v>
      </c>
      <c r="N19" s="67">
        <v>2445.58</v>
      </c>
      <c r="O19" s="65">
        <v>2323.04</v>
      </c>
      <c r="P19" s="65">
        <v>580.76</v>
      </c>
      <c r="Q19" s="65">
        <v>2413.11</v>
      </c>
      <c r="R19" s="65">
        <v>603.28</v>
      </c>
      <c r="S19" s="65">
        <v>2487.83</v>
      </c>
      <c r="T19" s="65">
        <v>621.96</v>
      </c>
      <c r="U19" s="65">
        <v>2558.3200000000002</v>
      </c>
      <c r="V19" s="65">
        <v>639.58000000000004</v>
      </c>
      <c r="W19" s="65">
        <v>0</v>
      </c>
      <c r="X19" s="69" t="s">
        <v>3</v>
      </c>
      <c r="Y19" s="69" t="s">
        <v>3</v>
      </c>
    </row>
    <row r="20" spans="1:25" ht="46.8">
      <c r="A20" s="32">
        <v>10</v>
      </c>
      <c r="B20" s="24" t="s">
        <v>108</v>
      </c>
      <c r="C20" s="29" t="s">
        <v>109</v>
      </c>
      <c r="D20" s="26" t="s">
        <v>80</v>
      </c>
      <c r="E20" s="26">
        <v>22859846</v>
      </c>
      <c r="F20" s="15" t="s">
        <v>135</v>
      </c>
      <c r="G20" s="15" t="s">
        <v>19</v>
      </c>
      <c r="H20" s="36" t="s">
        <v>136</v>
      </c>
      <c r="I20" s="51" t="s">
        <v>85</v>
      </c>
      <c r="J20" s="30">
        <v>40452</v>
      </c>
      <c r="K20" s="63">
        <v>9754.5</v>
      </c>
      <c r="L20" s="63">
        <v>4064.38</v>
      </c>
      <c r="M20" s="67">
        <v>9752.02</v>
      </c>
      <c r="N20" s="67">
        <v>2438.0100000000002</v>
      </c>
      <c r="O20" s="65">
        <v>2316.83</v>
      </c>
      <c r="P20" s="65">
        <v>579.21</v>
      </c>
      <c r="Q20" s="65">
        <v>2405.48</v>
      </c>
      <c r="R20" s="65">
        <v>601.37</v>
      </c>
      <c r="S20" s="65">
        <v>2473.86</v>
      </c>
      <c r="T20" s="65">
        <v>618.47</v>
      </c>
      <c r="U20" s="65">
        <v>2555.85</v>
      </c>
      <c r="V20" s="65">
        <v>638.96</v>
      </c>
      <c r="W20" s="65">
        <v>0</v>
      </c>
      <c r="X20" s="69" t="s">
        <v>3</v>
      </c>
      <c r="Y20" s="69" t="s">
        <v>3</v>
      </c>
    </row>
    <row r="21" spans="1:25" ht="46.8">
      <c r="A21" s="32">
        <v>11</v>
      </c>
      <c r="B21" s="24" t="s">
        <v>108</v>
      </c>
      <c r="C21" s="29" t="s">
        <v>109</v>
      </c>
      <c r="D21" s="26" t="s">
        <v>80</v>
      </c>
      <c r="E21" s="26">
        <v>22859846</v>
      </c>
      <c r="F21" s="15" t="s">
        <v>141</v>
      </c>
      <c r="G21" s="15" t="s">
        <v>19</v>
      </c>
      <c r="H21" s="36" t="s">
        <v>115</v>
      </c>
      <c r="I21" s="51" t="s">
        <v>85</v>
      </c>
      <c r="J21" s="30">
        <v>40911</v>
      </c>
      <c r="K21" s="63">
        <v>4880.6000000000004</v>
      </c>
      <c r="L21" s="63">
        <v>2033.58</v>
      </c>
      <c r="M21" s="67">
        <v>4464.54</v>
      </c>
      <c r="N21" s="67">
        <v>1115.8599999999999</v>
      </c>
      <c r="O21" s="65">
        <v>383.88</v>
      </c>
      <c r="P21" s="65">
        <v>95.97</v>
      </c>
      <c r="Q21" s="65">
        <v>0</v>
      </c>
      <c r="R21" s="65">
        <v>0</v>
      </c>
      <c r="S21" s="65">
        <v>2911.7</v>
      </c>
      <c r="T21" s="65">
        <v>727.92</v>
      </c>
      <c r="U21" s="65">
        <v>1168.96</v>
      </c>
      <c r="V21" s="65">
        <v>292.24</v>
      </c>
      <c r="W21" s="65">
        <v>0</v>
      </c>
      <c r="X21" s="69" t="s">
        <v>3</v>
      </c>
      <c r="Y21" s="69" t="s">
        <v>3</v>
      </c>
    </row>
    <row r="22" spans="1:25" ht="46.8">
      <c r="A22" s="32">
        <v>12</v>
      </c>
      <c r="B22" s="24" t="s">
        <v>145</v>
      </c>
      <c r="C22" s="29" t="s">
        <v>146</v>
      </c>
      <c r="D22" s="26" t="s">
        <v>68</v>
      </c>
      <c r="E22" s="26">
        <v>21673832</v>
      </c>
      <c r="F22" s="36" t="s">
        <v>147</v>
      </c>
      <c r="G22" s="36" t="s">
        <v>25</v>
      </c>
      <c r="H22" s="36" t="s">
        <v>148</v>
      </c>
      <c r="I22" s="29">
        <v>26100</v>
      </c>
      <c r="J22" s="30">
        <v>39877</v>
      </c>
      <c r="K22" s="63">
        <v>5963</v>
      </c>
      <c r="L22" s="63">
        <v>2485</v>
      </c>
      <c r="M22" s="67">
        <v>10135</v>
      </c>
      <c r="N22" s="67">
        <v>2534</v>
      </c>
      <c r="O22" s="65">
        <v>1476</v>
      </c>
      <c r="P22" s="65">
        <v>369</v>
      </c>
      <c r="Q22" s="65">
        <v>1476</v>
      </c>
      <c r="R22" s="65">
        <v>369</v>
      </c>
      <c r="S22" s="65">
        <v>4554</v>
      </c>
      <c r="T22" s="65">
        <v>1139</v>
      </c>
      <c r="U22" s="65">
        <v>2629</v>
      </c>
      <c r="V22" s="65">
        <v>657</v>
      </c>
      <c r="W22" s="65">
        <v>0</v>
      </c>
      <c r="X22" s="69" t="s">
        <v>3</v>
      </c>
      <c r="Y22" s="69" t="s">
        <v>3</v>
      </c>
    </row>
    <row r="23" spans="1:25" ht="62.4">
      <c r="A23" s="32">
        <v>13</v>
      </c>
      <c r="B23" s="24" t="s">
        <v>145</v>
      </c>
      <c r="C23" s="29" t="s">
        <v>146</v>
      </c>
      <c r="D23" s="26" t="s">
        <v>120</v>
      </c>
      <c r="E23" s="26">
        <v>14333937</v>
      </c>
      <c r="F23" s="36" t="s">
        <v>153</v>
      </c>
      <c r="G23" s="36" t="s">
        <v>25</v>
      </c>
      <c r="H23" s="36" t="s">
        <v>154</v>
      </c>
      <c r="I23" s="29" t="s">
        <v>157</v>
      </c>
      <c r="J23" s="30">
        <v>39437</v>
      </c>
      <c r="K23" s="63">
        <v>10577</v>
      </c>
      <c r="L23" s="63">
        <v>4407</v>
      </c>
      <c r="M23" s="67">
        <v>10576</v>
      </c>
      <c r="N23" s="67">
        <v>2644</v>
      </c>
      <c r="O23" s="65">
        <v>2644</v>
      </c>
      <c r="P23" s="65">
        <v>661</v>
      </c>
      <c r="Q23" s="65">
        <v>2644</v>
      </c>
      <c r="R23" s="65">
        <v>661</v>
      </c>
      <c r="S23" s="65">
        <v>2644</v>
      </c>
      <c r="T23" s="65">
        <v>661</v>
      </c>
      <c r="U23" s="65">
        <v>2644</v>
      </c>
      <c r="V23" s="65">
        <v>661</v>
      </c>
      <c r="W23" s="65">
        <v>0</v>
      </c>
      <c r="X23" s="69" t="s">
        <v>3</v>
      </c>
      <c r="Y23" s="69" t="s">
        <v>3</v>
      </c>
    </row>
    <row r="24" spans="1:25" ht="46.8">
      <c r="A24" s="32">
        <v>14</v>
      </c>
      <c r="B24" s="24" t="s">
        <v>145</v>
      </c>
      <c r="C24" s="29" t="s">
        <v>146</v>
      </c>
      <c r="D24" s="26" t="s">
        <v>120</v>
      </c>
      <c r="E24" s="26">
        <v>14333937</v>
      </c>
      <c r="F24" s="36" t="s">
        <v>159</v>
      </c>
      <c r="G24" s="36" t="s">
        <v>25</v>
      </c>
      <c r="H24" s="36" t="s">
        <v>160</v>
      </c>
      <c r="I24" s="29" t="s">
        <v>162</v>
      </c>
      <c r="J24" s="30">
        <v>39395</v>
      </c>
      <c r="K24" s="63">
        <v>8925</v>
      </c>
      <c r="L24" s="63">
        <v>2232</v>
      </c>
      <c r="M24" s="67">
        <v>11900</v>
      </c>
      <c r="N24" s="67">
        <v>2976</v>
      </c>
      <c r="O24" s="65">
        <v>2975</v>
      </c>
      <c r="P24" s="65">
        <v>744</v>
      </c>
      <c r="Q24" s="65">
        <v>2975</v>
      </c>
      <c r="R24" s="65">
        <v>744</v>
      </c>
      <c r="S24" s="65">
        <v>2975</v>
      </c>
      <c r="T24" s="65">
        <v>744</v>
      </c>
      <c r="U24" s="65">
        <v>2975</v>
      </c>
      <c r="V24" s="65">
        <v>744</v>
      </c>
      <c r="W24" s="65">
        <v>0</v>
      </c>
      <c r="X24" s="69" t="s">
        <v>3</v>
      </c>
      <c r="Y24" s="69" t="s">
        <v>3</v>
      </c>
    </row>
    <row r="25" spans="1:25" ht="46.8">
      <c r="A25" s="32">
        <v>15</v>
      </c>
      <c r="B25" s="24" t="s">
        <v>145</v>
      </c>
      <c r="C25" s="29" t="s">
        <v>146</v>
      </c>
      <c r="D25" s="26" t="s">
        <v>120</v>
      </c>
      <c r="E25" s="26">
        <v>14333937</v>
      </c>
      <c r="F25" s="36" t="s">
        <v>165</v>
      </c>
      <c r="G25" s="36" t="s">
        <v>25</v>
      </c>
      <c r="H25" s="36" t="s">
        <v>166</v>
      </c>
      <c r="I25" s="29" t="s">
        <v>168</v>
      </c>
      <c r="J25" s="30">
        <v>39437</v>
      </c>
      <c r="K25" s="63">
        <v>6630</v>
      </c>
      <c r="L25" s="63">
        <v>2763</v>
      </c>
      <c r="M25" s="67">
        <v>6628</v>
      </c>
      <c r="N25" s="67">
        <v>1656</v>
      </c>
      <c r="O25" s="65">
        <v>1657</v>
      </c>
      <c r="P25" s="65">
        <v>414</v>
      </c>
      <c r="Q25" s="65">
        <v>1657</v>
      </c>
      <c r="R25" s="65">
        <v>414</v>
      </c>
      <c r="S25" s="65">
        <v>1657</v>
      </c>
      <c r="T25" s="65">
        <v>414</v>
      </c>
      <c r="U25" s="65">
        <v>1657</v>
      </c>
      <c r="V25" s="65">
        <v>414</v>
      </c>
      <c r="W25" s="65">
        <v>0</v>
      </c>
      <c r="X25" s="69" t="s">
        <v>3</v>
      </c>
      <c r="Y25" s="69" t="s">
        <v>3</v>
      </c>
    </row>
    <row r="26" spans="1:25" ht="46.8">
      <c r="A26" s="32">
        <v>16</v>
      </c>
      <c r="B26" s="24" t="s">
        <v>145</v>
      </c>
      <c r="C26" s="29" t="s">
        <v>146</v>
      </c>
      <c r="D26" s="26" t="s">
        <v>120</v>
      </c>
      <c r="E26" s="26">
        <v>14333937</v>
      </c>
      <c r="F26" s="36" t="s">
        <v>170</v>
      </c>
      <c r="G26" s="36" t="s">
        <v>25</v>
      </c>
      <c r="H26" s="36" t="s">
        <v>171</v>
      </c>
      <c r="I26" s="29" t="s">
        <v>173</v>
      </c>
      <c r="J26" s="30">
        <v>39437</v>
      </c>
      <c r="K26" s="63">
        <v>14064</v>
      </c>
      <c r="L26" s="63">
        <v>5860</v>
      </c>
      <c r="M26" s="67">
        <v>14064</v>
      </c>
      <c r="N26" s="67">
        <v>3516</v>
      </c>
      <c r="O26" s="65">
        <v>3516</v>
      </c>
      <c r="P26" s="65">
        <v>879</v>
      </c>
      <c r="Q26" s="65">
        <v>3516</v>
      </c>
      <c r="R26" s="65">
        <v>879</v>
      </c>
      <c r="S26" s="65">
        <v>3516</v>
      </c>
      <c r="T26" s="65">
        <v>879</v>
      </c>
      <c r="U26" s="65">
        <v>3516</v>
      </c>
      <c r="V26" s="65">
        <v>879</v>
      </c>
      <c r="W26" s="65">
        <v>0</v>
      </c>
      <c r="X26" s="69" t="s">
        <v>3</v>
      </c>
      <c r="Y26" s="69" t="s">
        <v>3</v>
      </c>
    </row>
    <row r="27" spans="1:25" ht="46.8">
      <c r="A27" s="32">
        <v>17</v>
      </c>
      <c r="B27" s="24" t="s">
        <v>145</v>
      </c>
      <c r="C27" s="29" t="s">
        <v>146</v>
      </c>
      <c r="D27" s="26" t="s">
        <v>80</v>
      </c>
      <c r="E27" s="26">
        <v>22859846</v>
      </c>
      <c r="F27" s="36" t="s">
        <v>175</v>
      </c>
      <c r="G27" s="36" t="s">
        <v>25</v>
      </c>
      <c r="H27" s="36" t="s">
        <v>160</v>
      </c>
      <c r="I27" s="29" t="s">
        <v>177</v>
      </c>
      <c r="J27" s="30">
        <v>41235</v>
      </c>
      <c r="K27" s="63">
        <v>7130</v>
      </c>
      <c r="L27" s="63">
        <v>2971</v>
      </c>
      <c r="M27" s="67">
        <v>7276</v>
      </c>
      <c r="N27" s="67">
        <v>1820</v>
      </c>
      <c r="O27" s="65">
        <v>1819</v>
      </c>
      <c r="P27" s="65">
        <v>455</v>
      </c>
      <c r="Q27" s="65">
        <v>1819</v>
      </c>
      <c r="R27" s="65">
        <v>455</v>
      </c>
      <c r="S27" s="65">
        <v>1819</v>
      </c>
      <c r="T27" s="65">
        <v>455</v>
      </c>
      <c r="U27" s="65">
        <v>1819</v>
      </c>
      <c r="V27" s="65">
        <v>455</v>
      </c>
      <c r="W27" s="65">
        <v>0</v>
      </c>
      <c r="X27" s="69" t="s">
        <v>3</v>
      </c>
      <c r="Y27" s="69" t="s">
        <v>3</v>
      </c>
    </row>
    <row r="28" spans="1:25" ht="62.4">
      <c r="A28" s="32">
        <v>18</v>
      </c>
      <c r="B28" s="24" t="s">
        <v>145</v>
      </c>
      <c r="C28" s="29" t="s">
        <v>146</v>
      </c>
      <c r="D28" s="26" t="s">
        <v>80</v>
      </c>
      <c r="E28" s="26">
        <v>22859846</v>
      </c>
      <c r="F28" s="36" t="s">
        <v>179</v>
      </c>
      <c r="G28" s="36" t="s">
        <v>25</v>
      </c>
      <c r="H28" s="36" t="s">
        <v>154</v>
      </c>
      <c r="I28" s="29" t="s">
        <v>181</v>
      </c>
      <c r="J28" s="30">
        <v>39395</v>
      </c>
      <c r="K28" s="63">
        <v>6513</v>
      </c>
      <c r="L28" s="63">
        <v>2714</v>
      </c>
      <c r="M28" s="67">
        <v>6512</v>
      </c>
      <c r="N28" s="67">
        <v>1628</v>
      </c>
      <c r="O28" s="65">
        <v>1628</v>
      </c>
      <c r="P28" s="65">
        <v>407</v>
      </c>
      <c r="Q28" s="65">
        <v>1628</v>
      </c>
      <c r="R28" s="65">
        <v>407</v>
      </c>
      <c r="S28" s="65">
        <v>1628</v>
      </c>
      <c r="T28" s="65">
        <v>407</v>
      </c>
      <c r="U28" s="65">
        <v>1628</v>
      </c>
      <c r="V28" s="65">
        <v>407</v>
      </c>
      <c r="W28" s="65">
        <v>0</v>
      </c>
      <c r="X28" s="69" t="s">
        <v>3</v>
      </c>
      <c r="Y28" s="69" t="s">
        <v>3</v>
      </c>
    </row>
    <row r="29" spans="1:25" ht="46.8">
      <c r="A29" s="32">
        <v>19</v>
      </c>
      <c r="B29" s="24" t="s">
        <v>145</v>
      </c>
      <c r="C29" s="29" t="s">
        <v>146</v>
      </c>
      <c r="D29" s="26" t="s">
        <v>80</v>
      </c>
      <c r="E29" s="26">
        <v>22859846</v>
      </c>
      <c r="F29" s="36" t="s">
        <v>183</v>
      </c>
      <c r="G29" s="36" t="s">
        <v>25</v>
      </c>
      <c r="H29" s="36" t="s">
        <v>166</v>
      </c>
      <c r="I29" s="29" t="s">
        <v>185</v>
      </c>
      <c r="J29" s="30">
        <v>39395</v>
      </c>
      <c r="K29" s="63">
        <v>6562</v>
      </c>
      <c r="L29" s="63">
        <v>2734</v>
      </c>
      <c r="M29" s="67">
        <v>6560</v>
      </c>
      <c r="N29" s="67">
        <v>1640</v>
      </c>
      <c r="O29" s="65">
        <v>1640</v>
      </c>
      <c r="P29" s="65">
        <v>410</v>
      </c>
      <c r="Q29" s="65">
        <v>1640</v>
      </c>
      <c r="R29" s="65">
        <v>410</v>
      </c>
      <c r="S29" s="65">
        <v>1640</v>
      </c>
      <c r="T29" s="65">
        <v>410</v>
      </c>
      <c r="U29" s="65">
        <v>1640</v>
      </c>
      <c r="V29" s="65">
        <v>410</v>
      </c>
      <c r="W29" s="65">
        <v>0</v>
      </c>
      <c r="X29" s="69" t="s">
        <v>3</v>
      </c>
      <c r="Y29" s="69" t="s">
        <v>3</v>
      </c>
    </row>
    <row r="30" spans="1:25" ht="46.8">
      <c r="A30" s="615">
        <v>20</v>
      </c>
      <c r="B30" s="623" t="s">
        <v>188</v>
      </c>
      <c r="C30" s="623" t="s">
        <v>189</v>
      </c>
      <c r="D30" s="573" t="s">
        <v>80</v>
      </c>
      <c r="E30" s="573">
        <v>22859846</v>
      </c>
      <c r="F30" s="36" t="s">
        <v>190</v>
      </c>
      <c r="G30" s="36" t="s">
        <v>28</v>
      </c>
      <c r="H30" s="36" t="s">
        <v>191</v>
      </c>
      <c r="I30" s="623" t="s">
        <v>194</v>
      </c>
      <c r="J30" s="626">
        <v>39987</v>
      </c>
      <c r="K30" s="618">
        <v>28856.04</v>
      </c>
      <c r="L30" s="618">
        <v>12023.35</v>
      </c>
      <c r="M30" s="641">
        <v>32825.65</v>
      </c>
      <c r="N30" s="641">
        <v>12024.53</v>
      </c>
      <c r="O30" s="612">
        <v>7386.17</v>
      </c>
      <c r="P30" s="612">
        <v>3077.57</v>
      </c>
      <c r="Q30" s="612">
        <v>7672.82</v>
      </c>
      <c r="R30" s="612">
        <v>3197.01</v>
      </c>
      <c r="S30" s="612">
        <v>7849.73</v>
      </c>
      <c r="T30" s="612">
        <v>3270.72</v>
      </c>
      <c r="U30" s="612">
        <v>9916.93</v>
      </c>
      <c r="V30" s="612">
        <v>2479.23</v>
      </c>
      <c r="W30" s="612">
        <v>0</v>
      </c>
      <c r="X30" s="69" t="s">
        <v>3</v>
      </c>
      <c r="Y30" s="69" t="s">
        <v>3</v>
      </c>
    </row>
    <row r="31" spans="1:25" ht="46.8">
      <c r="A31" s="616"/>
      <c r="B31" s="624"/>
      <c r="C31" s="624"/>
      <c r="D31" s="574"/>
      <c r="E31" s="574"/>
      <c r="F31" s="36" t="s">
        <v>196</v>
      </c>
      <c r="G31" s="36" t="s">
        <v>28</v>
      </c>
      <c r="H31" s="36" t="s">
        <v>197</v>
      </c>
      <c r="I31" s="624"/>
      <c r="J31" s="627"/>
      <c r="K31" s="619"/>
      <c r="L31" s="619"/>
      <c r="M31" s="613"/>
      <c r="N31" s="613"/>
      <c r="O31" s="621"/>
      <c r="P31" s="621"/>
      <c r="Q31" s="621"/>
      <c r="R31" s="621"/>
      <c r="S31" s="621"/>
      <c r="T31" s="621"/>
      <c r="U31" s="613"/>
      <c r="V31" s="613"/>
      <c r="W31" s="621"/>
      <c r="X31" s="69" t="s">
        <v>3</v>
      </c>
      <c r="Y31" s="69" t="s">
        <v>3</v>
      </c>
    </row>
    <row r="32" spans="1:25" ht="62.4">
      <c r="A32" s="616"/>
      <c r="B32" s="624"/>
      <c r="C32" s="624"/>
      <c r="D32" s="574"/>
      <c r="E32" s="574"/>
      <c r="F32" s="36" t="s">
        <v>199</v>
      </c>
      <c r="G32" s="36" t="s">
        <v>28</v>
      </c>
      <c r="H32" s="36" t="s">
        <v>200</v>
      </c>
      <c r="I32" s="624"/>
      <c r="J32" s="627"/>
      <c r="K32" s="619"/>
      <c r="L32" s="619"/>
      <c r="M32" s="613"/>
      <c r="N32" s="613"/>
      <c r="O32" s="621"/>
      <c r="P32" s="621"/>
      <c r="Q32" s="621"/>
      <c r="R32" s="621"/>
      <c r="S32" s="621"/>
      <c r="T32" s="621"/>
      <c r="U32" s="613"/>
      <c r="V32" s="613"/>
      <c r="W32" s="621"/>
      <c r="X32" s="69" t="s">
        <v>3</v>
      </c>
      <c r="Y32" s="69" t="s">
        <v>3</v>
      </c>
    </row>
    <row r="33" spans="1:25" ht="46.8">
      <c r="A33" s="616"/>
      <c r="B33" s="624"/>
      <c r="C33" s="624"/>
      <c r="D33" s="574"/>
      <c r="E33" s="574"/>
      <c r="F33" s="36" t="s">
        <v>202</v>
      </c>
      <c r="G33" s="36" t="s">
        <v>28</v>
      </c>
      <c r="H33" s="36" t="s">
        <v>203</v>
      </c>
      <c r="I33" s="624"/>
      <c r="J33" s="627"/>
      <c r="K33" s="619"/>
      <c r="L33" s="619"/>
      <c r="M33" s="613"/>
      <c r="N33" s="613"/>
      <c r="O33" s="621"/>
      <c r="P33" s="621"/>
      <c r="Q33" s="621"/>
      <c r="R33" s="621"/>
      <c r="S33" s="621"/>
      <c r="T33" s="621"/>
      <c r="U33" s="613"/>
      <c r="V33" s="613"/>
      <c r="W33" s="621"/>
      <c r="X33" s="69" t="s">
        <v>3</v>
      </c>
      <c r="Y33" s="69" t="s">
        <v>3</v>
      </c>
    </row>
    <row r="34" spans="1:25" ht="46.8">
      <c r="A34" s="617"/>
      <c r="B34" s="625"/>
      <c r="C34" s="625"/>
      <c r="D34" s="575"/>
      <c r="E34" s="575"/>
      <c r="F34" s="36" t="s">
        <v>204</v>
      </c>
      <c r="G34" s="36" t="s">
        <v>28</v>
      </c>
      <c r="H34" s="36" t="s">
        <v>205</v>
      </c>
      <c r="I34" s="625"/>
      <c r="J34" s="628"/>
      <c r="K34" s="620"/>
      <c r="L34" s="620"/>
      <c r="M34" s="614"/>
      <c r="N34" s="614"/>
      <c r="O34" s="622"/>
      <c r="P34" s="622"/>
      <c r="Q34" s="622"/>
      <c r="R34" s="622"/>
      <c r="S34" s="622"/>
      <c r="T34" s="622"/>
      <c r="U34" s="614"/>
      <c r="V34" s="614"/>
      <c r="W34" s="622"/>
      <c r="X34" s="69" t="s">
        <v>3</v>
      </c>
      <c r="Y34" s="69" t="s">
        <v>3</v>
      </c>
    </row>
    <row r="35" spans="1:25" ht="46.8">
      <c r="A35" s="32">
        <v>21</v>
      </c>
      <c r="B35" s="29" t="s">
        <v>188</v>
      </c>
      <c r="C35" s="29" t="s">
        <v>189</v>
      </c>
      <c r="D35" s="26" t="s">
        <v>120</v>
      </c>
      <c r="E35" s="26">
        <v>14333937</v>
      </c>
      <c r="F35" s="36" t="s">
        <v>207</v>
      </c>
      <c r="G35" s="36" t="s">
        <v>28</v>
      </c>
      <c r="H35" s="36" t="s">
        <v>208</v>
      </c>
      <c r="I35" s="29">
        <v>9</v>
      </c>
      <c r="J35" s="30">
        <v>39437</v>
      </c>
      <c r="K35" s="63">
        <v>12217.68</v>
      </c>
      <c r="L35" s="63">
        <v>5090.7</v>
      </c>
      <c r="M35" s="67">
        <v>13138.31</v>
      </c>
      <c r="N35" s="67">
        <v>5474.32</v>
      </c>
      <c r="O35" s="65">
        <v>3127.31</v>
      </c>
      <c r="P35" s="65">
        <v>1303.06</v>
      </c>
      <c r="Q35" s="65">
        <v>3248.68</v>
      </c>
      <c r="R35" s="65">
        <v>1353.62</v>
      </c>
      <c r="S35" s="65">
        <v>3323.56</v>
      </c>
      <c r="T35" s="65">
        <v>1384.82</v>
      </c>
      <c r="U35" s="65">
        <v>3438.76</v>
      </c>
      <c r="V35" s="65">
        <v>1432.82</v>
      </c>
      <c r="W35" s="65">
        <v>0</v>
      </c>
      <c r="X35" s="69" t="s">
        <v>3</v>
      </c>
      <c r="Y35" s="69" t="s">
        <v>3</v>
      </c>
    </row>
    <row r="36" spans="1:25" ht="46.8">
      <c r="A36" s="32">
        <v>22</v>
      </c>
      <c r="B36" s="29" t="s">
        <v>211</v>
      </c>
      <c r="C36" s="29" t="s">
        <v>212</v>
      </c>
      <c r="D36" s="26" t="s">
        <v>68</v>
      </c>
      <c r="E36" s="26">
        <v>21673832</v>
      </c>
      <c r="F36" s="36" t="s">
        <v>213</v>
      </c>
      <c r="G36" s="36" t="s">
        <v>214</v>
      </c>
      <c r="H36" s="36" t="s">
        <v>215</v>
      </c>
      <c r="I36" s="29">
        <v>65</v>
      </c>
      <c r="J36" s="30">
        <v>39077</v>
      </c>
      <c r="K36" s="63">
        <v>11578.32</v>
      </c>
      <c r="L36" s="63">
        <v>4824.3</v>
      </c>
      <c r="M36" s="67">
        <v>12754.14</v>
      </c>
      <c r="N36" s="67">
        <v>3188.52</v>
      </c>
      <c r="O36" s="65">
        <v>2972.84</v>
      </c>
      <c r="P36" s="65">
        <v>743.21</v>
      </c>
      <c r="Q36" s="65">
        <v>3090.24</v>
      </c>
      <c r="R36" s="65">
        <v>772.56</v>
      </c>
      <c r="S36" s="65">
        <v>3377.47</v>
      </c>
      <c r="T36" s="65">
        <v>844.37</v>
      </c>
      <c r="U36" s="65">
        <v>3313.59</v>
      </c>
      <c r="V36" s="65">
        <v>828.38</v>
      </c>
      <c r="W36" s="65">
        <v>0</v>
      </c>
      <c r="X36" s="69" t="s">
        <v>3</v>
      </c>
      <c r="Y36" s="69" t="s">
        <v>3</v>
      </c>
    </row>
    <row r="37" spans="1:25" ht="46.8">
      <c r="A37" s="32">
        <v>23</v>
      </c>
      <c r="B37" s="29" t="s">
        <v>211</v>
      </c>
      <c r="C37" s="29" t="s">
        <v>212</v>
      </c>
      <c r="D37" s="26" t="s">
        <v>120</v>
      </c>
      <c r="E37" s="26">
        <v>14333937</v>
      </c>
      <c r="F37" s="36" t="s">
        <v>219</v>
      </c>
      <c r="G37" s="36" t="s">
        <v>214</v>
      </c>
      <c r="H37" s="36" t="s">
        <v>215</v>
      </c>
      <c r="I37" s="29">
        <v>49</v>
      </c>
      <c r="J37" s="30">
        <v>39437</v>
      </c>
      <c r="K37" s="63">
        <v>16704.73</v>
      </c>
      <c r="L37" s="63">
        <v>6960.31</v>
      </c>
      <c r="M37" s="67">
        <v>17963.53</v>
      </c>
      <c r="N37" s="67">
        <v>4490.8900000000003</v>
      </c>
      <c r="O37" s="65">
        <v>4274.3999999999996</v>
      </c>
      <c r="P37" s="65">
        <v>1068.5999999999999</v>
      </c>
      <c r="Q37" s="65">
        <v>4443.2</v>
      </c>
      <c r="R37" s="65">
        <v>1110.8</v>
      </c>
      <c r="S37" s="65">
        <v>4544.18</v>
      </c>
      <c r="T37" s="65">
        <v>1136.05</v>
      </c>
      <c r="U37" s="65">
        <v>4701.75</v>
      </c>
      <c r="V37" s="65">
        <v>1175.44</v>
      </c>
      <c r="W37" s="65">
        <v>0</v>
      </c>
      <c r="X37" s="69" t="s">
        <v>3</v>
      </c>
      <c r="Y37" s="69" t="s">
        <v>3</v>
      </c>
    </row>
    <row r="38" spans="1:25" ht="46.8">
      <c r="A38" s="32">
        <v>24</v>
      </c>
      <c r="B38" s="29" t="s">
        <v>211</v>
      </c>
      <c r="C38" s="29" t="s">
        <v>212</v>
      </c>
      <c r="D38" s="26" t="s">
        <v>120</v>
      </c>
      <c r="E38" s="26">
        <v>14333937</v>
      </c>
      <c r="F38" s="36" t="s">
        <v>223</v>
      </c>
      <c r="G38" s="36" t="s">
        <v>214</v>
      </c>
      <c r="H38" s="36" t="s">
        <v>224</v>
      </c>
      <c r="I38" s="29">
        <v>51</v>
      </c>
      <c r="J38" s="30">
        <v>39437</v>
      </c>
      <c r="K38" s="63">
        <v>11246.11</v>
      </c>
      <c r="L38" s="63">
        <v>4685.88</v>
      </c>
      <c r="M38" s="67">
        <v>12093.72</v>
      </c>
      <c r="N38" s="67">
        <v>3023.45</v>
      </c>
      <c r="O38" s="65">
        <v>2877.68</v>
      </c>
      <c r="P38" s="65">
        <v>719.42</v>
      </c>
      <c r="Q38" s="65">
        <v>2991.31</v>
      </c>
      <c r="R38" s="65">
        <v>747.83</v>
      </c>
      <c r="S38" s="65">
        <v>3059.34</v>
      </c>
      <c r="T38" s="65">
        <v>764.84</v>
      </c>
      <c r="U38" s="65">
        <v>3165.39</v>
      </c>
      <c r="V38" s="65">
        <v>791.36</v>
      </c>
      <c r="W38" s="65">
        <v>0</v>
      </c>
      <c r="X38" s="69" t="s">
        <v>3</v>
      </c>
      <c r="Y38" s="69" t="s">
        <v>3</v>
      </c>
    </row>
    <row r="39" spans="1:25" ht="46.8">
      <c r="A39" s="32">
        <v>25</v>
      </c>
      <c r="B39" s="29" t="s">
        <v>211</v>
      </c>
      <c r="C39" s="29" t="s">
        <v>212</v>
      </c>
      <c r="D39" s="26" t="s">
        <v>120</v>
      </c>
      <c r="E39" s="26">
        <v>14333937</v>
      </c>
      <c r="F39" s="36" t="s">
        <v>228</v>
      </c>
      <c r="G39" s="36" t="s">
        <v>214</v>
      </c>
      <c r="H39" s="36" t="s">
        <v>229</v>
      </c>
      <c r="I39" s="29">
        <v>50</v>
      </c>
      <c r="J39" s="30">
        <v>39437</v>
      </c>
      <c r="K39" s="63">
        <v>10751.18</v>
      </c>
      <c r="L39" s="63">
        <v>4479.66</v>
      </c>
      <c r="M39" s="67">
        <v>11561.17</v>
      </c>
      <c r="N39" s="67">
        <v>2890.3</v>
      </c>
      <c r="O39" s="65">
        <v>2751.02</v>
      </c>
      <c r="P39" s="65">
        <v>687.76</v>
      </c>
      <c r="Q39" s="65">
        <v>2859.62</v>
      </c>
      <c r="R39" s="65">
        <v>714.91</v>
      </c>
      <c r="S39" s="65">
        <v>2924.59</v>
      </c>
      <c r="T39" s="65">
        <v>731.15</v>
      </c>
      <c r="U39" s="65">
        <v>3025.94</v>
      </c>
      <c r="V39" s="65">
        <v>756.48</v>
      </c>
      <c r="W39" s="65">
        <v>0</v>
      </c>
      <c r="X39" s="69" t="s">
        <v>3</v>
      </c>
      <c r="Y39" s="69" t="s">
        <v>3</v>
      </c>
    </row>
    <row r="40" spans="1:25" ht="46.8">
      <c r="A40" s="32">
        <v>26</v>
      </c>
      <c r="B40" s="29" t="s">
        <v>211</v>
      </c>
      <c r="C40" s="29" t="s">
        <v>212</v>
      </c>
      <c r="D40" s="26" t="s">
        <v>120</v>
      </c>
      <c r="E40" s="26">
        <v>14333937</v>
      </c>
      <c r="F40" s="36" t="s">
        <v>233</v>
      </c>
      <c r="G40" s="36" t="s">
        <v>214</v>
      </c>
      <c r="H40" s="36" t="s">
        <v>234</v>
      </c>
      <c r="I40" s="29">
        <v>52</v>
      </c>
      <c r="J40" s="30">
        <v>39437</v>
      </c>
      <c r="K40" s="63">
        <v>29755.29</v>
      </c>
      <c r="L40" s="63">
        <v>12398.04</v>
      </c>
      <c r="M40" s="67">
        <v>30753.41</v>
      </c>
      <c r="N40" s="67">
        <v>7688.35</v>
      </c>
      <c r="O40" s="65">
        <v>7317.78</v>
      </c>
      <c r="P40" s="65">
        <v>1829.45</v>
      </c>
      <c r="Q40" s="65">
        <v>7606.73</v>
      </c>
      <c r="R40" s="65">
        <v>1901.68</v>
      </c>
      <c r="S40" s="65">
        <v>7779.6</v>
      </c>
      <c r="T40" s="65">
        <v>1944.9</v>
      </c>
      <c r="U40" s="65">
        <v>8049.3</v>
      </c>
      <c r="V40" s="65">
        <v>2012.32</v>
      </c>
      <c r="W40" s="65">
        <v>0</v>
      </c>
      <c r="X40" s="69" t="s">
        <v>3</v>
      </c>
      <c r="Y40" s="69" t="s">
        <v>3</v>
      </c>
    </row>
    <row r="41" spans="1:25" ht="46.8">
      <c r="A41" s="32">
        <v>27</v>
      </c>
      <c r="B41" s="29" t="s">
        <v>211</v>
      </c>
      <c r="C41" s="29" t="s">
        <v>212</v>
      </c>
      <c r="D41" s="26" t="s">
        <v>80</v>
      </c>
      <c r="E41" s="26">
        <v>22859846</v>
      </c>
      <c r="F41" s="36" t="s">
        <v>237</v>
      </c>
      <c r="G41" s="36" t="s">
        <v>214</v>
      </c>
      <c r="H41" s="36" t="s">
        <v>234</v>
      </c>
      <c r="I41" s="29">
        <v>74</v>
      </c>
      <c r="J41" s="30">
        <v>39322</v>
      </c>
      <c r="K41" s="63">
        <v>12567.91</v>
      </c>
      <c r="L41" s="63">
        <v>5236.63</v>
      </c>
      <c r="M41" s="68">
        <v>10661.34</v>
      </c>
      <c r="N41" s="68">
        <v>2665.32</v>
      </c>
      <c r="O41" s="65">
        <v>3215.88</v>
      </c>
      <c r="P41" s="65">
        <v>803.97</v>
      </c>
      <c r="Q41" s="65">
        <v>3102.88</v>
      </c>
      <c r="R41" s="65">
        <v>775.72</v>
      </c>
      <c r="S41" s="65">
        <v>3418.85</v>
      </c>
      <c r="T41" s="65">
        <v>854.71</v>
      </c>
      <c r="U41" s="61">
        <v>923.73</v>
      </c>
      <c r="V41" s="61">
        <v>230.92</v>
      </c>
      <c r="W41" s="65">
        <v>0</v>
      </c>
      <c r="X41" s="69" t="s">
        <v>3</v>
      </c>
      <c r="Y41" s="69" t="s">
        <v>3</v>
      </c>
    </row>
    <row r="42" spans="1:25" ht="46.8">
      <c r="A42" s="32">
        <v>28</v>
      </c>
      <c r="B42" s="29" t="s">
        <v>240</v>
      </c>
      <c r="C42" s="29" t="s">
        <v>241</v>
      </c>
      <c r="D42" s="26" t="s">
        <v>68</v>
      </c>
      <c r="E42" s="26">
        <v>21673832</v>
      </c>
      <c r="F42" s="36" t="s">
        <v>147</v>
      </c>
      <c r="G42" s="36" t="s">
        <v>21</v>
      </c>
      <c r="H42" s="36" t="s">
        <v>242</v>
      </c>
      <c r="I42" s="29" t="s">
        <v>244</v>
      </c>
      <c r="J42" s="30">
        <v>39077</v>
      </c>
      <c r="K42" s="63">
        <v>5096.76</v>
      </c>
      <c r="L42" s="63">
        <v>4247.3</v>
      </c>
      <c r="M42" s="67">
        <v>13679.33</v>
      </c>
      <c r="N42" s="67">
        <v>3419.83</v>
      </c>
      <c r="O42" s="65">
        <v>1817.99</v>
      </c>
      <c r="P42" s="65">
        <v>454.5</v>
      </c>
      <c r="Q42" s="65">
        <v>2854.6</v>
      </c>
      <c r="R42" s="65">
        <v>713.65</v>
      </c>
      <c r="S42" s="65">
        <v>1934.37</v>
      </c>
      <c r="T42" s="65">
        <v>483.59</v>
      </c>
      <c r="U42" s="65">
        <v>7072.37</v>
      </c>
      <c r="V42" s="65">
        <v>1768.09</v>
      </c>
      <c r="W42" s="65">
        <v>0</v>
      </c>
      <c r="X42" s="69" t="s">
        <v>3</v>
      </c>
      <c r="Y42" s="69" t="s">
        <v>3</v>
      </c>
    </row>
    <row r="43" spans="1:25" ht="46.8">
      <c r="A43" s="32">
        <v>29</v>
      </c>
      <c r="B43" s="29" t="s">
        <v>240</v>
      </c>
      <c r="C43" s="29" t="s">
        <v>241</v>
      </c>
      <c r="D43" s="26" t="s">
        <v>246</v>
      </c>
      <c r="E43" s="26">
        <v>24822280</v>
      </c>
      <c r="F43" s="36" t="s">
        <v>356</v>
      </c>
      <c r="G43" s="36" t="s">
        <v>21</v>
      </c>
      <c r="H43" s="36" t="s">
        <v>248</v>
      </c>
      <c r="I43" s="29" t="s">
        <v>85</v>
      </c>
      <c r="J43" s="30">
        <v>40584</v>
      </c>
      <c r="K43" s="63">
        <v>13099.92</v>
      </c>
      <c r="L43" s="63">
        <v>10916.6</v>
      </c>
      <c r="M43" s="67">
        <v>18072.259999999998</v>
      </c>
      <c r="N43" s="67">
        <v>4518.07</v>
      </c>
      <c r="O43" s="65">
        <v>3423.25</v>
      </c>
      <c r="P43" s="65">
        <v>855.81</v>
      </c>
      <c r="Q43" s="65">
        <v>5375.14</v>
      </c>
      <c r="R43" s="65">
        <v>1343.79</v>
      </c>
      <c r="S43" s="65">
        <v>3642.36</v>
      </c>
      <c r="T43" s="65">
        <v>910.59</v>
      </c>
      <c r="U43" s="65">
        <v>5631.51</v>
      </c>
      <c r="V43" s="65">
        <v>1407.88</v>
      </c>
      <c r="W43" s="65">
        <v>0</v>
      </c>
      <c r="X43" s="69" t="s">
        <v>3</v>
      </c>
      <c r="Y43" s="69" t="s">
        <v>3</v>
      </c>
    </row>
    <row r="44" spans="1:25" ht="46.8">
      <c r="A44" s="32">
        <v>30</v>
      </c>
      <c r="B44" s="29" t="s">
        <v>240</v>
      </c>
      <c r="C44" s="29" t="s">
        <v>241</v>
      </c>
      <c r="D44" s="26" t="s">
        <v>120</v>
      </c>
      <c r="E44" s="26">
        <v>14333937</v>
      </c>
      <c r="F44" s="36" t="s">
        <v>252</v>
      </c>
      <c r="G44" s="36" t="s">
        <v>21</v>
      </c>
      <c r="H44" s="36" t="s">
        <v>248</v>
      </c>
      <c r="I44" s="29" t="s">
        <v>254</v>
      </c>
      <c r="J44" s="30">
        <v>40584</v>
      </c>
      <c r="K44" s="63">
        <v>8234.5400000000009</v>
      </c>
      <c r="L44" s="63">
        <v>6862.12</v>
      </c>
      <c r="M44" s="67">
        <v>5021.41</v>
      </c>
      <c r="N44" s="67">
        <v>1255.3499999999999</v>
      </c>
      <c r="O44" s="65">
        <v>1026.3399999999999</v>
      </c>
      <c r="P44" s="65">
        <v>256.58999999999997</v>
      </c>
      <c r="Q44" s="65">
        <v>1421.05</v>
      </c>
      <c r="R44" s="65">
        <v>355.26</v>
      </c>
      <c r="S44" s="65">
        <v>1084.21</v>
      </c>
      <c r="T44" s="65">
        <v>271.05</v>
      </c>
      <c r="U44" s="65">
        <v>1489.81</v>
      </c>
      <c r="V44" s="65">
        <v>372.45</v>
      </c>
      <c r="W44" s="65">
        <v>0</v>
      </c>
      <c r="X44" s="69" t="s">
        <v>3</v>
      </c>
      <c r="Y44" s="69" t="s">
        <v>3</v>
      </c>
    </row>
    <row r="45" spans="1:25" ht="46.8">
      <c r="A45" s="32">
        <v>31</v>
      </c>
      <c r="B45" s="29" t="s">
        <v>240</v>
      </c>
      <c r="C45" s="29" t="s">
        <v>241</v>
      </c>
      <c r="D45" s="26" t="s">
        <v>120</v>
      </c>
      <c r="E45" s="26">
        <v>14333937</v>
      </c>
      <c r="F45" s="36" t="s">
        <v>255</v>
      </c>
      <c r="G45" s="36" t="s">
        <v>21</v>
      </c>
      <c r="H45" s="36" t="s">
        <v>256</v>
      </c>
      <c r="I45" s="29" t="s">
        <v>258</v>
      </c>
      <c r="J45" s="30">
        <v>40584</v>
      </c>
      <c r="K45" s="63">
        <v>19299.57</v>
      </c>
      <c r="L45" s="63">
        <v>16082.98</v>
      </c>
      <c r="M45" s="67">
        <v>16455.599999999999</v>
      </c>
      <c r="N45" s="67">
        <v>4113.8999999999996</v>
      </c>
      <c r="O45" s="65">
        <v>3117.01</v>
      </c>
      <c r="P45" s="65">
        <v>779.25</v>
      </c>
      <c r="Q45" s="65">
        <v>4894.28</v>
      </c>
      <c r="R45" s="65">
        <v>1223.57</v>
      </c>
      <c r="S45" s="65">
        <v>3316.54</v>
      </c>
      <c r="T45" s="65">
        <v>829.14</v>
      </c>
      <c r="U45" s="65">
        <v>5127.7700000000004</v>
      </c>
      <c r="V45" s="65">
        <v>1281.94</v>
      </c>
      <c r="W45" s="65">
        <v>0</v>
      </c>
      <c r="X45" s="69" t="s">
        <v>3</v>
      </c>
      <c r="Y45" s="69" t="s">
        <v>3</v>
      </c>
    </row>
    <row r="46" spans="1:25" ht="62.4">
      <c r="A46" s="32">
        <v>32</v>
      </c>
      <c r="B46" s="29" t="s">
        <v>240</v>
      </c>
      <c r="C46" s="29" t="s">
        <v>241</v>
      </c>
      <c r="D46" s="26" t="s">
        <v>120</v>
      </c>
      <c r="E46" s="26">
        <v>14333937</v>
      </c>
      <c r="F46" s="36" t="s">
        <v>260</v>
      </c>
      <c r="G46" s="36" t="s">
        <v>21</v>
      </c>
      <c r="H46" s="36" t="s">
        <v>261</v>
      </c>
      <c r="I46" s="29" t="s">
        <v>244</v>
      </c>
      <c r="J46" s="30">
        <v>40134</v>
      </c>
      <c r="K46" s="63">
        <v>9246.57</v>
      </c>
      <c r="L46" s="63">
        <v>7705.48</v>
      </c>
      <c r="M46" s="67">
        <v>15915.7</v>
      </c>
      <c r="N46" s="67">
        <v>3978.93</v>
      </c>
      <c r="O46" s="65">
        <v>3158.29</v>
      </c>
      <c r="P46" s="65">
        <v>789.57</v>
      </c>
      <c r="Q46" s="65">
        <v>4959.16</v>
      </c>
      <c r="R46" s="65">
        <v>1239.79</v>
      </c>
      <c r="S46" s="65">
        <v>3360.5</v>
      </c>
      <c r="T46" s="65">
        <v>840.13</v>
      </c>
      <c r="U46" s="65">
        <v>4437.75</v>
      </c>
      <c r="V46" s="65">
        <v>1109.44</v>
      </c>
      <c r="W46" s="65">
        <v>0</v>
      </c>
      <c r="X46" s="69" t="s">
        <v>3</v>
      </c>
      <c r="Y46" s="69" t="s">
        <v>3</v>
      </c>
    </row>
    <row r="47" spans="1:25" ht="46.8">
      <c r="A47" s="32">
        <v>33</v>
      </c>
      <c r="B47" s="29" t="s">
        <v>240</v>
      </c>
      <c r="C47" s="29" t="s">
        <v>241</v>
      </c>
      <c r="D47" s="26" t="s">
        <v>120</v>
      </c>
      <c r="E47" s="26">
        <v>14333937</v>
      </c>
      <c r="F47" s="36" t="s">
        <v>263</v>
      </c>
      <c r="G47" s="36" t="s">
        <v>21</v>
      </c>
      <c r="H47" s="36" t="s">
        <v>264</v>
      </c>
      <c r="I47" s="29" t="s">
        <v>266</v>
      </c>
      <c r="J47" s="30">
        <v>40584</v>
      </c>
      <c r="K47" s="63">
        <v>19299.57</v>
      </c>
      <c r="L47" s="63">
        <v>16082.98</v>
      </c>
      <c r="M47" s="67">
        <v>16455.599999999999</v>
      </c>
      <c r="N47" s="67">
        <v>4113.8999999999996</v>
      </c>
      <c r="O47" s="65">
        <v>3117.01</v>
      </c>
      <c r="P47" s="65">
        <v>779.25</v>
      </c>
      <c r="Q47" s="65">
        <v>4894.28</v>
      </c>
      <c r="R47" s="65">
        <v>1223.57</v>
      </c>
      <c r="S47" s="65">
        <v>3316.54</v>
      </c>
      <c r="T47" s="65">
        <v>829.14</v>
      </c>
      <c r="U47" s="65">
        <v>5127.7700000000004</v>
      </c>
      <c r="V47" s="65">
        <v>1281.94</v>
      </c>
      <c r="W47" s="65">
        <v>0</v>
      </c>
      <c r="X47" s="69" t="s">
        <v>3</v>
      </c>
      <c r="Y47" s="69" t="s">
        <v>3</v>
      </c>
    </row>
    <row r="48" spans="1:25" ht="46.8">
      <c r="A48" s="32">
        <v>34</v>
      </c>
      <c r="B48" s="29" t="s">
        <v>240</v>
      </c>
      <c r="C48" s="29" t="s">
        <v>241</v>
      </c>
      <c r="D48" s="26" t="s">
        <v>120</v>
      </c>
      <c r="E48" s="26">
        <v>14333937</v>
      </c>
      <c r="F48" s="36" t="s">
        <v>267</v>
      </c>
      <c r="G48" s="36" t="s">
        <v>21</v>
      </c>
      <c r="H48" s="36" t="s">
        <v>268</v>
      </c>
      <c r="I48" s="29" t="s">
        <v>270</v>
      </c>
      <c r="J48" s="30">
        <v>40584</v>
      </c>
      <c r="K48" s="63">
        <v>16620.14</v>
      </c>
      <c r="L48" s="63">
        <v>13850.12</v>
      </c>
      <c r="M48" s="67">
        <v>12976.77</v>
      </c>
      <c r="N48" s="67">
        <v>3244.19</v>
      </c>
      <c r="O48" s="65">
        <v>2458.0500000000002</v>
      </c>
      <c r="P48" s="65">
        <v>614.51</v>
      </c>
      <c r="Q48" s="65">
        <v>3859.61</v>
      </c>
      <c r="R48" s="65">
        <v>964.9</v>
      </c>
      <c r="S48" s="65">
        <v>2615.41</v>
      </c>
      <c r="T48" s="65">
        <v>653.85</v>
      </c>
      <c r="U48" s="65">
        <v>4043.7</v>
      </c>
      <c r="V48" s="65">
        <v>1010.93</v>
      </c>
      <c r="W48" s="65">
        <v>0</v>
      </c>
      <c r="X48" s="69" t="s">
        <v>3</v>
      </c>
      <c r="Y48" s="69" t="s">
        <v>3</v>
      </c>
    </row>
    <row r="49" spans="1:1014" ht="46.8">
      <c r="A49" s="32">
        <v>35</v>
      </c>
      <c r="B49" s="29" t="s">
        <v>240</v>
      </c>
      <c r="C49" s="29" t="s">
        <v>241</v>
      </c>
      <c r="D49" s="26" t="s">
        <v>120</v>
      </c>
      <c r="E49" s="26">
        <v>14333937</v>
      </c>
      <c r="F49" s="36" t="s">
        <v>271</v>
      </c>
      <c r="G49" s="36" t="s">
        <v>30</v>
      </c>
      <c r="H49" s="36" t="s">
        <v>272</v>
      </c>
      <c r="I49" s="29" t="s">
        <v>85</v>
      </c>
      <c r="J49" s="30">
        <v>40134</v>
      </c>
      <c r="K49" s="63">
        <v>9446.5400000000009</v>
      </c>
      <c r="L49" s="63">
        <v>7872.2</v>
      </c>
      <c r="M49" s="67">
        <v>18857.02</v>
      </c>
      <c r="N49" s="67">
        <v>4714.25</v>
      </c>
      <c r="O49" s="65">
        <v>3741.99</v>
      </c>
      <c r="P49" s="65">
        <v>935.5</v>
      </c>
      <c r="Q49" s="65">
        <v>5875.65</v>
      </c>
      <c r="R49" s="65">
        <v>1468.91</v>
      </c>
      <c r="S49" s="65">
        <v>3981.53</v>
      </c>
      <c r="T49" s="65">
        <v>995.38</v>
      </c>
      <c r="U49" s="65">
        <v>5257.85</v>
      </c>
      <c r="V49" s="65">
        <v>1314.46</v>
      </c>
      <c r="W49" s="65">
        <v>0</v>
      </c>
      <c r="X49" s="69" t="s">
        <v>3</v>
      </c>
      <c r="Y49" s="69" t="s">
        <v>3</v>
      </c>
    </row>
    <row r="50" spans="1:1014" ht="46.8">
      <c r="A50" s="32">
        <v>36</v>
      </c>
      <c r="B50" s="29" t="s">
        <v>240</v>
      </c>
      <c r="C50" s="29" t="s">
        <v>241</v>
      </c>
      <c r="D50" s="26" t="s">
        <v>120</v>
      </c>
      <c r="E50" s="26">
        <v>14333937</v>
      </c>
      <c r="F50" s="36" t="s">
        <v>276</v>
      </c>
      <c r="G50" s="36" t="s">
        <v>21</v>
      </c>
      <c r="H50" s="36" t="s">
        <v>277</v>
      </c>
      <c r="I50" s="29" t="s">
        <v>279</v>
      </c>
      <c r="J50" s="30">
        <v>40584</v>
      </c>
      <c r="K50" s="63">
        <v>19299.57</v>
      </c>
      <c r="L50" s="63">
        <v>16082.98</v>
      </c>
      <c r="M50" s="67">
        <v>18049.849999999999</v>
      </c>
      <c r="N50" s="67">
        <v>4512.47</v>
      </c>
      <c r="O50" s="65">
        <v>3116.82</v>
      </c>
      <c r="P50" s="65">
        <v>779.21</v>
      </c>
      <c r="Q50" s="65">
        <v>6488.72</v>
      </c>
      <c r="R50" s="65">
        <v>1622.18</v>
      </c>
      <c r="S50" s="65">
        <v>3316.54</v>
      </c>
      <c r="T50" s="65">
        <v>829.14</v>
      </c>
      <c r="U50" s="65">
        <v>5127.7700000000004</v>
      </c>
      <c r="V50" s="65">
        <v>1281.94</v>
      </c>
      <c r="W50" s="65">
        <v>0</v>
      </c>
      <c r="X50" s="69" t="s">
        <v>3</v>
      </c>
      <c r="Y50" s="69" t="s">
        <v>3</v>
      </c>
    </row>
    <row r="51" spans="1:1014" ht="46.8">
      <c r="A51" s="32">
        <v>37</v>
      </c>
      <c r="B51" s="29" t="s">
        <v>240</v>
      </c>
      <c r="C51" s="29" t="s">
        <v>241</v>
      </c>
      <c r="D51" s="26" t="s">
        <v>80</v>
      </c>
      <c r="E51" s="26">
        <v>22859846</v>
      </c>
      <c r="F51" s="36" t="s">
        <v>280</v>
      </c>
      <c r="G51" s="36" t="s">
        <v>21</v>
      </c>
      <c r="H51" s="36" t="s">
        <v>281</v>
      </c>
      <c r="I51" s="29" t="s">
        <v>85</v>
      </c>
      <c r="J51" s="30">
        <v>39395</v>
      </c>
      <c r="K51" s="63">
        <v>7383.35</v>
      </c>
      <c r="L51" s="63">
        <v>6152.79</v>
      </c>
      <c r="M51" s="67">
        <v>6600.74</v>
      </c>
      <c r="N51" s="67">
        <v>1650.18</v>
      </c>
      <c r="O51" s="65">
        <v>1250.29</v>
      </c>
      <c r="P51" s="65">
        <v>312.57</v>
      </c>
      <c r="Q51" s="65">
        <v>1963.21</v>
      </c>
      <c r="R51" s="65">
        <v>490.8</v>
      </c>
      <c r="S51" s="65">
        <v>1330.36</v>
      </c>
      <c r="T51" s="65">
        <v>332.59</v>
      </c>
      <c r="U51" s="65">
        <v>2056.88</v>
      </c>
      <c r="V51" s="65">
        <v>514.22</v>
      </c>
      <c r="W51" s="65">
        <v>0</v>
      </c>
      <c r="X51" s="69" t="s">
        <v>3</v>
      </c>
      <c r="Y51" s="69" t="s">
        <v>3</v>
      </c>
    </row>
    <row r="52" spans="1:1014" ht="46.8">
      <c r="A52" s="32">
        <v>38</v>
      </c>
      <c r="B52" s="29" t="s">
        <v>240</v>
      </c>
      <c r="C52" s="29" t="s">
        <v>241</v>
      </c>
      <c r="D52" s="26" t="s">
        <v>80</v>
      </c>
      <c r="E52" s="26">
        <v>22859846</v>
      </c>
      <c r="F52" s="36" t="s">
        <v>285</v>
      </c>
      <c r="G52" s="36" t="s">
        <v>21</v>
      </c>
      <c r="H52" s="36" t="s">
        <v>286</v>
      </c>
      <c r="I52" s="29" t="s">
        <v>85</v>
      </c>
      <c r="J52" s="30">
        <v>39825</v>
      </c>
      <c r="K52" s="63">
        <v>5824.56</v>
      </c>
      <c r="L52" s="63">
        <v>4853.8</v>
      </c>
      <c r="M52" s="67">
        <v>5450.35</v>
      </c>
      <c r="N52" s="67">
        <v>1362.58</v>
      </c>
      <c r="O52" s="65">
        <v>856.44</v>
      </c>
      <c r="P52" s="65">
        <v>214.11</v>
      </c>
      <c r="Q52" s="65">
        <v>1548.71</v>
      </c>
      <c r="R52" s="65">
        <v>387.17</v>
      </c>
      <c r="S52" s="65">
        <v>1422.64</v>
      </c>
      <c r="T52" s="65">
        <v>355.66</v>
      </c>
      <c r="U52" s="65">
        <v>1622.56</v>
      </c>
      <c r="V52" s="65">
        <v>405.64</v>
      </c>
      <c r="W52" s="65">
        <v>0</v>
      </c>
      <c r="X52" s="69" t="s">
        <v>3</v>
      </c>
      <c r="Y52" s="69" t="s">
        <v>3</v>
      </c>
    </row>
    <row r="53" spans="1:1014" ht="46.8">
      <c r="A53" s="32">
        <v>39</v>
      </c>
      <c r="B53" s="29" t="s">
        <v>240</v>
      </c>
      <c r="C53" s="29" t="s">
        <v>241</v>
      </c>
      <c r="D53" s="26" t="s">
        <v>80</v>
      </c>
      <c r="E53" s="26">
        <v>22859846</v>
      </c>
      <c r="F53" s="36" t="s">
        <v>289</v>
      </c>
      <c r="G53" s="36" t="s">
        <v>21</v>
      </c>
      <c r="H53" s="36" t="s">
        <v>290</v>
      </c>
      <c r="I53" s="29" t="s">
        <v>85</v>
      </c>
      <c r="J53" s="30">
        <v>40603</v>
      </c>
      <c r="K53" s="63">
        <v>13075.19</v>
      </c>
      <c r="L53" s="63">
        <v>10896</v>
      </c>
      <c r="M53" s="67">
        <v>11689.31</v>
      </c>
      <c r="N53" s="67">
        <v>2922.34</v>
      </c>
      <c r="O53" s="65">
        <v>2214.16</v>
      </c>
      <c r="P53" s="65">
        <v>553.54</v>
      </c>
      <c r="Q53" s="65">
        <v>3476.7</v>
      </c>
      <c r="R53" s="65">
        <v>869.18</v>
      </c>
      <c r="S53" s="65">
        <v>2355.91</v>
      </c>
      <c r="T53" s="65">
        <v>588.98</v>
      </c>
      <c r="U53" s="65">
        <v>3642.54</v>
      </c>
      <c r="V53" s="65">
        <v>910.64</v>
      </c>
      <c r="W53" s="65">
        <v>0</v>
      </c>
      <c r="X53" s="69" t="s">
        <v>3</v>
      </c>
      <c r="Y53" s="69" t="s">
        <v>3</v>
      </c>
    </row>
    <row r="54" spans="1:1014" ht="46.8">
      <c r="A54" s="32">
        <v>40</v>
      </c>
      <c r="B54" s="29" t="s">
        <v>240</v>
      </c>
      <c r="C54" s="29" t="s">
        <v>241</v>
      </c>
      <c r="D54" s="26" t="s">
        <v>80</v>
      </c>
      <c r="E54" s="26">
        <v>22859846</v>
      </c>
      <c r="F54" s="36" t="s">
        <v>294</v>
      </c>
      <c r="G54" s="36" t="s">
        <v>21</v>
      </c>
      <c r="H54" s="36" t="s">
        <v>295</v>
      </c>
      <c r="I54" s="29" t="s">
        <v>85</v>
      </c>
      <c r="J54" s="30">
        <v>39825</v>
      </c>
      <c r="K54" s="63">
        <v>5853.84</v>
      </c>
      <c r="L54" s="63">
        <v>4878.2</v>
      </c>
      <c r="M54" s="67">
        <v>5233.38</v>
      </c>
      <c r="N54" s="67">
        <v>1308.3499999999999</v>
      </c>
      <c r="O54" s="65">
        <v>991.31</v>
      </c>
      <c r="P54" s="65">
        <v>247.83</v>
      </c>
      <c r="Q54" s="65">
        <v>1556.51</v>
      </c>
      <c r="R54" s="65">
        <v>389.13</v>
      </c>
      <c r="S54" s="65">
        <v>1054.77</v>
      </c>
      <c r="T54" s="65">
        <v>263.69</v>
      </c>
      <c r="U54" s="65">
        <v>1630.79</v>
      </c>
      <c r="V54" s="65">
        <v>407.7</v>
      </c>
      <c r="W54" s="65">
        <v>0</v>
      </c>
      <c r="X54" s="69" t="s">
        <v>3</v>
      </c>
      <c r="Y54" s="69" t="s">
        <v>3</v>
      </c>
    </row>
    <row r="55" spans="1:1014" ht="93.6">
      <c r="A55" s="32">
        <v>41</v>
      </c>
      <c r="B55" s="29" t="s">
        <v>298</v>
      </c>
      <c r="C55" s="54" t="s">
        <v>299</v>
      </c>
      <c r="D55" s="26" t="s">
        <v>68</v>
      </c>
      <c r="E55" s="26">
        <v>21673832</v>
      </c>
      <c r="F55" s="36" t="s">
        <v>300</v>
      </c>
      <c r="G55" s="36" t="s">
        <v>301</v>
      </c>
      <c r="H55" s="36" t="s">
        <v>302</v>
      </c>
      <c r="I55" s="29" t="s">
        <v>85</v>
      </c>
      <c r="J55" s="30">
        <v>40169</v>
      </c>
      <c r="K55" s="63">
        <v>7063.59</v>
      </c>
      <c r="L55" s="63">
        <v>2945.83</v>
      </c>
      <c r="M55" s="67">
        <v>31951.02</v>
      </c>
      <c r="N55" s="67">
        <v>7987.76</v>
      </c>
      <c r="O55" s="65">
        <v>1827.8</v>
      </c>
      <c r="P55" s="65">
        <v>761.58</v>
      </c>
      <c r="Q55" s="65">
        <v>1898.73</v>
      </c>
      <c r="R55" s="65">
        <v>791.14</v>
      </c>
      <c r="S55" s="65">
        <v>1286.6400000000001</v>
      </c>
      <c r="T55" s="65">
        <v>536.1</v>
      </c>
      <c r="U55" s="65">
        <v>26937.85</v>
      </c>
      <c r="V55" s="65">
        <v>5898.94</v>
      </c>
      <c r="W55" s="65">
        <v>0</v>
      </c>
      <c r="X55" s="69" t="s">
        <v>3</v>
      </c>
      <c r="Y55" s="69" t="s">
        <v>3</v>
      </c>
    </row>
    <row r="56" spans="1:1014" s="73" customFormat="1" ht="93.6">
      <c r="A56" s="124">
        <v>42</v>
      </c>
      <c r="B56" s="125" t="s">
        <v>298</v>
      </c>
      <c r="C56" s="126" t="s">
        <v>299</v>
      </c>
      <c r="D56" s="127" t="s">
        <v>120</v>
      </c>
      <c r="E56" s="127">
        <v>14333937</v>
      </c>
      <c r="F56" s="128" t="s">
        <v>305</v>
      </c>
      <c r="G56" s="128" t="s">
        <v>301</v>
      </c>
      <c r="H56" s="128" t="s">
        <v>302</v>
      </c>
      <c r="I56" s="125" t="s">
        <v>85</v>
      </c>
      <c r="J56" s="129">
        <v>39814</v>
      </c>
      <c r="K56" s="130">
        <v>10089.84</v>
      </c>
      <c r="L56" s="130">
        <v>4204.1000000000004</v>
      </c>
      <c r="M56" s="131">
        <v>12528.9</v>
      </c>
      <c r="N56" s="131">
        <v>5220.38</v>
      </c>
      <c r="O56" s="132">
        <v>2853.31</v>
      </c>
      <c r="P56" s="132">
        <v>1188.8800000000001</v>
      </c>
      <c r="Q56" s="132">
        <v>2964.02</v>
      </c>
      <c r="R56" s="132">
        <v>1235.01</v>
      </c>
      <c r="S56" s="132">
        <v>2008.51</v>
      </c>
      <c r="T56" s="132">
        <v>836.88</v>
      </c>
      <c r="U56" s="132">
        <v>4703.0600000000004</v>
      </c>
      <c r="V56" s="132">
        <v>1959.61</v>
      </c>
      <c r="W56" s="132">
        <v>0</v>
      </c>
      <c r="X56" s="133" t="s">
        <v>3</v>
      </c>
      <c r="Y56" s="133" t="s">
        <v>3</v>
      </c>
    </row>
    <row r="57" spans="1:1014" s="73" customFormat="1" ht="93.6">
      <c r="A57" s="124">
        <v>43</v>
      </c>
      <c r="B57" s="125" t="s">
        <v>298</v>
      </c>
      <c r="C57" s="126" t="s">
        <v>299</v>
      </c>
      <c r="D57" s="127" t="s">
        <v>80</v>
      </c>
      <c r="E57" s="127">
        <v>22859846</v>
      </c>
      <c r="F57" s="128" t="s">
        <v>309</v>
      </c>
      <c r="G57" s="128" t="s">
        <v>301</v>
      </c>
      <c r="H57" s="128" t="s">
        <v>302</v>
      </c>
      <c r="I57" s="125" t="s">
        <v>85</v>
      </c>
      <c r="J57" s="134">
        <v>40226</v>
      </c>
      <c r="K57" s="130">
        <v>12590.66</v>
      </c>
      <c r="L57" s="130">
        <v>5246.11</v>
      </c>
      <c r="M57" s="131">
        <v>15538.97</v>
      </c>
      <c r="N57" s="131">
        <v>6474.57</v>
      </c>
      <c r="O57" s="132">
        <v>3515.73</v>
      </c>
      <c r="P57" s="132">
        <v>1464.89</v>
      </c>
      <c r="Q57" s="132">
        <v>3652.17</v>
      </c>
      <c r="R57" s="132">
        <v>1521.74</v>
      </c>
      <c r="S57" s="132">
        <v>2474.83</v>
      </c>
      <c r="T57" s="132">
        <v>1031.18</v>
      </c>
      <c r="U57" s="132">
        <v>5896.24</v>
      </c>
      <c r="V57" s="132">
        <v>2456.7600000000002</v>
      </c>
      <c r="W57" s="132">
        <v>0</v>
      </c>
      <c r="X57" s="133" t="s">
        <v>3</v>
      </c>
      <c r="Y57" s="133" t="s">
        <v>3</v>
      </c>
    </row>
    <row r="58" spans="1:1014" s="73" customFormat="1" ht="46.8">
      <c r="A58" s="124">
        <v>44</v>
      </c>
      <c r="B58" s="135" t="s">
        <v>298</v>
      </c>
      <c r="C58" s="136" t="s">
        <v>299</v>
      </c>
      <c r="D58" s="70" t="s">
        <v>366</v>
      </c>
      <c r="E58" s="70">
        <v>4053001</v>
      </c>
      <c r="F58" s="137" t="s">
        <v>365</v>
      </c>
      <c r="G58" s="137" t="s">
        <v>29</v>
      </c>
      <c r="H58" s="137" t="s">
        <v>364</v>
      </c>
      <c r="I58" s="70">
        <v>50</v>
      </c>
      <c r="J58" s="138">
        <v>43083</v>
      </c>
      <c r="K58" s="139">
        <v>0</v>
      </c>
      <c r="L58" s="139">
        <v>0</v>
      </c>
      <c r="M58" s="140">
        <v>0</v>
      </c>
      <c r="N58" s="140">
        <v>0</v>
      </c>
      <c r="O58" s="141">
        <v>0</v>
      </c>
      <c r="P58" s="141">
        <v>0</v>
      </c>
      <c r="Q58" s="141">
        <v>0</v>
      </c>
      <c r="R58" s="141">
        <v>0</v>
      </c>
      <c r="S58" s="141">
        <v>0</v>
      </c>
      <c r="T58" s="141">
        <v>0</v>
      </c>
      <c r="U58" s="141">
        <v>384.16</v>
      </c>
      <c r="V58" s="141">
        <v>0</v>
      </c>
      <c r="W58" s="141"/>
      <c r="X58" s="133" t="s">
        <v>3</v>
      </c>
      <c r="Y58" s="133" t="s">
        <v>3</v>
      </c>
    </row>
    <row r="59" spans="1:1014" s="73" customFormat="1" ht="62.4">
      <c r="A59" s="124">
        <v>45</v>
      </c>
      <c r="B59" s="142" t="s">
        <v>312</v>
      </c>
      <c r="C59" s="142" t="s">
        <v>313</v>
      </c>
      <c r="D59" s="143" t="s">
        <v>120</v>
      </c>
      <c r="E59" s="143">
        <v>14333937</v>
      </c>
      <c r="F59" s="144" t="s">
        <v>314</v>
      </c>
      <c r="G59" s="144" t="s">
        <v>315</v>
      </c>
      <c r="H59" s="144" t="s">
        <v>316</v>
      </c>
      <c r="I59" s="145" t="s">
        <v>319</v>
      </c>
      <c r="J59" s="129">
        <v>41699</v>
      </c>
      <c r="K59" s="146">
        <v>42076.88</v>
      </c>
      <c r="L59" s="146">
        <v>17457.97</v>
      </c>
      <c r="M59" s="147">
        <v>45056.36</v>
      </c>
      <c r="N59" s="147">
        <v>13661.89</v>
      </c>
      <c r="O59" s="148">
        <v>10724.77</v>
      </c>
      <c r="P59" s="148">
        <v>4468.6400000000003</v>
      </c>
      <c r="Q59" s="148">
        <v>11140.97</v>
      </c>
      <c r="R59" s="148">
        <v>3395.61</v>
      </c>
      <c r="S59" s="148">
        <v>11397.78</v>
      </c>
      <c r="T59" s="148">
        <v>2849.45</v>
      </c>
      <c r="U59" s="148">
        <v>11792.84</v>
      </c>
      <c r="V59" s="148">
        <v>2948.19</v>
      </c>
      <c r="W59" s="148">
        <v>0</v>
      </c>
      <c r="X59" s="133" t="s">
        <v>3</v>
      </c>
      <c r="Y59" s="133" t="s">
        <v>3</v>
      </c>
    </row>
    <row r="60" spans="1:1014" s="73" customFormat="1" ht="78">
      <c r="A60" s="124">
        <v>46</v>
      </c>
      <c r="B60" s="126" t="s">
        <v>312</v>
      </c>
      <c r="C60" s="126" t="s">
        <v>313</v>
      </c>
      <c r="D60" s="149" t="s">
        <v>321</v>
      </c>
      <c r="E60" s="127">
        <v>39895103</v>
      </c>
      <c r="F60" s="128" t="s">
        <v>322</v>
      </c>
      <c r="G60" s="128" t="s">
        <v>16</v>
      </c>
      <c r="H60" s="128" t="s">
        <v>323</v>
      </c>
      <c r="I60" s="125">
        <v>24</v>
      </c>
      <c r="J60" s="129">
        <v>39007</v>
      </c>
      <c r="K60" s="130">
        <v>199.13</v>
      </c>
      <c r="L60" s="130">
        <v>99.6</v>
      </c>
      <c r="M60" s="131">
        <v>0</v>
      </c>
      <c r="N60" s="131">
        <v>0</v>
      </c>
      <c r="O60" s="132">
        <v>0</v>
      </c>
      <c r="P60" s="132">
        <v>0</v>
      </c>
      <c r="Q60" s="132">
        <v>0</v>
      </c>
      <c r="R60" s="132">
        <v>0</v>
      </c>
      <c r="S60" s="132">
        <v>0</v>
      </c>
      <c r="T60" s="132">
        <v>0</v>
      </c>
      <c r="U60" s="132">
        <v>0</v>
      </c>
      <c r="V60" s="132">
        <v>0</v>
      </c>
      <c r="W60" s="132">
        <v>0</v>
      </c>
      <c r="X60" s="133" t="s">
        <v>3</v>
      </c>
      <c r="Y60" s="150" t="s">
        <v>357</v>
      </c>
    </row>
    <row r="61" spans="1:1014" s="73" customFormat="1" ht="63" thickBot="1">
      <c r="A61" s="124">
        <v>47</v>
      </c>
      <c r="B61" s="126" t="s">
        <v>27</v>
      </c>
      <c r="C61" s="151" t="s">
        <v>328</v>
      </c>
      <c r="D61" s="127" t="s">
        <v>329</v>
      </c>
      <c r="E61" s="127">
        <v>25928252</v>
      </c>
      <c r="F61" s="128" t="s">
        <v>330</v>
      </c>
      <c r="G61" s="128" t="s">
        <v>331</v>
      </c>
      <c r="H61" s="128" t="s">
        <v>332</v>
      </c>
      <c r="I61" s="126">
        <v>198</v>
      </c>
      <c r="J61" s="152">
        <v>37375</v>
      </c>
      <c r="K61" s="130">
        <v>25250.400000000001</v>
      </c>
      <c r="L61" s="130">
        <v>10521</v>
      </c>
      <c r="M61" s="131">
        <v>193959.3</v>
      </c>
      <c r="N61" s="131">
        <v>48489.84</v>
      </c>
      <c r="O61" s="132">
        <v>6463.27</v>
      </c>
      <c r="P61" s="132">
        <v>1615.83</v>
      </c>
      <c r="Q61" s="132">
        <v>6714.1</v>
      </c>
      <c r="R61" s="132">
        <v>1678.53</v>
      </c>
      <c r="S61" s="132">
        <v>88851.07</v>
      </c>
      <c r="T61" s="132">
        <v>22212.76</v>
      </c>
      <c r="U61" s="132">
        <v>91930.86</v>
      </c>
      <c r="V61" s="132">
        <v>22982.720000000001</v>
      </c>
      <c r="W61" s="132">
        <v>0</v>
      </c>
      <c r="X61" s="133" t="s">
        <v>3</v>
      </c>
      <c r="Y61" s="153" t="s">
        <v>3</v>
      </c>
    </row>
    <row r="62" spans="1:1014" s="73" customFormat="1" ht="16.2" thickBot="1">
      <c r="A62" s="154"/>
      <c r="B62" s="155" t="s">
        <v>4</v>
      </c>
      <c r="C62" s="155"/>
      <c r="D62" s="156"/>
      <c r="E62" s="156"/>
      <c r="F62" s="157"/>
      <c r="G62" s="157"/>
      <c r="H62" s="157"/>
      <c r="I62" s="155"/>
      <c r="J62" s="155"/>
      <c r="K62" s="158">
        <f t="shared" ref="K62:V62" si="0">SUM(K11:K61)</f>
        <v>549785.16</v>
      </c>
      <c r="L62" s="158">
        <f t="shared" si="0"/>
        <v>290862.61</v>
      </c>
      <c r="M62" s="158">
        <f t="shared" si="0"/>
        <v>814983.29999999981</v>
      </c>
      <c r="N62" s="158">
        <f t="shared" si="0"/>
        <v>220847.79</v>
      </c>
      <c r="O62" s="158">
        <f t="shared" si="0"/>
        <v>137683.56999999998</v>
      </c>
      <c r="P62" s="158">
        <f t="shared" si="0"/>
        <v>40470.549999999996</v>
      </c>
      <c r="Q62" s="158">
        <f t="shared" si="0"/>
        <v>148551.13</v>
      </c>
      <c r="R62" s="158">
        <f t="shared" si="0"/>
        <v>42080.85</v>
      </c>
      <c r="S62" s="158">
        <f t="shared" si="0"/>
        <v>225111.32</v>
      </c>
      <c r="T62" s="158">
        <f t="shared" si="0"/>
        <v>60040.979999999996</v>
      </c>
      <c r="U62" s="158">
        <f t="shared" si="0"/>
        <v>304021.44</v>
      </c>
      <c r="V62" s="158">
        <f t="shared" si="0"/>
        <v>78255.680000000008</v>
      </c>
      <c r="W62" s="158">
        <v>0</v>
      </c>
      <c r="X62" s="133" t="s">
        <v>3</v>
      </c>
      <c r="Y62" s="159" t="s">
        <v>3</v>
      </c>
    </row>
    <row r="63" spans="1:1014" s="1" customFormat="1" ht="62.4">
      <c r="A63" s="160">
        <v>1</v>
      </c>
      <c r="B63" s="161" t="s">
        <v>433</v>
      </c>
      <c r="C63" s="161" t="s">
        <v>381</v>
      </c>
      <c r="D63" s="161" t="s">
        <v>382</v>
      </c>
      <c r="E63" s="162">
        <v>2402305747</v>
      </c>
      <c r="F63" s="163" t="s">
        <v>383</v>
      </c>
      <c r="G63" s="164" t="s">
        <v>434</v>
      </c>
      <c r="H63" s="164" t="s">
        <v>385</v>
      </c>
      <c r="I63" s="162">
        <v>20</v>
      </c>
      <c r="J63" s="165">
        <v>41442</v>
      </c>
      <c r="K63" s="166">
        <v>41023.42</v>
      </c>
      <c r="L63" s="166">
        <v>20511.71</v>
      </c>
      <c r="M63" s="167">
        <v>36657.24</v>
      </c>
      <c r="N63" s="167">
        <v>17795.3</v>
      </c>
      <c r="O63" s="168">
        <v>10840.58</v>
      </c>
      <c r="P63" s="167">
        <v>5420.29</v>
      </c>
      <c r="Q63" s="167">
        <v>11228.28</v>
      </c>
      <c r="R63" s="167">
        <v>5614.14</v>
      </c>
      <c r="S63" s="167">
        <v>11776</v>
      </c>
      <c r="T63" s="167">
        <v>5917.15</v>
      </c>
      <c r="U63" s="167">
        <v>2812.38</v>
      </c>
      <c r="V63" s="167">
        <v>843.72</v>
      </c>
      <c r="W63" s="167">
        <v>956.27</v>
      </c>
      <c r="X63" s="161" t="s">
        <v>435</v>
      </c>
      <c r="Y63" s="169" t="s">
        <v>436</v>
      </c>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c r="ES63" s="113"/>
      <c r="ET63" s="113"/>
      <c r="EU63" s="113"/>
      <c r="EV63" s="113"/>
      <c r="EW63" s="113"/>
      <c r="EX63" s="113"/>
      <c r="EY63" s="113"/>
      <c r="EZ63" s="113"/>
      <c r="FA63" s="113"/>
      <c r="FB63" s="113"/>
      <c r="FC63" s="113"/>
      <c r="FD63" s="113"/>
      <c r="FE63" s="113"/>
      <c r="FF63" s="113"/>
      <c r="FG63" s="113"/>
      <c r="FH63" s="113"/>
      <c r="FI63" s="113"/>
      <c r="FJ63" s="113"/>
      <c r="FK63" s="113"/>
      <c r="FL63" s="113"/>
      <c r="FM63" s="113"/>
      <c r="FN63" s="113"/>
      <c r="FO63" s="113"/>
      <c r="FP63" s="113"/>
      <c r="FQ63" s="113"/>
      <c r="FR63" s="113"/>
      <c r="FS63" s="113"/>
      <c r="FT63" s="113"/>
      <c r="FU63" s="113"/>
      <c r="FV63" s="113"/>
      <c r="FW63" s="113"/>
      <c r="FX63" s="113"/>
      <c r="FY63" s="113"/>
      <c r="FZ63" s="113"/>
      <c r="GA63" s="113"/>
      <c r="GB63" s="113"/>
      <c r="GC63" s="113"/>
      <c r="GD63" s="113"/>
      <c r="GE63" s="113"/>
      <c r="GF63" s="113"/>
      <c r="GG63" s="113"/>
      <c r="GH63" s="113"/>
      <c r="GI63" s="113"/>
      <c r="GJ63" s="113"/>
      <c r="GK63" s="113"/>
      <c r="GL63" s="113"/>
      <c r="GM63" s="113"/>
      <c r="GN63" s="113"/>
      <c r="GO63" s="113"/>
      <c r="GP63" s="113"/>
      <c r="GQ63" s="113"/>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13"/>
      <c r="IG63" s="113"/>
      <c r="IH63" s="113"/>
      <c r="II63" s="113"/>
      <c r="IJ63" s="113"/>
      <c r="IK63" s="113"/>
      <c r="IL63" s="113"/>
      <c r="IM63" s="113"/>
      <c r="IN63" s="113"/>
      <c r="IO63" s="113"/>
      <c r="IP63" s="113"/>
      <c r="IQ63" s="113"/>
      <c r="IR63" s="113"/>
      <c r="IS63" s="113"/>
      <c r="IT63" s="113"/>
      <c r="IU63" s="113"/>
      <c r="IV63" s="113"/>
      <c r="IW63" s="113"/>
      <c r="IX63" s="113"/>
      <c r="IY63" s="113"/>
      <c r="IZ63" s="113"/>
      <c r="JA63" s="113"/>
      <c r="JB63" s="113"/>
      <c r="JC63" s="113"/>
      <c r="JD63" s="113"/>
      <c r="JE63" s="113"/>
      <c r="JF63" s="113"/>
      <c r="JG63" s="113"/>
      <c r="JH63" s="113"/>
      <c r="JI63" s="113"/>
      <c r="JJ63" s="113"/>
      <c r="JK63" s="113"/>
      <c r="JL63" s="113"/>
      <c r="JM63" s="113"/>
      <c r="JN63" s="113"/>
      <c r="JO63" s="113"/>
      <c r="JP63" s="113"/>
      <c r="JQ63" s="113"/>
      <c r="JR63" s="113"/>
      <c r="JS63" s="113"/>
      <c r="JT63" s="113"/>
      <c r="JU63" s="113"/>
      <c r="JV63" s="113"/>
      <c r="JW63" s="113"/>
      <c r="JX63" s="113"/>
      <c r="JY63" s="113"/>
      <c r="JZ63" s="113"/>
      <c r="KA63" s="113"/>
      <c r="KB63" s="113"/>
      <c r="KC63" s="113"/>
      <c r="KD63" s="113"/>
      <c r="KE63" s="113"/>
      <c r="KF63" s="113"/>
      <c r="KG63" s="113"/>
      <c r="KH63" s="113"/>
      <c r="KI63" s="113"/>
      <c r="KJ63" s="113"/>
      <c r="KK63" s="113"/>
      <c r="KL63" s="113"/>
      <c r="KM63" s="113"/>
      <c r="KN63" s="113"/>
      <c r="KO63" s="113"/>
      <c r="KP63" s="113"/>
      <c r="KQ63" s="113"/>
      <c r="KR63" s="113"/>
      <c r="KS63" s="113"/>
      <c r="KT63" s="113"/>
      <c r="KU63" s="113"/>
      <c r="KV63" s="113"/>
      <c r="KW63" s="113"/>
      <c r="KX63" s="113"/>
      <c r="KY63" s="113"/>
      <c r="KZ63" s="113"/>
      <c r="LA63" s="113"/>
      <c r="LB63" s="113"/>
      <c r="LC63" s="113"/>
      <c r="LD63" s="113"/>
      <c r="LE63" s="113"/>
      <c r="LF63" s="113"/>
      <c r="LG63" s="113"/>
      <c r="LH63" s="113"/>
      <c r="LI63" s="113"/>
      <c r="LJ63" s="113"/>
      <c r="LK63" s="113"/>
      <c r="LL63" s="113"/>
      <c r="LM63" s="113"/>
      <c r="LN63" s="113"/>
      <c r="LO63" s="113"/>
      <c r="LP63" s="113"/>
      <c r="LQ63" s="113"/>
      <c r="LR63" s="113"/>
      <c r="LS63" s="113"/>
      <c r="LT63" s="113"/>
      <c r="LU63" s="113"/>
      <c r="LV63" s="113"/>
      <c r="LW63" s="113"/>
      <c r="LX63" s="113"/>
      <c r="LY63" s="113"/>
      <c r="LZ63" s="113"/>
      <c r="MA63" s="113"/>
      <c r="MB63" s="113"/>
      <c r="MC63" s="113"/>
      <c r="MD63" s="113"/>
      <c r="ME63" s="113"/>
      <c r="MF63" s="113"/>
      <c r="MG63" s="113"/>
      <c r="MH63" s="113"/>
      <c r="MI63" s="113"/>
      <c r="MJ63" s="113"/>
      <c r="MK63" s="113"/>
      <c r="ML63" s="113"/>
      <c r="MM63" s="113"/>
      <c r="MN63" s="113"/>
      <c r="MO63" s="113"/>
      <c r="MP63" s="113"/>
      <c r="MQ63" s="113"/>
      <c r="MR63" s="113"/>
      <c r="MS63" s="113"/>
      <c r="MT63" s="113"/>
      <c r="MU63" s="113"/>
      <c r="MV63" s="113"/>
      <c r="MW63" s="113"/>
      <c r="MX63" s="113"/>
      <c r="MY63" s="113"/>
      <c r="MZ63" s="113"/>
      <c r="NA63" s="113"/>
      <c r="NB63" s="113"/>
      <c r="NC63" s="113"/>
      <c r="ND63" s="113"/>
      <c r="NE63" s="113"/>
      <c r="NF63" s="113"/>
      <c r="NG63" s="113"/>
      <c r="NH63" s="113"/>
      <c r="NI63" s="113"/>
      <c r="NJ63" s="113"/>
      <c r="NK63" s="113"/>
      <c r="NL63" s="113"/>
      <c r="NM63" s="113"/>
      <c r="NN63" s="113"/>
      <c r="NO63" s="113"/>
      <c r="NP63" s="113"/>
      <c r="NQ63" s="113"/>
      <c r="NR63" s="113"/>
      <c r="NS63" s="113"/>
      <c r="NT63" s="113"/>
      <c r="NU63" s="113"/>
      <c r="NV63" s="113"/>
      <c r="NW63" s="113"/>
      <c r="NX63" s="113"/>
      <c r="NY63" s="113"/>
      <c r="NZ63" s="113"/>
      <c r="OA63" s="113"/>
      <c r="OB63" s="113"/>
      <c r="OC63" s="113"/>
      <c r="OD63" s="113"/>
      <c r="OE63" s="113"/>
      <c r="OF63" s="113"/>
      <c r="OG63" s="113"/>
      <c r="OH63" s="113"/>
      <c r="OI63" s="113"/>
      <c r="OJ63" s="113"/>
      <c r="OK63" s="113"/>
      <c r="OL63" s="113"/>
      <c r="OM63" s="113"/>
      <c r="ON63" s="113"/>
      <c r="OO63" s="113"/>
      <c r="OP63" s="113"/>
      <c r="OQ63" s="113"/>
      <c r="OR63" s="113"/>
      <c r="OS63" s="113"/>
      <c r="OT63" s="113"/>
      <c r="OU63" s="113"/>
      <c r="OV63" s="113"/>
      <c r="OW63" s="113"/>
      <c r="OX63" s="113"/>
      <c r="OY63" s="113"/>
      <c r="OZ63" s="113"/>
      <c r="PA63" s="113"/>
      <c r="PB63" s="113"/>
      <c r="PC63" s="113"/>
      <c r="PD63" s="113"/>
      <c r="PE63" s="113"/>
      <c r="PF63" s="113"/>
      <c r="PG63" s="113"/>
      <c r="PH63" s="113"/>
      <c r="PI63" s="113"/>
      <c r="PJ63" s="113"/>
      <c r="PK63" s="113"/>
      <c r="PL63" s="113"/>
      <c r="PM63" s="113"/>
      <c r="PN63" s="113"/>
      <c r="PO63" s="113"/>
      <c r="PP63" s="113"/>
      <c r="PQ63" s="113"/>
      <c r="PR63" s="113"/>
      <c r="PS63" s="113"/>
      <c r="PT63" s="113"/>
      <c r="PU63" s="113"/>
      <c r="PV63" s="113"/>
      <c r="PW63" s="113"/>
      <c r="PX63" s="113"/>
      <c r="PY63" s="113"/>
      <c r="PZ63" s="113"/>
      <c r="QA63" s="113"/>
      <c r="QB63" s="113"/>
      <c r="QC63" s="113"/>
      <c r="QD63" s="113"/>
      <c r="QE63" s="113"/>
      <c r="QF63" s="113"/>
      <c r="QG63" s="113"/>
      <c r="QH63" s="113"/>
      <c r="QI63" s="113"/>
      <c r="QJ63" s="113"/>
      <c r="QK63" s="113"/>
      <c r="QL63" s="113"/>
      <c r="QM63" s="113"/>
      <c r="QN63" s="113"/>
      <c r="QO63" s="113"/>
      <c r="QP63" s="113"/>
      <c r="QQ63" s="113"/>
      <c r="QR63" s="113"/>
      <c r="QS63" s="113"/>
      <c r="QT63" s="113"/>
      <c r="QU63" s="113"/>
      <c r="QV63" s="113"/>
      <c r="QW63" s="113"/>
      <c r="QX63" s="113"/>
      <c r="QY63" s="113"/>
      <c r="QZ63" s="113"/>
      <c r="RA63" s="113"/>
      <c r="RB63" s="113"/>
      <c r="RC63" s="113"/>
      <c r="RD63" s="113"/>
      <c r="RE63" s="113"/>
      <c r="RF63" s="113"/>
      <c r="RG63" s="113"/>
      <c r="RH63" s="113"/>
      <c r="RI63" s="113"/>
      <c r="RJ63" s="113"/>
      <c r="RK63" s="113"/>
      <c r="RL63" s="113"/>
      <c r="RM63" s="113"/>
      <c r="RN63" s="113"/>
      <c r="RO63" s="113"/>
      <c r="RP63" s="113"/>
      <c r="RQ63" s="113"/>
      <c r="RR63" s="113"/>
      <c r="RS63" s="113"/>
      <c r="RT63" s="113"/>
      <c r="RU63" s="113"/>
      <c r="RV63" s="113"/>
      <c r="RW63" s="113"/>
      <c r="RX63" s="113"/>
      <c r="RY63" s="113"/>
      <c r="RZ63" s="113"/>
      <c r="SA63" s="113"/>
      <c r="SB63" s="113"/>
      <c r="SC63" s="113"/>
      <c r="SD63" s="113"/>
      <c r="SE63" s="113"/>
      <c r="SF63" s="113"/>
      <c r="SG63" s="113"/>
      <c r="SH63" s="113"/>
      <c r="SI63" s="113"/>
      <c r="SJ63" s="113"/>
      <c r="SK63" s="113"/>
      <c r="SL63" s="113"/>
      <c r="SM63" s="113"/>
      <c r="SN63" s="113"/>
      <c r="SO63" s="113"/>
      <c r="SP63" s="113"/>
      <c r="SQ63" s="113"/>
      <c r="SR63" s="113"/>
      <c r="SS63" s="113"/>
      <c r="ST63" s="113"/>
      <c r="SU63" s="113"/>
      <c r="SV63" s="113"/>
      <c r="SW63" s="113"/>
      <c r="SX63" s="113"/>
      <c r="SY63" s="113"/>
      <c r="SZ63" s="113"/>
      <c r="TA63" s="113"/>
      <c r="TB63" s="113"/>
      <c r="TC63" s="113"/>
      <c r="TD63" s="113"/>
      <c r="TE63" s="113"/>
      <c r="TF63" s="113"/>
      <c r="TG63" s="113"/>
      <c r="TH63" s="113"/>
      <c r="TI63" s="113"/>
      <c r="TJ63" s="113"/>
      <c r="TK63" s="113"/>
      <c r="TL63" s="113"/>
      <c r="TM63" s="113"/>
      <c r="TN63" s="113"/>
      <c r="TO63" s="113"/>
      <c r="TP63" s="113"/>
      <c r="TQ63" s="113"/>
      <c r="TR63" s="113"/>
      <c r="TS63" s="113"/>
      <c r="TT63" s="113"/>
      <c r="TU63" s="113"/>
      <c r="TV63" s="113"/>
      <c r="TW63" s="113"/>
      <c r="TX63" s="113"/>
      <c r="TY63" s="113"/>
      <c r="TZ63" s="113"/>
      <c r="UA63" s="113"/>
      <c r="UB63" s="113"/>
      <c r="UC63" s="113"/>
      <c r="UD63" s="113"/>
      <c r="UE63" s="113"/>
      <c r="UF63" s="113"/>
      <c r="UG63" s="113"/>
      <c r="UH63" s="113"/>
      <c r="UI63" s="113"/>
      <c r="UJ63" s="113"/>
      <c r="UK63" s="113"/>
      <c r="UL63" s="113"/>
      <c r="UM63" s="113"/>
      <c r="UN63" s="113"/>
      <c r="UO63" s="113"/>
      <c r="UP63" s="113"/>
      <c r="UQ63" s="113"/>
      <c r="UR63" s="113"/>
      <c r="US63" s="113"/>
      <c r="UT63" s="113"/>
      <c r="UU63" s="113"/>
      <c r="UV63" s="113"/>
      <c r="UW63" s="113"/>
      <c r="UX63" s="113"/>
      <c r="UY63" s="113"/>
      <c r="UZ63" s="113"/>
      <c r="VA63" s="113"/>
      <c r="VB63" s="113"/>
      <c r="VC63" s="113"/>
      <c r="VD63" s="113"/>
      <c r="VE63" s="113"/>
      <c r="VF63" s="113"/>
      <c r="VG63" s="113"/>
      <c r="VH63" s="113"/>
      <c r="VI63" s="113"/>
      <c r="VJ63" s="113"/>
      <c r="VK63" s="113"/>
      <c r="VL63" s="113"/>
      <c r="VM63" s="113"/>
      <c r="VN63" s="113"/>
      <c r="VO63" s="113"/>
      <c r="VP63" s="113"/>
      <c r="VQ63" s="113"/>
      <c r="VR63" s="113"/>
      <c r="VS63" s="113"/>
      <c r="VT63" s="113"/>
      <c r="VU63" s="113"/>
      <c r="VV63" s="113"/>
      <c r="VW63" s="113"/>
      <c r="VX63" s="113"/>
      <c r="VY63" s="113"/>
      <c r="VZ63" s="113"/>
      <c r="WA63" s="113"/>
      <c r="WB63" s="113"/>
      <c r="WC63" s="113"/>
      <c r="WD63" s="113"/>
      <c r="WE63" s="113"/>
      <c r="WF63" s="113"/>
      <c r="WG63" s="113"/>
      <c r="WH63" s="113"/>
      <c r="WI63" s="113"/>
      <c r="WJ63" s="113"/>
      <c r="WK63" s="113"/>
      <c r="WL63" s="113"/>
      <c r="WM63" s="113"/>
      <c r="WN63" s="113"/>
      <c r="WO63" s="113"/>
      <c r="WP63" s="113"/>
      <c r="WQ63" s="113"/>
      <c r="WR63" s="113"/>
      <c r="WS63" s="113"/>
      <c r="WT63" s="113"/>
      <c r="WU63" s="113"/>
      <c r="WV63" s="113"/>
      <c r="WW63" s="113"/>
      <c r="WX63" s="113"/>
      <c r="WY63" s="113"/>
      <c r="WZ63" s="113"/>
      <c r="XA63" s="113"/>
      <c r="XB63" s="113"/>
      <c r="XC63" s="113"/>
      <c r="XD63" s="113"/>
      <c r="XE63" s="113"/>
      <c r="XF63" s="113"/>
      <c r="XG63" s="113"/>
      <c r="XH63" s="113"/>
      <c r="XI63" s="113"/>
      <c r="XJ63" s="113"/>
      <c r="XK63" s="113"/>
      <c r="XL63" s="113"/>
      <c r="XM63" s="113"/>
      <c r="XN63" s="113"/>
      <c r="XO63" s="113"/>
      <c r="XP63" s="113"/>
      <c r="XQ63" s="113"/>
      <c r="XR63" s="113"/>
      <c r="XS63" s="113"/>
      <c r="XT63" s="113"/>
      <c r="XU63" s="113"/>
      <c r="XV63" s="113"/>
      <c r="XW63" s="113"/>
      <c r="XX63" s="113"/>
      <c r="XY63" s="113"/>
      <c r="XZ63" s="113"/>
      <c r="YA63" s="113"/>
      <c r="YB63" s="113"/>
      <c r="YC63" s="113"/>
      <c r="YD63" s="113"/>
      <c r="YE63" s="113"/>
      <c r="YF63" s="113"/>
      <c r="YG63" s="113"/>
      <c r="YH63" s="113"/>
      <c r="YI63" s="113"/>
      <c r="YJ63" s="113"/>
      <c r="YK63" s="113"/>
      <c r="YL63" s="113"/>
      <c r="YM63" s="113"/>
      <c r="YN63" s="113"/>
      <c r="YO63" s="113"/>
      <c r="YP63" s="113"/>
      <c r="YQ63" s="113"/>
      <c r="YR63" s="113"/>
      <c r="YS63" s="113"/>
      <c r="YT63" s="113"/>
      <c r="YU63" s="113"/>
      <c r="YV63" s="113"/>
      <c r="YW63" s="113"/>
      <c r="YX63" s="113"/>
      <c r="YY63" s="113"/>
      <c r="YZ63" s="113"/>
      <c r="ZA63" s="113"/>
      <c r="ZB63" s="113"/>
      <c r="ZC63" s="113"/>
      <c r="ZD63" s="113"/>
      <c r="ZE63" s="113"/>
      <c r="ZF63" s="113"/>
      <c r="ZG63" s="113"/>
      <c r="ZH63" s="113"/>
      <c r="ZI63" s="113"/>
      <c r="ZJ63" s="113"/>
      <c r="ZK63" s="113"/>
      <c r="ZL63" s="113"/>
      <c r="ZM63" s="113"/>
      <c r="ZN63" s="113"/>
      <c r="ZO63" s="113"/>
      <c r="ZP63" s="113"/>
      <c r="ZQ63" s="113"/>
      <c r="ZR63" s="113"/>
      <c r="ZS63" s="113"/>
      <c r="ZT63" s="113"/>
      <c r="ZU63" s="113"/>
      <c r="ZV63" s="113"/>
      <c r="ZW63" s="113"/>
      <c r="ZX63" s="113"/>
      <c r="ZY63" s="113"/>
      <c r="ZZ63" s="113"/>
      <c r="AAA63" s="113"/>
      <c r="AAB63" s="113"/>
      <c r="AAC63" s="113"/>
      <c r="AAD63" s="113"/>
      <c r="AAE63" s="113"/>
      <c r="AAF63" s="113"/>
      <c r="AAG63" s="113"/>
      <c r="AAH63" s="113"/>
      <c r="AAI63" s="113"/>
      <c r="AAJ63" s="113"/>
      <c r="AAK63" s="113"/>
      <c r="AAL63" s="113"/>
      <c r="AAM63" s="113"/>
      <c r="AAN63" s="113"/>
      <c r="AAO63" s="113"/>
      <c r="AAP63" s="113"/>
      <c r="AAQ63" s="113"/>
      <c r="AAR63" s="113"/>
      <c r="AAS63" s="113"/>
      <c r="AAT63" s="113"/>
      <c r="AAU63" s="113"/>
      <c r="AAV63" s="113"/>
      <c r="AAW63" s="113"/>
      <c r="AAX63" s="113"/>
      <c r="AAY63" s="113"/>
      <c r="AAZ63" s="113"/>
      <c r="ABA63" s="113"/>
      <c r="ABB63" s="113"/>
      <c r="ABC63" s="113"/>
      <c r="ABD63" s="113"/>
      <c r="ABE63" s="113"/>
      <c r="ABF63" s="113"/>
      <c r="ABG63" s="113"/>
      <c r="ABH63" s="113"/>
      <c r="ABI63" s="113"/>
      <c r="ABJ63" s="113"/>
      <c r="ABK63" s="113"/>
      <c r="ABL63" s="113"/>
      <c r="ABM63" s="113"/>
      <c r="ABN63" s="113"/>
      <c r="ABO63" s="113"/>
      <c r="ABP63" s="113"/>
      <c r="ABQ63" s="113"/>
      <c r="ABR63" s="113"/>
      <c r="ABS63" s="113"/>
      <c r="ABT63" s="113"/>
      <c r="ABU63" s="113"/>
      <c r="ABV63" s="113"/>
      <c r="ABW63" s="113"/>
      <c r="ABX63" s="113"/>
      <c r="ABY63" s="113"/>
      <c r="ABZ63" s="113"/>
      <c r="ACA63" s="113"/>
      <c r="ACB63" s="113"/>
      <c r="ACC63" s="113"/>
      <c r="ACD63" s="113"/>
      <c r="ACE63" s="113"/>
      <c r="ACF63" s="113"/>
      <c r="ACG63" s="113"/>
      <c r="ACH63" s="113"/>
      <c r="ACI63" s="113"/>
      <c r="ACJ63" s="113"/>
      <c r="ACK63" s="113"/>
      <c r="ACL63" s="113"/>
      <c r="ACM63" s="113"/>
      <c r="ACN63" s="113"/>
      <c r="ACO63" s="113"/>
      <c r="ACP63" s="113"/>
      <c r="ACQ63" s="113"/>
      <c r="ACR63" s="113"/>
      <c r="ACS63" s="113"/>
      <c r="ACT63" s="113"/>
      <c r="ACU63" s="113"/>
      <c r="ACV63" s="113"/>
      <c r="ACW63" s="113"/>
      <c r="ACX63" s="113"/>
      <c r="ACY63" s="113"/>
      <c r="ACZ63" s="113"/>
      <c r="ADA63" s="113"/>
      <c r="ADB63" s="113"/>
      <c r="ADC63" s="113"/>
      <c r="ADD63" s="113"/>
      <c r="ADE63" s="113"/>
      <c r="ADF63" s="113"/>
      <c r="ADG63" s="113"/>
      <c r="ADH63" s="113"/>
      <c r="ADI63" s="113"/>
      <c r="ADJ63" s="113"/>
      <c r="ADK63" s="113"/>
      <c r="ADL63" s="113"/>
      <c r="ADM63" s="113"/>
      <c r="ADN63" s="113"/>
      <c r="ADO63" s="113"/>
      <c r="ADP63" s="113"/>
      <c r="ADQ63" s="113"/>
      <c r="ADR63" s="113"/>
      <c r="ADS63" s="113"/>
      <c r="ADT63" s="113"/>
      <c r="ADU63" s="113"/>
      <c r="ADV63" s="113"/>
      <c r="ADW63" s="113"/>
      <c r="ADX63" s="113"/>
      <c r="ADY63" s="113"/>
      <c r="ADZ63" s="113"/>
      <c r="AEA63" s="113"/>
      <c r="AEB63" s="113"/>
      <c r="AEC63" s="113"/>
      <c r="AED63" s="113"/>
      <c r="AEE63" s="113"/>
      <c r="AEF63" s="113"/>
      <c r="AEG63" s="113"/>
      <c r="AEH63" s="113"/>
      <c r="AEI63" s="113"/>
      <c r="AEJ63" s="113"/>
      <c r="AEK63" s="113"/>
      <c r="AEL63" s="113"/>
      <c r="AEM63" s="113"/>
      <c r="AEN63" s="113"/>
      <c r="AEO63" s="113"/>
      <c r="AEP63" s="113"/>
      <c r="AEQ63" s="113"/>
      <c r="AER63" s="113"/>
      <c r="AES63" s="113"/>
      <c r="AET63" s="113"/>
      <c r="AEU63" s="113"/>
      <c r="AEV63" s="113"/>
      <c r="AEW63" s="113"/>
      <c r="AEX63" s="113"/>
      <c r="AEY63" s="113"/>
      <c r="AEZ63" s="113"/>
      <c r="AFA63" s="113"/>
      <c r="AFB63" s="113"/>
      <c r="AFC63" s="113"/>
      <c r="AFD63" s="113"/>
      <c r="AFE63" s="113"/>
      <c r="AFF63" s="113"/>
      <c r="AFG63" s="113"/>
      <c r="AFH63" s="113"/>
      <c r="AFI63" s="113"/>
      <c r="AFJ63" s="113"/>
      <c r="AFK63" s="113"/>
      <c r="AFL63" s="113"/>
      <c r="AFM63" s="113"/>
      <c r="AFN63" s="113"/>
      <c r="AFO63" s="113"/>
      <c r="AFP63" s="113"/>
      <c r="AFQ63" s="113"/>
      <c r="AFR63" s="113"/>
      <c r="AFS63" s="113"/>
      <c r="AFT63" s="113"/>
      <c r="AFU63" s="113"/>
      <c r="AFV63" s="113"/>
      <c r="AFW63" s="113"/>
      <c r="AFX63" s="113"/>
      <c r="AFY63" s="113"/>
      <c r="AFZ63" s="113"/>
      <c r="AGA63" s="113"/>
      <c r="AGB63" s="113"/>
      <c r="AGC63" s="113"/>
      <c r="AGD63" s="113"/>
      <c r="AGE63" s="113"/>
      <c r="AGF63" s="113"/>
      <c r="AGG63" s="113"/>
      <c r="AGH63" s="113"/>
      <c r="AGI63" s="113"/>
      <c r="AGJ63" s="113"/>
      <c r="AGK63" s="113"/>
      <c r="AGL63" s="113"/>
      <c r="AGM63" s="113"/>
      <c r="AGN63" s="113"/>
      <c r="AGO63" s="113"/>
      <c r="AGP63" s="113"/>
      <c r="AGQ63" s="113"/>
      <c r="AGR63" s="113"/>
      <c r="AGS63" s="113"/>
      <c r="AGT63" s="113"/>
      <c r="AGU63" s="113"/>
      <c r="AGV63" s="113"/>
      <c r="AGW63" s="113"/>
      <c r="AGX63" s="113"/>
      <c r="AGY63" s="113"/>
      <c r="AGZ63" s="113"/>
      <c r="AHA63" s="113"/>
      <c r="AHB63" s="113"/>
      <c r="AHC63" s="113"/>
      <c r="AHD63" s="113"/>
      <c r="AHE63" s="113"/>
      <c r="AHF63" s="113"/>
      <c r="AHG63" s="113"/>
      <c r="AHH63" s="113"/>
      <c r="AHI63" s="113"/>
      <c r="AHJ63" s="113"/>
      <c r="AHK63" s="113"/>
      <c r="AHL63" s="113"/>
      <c r="AHM63" s="113"/>
      <c r="AHN63" s="113"/>
      <c r="AHO63" s="113"/>
      <c r="AHP63" s="113"/>
      <c r="AHQ63" s="113"/>
      <c r="AHR63" s="113"/>
      <c r="AHS63" s="113"/>
      <c r="AHT63" s="113"/>
      <c r="AHU63" s="113"/>
      <c r="AHV63" s="113"/>
      <c r="AHW63" s="113"/>
      <c r="AHX63" s="113"/>
      <c r="AHY63" s="113"/>
      <c r="AHZ63" s="113"/>
      <c r="AIA63" s="113"/>
      <c r="AIB63" s="113"/>
      <c r="AIC63" s="113"/>
      <c r="AID63" s="113"/>
      <c r="AIE63" s="113"/>
      <c r="AIF63" s="113"/>
      <c r="AIG63" s="113"/>
      <c r="AIH63" s="113"/>
      <c r="AII63" s="113"/>
      <c r="AIJ63" s="113"/>
      <c r="AIK63" s="113"/>
      <c r="AIL63" s="113"/>
      <c r="AIM63" s="113"/>
      <c r="AIN63" s="113"/>
      <c r="AIO63" s="113"/>
      <c r="AIP63" s="113"/>
      <c r="AIQ63" s="113"/>
      <c r="AIR63" s="113"/>
      <c r="AIS63" s="113"/>
      <c r="AIT63" s="113"/>
      <c r="AIU63" s="113"/>
      <c r="AIV63" s="113"/>
      <c r="AIW63" s="113"/>
      <c r="AIX63" s="113"/>
      <c r="AIY63" s="113"/>
      <c r="AIZ63" s="113"/>
      <c r="AJA63" s="113"/>
      <c r="AJB63" s="113"/>
      <c r="AJC63" s="113"/>
      <c r="AJD63" s="113"/>
      <c r="AJE63" s="113"/>
      <c r="AJF63" s="113"/>
      <c r="AJG63" s="113"/>
      <c r="AJH63" s="113"/>
      <c r="AJI63" s="113"/>
      <c r="AJJ63" s="113"/>
      <c r="AJK63" s="113"/>
      <c r="AJL63" s="113"/>
      <c r="AJM63" s="113"/>
      <c r="AJN63" s="113"/>
      <c r="AJO63" s="113"/>
      <c r="AJP63" s="113"/>
      <c r="AJQ63" s="113"/>
      <c r="AJR63" s="113"/>
      <c r="AJS63" s="113"/>
      <c r="AJT63" s="113"/>
      <c r="AJU63" s="113"/>
      <c r="AJV63" s="113"/>
      <c r="AJW63" s="113"/>
      <c r="AJX63" s="113"/>
      <c r="AJY63" s="113"/>
      <c r="AJZ63" s="113"/>
      <c r="AKA63" s="113"/>
      <c r="AKB63" s="113"/>
      <c r="AKC63" s="113"/>
      <c r="AKD63" s="113"/>
      <c r="AKE63" s="113"/>
      <c r="AKF63" s="113"/>
      <c r="AKG63" s="113"/>
      <c r="AKH63" s="113"/>
      <c r="AKI63" s="113"/>
      <c r="AKJ63" s="113"/>
      <c r="AKK63" s="113"/>
      <c r="AKL63" s="113"/>
      <c r="AKM63" s="113"/>
      <c r="AKN63" s="113"/>
      <c r="AKO63" s="113"/>
      <c r="AKP63" s="113"/>
      <c r="AKQ63" s="113"/>
      <c r="AKR63" s="113"/>
      <c r="AKS63" s="113"/>
      <c r="AKT63" s="113"/>
      <c r="AKU63" s="113"/>
      <c r="AKV63" s="113"/>
      <c r="AKW63" s="113"/>
      <c r="AKX63" s="113"/>
      <c r="AKY63" s="113"/>
      <c r="AKZ63" s="113"/>
      <c r="ALA63" s="113"/>
      <c r="ALB63" s="113"/>
      <c r="ALC63" s="113"/>
      <c r="ALD63" s="113"/>
      <c r="ALE63" s="113"/>
      <c r="ALF63" s="113"/>
      <c r="ALG63" s="113"/>
      <c r="ALH63" s="113"/>
      <c r="ALI63" s="113"/>
      <c r="ALJ63" s="113"/>
      <c r="ALK63" s="113"/>
      <c r="ALL63" s="113"/>
      <c r="ALM63" s="113"/>
      <c r="ALN63" s="113"/>
      <c r="ALO63" s="113"/>
      <c r="ALP63" s="113"/>
      <c r="ALQ63" s="113"/>
      <c r="ALR63" s="113"/>
      <c r="ALS63" s="113"/>
      <c r="ALT63" s="113"/>
      <c r="ALU63" s="113"/>
      <c r="ALV63" s="113"/>
      <c r="ALW63" s="113"/>
      <c r="ALX63" s="113"/>
      <c r="ALY63" s="113"/>
      <c r="ALZ63" s="113"/>
    </row>
    <row r="64" spans="1:1014" s="1" customFormat="1" ht="46.8">
      <c r="A64" s="170">
        <v>2</v>
      </c>
      <c r="B64" s="161" t="s">
        <v>437</v>
      </c>
      <c r="C64" s="171" t="s">
        <v>393</v>
      </c>
      <c r="D64" s="171" t="s">
        <v>394</v>
      </c>
      <c r="E64" s="172">
        <v>22020055</v>
      </c>
      <c r="F64" s="173" t="s">
        <v>322</v>
      </c>
      <c r="G64" s="173" t="s">
        <v>395</v>
      </c>
      <c r="H64" s="173" t="s">
        <v>396</v>
      </c>
      <c r="I64" s="172">
        <v>8</v>
      </c>
      <c r="J64" s="174">
        <v>41348</v>
      </c>
      <c r="K64" s="175">
        <v>62.29</v>
      </c>
      <c r="L64" s="175">
        <v>28.54</v>
      </c>
      <c r="M64" s="176">
        <v>10.38</v>
      </c>
      <c r="N64" s="176">
        <v>7.81</v>
      </c>
      <c r="O64" s="176">
        <v>8.64</v>
      </c>
      <c r="P64" s="176">
        <v>7.81</v>
      </c>
      <c r="Q64" s="176" t="s">
        <v>3</v>
      </c>
      <c r="R64" s="176" t="s">
        <v>3</v>
      </c>
      <c r="S64" s="176" t="s">
        <v>3</v>
      </c>
      <c r="T64" s="176" t="s">
        <v>3</v>
      </c>
      <c r="U64" s="176" t="s">
        <v>3</v>
      </c>
      <c r="V64" s="176" t="s">
        <v>3</v>
      </c>
      <c r="W64" s="176" t="s">
        <v>3</v>
      </c>
      <c r="X64" s="172" t="s">
        <v>3</v>
      </c>
      <c r="Y64" s="177"/>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c r="IV64" s="113"/>
      <c r="IW64" s="113"/>
      <c r="IX64" s="113"/>
      <c r="IY64" s="113"/>
      <c r="IZ64" s="113"/>
      <c r="JA64" s="113"/>
      <c r="JB64" s="113"/>
      <c r="JC64" s="113"/>
      <c r="JD64" s="113"/>
      <c r="JE64" s="113"/>
      <c r="JF64" s="113"/>
      <c r="JG64" s="113"/>
      <c r="JH64" s="113"/>
      <c r="JI64" s="113"/>
      <c r="JJ64" s="113"/>
      <c r="JK64" s="113"/>
      <c r="JL64" s="113"/>
      <c r="JM64" s="113"/>
      <c r="JN64" s="113"/>
      <c r="JO64" s="113"/>
      <c r="JP64" s="113"/>
      <c r="JQ64" s="113"/>
      <c r="JR64" s="113"/>
      <c r="JS64" s="113"/>
      <c r="JT64" s="113"/>
      <c r="JU64" s="113"/>
      <c r="JV64" s="113"/>
      <c r="JW64" s="113"/>
      <c r="JX64" s="113"/>
      <c r="JY64" s="113"/>
      <c r="JZ64" s="113"/>
      <c r="KA64" s="113"/>
      <c r="KB64" s="113"/>
      <c r="KC64" s="113"/>
      <c r="KD64" s="113"/>
      <c r="KE64" s="113"/>
      <c r="KF64" s="113"/>
      <c r="KG64" s="113"/>
      <c r="KH64" s="113"/>
      <c r="KI64" s="113"/>
      <c r="KJ64" s="113"/>
      <c r="KK64" s="113"/>
      <c r="KL64" s="113"/>
      <c r="KM64" s="113"/>
      <c r="KN64" s="113"/>
      <c r="KO64" s="113"/>
      <c r="KP64" s="113"/>
      <c r="KQ64" s="113"/>
      <c r="KR64" s="113"/>
      <c r="KS64" s="113"/>
      <c r="KT64" s="113"/>
      <c r="KU64" s="113"/>
      <c r="KV64" s="113"/>
      <c r="KW64" s="113"/>
      <c r="KX64" s="113"/>
      <c r="KY64" s="113"/>
      <c r="KZ64" s="113"/>
      <c r="LA64" s="113"/>
      <c r="LB64" s="113"/>
      <c r="LC64" s="113"/>
      <c r="LD64" s="113"/>
      <c r="LE64" s="113"/>
      <c r="LF64" s="113"/>
      <c r="LG64" s="113"/>
      <c r="LH64" s="113"/>
      <c r="LI64" s="113"/>
      <c r="LJ64" s="113"/>
      <c r="LK64" s="113"/>
      <c r="LL64" s="113"/>
      <c r="LM64" s="113"/>
      <c r="LN64" s="113"/>
      <c r="LO64" s="113"/>
      <c r="LP64" s="113"/>
      <c r="LQ64" s="113"/>
      <c r="LR64" s="113"/>
      <c r="LS64" s="113"/>
      <c r="LT64" s="113"/>
      <c r="LU64" s="113"/>
      <c r="LV64" s="113"/>
      <c r="LW64" s="113"/>
      <c r="LX64" s="113"/>
      <c r="LY64" s="113"/>
      <c r="LZ64" s="113"/>
      <c r="MA64" s="113"/>
      <c r="MB64" s="113"/>
      <c r="MC64" s="113"/>
      <c r="MD64" s="113"/>
      <c r="ME64" s="113"/>
      <c r="MF64" s="113"/>
      <c r="MG64" s="113"/>
      <c r="MH64" s="113"/>
      <c r="MI64" s="113"/>
      <c r="MJ64" s="113"/>
      <c r="MK64" s="113"/>
      <c r="ML64" s="113"/>
      <c r="MM64" s="113"/>
      <c r="MN64" s="113"/>
      <c r="MO64" s="113"/>
      <c r="MP64" s="113"/>
      <c r="MQ64" s="113"/>
      <c r="MR64" s="113"/>
      <c r="MS64" s="113"/>
      <c r="MT64" s="113"/>
      <c r="MU64" s="113"/>
      <c r="MV64" s="113"/>
      <c r="MW64" s="113"/>
      <c r="MX64" s="113"/>
      <c r="MY64" s="113"/>
      <c r="MZ64" s="113"/>
      <c r="NA64" s="113"/>
      <c r="NB64" s="113"/>
      <c r="NC64" s="113"/>
      <c r="ND64" s="113"/>
      <c r="NE64" s="113"/>
      <c r="NF64" s="113"/>
      <c r="NG64" s="113"/>
      <c r="NH64" s="113"/>
      <c r="NI64" s="113"/>
      <c r="NJ64" s="113"/>
      <c r="NK64" s="113"/>
      <c r="NL64" s="113"/>
      <c r="NM64" s="113"/>
      <c r="NN64" s="113"/>
      <c r="NO64" s="113"/>
      <c r="NP64" s="113"/>
      <c r="NQ64" s="113"/>
      <c r="NR64" s="113"/>
      <c r="NS64" s="113"/>
      <c r="NT64" s="113"/>
      <c r="NU64" s="113"/>
      <c r="NV64" s="113"/>
      <c r="NW64" s="113"/>
      <c r="NX64" s="113"/>
      <c r="NY64" s="113"/>
      <c r="NZ64" s="113"/>
      <c r="OA64" s="113"/>
      <c r="OB64" s="113"/>
      <c r="OC64" s="113"/>
      <c r="OD64" s="113"/>
      <c r="OE64" s="113"/>
      <c r="OF64" s="113"/>
      <c r="OG64" s="113"/>
      <c r="OH64" s="113"/>
      <c r="OI64" s="113"/>
      <c r="OJ64" s="113"/>
      <c r="OK64" s="113"/>
      <c r="OL64" s="113"/>
      <c r="OM64" s="113"/>
      <c r="ON64" s="113"/>
      <c r="OO64" s="113"/>
      <c r="OP64" s="113"/>
      <c r="OQ64" s="113"/>
      <c r="OR64" s="113"/>
      <c r="OS64" s="113"/>
      <c r="OT64" s="113"/>
      <c r="OU64" s="113"/>
      <c r="OV64" s="113"/>
      <c r="OW64" s="113"/>
      <c r="OX64" s="113"/>
      <c r="OY64" s="113"/>
      <c r="OZ64" s="113"/>
      <c r="PA64" s="113"/>
      <c r="PB64" s="113"/>
      <c r="PC64" s="113"/>
      <c r="PD64" s="113"/>
      <c r="PE64" s="113"/>
      <c r="PF64" s="113"/>
      <c r="PG64" s="113"/>
      <c r="PH64" s="113"/>
      <c r="PI64" s="113"/>
      <c r="PJ64" s="113"/>
      <c r="PK64" s="113"/>
      <c r="PL64" s="113"/>
      <c r="PM64" s="113"/>
      <c r="PN64" s="113"/>
      <c r="PO64" s="113"/>
      <c r="PP64" s="113"/>
      <c r="PQ64" s="113"/>
      <c r="PR64" s="113"/>
      <c r="PS64" s="113"/>
      <c r="PT64" s="113"/>
      <c r="PU64" s="113"/>
      <c r="PV64" s="113"/>
      <c r="PW64" s="113"/>
      <c r="PX64" s="113"/>
      <c r="PY64" s="113"/>
      <c r="PZ64" s="113"/>
      <c r="QA64" s="113"/>
      <c r="QB64" s="113"/>
      <c r="QC64" s="113"/>
      <c r="QD64" s="113"/>
      <c r="QE64" s="113"/>
      <c r="QF64" s="113"/>
      <c r="QG64" s="113"/>
      <c r="QH64" s="113"/>
      <c r="QI64" s="113"/>
      <c r="QJ64" s="113"/>
      <c r="QK64" s="113"/>
      <c r="QL64" s="113"/>
      <c r="QM64" s="113"/>
      <c r="QN64" s="113"/>
      <c r="QO64" s="113"/>
      <c r="QP64" s="113"/>
      <c r="QQ64" s="113"/>
      <c r="QR64" s="113"/>
      <c r="QS64" s="113"/>
      <c r="QT64" s="113"/>
      <c r="QU64" s="113"/>
      <c r="QV64" s="113"/>
      <c r="QW64" s="113"/>
      <c r="QX64" s="113"/>
      <c r="QY64" s="113"/>
      <c r="QZ64" s="113"/>
      <c r="RA64" s="113"/>
      <c r="RB64" s="113"/>
      <c r="RC64" s="113"/>
      <c r="RD64" s="113"/>
      <c r="RE64" s="113"/>
      <c r="RF64" s="113"/>
      <c r="RG64" s="113"/>
      <c r="RH64" s="113"/>
      <c r="RI64" s="113"/>
      <c r="RJ64" s="113"/>
      <c r="RK64" s="113"/>
      <c r="RL64" s="113"/>
      <c r="RM64" s="113"/>
      <c r="RN64" s="113"/>
      <c r="RO64" s="113"/>
      <c r="RP64" s="113"/>
      <c r="RQ64" s="113"/>
      <c r="RR64" s="113"/>
      <c r="RS64" s="113"/>
      <c r="RT64" s="113"/>
      <c r="RU64" s="113"/>
      <c r="RV64" s="113"/>
      <c r="RW64" s="113"/>
      <c r="RX64" s="113"/>
      <c r="RY64" s="113"/>
      <c r="RZ64" s="113"/>
      <c r="SA64" s="113"/>
      <c r="SB64" s="113"/>
      <c r="SC64" s="113"/>
      <c r="SD64" s="113"/>
      <c r="SE64" s="113"/>
      <c r="SF64" s="113"/>
      <c r="SG64" s="113"/>
      <c r="SH64" s="113"/>
      <c r="SI64" s="113"/>
      <c r="SJ64" s="113"/>
      <c r="SK64" s="113"/>
      <c r="SL64" s="113"/>
      <c r="SM64" s="113"/>
      <c r="SN64" s="113"/>
      <c r="SO64" s="113"/>
      <c r="SP64" s="113"/>
      <c r="SQ64" s="113"/>
      <c r="SR64" s="113"/>
      <c r="SS64" s="113"/>
      <c r="ST64" s="113"/>
      <c r="SU64" s="113"/>
      <c r="SV64" s="113"/>
      <c r="SW64" s="113"/>
      <c r="SX64" s="113"/>
      <c r="SY64" s="113"/>
      <c r="SZ64" s="113"/>
      <c r="TA64" s="113"/>
      <c r="TB64" s="113"/>
      <c r="TC64" s="113"/>
      <c r="TD64" s="113"/>
      <c r="TE64" s="113"/>
      <c r="TF64" s="113"/>
      <c r="TG64" s="113"/>
      <c r="TH64" s="113"/>
      <c r="TI64" s="113"/>
      <c r="TJ64" s="113"/>
      <c r="TK64" s="113"/>
      <c r="TL64" s="113"/>
      <c r="TM64" s="113"/>
      <c r="TN64" s="113"/>
      <c r="TO64" s="113"/>
      <c r="TP64" s="113"/>
      <c r="TQ64" s="113"/>
      <c r="TR64" s="113"/>
      <c r="TS64" s="113"/>
      <c r="TT64" s="113"/>
      <c r="TU64" s="113"/>
      <c r="TV64" s="113"/>
      <c r="TW64" s="113"/>
      <c r="TX64" s="113"/>
      <c r="TY64" s="113"/>
      <c r="TZ64" s="113"/>
      <c r="UA64" s="113"/>
      <c r="UB64" s="113"/>
      <c r="UC64" s="113"/>
      <c r="UD64" s="113"/>
      <c r="UE64" s="113"/>
      <c r="UF64" s="113"/>
      <c r="UG64" s="113"/>
      <c r="UH64" s="113"/>
      <c r="UI64" s="113"/>
      <c r="UJ64" s="113"/>
      <c r="UK64" s="113"/>
      <c r="UL64" s="113"/>
      <c r="UM64" s="113"/>
      <c r="UN64" s="113"/>
      <c r="UO64" s="113"/>
      <c r="UP64" s="113"/>
      <c r="UQ64" s="113"/>
      <c r="UR64" s="113"/>
      <c r="US64" s="113"/>
      <c r="UT64" s="113"/>
      <c r="UU64" s="113"/>
      <c r="UV64" s="113"/>
      <c r="UW64" s="113"/>
      <c r="UX64" s="113"/>
      <c r="UY64" s="113"/>
      <c r="UZ64" s="113"/>
      <c r="VA64" s="113"/>
      <c r="VB64" s="113"/>
      <c r="VC64" s="113"/>
      <c r="VD64" s="113"/>
      <c r="VE64" s="113"/>
      <c r="VF64" s="113"/>
      <c r="VG64" s="113"/>
      <c r="VH64" s="113"/>
      <c r="VI64" s="113"/>
      <c r="VJ64" s="113"/>
      <c r="VK64" s="113"/>
      <c r="VL64" s="113"/>
      <c r="VM64" s="113"/>
      <c r="VN64" s="113"/>
      <c r="VO64" s="113"/>
      <c r="VP64" s="113"/>
      <c r="VQ64" s="113"/>
      <c r="VR64" s="113"/>
      <c r="VS64" s="113"/>
      <c r="VT64" s="113"/>
      <c r="VU64" s="113"/>
      <c r="VV64" s="113"/>
      <c r="VW64" s="113"/>
      <c r="VX64" s="113"/>
      <c r="VY64" s="113"/>
      <c r="VZ64" s="113"/>
      <c r="WA64" s="113"/>
      <c r="WB64" s="113"/>
      <c r="WC64" s="113"/>
      <c r="WD64" s="113"/>
      <c r="WE64" s="113"/>
      <c r="WF64" s="113"/>
      <c r="WG64" s="113"/>
      <c r="WH64" s="113"/>
      <c r="WI64" s="113"/>
      <c r="WJ64" s="113"/>
      <c r="WK64" s="113"/>
      <c r="WL64" s="113"/>
      <c r="WM64" s="113"/>
      <c r="WN64" s="113"/>
      <c r="WO64" s="113"/>
      <c r="WP64" s="113"/>
      <c r="WQ64" s="113"/>
      <c r="WR64" s="113"/>
      <c r="WS64" s="113"/>
      <c r="WT64" s="113"/>
      <c r="WU64" s="113"/>
      <c r="WV64" s="113"/>
      <c r="WW64" s="113"/>
      <c r="WX64" s="113"/>
      <c r="WY64" s="113"/>
      <c r="WZ64" s="113"/>
      <c r="XA64" s="113"/>
      <c r="XB64" s="113"/>
      <c r="XC64" s="113"/>
      <c r="XD64" s="113"/>
      <c r="XE64" s="113"/>
      <c r="XF64" s="113"/>
      <c r="XG64" s="113"/>
      <c r="XH64" s="113"/>
      <c r="XI64" s="113"/>
      <c r="XJ64" s="113"/>
      <c r="XK64" s="113"/>
      <c r="XL64" s="113"/>
      <c r="XM64" s="113"/>
      <c r="XN64" s="113"/>
      <c r="XO64" s="113"/>
      <c r="XP64" s="113"/>
      <c r="XQ64" s="113"/>
      <c r="XR64" s="113"/>
      <c r="XS64" s="113"/>
      <c r="XT64" s="113"/>
      <c r="XU64" s="113"/>
      <c r="XV64" s="113"/>
      <c r="XW64" s="113"/>
      <c r="XX64" s="113"/>
      <c r="XY64" s="113"/>
      <c r="XZ64" s="113"/>
      <c r="YA64" s="113"/>
      <c r="YB64" s="113"/>
      <c r="YC64" s="113"/>
      <c r="YD64" s="113"/>
      <c r="YE64" s="113"/>
      <c r="YF64" s="113"/>
      <c r="YG64" s="113"/>
      <c r="YH64" s="113"/>
      <c r="YI64" s="113"/>
      <c r="YJ64" s="113"/>
      <c r="YK64" s="113"/>
      <c r="YL64" s="113"/>
      <c r="YM64" s="113"/>
      <c r="YN64" s="113"/>
      <c r="YO64" s="113"/>
      <c r="YP64" s="113"/>
      <c r="YQ64" s="113"/>
      <c r="YR64" s="113"/>
      <c r="YS64" s="113"/>
      <c r="YT64" s="113"/>
      <c r="YU64" s="113"/>
      <c r="YV64" s="113"/>
      <c r="YW64" s="113"/>
      <c r="YX64" s="113"/>
      <c r="YY64" s="113"/>
      <c r="YZ64" s="113"/>
      <c r="ZA64" s="113"/>
      <c r="ZB64" s="113"/>
      <c r="ZC64" s="113"/>
      <c r="ZD64" s="113"/>
      <c r="ZE64" s="113"/>
      <c r="ZF64" s="113"/>
      <c r="ZG64" s="113"/>
      <c r="ZH64" s="113"/>
      <c r="ZI64" s="113"/>
      <c r="ZJ64" s="113"/>
      <c r="ZK64" s="113"/>
      <c r="ZL64" s="113"/>
      <c r="ZM64" s="113"/>
      <c r="ZN64" s="113"/>
      <c r="ZO64" s="113"/>
      <c r="ZP64" s="113"/>
      <c r="ZQ64" s="113"/>
      <c r="ZR64" s="113"/>
      <c r="ZS64" s="113"/>
      <c r="ZT64" s="113"/>
      <c r="ZU64" s="113"/>
      <c r="ZV64" s="113"/>
      <c r="ZW64" s="113"/>
      <c r="ZX64" s="113"/>
      <c r="ZY64" s="113"/>
      <c r="ZZ64" s="113"/>
      <c r="AAA64" s="113"/>
      <c r="AAB64" s="113"/>
      <c r="AAC64" s="113"/>
      <c r="AAD64" s="113"/>
      <c r="AAE64" s="113"/>
      <c r="AAF64" s="113"/>
      <c r="AAG64" s="113"/>
      <c r="AAH64" s="113"/>
      <c r="AAI64" s="113"/>
      <c r="AAJ64" s="113"/>
      <c r="AAK64" s="113"/>
      <c r="AAL64" s="113"/>
      <c r="AAM64" s="113"/>
      <c r="AAN64" s="113"/>
      <c r="AAO64" s="113"/>
      <c r="AAP64" s="113"/>
      <c r="AAQ64" s="113"/>
      <c r="AAR64" s="113"/>
      <c r="AAS64" s="113"/>
      <c r="AAT64" s="113"/>
      <c r="AAU64" s="113"/>
      <c r="AAV64" s="113"/>
      <c r="AAW64" s="113"/>
      <c r="AAX64" s="113"/>
      <c r="AAY64" s="113"/>
      <c r="AAZ64" s="113"/>
      <c r="ABA64" s="113"/>
      <c r="ABB64" s="113"/>
      <c r="ABC64" s="113"/>
      <c r="ABD64" s="113"/>
      <c r="ABE64" s="113"/>
      <c r="ABF64" s="113"/>
      <c r="ABG64" s="113"/>
      <c r="ABH64" s="113"/>
      <c r="ABI64" s="113"/>
      <c r="ABJ64" s="113"/>
      <c r="ABK64" s="113"/>
      <c r="ABL64" s="113"/>
      <c r="ABM64" s="113"/>
      <c r="ABN64" s="113"/>
      <c r="ABO64" s="113"/>
      <c r="ABP64" s="113"/>
      <c r="ABQ64" s="113"/>
      <c r="ABR64" s="113"/>
      <c r="ABS64" s="113"/>
      <c r="ABT64" s="113"/>
      <c r="ABU64" s="113"/>
      <c r="ABV64" s="113"/>
      <c r="ABW64" s="113"/>
      <c r="ABX64" s="113"/>
      <c r="ABY64" s="113"/>
      <c r="ABZ64" s="113"/>
      <c r="ACA64" s="113"/>
      <c r="ACB64" s="113"/>
      <c r="ACC64" s="113"/>
      <c r="ACD64" s="113"/>
      <c r="ACE64" s="113"/>
      <c r="ACF64" s="113"/>
      <c r="ACG64" s="113"/>
      <c r="ACH64" s="113"/>
      <c r="ACI64" s="113"/>
      <c r="ACJ64" s="113"/>
      <c r="ACK64" s="113"/>
      <c r="ACL64" s="113"/>
      <c r="ACM64" s="113"/>
      <c r="ACN64" s="113"/>
      <c r="ACO64" s="113"/>
      <c r="ACP64" s="113"/>
      <c r="ACQ64" s="113"/>
      <c r="ACR64" s="113"/>
      <c r="ACS64" s="113"/>
      <c r="ACT64" s="113"/>
      <c r="ACU64" s="113"/>
      <c r="ACV64" s="113"/>
      <c r="ACW64" s="113"/>
      <c r="ACX64" s="113"/>
      <c r="ACY64" s="113"/>
      <c r="ACZ64" s="113"/>
      <c r="ADA64" s="113"/>
      <c r="ADB64" s="113"/>
      <c r="ADC64" s="113"/>
      <c r="ADD64" s="113"/>
      <c r="ADE64" s="113"/>
      <c r="ADF64" s="113"/>
      <c r="ADG64" s="113"/>
      <c r="ADH64" s="113"/>
      <c r="ADI64" s="113"/>
      <c r="ADJ64" s="113"/>
      <c r="ADK64" s="113"/>
      <c r="ADL64" s="113"/>
      <c r="ADM64" s="113"/>
      <c r="ADN64" s="113"/>
      <c r="ADO64" s="113"/>
      <c r="ADP64" s="113"/>
      <c r="ADQ64" s="113"/>
      <c r="ADR64" s="113"/>
      <c r="ADS64" s="113"/>
      <c r="ADT64" s="113"/>
      <c r="ADU64" s="113"/>
      <c r="ADV64" s="113"/>
      <c r="ADW64" s="113"/>
      <c r="ADX64" s="113"/>
      <c r="ADY64" s="113"/>
      <c r="ADZ64" s="113"/>
      <c r="AEA64" s="113"/>
      <c r="AEB64" s="113"/>
      <c r="AEC64" s="113"/>
      <c r="AED64" s="113"/>
      <c r="AEE64" s="113"/>
      <c r="AEF64" s="113"/>
      <c r="AEG64" s="113"/>
      <c r="AEH64" s="113"/>
      <c r="AEI64" s="113"/>
      <c r="AEJ64" s="113"/>
      <c r="AEK64" s="113"/>
      <c r="AEL64" s="113"/>
      <c r="AEM64" s="113"/>
      <c r="AEN64" s="113"/>
      <c r="AEO64" s="113"/>
      <c r="AEP64" s="113"/>
      <c r="AEQ64" s="113"/>
      <c r="AER64" s="113"/>
      <c r="AES64" s="113"/>
      <c r="AET64" s="113"/>
      <c r="AEU64" s="113"/>
      <c r="AEV64" s="113"/>
      <c r="AEW64" s="113"/>
      <c r="AEX64" s="113"/>
      <c r="AEY64" s="113"/>
      <c r="AEZ64" s="113"/>
      <c r="AFA64" s="113"/>
      <c r="AFB64" s="113"/>
      <c r="AFC64" s="113"/>
      <c r="AFD64" s="113"/>
      <c r="AFE64" s="113"/>
      <c r="AFF64" s="113"/>
      <c r="AFG64" s="113"/>
      <c r="AFH64" s="113"/>
      <c r="AFI64" s="113"/>
      <c r="AFJ64" s="113"/>
      <c r="AFK64" s="113"/>
      <c r="AFL64" s="113"/>
      <c r="AFM64" s="113"/>
      <c r="AFN64" s="113"/>
      <c r="AFO64" s="113"/>
      <c r="AFP64" s="113"/>
      <c r="AFQ64" s="113"/>
      <c r="AFR64" s="113"/>
      <c r="AFS64" s="113"/>
      <c r="AFT64" s="113"/>
      <c r="AFU64" s="113"/>
      <c r="AFV64" s="113"/>
      <c r="AFW64" s="113"/>
      <c r="AFX64" s="113"/>
      <c r="AFY64" s="113"/>
      <c r="AFZ64" s="113"/>
      <c r="AGA64" s="113"/>
      <c r="AGB64" s="113"/>
      <c r="AGC64" s="113"/>
      <c r="AGD64" s="113"/>
      <c r="AGE64" s="113"/>
      <c r="AGF64" s="113"/>
      <c r="AGG64" s="113"/>
      <c r="AGH64" s="113"/>
      <c r="AGI64" s="113"/>
      <c r="AGJ64" s="113"/>
      <c r="AGK64" s="113"/>
      <c r="AGL64" s="113"/>
      <c r="AGM64" s="113"/>
      <c r="AGN64" s="113"/>
      <c r="AGO64" s="113"/>
      <c r="AGP64" s="113"/>
      <c r="AGQ64" s="113"/>
      <c r="AGR64" s="113"/>
      <c r="AGS64" s="113"/>
      <c r="AGT64" s="113"/>
      <c r="AGU64" s="113"/>
      <c r="AGV64" s="113"/>
      <c r="AGW64" s="113"/>
      <c r="AGX64" s="113"/>
      <c r="AGY64" s="113"/>
      <c r="AGZ64" s="113"/>
      <c r="AHA64" s="113"/>
      <c r="AHB64" s="113"/>
      <c r="AHC64" s="113"/>
      <c r="AHD64" s="113"/>
      <c r="AHE64" s="113"/>
      <c r="AHF64" s="113"/>
      <c r="AHG64" s="113"/>
      <c r="AHH64" s="113"/>
      <c r="AHI64" s="113"/>
      <c r="AHJ64" s="113"/>
      <c r="AHK64" s="113"/>
      <c r="AHL64" s="113"/>
      <c r="AHM64" s="113"/>
      <c r="AHN64" s="113"/>
      <c r="AHO64" s="113"/>
      <c r="AHP64" s="113"/>
      <c r="AHQ64" s="113"/>
      <c r="AHR64" s="113"/>
      <c r="AHS64" s="113"/>
      <c r="AHT64" s="113"/>
      <c r="AHU64" s="113"/>
      <c r="AHV64" s="113"/>
      <c r="AHW64" s="113"/>
      <c r="AHX64" s="113"/>
      <c r="AHY64" s="113"/>
      <c r="AHZ64" s="113"/>
      <c r="AIA64" s="113"/>
      <c r="AIB64" s="113"/>
      <c r="AIC64" s="113"/>
      <c r="AID64" s="113"/>
      <c r="AIE64" s="113"/>
      <c r="AIF64" s="113"/>
      <c r="AIG64" s="113"/>
      <c r="AIH64" s="113"/>
      <c r="AII64" s="113"/>
      <c r="AIJ64" s="113"/>
      <c r="AIK64" s="113"/>
      <c r="AIL64" s="113"/>
      <c r="AIM64" s="113"/>
      <c r="AIN64" s="113"/>
      <c r="AIO64" s="113"/>
      <c r="AIP64" s="113"/>
      <c r="AIQ64" s="113"/>
      <c r="AIR64" s="113"/>
      <c r="AIS64" s="113"/>
      <c r="AIT64" s="113"/>
      <c r="AIU64" s="113"/>
      <c r="AIV64" s="113"/>
      <c r="AIW64" s="113"/>
      <c r="AIX64" s="113"/>
      <c r="AIY64" s="113"/>
      <c r="AIZ64" s="113"/>
      <c r="AJA64" s="113"/>
      <c r="AJB64" s="113"/>
      <c r="AJC64" s="113"/>
      <c r="AJD64" s="113"/>
      <c r="AJE64" s="113"/>
      <c r="AJF64" s="113"/>
      <c r="AJG64" s="113"/>
      <c r="AJH64" s="113"/>
      <c r="AJI64" s="113"/>
      <c r="AJJ64" s="113"/>
      <c r="AJK64" s="113"/>
      <c r="AJL64" s="113"/>
      <c r="AJM64" s="113"/>
      <c r="AJN64" s="113"/>
      <c r="AJO64" s="113"/>
      <c r="AJP64" s="113"/>
      <c r="AJQ64" s="113"/>
      <c r="AJR64" s="113"/>
      <c r="AJS64" s="113"/>
      <c r="AJT64" s="113"/>
      <c r="AJU64" s="113"/>
      <c r="AJV64" s="113"/>
      <c r="AJW64" s="113"/>
      <c r="AJX64" s="113"/>
      <c r="AJY64" s="113"/>
      <c r="AJZ64" s="113"/>
      <c r="AKA64" s="113"/>
      <c r="AKB64" s="113"/>
      <c r="AKC64" s="113"/>
      <c r="AKD64" s="113"/>
      <c r="AKE64" s="113"/>
      <c r="AKF64" s="113"/>
      <c r="AKG64" s="113"/>
      <c r="AKH64" s="113"/>
      <c r="AKI64" s="113"/>
      <c r="AKJ64" s="113"/>
      <c r="AKK64" s="113"/>
      <c r="AKL64" s="113"/>
      <c r="AKM64" s="113"/>
      <c r="AKN64" s="113"/>
      <c r="AKO64" s="113"/>
      <c r="AKP64" s="113"/>
      <c r="AKQ64" s="113"/>
      <c r="AKR64" s="113"/>
      <c r="AKS64" s="113"/>
      <c r="AKT64" s="113"/>
      <c r="AKU64" s="113"/>
      <c r="AKV64" s="113"/>
      <c r="AKW64" s="113"/>
      <c r="AKX64" s="113"/>
      <c r="AKY64" s="113"/>
      <c r="AKZ64" s="113"/>
      <c r="ALA64" s="113"/>
      <c r="ALB64" s="113"/>
      <c r="ALC64" s="113"/>
      <c r="ALD64" s="113"/>
      <c r="ALE64" s="113"/>
      <c r="ALF64" s="113"/>
      <c r="ALG64" s="113"/>
      <c r="ALH64" s="113"/>
      <c r="ALI64" s="113"/>
      <c r="ALJ64" s="113"/>
      <c r="ALK64" s="113"/>
      <c r="ALL64" s="113"/>
      <c r="ALM64" s="113"/>
      <c r="ALN64" s="113"/>
      <c r="ALO64" s="113"/>
      <c r="ALP64" s="113"/>
      <c r="ALQ64" s="113"/>
      <c r="ALR64" s="113"/>
      <c r="ALS64" s="113"/>
      <c r="ALT64" s="113"/>
      <c r="ALU64" s="113"/>
      <c r="ALV64" s="113"/>
      <c r="ALW64" s="113"/>
      <c r="ALX64" s="113"/>
      <c r="ALY64" s="113"/>
      <c r="ALZ64" s="113"/>
    </row>
    <row r="65" spans="1:1014" s="1" customFormat="1" ht="78">
      <c r="A65" s="170">
        <v>3</v>
      </c>
      <c r="B65" s="161" t="s">
        <v>401</v>
      </c>
      <c r="C65" s="171" t="s">
        <v>402</v>
      </c>
      <c r="D65" s="171" t="s">
        <v>403</v>
      </c>
      <c r="E65" s="172">
        <v>39790445</v>
      </c>
      <c r="F65" s="173" t="s">
        <v>322</v>
      </c>
      <c r="G65" s="173" t="s">
        <v>404</v>
      </c>
      <c r="H65" s="173" t="s">
        <v>405</v>
      </c>
      <c r="I65" s="171" t="s">
        <v>409</v>
      </c>
      <c r="J65" s="174">
        <v>42954</v>
      </c>
      <c r="K65" s="178" t="s">
        <v>3</v>
      </c>
      <c r="L65" s="178" t="s">
        <v>3</v>
      </c>
      <c r="M65" s="176">
        <v>5</v>
      </c>
      <c r="N65" s="176" t="s">
        <v>3</v>
      </c>
      <c r="O65" s="178" t="s">
        <v>3</v>
      </c>
      <c r="P65" s="178" t="s">
        <v>3</v>
      </c>
      <c r="Q65" s="178" t="s">
        <v>3</v>
      </c>
      <c r="R65" s="178" t="s">
        <v>3</v>
      </c>
      <c r="S65" s="176">
        <v>5</v>
      </c>
      <c r="T65" s="176" t="s">
        <v>3</v>
      </c>
      <c r="U65" s="176" t="s">
        <v>3</v>
      </c>
      <c r="V65" s="176">
        <v>1.25</v>
      </c>
      <c r="W65" s="176" t="s">
        <v>3</v>
      </c>
      <c r="X65" s="172" t="s">
        <v>3</v>
      </c>
      <c r="Y65" s="179"/>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c r="IK65" s="113"/>
      <c r="IL65" s="113"/>
      <c r="IM65" s="113"/>
      <c r="IN65" s="113"/>
      <c r="IO65" s="113"/>
      <c r="IP65" s="113"/>
      <c r="IQ65" s="113"/>
      <c r="IR65" s="113"/>
      <c r="IS65" s="113"/>
      <c r="IT65" s="113"/>
      <c r="IU65" s="113"/>
      <c r="IV65" s="113"/>
      <c r="IW65" s="113"/>
      <c r="IX65" s="113"/>
      <c r="IY65" s="113"/>
      <c r="IZ65" s="113"/>
      <c r="JA65" s="113"/>
      <c r="JB65" s="113"/>
      <c r="JC65" s="113"/>
      <c r="JD65" s="113"/>
      <c r="JE65" s="113"/>
      <c r="JF65" s="113"/>
      <c r="JG65" s="113"/>
      <c r="JH65" s="113"/>
      <c r="JI65" s="113"/>
      <c r="JJ65" s="113"/>
      <c r="JK65" s="113"/>
      <c r="JL65" s="113"/>
      <c r="JM65" s="113"/>
      <c r="JN65" s="113"/>
      <c r="JO65" s="113"/>
      <c r="JP65" s="113"/>
      <c r="JQ65" s="113"/>
      <c r="JR65" s="113"/>
      <c r="JS65" s="113"/>
      <c r="JT65" s="113"/>
      <c r="JU65" s="113"/>
      <c r="JV65" s="113"/>
      <c r="JW65" s="113"/>
      <c r="JX65" s="113"/>
      <c r="JY65" s="113"/>
      <c r="JZ65" s="113"/>
      <c r="KA65" s="113"/>
      <c r="KB65" s="113"/>
      <c r="KC65" s="113"/>
      <c r="KD65" s="113"/>
      <c r="KE65" s="113"/>
      <c r="KF65" s="113"/>
      <c r="KG65" s="113"/>
      <c r="KH65" s="113"/>
      <c r="KI65" s="113"/>
      <c r="KJ65" s="113"/>
      <c r="KK65" s="113"/>
      <c r="KL65" s="113"/>
      <c r="KM65" s="113"/>
      <c r="KN65" s="113"/>
      <c r="KO65" s="113"/>
      <c r="KP65" s="113"/>
      <c r="KQ65" s="113"/>
      <c r="KR65" s="113"/>
      <c r="KS65" s="113"/>
      <c r="KT65" s="113"/>
      <c r="KU65" s="113"/>
      <c r="KV65" s="113"/>
      <c r="KW65" s="113"/>
      <c r="KX65" s="113"/>
      <c r="KY65" s="113"/>
      <c r="KZ65" s="113"/>
      <c r="LA65" s="113"/>
      <c r="LB65" s="113"/>
      <c r="LC65" s="113"/>
      <c r="LD65" s="113"/>
      <c r="LE65" s="113"/>
      <c r="LF65" s="113"/>
      <c r="LG65" s="113"/>
      <c r="LH65" s="113"/>
      <c r="LI65" s="113"/>
      <c r="LJ65" s="113"/>
      <c r="LK65" s="113"/>
      <c r="LL65" s="113"/>
      <c r="LM65" s="113"/>
      <c r="LN65" s="113"/>
      <c r="LO65" s="113"/>
      <c r="LP65" s="113"/>
      <c r="LQ65" s="113"/>
      <c r="LR65" s="113"/>
      <c r="LS65" s="113"/>
      <c r="LT65" s="113"/>
      <c r="LU65" s="113"/>
      <c r="LV65" s="113"/>
      <c r="LW65" s="113"/>
      <c r="LX65" s="113"/>
      <c r="LY65" s="113"/>
      <c r="LZ65" s="113"/>
      <c r="MA65" s="113"/>
      <c r="MB65" s="113"/>
      <c r="MC65" s="113"/>
      <c r="MD65" s="113"/>
      <c r="ME65" s="113"/>
      <c r="MF65" s="113"/>
      <c r="MG65" s="113"/>
      <c r="MH65" s="113"/>
      <c r="MI65" s="113"/>
      <c r="MJ65" s="113"/>
      <c r="MK65" s="113"/>
      <c r="ML65" s="113"/>
      <c r="MM65" s="113"/>
      <c r="MN65" s="113"/>
      <c r="MO65" s="113"/>
      <c r="MP65" s="113"/>
      <c r="MQ65" s="113"/>
      <c r="MR65" s="113"/>
      <c r="MS65" s="113"/>
      <c r="MT65" s="113"/>
      <c r="MU65" s="113"/>
      <c r="MV65" s="113"/>
      <c r="MW65" s="113"/>
      <c r="MX65" s="113"/>
      <c r="MY65" s="113"/>
      <c r="MZ65" s="113"/>
      <c r="NA65" s="113"/>
      <c r="NB65" s="113"/>
      <c r="NC65" s="113"/>
      <c r="ND65" s="113"/>
      <c r="NE65" s="113"/>
      <c r="NF65" s="113"/>
      <c r="NG65" s="113"/>
      <c r="NH65" s="113"/>
      <c r="NI65" s="113"/>
      <c r="NJ65" s="113"/>
      <c r="NK65" s="113"/>
      <c r="NL65" s="113"/>
      <c r="NM65" s="113"/>
      <c r="NN65" s="113"/>
      <c r="NO65" s="113"/>
      <c r="NP65" s="113"/>
      <c r="NQ65" s="113"/>
      <c r="NR65" s="113"/>
      <c r="NS65" s="113"/>
      <c r="NT65" s="113"/>
      <c r="NU65" s="113"/>
      <c r="NV65" s="113"/>
      <c r="NW65" s="113"/>
      <c r="NX65" s="113"/>
      <c r="NY65" s="113"/>
      <c r="NZ65" s="113"/>
      <c r="OA65" s="113"/>
      <c r="OB65" s="113"/>
      <c r="OC65" s="113"/>
      <c r="OD65" s="113"/>
      <c r="OE65" s="113"/>
      <c r="OF65" s="113"/>
      <c r="OG65" s="113"/>
      <c r="OH65" s="113"/>
      <c r="OI65" s="113"/>
      <c r="OJ65" s="113"/>
      <c r="OK65" s="113"/>
      <c r="OL65" s="113"/>
      <c r="OM65" s="113"/>
      <c r="ON65" s="113"/>
      <c r="OO65" s="113"/>
      <c r="OP65" s="113"/>
      <c r="OQ65" s="113"/>
      <c r="OR65" s="113"/>
      <c r="OS65" s="113"/>
      <c r="OT65" s="113"/>
      <c r="OU65" s="113"/>
      <c r="OV65" s="113"/>
      <c r="OW65" s="113"/>
      <c r="OX65" s="113"/>
      <c r="OY65" s="113"/>
      <c r="OZ65" s="113"/>
      <c r="PA65" s="113"/>
      <c r="PB65" s="113"/>
      <c r="PC65" s="113"/>
      <c r="PD65" s="113"/>
      <c r="PE65" s="113"/>
      <c r="PF65" s="113"/>
      <c r="PG65" s="113"/>
      <c r="PH65" s="113"/>
      <c r="PI65" s="113"/>
      <c r="PJ65" s="113"/>
      <c r="PK65" s="113"/>
      <c r="PL65" s="113"/>
      <c r="PM65" s="113"/>
      <c r="PN65" s="113"/>
      <c r="PO65" s="113"/>
      <c r="PP65" s="113"/>
      <c r="PQ65" s="113"/>
      <c r="PR65" s="113"/>
      <c r="PS65" s="113"/>
      <c r="PT65" s="113"/>
      <c r="PU65" s="113"/>
      <c r="PV65" s="113"/>
      <c r="PW65" s="113"/>
      <c r="PX65" s="113"/>
      <c r="PY65" s="113"/>
      <c r="PZ65" s="113"/>
      <c r="QA65" s="113"/>
      <c r="QB65" s="113"/>
      <c r="QC65" s="113"/>
      <c r="QD65" s="113"/>
      <c r="QE65" s="113"/>
      <c r="QF65" s="113"/>
      <c r="QG65" s="113"/>
      <c r="QH65" s="113"/>
      <c r="QI65" s="113"/>
      <c r="QJ65" s="113"/>
      <c r="QK65" s="113"/>
      <c r="QL65" s="113"/>
      <c r="QM65" s="113"/>
      <c r="QN65" s="113"/>
      <c r="QO65" s="113"/>
      <c r="QP65" s="113"/>
      <c r="QQ65" s="113"/>
      <c r="QR65" s="113"/>
      <c r="QS65" s="113"/>
      <c r="QT65" s="113"/>
      <c r="QU65" s="113"/>
      <c r="QV65" s="113"/>
      <c r="QW65" s="113"/>
      <c r="QX65" s="113"/>
      <c r="QY65" s="113"/>
      <c r="QZ65" s="113"/>
      <c r="RA65" s="113"/>
      <c r="RB65" s="113"/>
      <c r="RC65" s="113"/>
      <c r="RD65" s="113"/>
      <c r="RE65" s="113"/>
      <c r="RF65" s="113"/>
      <c r="RG65" s="113"/>
      <c r="RH65" s="113"/>
      <c r="RI65" s="113"/>
      <c r="RJ65" s="113"/>
      <c r="RK65" s="113"/>
      <c r="RL65" s="113"/>
      <c r="RM65" s="113"/>
      <c r="RN65" s="113"/>
      <c r="RO65" s="113"/>
      <c r="RP65" s="113"/>
      <c r="RQ65" s="113"/>
      <c r="RR65" s="113"/>
      <c r="RS65" s="113"/>
      <c r="RT65" s="113"/>
      <c r="RU65" s="113"/>
      <c r="RV65" s="113"/>
      <c r="RW65" s="113"/>
      <c r="RX65" s="113"/>
      <c r="RY65" s="113"/>
      <c r="RZ65" s="113"/>
      <c r="SA65" s="113"/>
      <c r="SB65" s="113"/>
      <c r="SC65" s="113"/>
      <c r="SD65" s="113"/>
      <c r="SE65" s="113"/>
      <c r="SF65" s="113"/>
      <c r="SG65" s="113"/>
      <c r="SH65" s="113"/>
      <c r="SI65" s="113"/>
      <c r="SJ65" s="113"/>
      <c r="SK65" s="113"/>
      <c r="SL65" s="113"/>
      <c r="SM65" s="113"/>
      <c r="SN65" s="113"/>
      <c r="SO65" s="113"/>
      <c r="SP65" s="113"/>
      <c r="SQ65" s="113"/>
      <c r="SR65" s="113"/>
      <c r="SS65" s="113"/>
      <c r="ST65" s="113"/>
      <c r="SU65" s="113"/>
      <c r="SV65" s="113"/>
      <c r="SW65" s="113"/>
      <c r="SX65" s="113"/>
      <c r="SY65" s="113"/>
      <c r="SZ65" s="113"/>
      <c r="TA65" s="113"/>
      <c r="TB65" s="113"/>
      <c r="TC65" s="113"/>
      <c r="TD65" s="113"/>
      <c r="TE65" s="113"/>
      <c r="TF65" s="113"/>
      <c r="TG65" s="113"/>
      <c r="TH65" s="113"/>
      <c r="TI65" s="113"/>
      <c r="TJ65" s="113"/>
      <c r="TK65" s="113"/>
      <c r="TL65" s="113"/>
      <c r="TM65" s="113"/>
      <c r="TN65" s="113"/>
      <c r="TO65" s="113"/>
      <c r="TP65" s="113"/>
      <c r="TQ65" s="113"/>
      <c r="TR65" s="113"/>
      <c r="TS65" s="113"/>
      <c r="TT65" s="113"/>
      <c r="TU65" s="113"/>
      <c r="TV65" s="113"/>
      <c r="TW65" s="113"/>
      <c r="TX65" s="113"/>
      <c r="TY65" s="113"/>
      <c r="TZ65" s="113"/>
      <c r="UA65" s="113"/>
      <c r="UB65" s="113"/>
      <c r="UC65" s="113"/>
      <c r="UD65" s="113"/>
      <c r="UE65" s="113"/>
      <c r="UF65" s="113"/>
      <c r="UG65" s="113"/>
      <c r="UH65" s="113"/>
      <c r="UI65" s="113"/>
      <c r="UJ65" s="113"/>
      <c r="UK65" s="113"/>
      <c r="UL65" s="113"/>
      <c r="UM65" s="113"/>
      <c r="UN65" s="113"/>
      <c r="UO65" s="113"/>
      <c r="UP65" s="113"/>
      <c r="UQ65" s="113"/>
      <c r="UR65" s="113"/>
      <c r="US65" s="113"/>
      <c r="UT65" s="113"/>
      <c r="UU65" s="113"/>
      <c r="UV65" s="113"/>
      <c r="UW65" s="113"/>
      <c r="UX65" s="113"/>
      <c r="UY65" s="113"/>
      <c r="UZ65" s="113"/>
      <c r="VA65" s="113"/>
      <c r="VB65" s="113"/>
      <c r="VC65" s="113"/>
      <c r="VD65" s="113"/>
      <c r="VE65" s="113"/>
      <c r="VF65" s="113"/>
      <c r="VG65" s="113"/>
      <c r="VH65" s="113"/>
      <c r="VI65" s="113"/>
      <c r="VJ65" s="113"/>
      <c r="VK65" s="113"/>
      <c r="VL65" s="113"/>
      <c r="VM65" s="113"/>
      <c r="VN65" s="113"/>
      <c r="VO65" s="113"/>
      <c r="VP65" s="113"/>
      <c r="VQ65" s="113"/>
      <c r="VR65" s="113"/>
      <c r="VS65" s="113"/>
      <c r="VT65" s="113"/>
      <c r="VU65" s="113"/>
      <c r="VV65" s="113"/>
      <c r="VW65" s="113"/>
      <c r="VX65" s="113"/>
      <c r="VY65" s="113"/>
      <c r="VZ65" s="113"/>
      <c r="WA65" s="113"/>
      <c r="WB65" s="113"/>
      <c r="WC65" s="113"/>
      <c r="WD65" s="113"/>
      <c r="WE65" s="113"/>
      <c r="WF65" s="113"/>
      <c r="WG65" s="113"/>
      <c r="WH65" s="113"/>
      <c r="WI65" s="113"/>
      <c r="WJ65" s="113"/>
      <c r="WK65" s="113"/>
      <c r="WL65" s="113"/>
      <c r="WM65" s="113"/>
      <c r="WN65" s="113"/>
      <c r="WO65" s="113"/>
      <c r="WP65" s="113"/>
      <c r="WQ65" s="113"/>
      <c r="WR65" s="113"/>
      <c r="WS65" s="113"/>
      <c r="WT65" s="113"/>
      <c r="WU65" s="113"/>
      <c r="WV65" s="113"/>
      <c r="WW65" s="113"/>
      <c r="WX65" s="113"/>
      <c r="WY65" s="113"/>
      <c r="WZ65" s="113"/>
      <c r="XA65" s="113"/>
      <c r="XB65" s="113"/>
      <c r="XC65" s="113"/>
      <c r="XD65" s="113"/>
      <c r="XE65" s="113"/>
      <c r="XF65" s="113"/>
      <c r="XG65" s="113"/>
      <c r="XH65" s="113"/>
      <c r="XI65" s="113"/>
      <c r="XJ65" s="113"/>
      <c r="XK65" s="113"/>
      <c r="XL65" s="113"/>
      <c r="XM65" s="113"/>
      <c r="XN65" s="113"/>
      <c r="XO65" s="113"/>
      <c r="XP65" s="113"/>
      <c r="XQ65" s="113"/>
      <c r="XR65" s="113"/>
      <c r="XS65" s="113"/>
      <c r="XT65" s="113"/>
      <c r="XU65" s="113"/>
      <c r="XV65" s="113"/>
      <c r="XW65" s="113"/>
      <c r="XX65" s="113"/>
      <c r="XY65" s="113"/>
      <c r="XZ65" s="113"/>
      <c r="YA65" s="113"/>
      <c r="YB65" s="113"/>
      <c r="YC65" s="113"/>
      <c r="YD65" s="113"/>
      <c r="YE65" s="113"/>
      <c r="YF65" s="113"/>
      <c r="YG65" s="113"/>
      <c r="YH65" s="113"/>
      <c r="YI65" s="113"/>
      <c r="YJ65" s="113"/>
      <c r="YK65" s="113"/>
      <c r="YL65" s="113"/>
      <c r="YM65" s="113"/>
      <c r="YN65" s="113"/>
      <c r="YO65" s="113"/>
      <c r="YP65" s="113"/>
      <c r="YQ65" s="113"/>
      <c r="YR65" s="113"/>
      <c r="YS65" s="113"/>
      <c r="YT65" s="113"/>
      <c r="YU65" s="113"/>
      <c r="YV65" s="113"/>
      <c r="YW65" s="113"/>
      <c r="YX65" s="113"/>
      <c r="YY65" s="113"/>
      <c r="YZ65" s="113"/>
      <c r="ZA65" s="113"/>
      <c r="ZB65" s="113"/>
      <c r="ZC65" s="113"/>
      <c r="ZD65" s="113"/>
      <c r="ZE65" s="113"/>
      <c r="ZF65" s="113"/>
      <c r="ZG65" s="113"/>
      <c r="ZH65" s="113"/>
      <c r="ZI65" s="113"/>
      <c r="ZJ65" s="113"/>
      <c r="ZK65" s="113"/>
      <c r="ZL65" s="113"/>
      <c r="ZM65" s="113"/>
      <c r="ZN65" s="113"/>
      <c r="ZO65" s="113"/>
      <c r="ZP65" s="113"/>
      <c r="ZQ65" s="113"/>
      <c r="ZR65" s="113"/>
      <c r="ZS65" s="113"/>
      <c r="ZT65" s="113"/>
      <c r="ZU65" s="113"/>
      <c r="ZV65" s="113"/>
      <c r="ZW65" s="113"/>
      <c r="ZX65" s="113"/>
      <c r="ZY65" s="113"/>
      <c r="ZZ65" s="113"/>
      <c r="AAA65" s="113"/>
      <c r="AAB65" s="113"/>
      <c r="AAC65" s="113"/>
      <c r="AAD65" s="113"/>
      <c r="AAE65" s="113"/>
      <c r="AAF65" s="113"/>
      <c r="AAG65" s="113"/>
      <c r="AAH65" s="113"/>
      <c r="AAI65" s="113"/>
      <c r="AAJ65" s="113"/>
      <c r="AAK65" s="113"/>
      <c r="AAL65" s="113"/>
      <c r="AAM65" s="113"/>
      <c r="AAN65" s="113"/>
      <c r="AAO65" s="113"/>
      <c r="AAP65" s="113"/>
      <c r="AAQ65" s="113"/>
      <c r="AAR65" s="113"/>
      <c r="AAS65" s="113"/>
      <c r="AAT65" s="113"/>
      <c r="AAU65" s="113"/>
      <c r="AAV65" s="113"/>
      <c r="AAW65" s="113"/>
      <c r="AAX65" s="113"/>
      <c r="AAY65" s="113"/>
      <c r="AAZ65" s="113"/>
      <c r="ABA65" s="113"/>
      <c r="ABB65" s="113"/>
      <c r="ABC65" s="113"/>
      <c r="ABD65" s="113"/>
      <c r="ABE65" s="113"/>
      <c r="ABF65" s="113"/>
      <c r="ABG65" s="113"/>
      <c r="ABH65" s="113"/>
      <c r="ABI65" s="113"/>
      <c r="ABJ65" s="113"/>
      <c r="ABK65" s="113"/>
      <c r="ABL65" s="113"/>
      <c r="ABM65" s="113"/>
      <c r="ABN65" s="113"/>
      <c r="ABO65" s="113"/>
      <c r="ABP65" s="113"/>
      <c r="ABQ65" s="113"/>
      <c r="ABR65" s="113"/>
      <c r="ABS65" s="113"/>
      <c r="ABT65" s="113"/>
      <c r="ABU65" s="113"/>
      <c r="ABV65" s="113"/>
      <c r="ABW65" s="113"/>
      <c r="ABX65" s="113"/>
      <c r="ABY65" s="113"/>
      <c r="ABZ65" s="113"/>
      <c r="ACA65" s="113"/>
      <c r="ACB65" s="113"/>
      <c r="ACC65" s="113"/>
      <c r="ACD65" s="113"/>
      <c r="ACE65" s="113"/>
      <c r="ACF65" s="113"/>
      <c r="ACG65" s="113"/>
      <c r="ACH65" s="113"/>
      <c r="ACI65" s="113"/>
      <c r="ACJ65" s="113"/>
      <c r="ACK65" s="113"/>
      <c r="ACL65" s="113"/>
      <c r="ACM65" s="113"/>
      <c r="ACN65" s="113"/>
      <c r="ACO65" s="113"/>
      <c r="ACP65" s="113"/>
      <c r="ACQ65" s="113"/>
      <c r="ACR65" s="113"/>
      <c r="ACS65" s="113"/>
      <c r="ACT65" s="113"/>
      <c r="ACU65" s="113"/>
      <c r="ACV65" s="113"/>
      <c r="ACW65" s="113"/>
      <c r="ACX65" s="113"/>
      <c r="ACY65" s="113"/>
      <c r="ACZ65" s="113"/>
      <c r="ADA65" s="113"/>
      <c r="ADB65" s="113"/>
      <c r="ADC65" s="113"/>
      <c r="ADD65" s="113"/>
      <c r="ADE65" s="113"/>
      <c r="ADF65" s="113"/>
      <c r="ADG65" s="113"/>
      <c r="ADH65" s="113"/>
      <c r="ADI65" s="113"/>
      <c r="ADJ65" s="113"/>
      <c r="ADK65" s="113"/>
      <c r="ADL65" s="113"/>
      <c r="ADM65" s="113"/>
      <c r="ADN65" s="113"/>
      <c r="ADO65" s="113"/>
      <c r="ADP65" s="113"/>
      <c r="ADQ65" s="113"/>
      <c r="ADR65" s="113"/>
      <c r="ADS65" s="113"/>
      <c r="ADT65" s="113"/>
      <c r="ADU65" s="113"/>
      <c r="ADV65" s="113"/>
      <c r="ADW65" s="113"/>
      <c r="ADX65" s="113"/>
      <c r="ADY65" s="113"/>
      <c r="ADZ65" s="113"/>
      <c r="AEA65" s="113"/>
      <c r="AEB65" s="113"/>
      <c r="AEC65" s="113"/>
      <c r="AED65" s="113"/>
      <c r="AEE65" s="113"/>
      <c r="AEF65" s="113"/>
      <c r="AEG65" s="113"/>
      <c r="AEH65" s="113"/>
      <c r="AEI65" s="113"/>
      <c r="AEJ65" s="113"/>
      <c r="AEK65" s="113"/>
      <c r="AEL65" s="113"/>
      <c r="AEM65" s="113"/>
      <c r="AEN65" s="113"/>
      <c r="AEO65" s="113"/>
      <c r="AEP65" s="113"/>
      <c r="AEQ65" s="113"/>
      <c r="AER65" s="113"/>
      <c r="AES65" s="113"/>
      <c r="AET65" s="113"/>
      <c r="AEU65" s="113"/>
      <c r="AEV65" s="113"/>
      <c r="AEW65" s="113"/>
      <c r="AEX65" s="113"/>
      <c r="AEY65" s="113"/>
      <c r="AEZ65" s="113"/>
      <c r="AFA65" s="113"/>
      <c r="AFB65" s="113"/>
      <c r="AFC65" s="113"/>
      <c r="AFD65" s="113"/>
      <c r="AFE65" s="113"/>
      <c r="AFF65" s="113"/>
      <c r="AFG65" s="113"/>
      <c r="AFH65" s="113"/>
      <c r="AFI65" s="113"/>
      <c r="AFJ65" s="113"/>
      <c r="AFK65" s="113"/>
      <c r="AFL65" s="113"/>
      <c r="AFM65" s="113"/>
      <c r="AFN65" s="113"/>
      <c r="AFO65" s="113"/>
      <c r="AFP65" s="113"/>
      <c r="AFQ65" s="113"/>
      <c r="AFR65" s="113"/>
      <c r="AFS65" s="113"/>
      <c r="AFT65" s="113"/>
      <c r="AFU65" s="113"/>
      <c r="AFV65" s="113"/>
      <c r="AFW65" s="113"/>
      <c r="AFX65" s="113"/>
      <c r="AFY65" s="113"/>
      <c r="AFZ65" s="113"/>
      <c r="AGA65" s="113"/>
      <c r="AGB65" s="113"/>
      <c r="AGC65" s="113"/>
      <c r="AGD65" s="113"/>
      <c r="AGE65" s="113"/>
      <c r="AGF65" s="113"/>
      <c r="AGG65" s="113"/>
      <c r="AGH65" s="113"/>
      <c r="AGI65" s="113"/>
      <c r="AGJ65" s="113"/>
      <c r="AGK65" s="113"/>
      <c r="AGL65" s="113"/>
      <c r="AGM65" s="113"/>
      <c r="AGN65" s="113"/>
      <c r="AGO65" s="113"/>
      <c r="AGP65" s="113"/>
      <c r="AGQ65" s="113"/>
      <c r="AGR65" s="113"/>
      <c r="AGS65" s="113"/>
      <c r="AGT65" s="113"/>
      <c r="AGU65" s="113"/>
      <c r="AGV65" s="113"/>
      <c r="AGW65" s="113"/>
      <c r="AGX65" s="113"/>
      <c r="AGY65" s="113"/>
      <c r="AGZ65" s="113"/>
      <c r="AHA65" s="113"/>
      <c r="AHB65" s="113"/>
      <c r="AHC65" s="113"/>
      <c r="AHD65" s="113"/>
      <c r="AHE65" s="113"/>
      <c r="AHF65" s="113"/>
      <c r="AHG65" s="113"/>
      <c r="AHH65" s="113"/>
      <c r="AHI65" s="113"/>
      <c r="AHJ65" s="113"/>
      <c r="AHK65" s="113"/>
      <c r="AHL65" s="113"/>
      <c r="AHM65" s="113"/>
      <c r="AHN65" s="113"/>
      <c r="AHO65" s="113"/>
      <c r="AHP65" s="113"/>
      <c r="AHQ65" s="113"/>
      <c r="AHR65" s="113"/>
      <c r="AHS65" s="113"/>
      <c r="AHT65" s="113"/>
      <c r="AHU65" s="113"/>
      <c r="AHV65" s="113"/>
      <c r="AHW65" s="113"/>
      <c r="AHX65" s="113"/>
      <c r="AHY65" s="113"/>
      <c r="AHZ65" s="113"/>
      <c r="AIA65" s="113"/>
      <c r="AIB65" s="113"/>
      <c r="AIC65" s="113"/>
      <c r="AID65" s="113"/>
      <c r="AIE65" s="113"/>
      <c r="AIF65" s="113"/>
      <c r="AIG65" s="113"/>
      <c r="AIH65" s="113"/>
      <c r="AII65" s="113"/>
      <c r="AIJ65" s="113"/>
      <c r="AIK65" s="113"/>
      <c r="AIL65" s="113"/>
      <c r="AIM65" s="113"/>
      <c r="AIN65" s="113"/>
      <c r="AIO65" s="113"/>
      <c r="AIP65" s="113"/>
      <c r="AIQ65" s="113"/>
      <c r="AIR65" s="113"/>
      <c r="AIS65" s="113"/>
      <c r="AIT65" s="113"/>
      <c r="AIU65" s="113"/>
      <c r="AIV65" s="113"/>
      <c r="AIW65" s="113"/>
      <c r="AIX65" s="113"/>
      <c r="AIY65" s="113"/>
      <c r="AIZ65" s="113"/>
      <c r="AJA65" s="113"/>
      <c r="AJB65" s="113"/>
      <c r="AJC65" s="113"/>
      <c r="AJD65" s="113"/>
      <c r="AJE65" s="113"/>
      <c r="AJF65" s="113"/>
      <c r="AJG65" s="113"/>
      <c r="AJH65" s="113"/>
      <c r="AJI65" s="113"/>
      <c r="AJJ65" s="113"/>
      <c r="AJK65" s="113"/>
      <c r="AJL65" s="113"/>
      <c r="AJM65" s="113"/>
      <c r="AJN65" s="113"/>
      <c r="AJO65" s="113"/>
      <c r="AJP65" s="113"/>
      <c r="AJQ65" s="113"/>
      <c r="AJR65" s="113"/>
      <c r="AJS65" s="113"/>
      <c r="AJT65" s="113"/>
      <c r="AJU65" s="113"/>
      <c r="AJV65" s="113"/>
      <c r="AJW65" s="113"/>
      <c r="AJX65" s="113"/>
      <c r="AJY65" s="113"/>
      <c r="AJZ65" s="113"/>
      <c r="AKA65" s="113"/>
      <c r="AKB65" s="113"/>
      <c r="AKC65" s="113"/>
      <c r="AKD65" s="113"/>
      <c r="AKE65" s="113"/>
      <c r="AKF65" s="113"/>
      <c r="AKG65" s="113"/>
      <c r="AKH65" s="113"/>
      <c r="AKI65" s="113"/>
      <c r="AKJ65" s="113"/>
      <c r="AKK65" s="113"/>
      <c r="AKL65" s="113"/>
      <c r="AKM65" s="113"/>
      <c r="AKN65" s="113"/>
      <c r="AKO65" s="113"/>
      <c r="AKP65" s="113"/>
      <c r="AKQ65" s="113"/>
      <c r="AKR65" s="113"/>
      <c r="AKS65" s="113"/>
      <c r="AKT65" s="113"/>
      <c r="AKU65" s="113"/>
      <c r="AKV65" s="113"/>
      <c r="AKW65" s="113"/>
      <c r="AKX65" s="113"/>
      <c r="AKY65" s="113"/>
      <c r="AKZ65" s="113"/>
      <c r="ALA65" s="113"/>
      <c r="ALB65" s="113"/>
      <c r="ALC65" s="113"/>
      <c r="ALD65" s="113"/>
      <c r="ALE65" s="113"/>
      <c r="ALF65" s="113"/>
      <c r="ALG65" s="113"/>
      <c r="ALH65" s="113"/>
      <c r="ALI65" s="113"/>
      <c r="ALJ65" s="113"/>
      <c r="ALK65" s="113"/>
      <c r="ALL65" s="113"/>
      <c r="ALM65" s="113"/>
      <c r="ALN65" s="113"/>
      <c r="ALO65" s="113"/>
      <c r="ALP65" s="113"/>
      <c r="ALQ65" s="113"/>
      <c r="ALR65" s="113"/>
      <c r="ALS65" s="113"/>
      <c r="ALT65" s="113"/>
      <c r="ALU65" s="113"/>
      <c r="ALV65" s="113"/>
      <c r="ALW65" s="113"/>
      <c r="ALX65" s="113"/>
      <c r="ALY65" s="113"/>
      <c r="ALZ65" s="113"/>
    </row>
    <row r="66" spans="1:1014" s="1" customFormat="1" ht="93" customHeight="1">
      <c r="A66" s="170">
        <v>4</v>
      </c>
      <c r="B66" s="161" t="s">
        <v>438</v>
      </c>
      <c r="C66" s="161" t="s">
        <v>415</v>
      </c>
      <c r="D66" s="171" t="s">
        <v>416</v>
      </c>
      <c r="E66" s="172">
        <v>14333937</v>
      </c>
      <c r="F66" s="173" t="s">
        <v>417</v>
      </c>
      <c r="G66" s="180" t="s">
        <v>26</v>
      </c>
      <c r="H66" s="173" t="s">
        <v>418</v>
      </c>
      <c r="I66" s="172" t="s">
        <v>422</v>
      </c>
      <c r="J66" s="174">
        <v>39933</v>
      </c>
      <c r="K66" s="167">
        <v>14499.26</v>
      </c>
      <c r="L66" s="167">
        <v>3804.84</v>
      </c>
      <c r="M66" s="176">
        <v>11704.59</v>
      </c>
      <c r="N66" s="176">
        <v>14885.93</v>
      </c>
      <c r="O66" s="176">
        <v>3765.68</v>
      </c>
      <c r="P66" s="176">
        <v>6179.63</v>
      </c>
      <c r="Q66" s="176">
        <v>2593.54</v>
      </c>
      <c r="R66" s="176">
        <v>6033.6</v>
      </c>
      <c r="S66" s="176" t="s">
        <v>3</v>
      </c>
      <c r="T66" s="176" t="s">
        <v>3</v>
      </c>
      <c r="U66" s="176">
        <v>5345.37</v>
      </c>
      <c r="V66" s="176">
        <v>2672.7</v>
      </c>
      <c r="W66" s="176">
        <v>4151.7</v>
      </c>
      <c r="X66" s="181" t="s">
        <v>439</v>
      </c>
      <c r="Y66" s="177" t="s">
        <v>440</v>
      </c>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c r="ES66" s="113"/>
      <c r="ET66" s="113"/>
      <c r="EU66" s="113"/>
      <c r="EV66" s="113"/>
      <c r="EW66" s="113"/>
      <c r="EX66" s="113"/>
      <c r="EY66" s="113"/>
      <c r="EZ66" s="113"/>
      <c r="FA66" s="113"/>
      <c r="FB66" s="113"/>
      <c r="FC66" s="113"/>
      <c r="FD66" s="113"/>
      <c r="FE66" s="113"/>
      <c r="FF66" s="113"/>
      <c r="FG66" s="113"/>
      <c r="FH66" s="113"/>
      <c r="FI66" s="113"/>
      <c r="FJ66" s="113"/>
      <c r="FK66" s="113"/>
      <c r="FL66" s="113"/>
      <c r="FM66" s="113"/>
      <c r="FN66" s="113"/>
      <c r="FO66" s="113"/>
      <c r="FP66" s="113"/>
      <c r="FQ66" s="113"/>
      <c r="FR66" s="113"/>
      <c r="FS66" s="113"/>
      <c r="FT66" s="113"/>
      <c r="FU66" s="113"/>
      <c r="FV66" s="113"/>
      <c r="FW66" s="113"/>
      <c r="FX66" s="113"/>
      <c r="FY66" s="113"/>
      <c r="FZ66" s="113"/>
      <c r="GA66" s="113"/>
      <c r="GB66" s="113"/>
      <c r="GC66" s="113"/>
      <c r="GD66" s="113"/>
      <c r="GE66" s="113"/>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c r="IK66" s="113"/>
      <c r="IL66" s="113"/>
      <c r="IM66" s="113"/>
      <c r="IN66" s="113"/>
      <c r="IO66" s="113"/>
      <c r="IP66" s="113"/>
      <c r="IQ66" s="113"/>
      <c r="IR66" s="113"/>
      <c r="IS66" s="113"/>
      <c r="IT66" s="113"/>
      <c r="IU66" s="113"/>
      <c r="IV66" s="113"/>
      <c r="IW66" s="113"/>
      <c r="IX66" s="113"/>
      <c r="IY66" s="113"/>
      <c r="IZ66" s="113"/>
      <c r="JA66" s="113"/>
      <c r="JB66" s="113"/>
      <c r="JC66" s="113"/>
      <c r="JD66" s="113"/>
      <c r="JE66" s="113"/>
      <c r="JF66" s="113"/>
      <c r="JG66" s="113"/>
      <c r="JH66" s="113"/>
      <c r="JI66" s="113"/>
      <c r="JJ66" s="113"/>
      <c r="JK66" s="113"/>
      <c r="JL66" s="113"/>
      <c r="JM66" s="113"/>
      <c r="JN66" s="113"/>
      <c r="JO66" s="113"/>
      <c r="JP66" s="113"/>
      <c r="JQ66" s="113"/>
      <c r="JR66" s="113"/>
      <c r="JS66" s="113"/>
      <c r="JT66" s="113"/>
      <c r="JU66" s="113"/>
      <c r="JV66" s="113"/>
      <c r="JW66" s="113"/>
      <c r="JX66" s="113"/>
      <c r="JY66" s="113"/>
      <c r="JZ66" s="113"/>
      <c r="KA66" s="113"/>
      <c r="KB66" s="113"/>
      <c r="KC66" s="113"/>
      <c r="KD66" s="113"/>
      <c r="KE66" s="113"/>
      <c r="KF66" s="113"/>
      <c r="KG66" s="113"/>
      <c r="KH66" s="113"/>
      <c r="KI66" s="113"/>
      <c r="KJ66" s="113"/>
      <c r="KK66" s="113"/>
      <c r="KL66" s="113"/>
      <c r="KM66" s="113"/>
      <c r="KN66" s="113"/>
      <c r="KO66" s="113"/>
      <c r="KP66" s="113"/>
      <c r="KQ66" s="113"/>
      <c r="KR66" s="113"/>
      <c r="KS66" s="113"/>
      <c r="KT66" s="113"/>
      <c r="KU66" s="113"/>
      <c r="KV66" s="113"/>
      <c r="KW66" s="113"/>
      <c r="KX66" s="113"/>
      <c r="KY66" s="113"/>
      <c r="KZ66" s="113"/>
      <c r="LA66" s="113"/>
      <c r="LB66" s="113"/>
      <c r="LC66" s="113"/>
      <c r="LD66" s="113"/>
      <c r="LE66" s="113"/>
      <c r="LF66" s="113"/>
      <c r="LG66" s="113"/>
      <c r="LH66" s="113"/>
      <c r="LI66" s="113"/>
      <c r="LJ66" s="113"/>
      <c r="LK66" s="113"/>
      <c r="LL66" s="113"/>
      <c r="LM66" s="113"/>
      <c r="LN66" s="113"/>
      <c r="LO66" s="113"/>
      <c r="LP66" s="113"/>
      <c r="LQ66" s="113"/>
      <c r="LR66" s="113"/>
      <c r="LS66" s="113"/>
      <c r="LT66" s="113"/>
      <c r="LU66" s="113"/>
      <c r="LV66" s="113"/>
      <c r="LW66" s="113"/>
      <c r="LX66" s="113"/>
      <c r="LY66" s="113"/>
      <c r="LZ66" s="113"/>
      <c r="MA66" s="113"/>
      <c r="MB66" s="113"/>
      <c r="MC66" s="113"/>
      <c r="MD66" s="113"/>
      <c r="ME66" s="113"/>
      <c r="MF66" s="113"/>
      <c r="MG66" s="113"/>
      <c r="MH66" s="113"/>
      <c r="MI66" s="113"/>
      <c r="MJ66" s="113"/>
      <c r="MK66" s="113"/>
      <c r="ML66" s="113"/>
      <c r="MM66" s="113"/>
      <c r="MN66" s="113"/>
      <c r="MO66" s="113"/>
      <c r="MP66" s="113"/>
      <c r="MQ66" s="113"/>
      <c r="MR66" s="113"/>
      <c r="MS66" s="113"/>
      <c r="MT66" s="113"/>
      <c r="MU66" s="113"/>
      <c r="MV66" s="113"/>
      <c r="MW66" s="113"/>
      <c r="MX66" s="113"/>
      <c r="MY66" s="113"/>
      <c r="MZ66" s="113"/>
      <c r="NA66" s="113"/>
      <c r="NB66" s="113"/>
      <c r="NC66" s="113"/>
      <c r="ND66" s="113"/>
      <c r="NE66" s="113"/>
      <c r="NF66" s="113"/>
      <c r="NG66" s="113"/>
      <c r="NH66" s="113"/>
      <c r="NI66" s="113"/>
      <c r="NJ66" s="113"/>
      <c r="NK66" s="113"/>
      <c r="NL66" s="113"/>
      <c r="NM66" s="113"/>
      <c r="NN66" s="113"/>
      <c r="NO66" s="113"/>
      <c r="NP66" s="113"/>
      <c r="NQ66" s="113"/>
      <c r="NR66" s="113"/>
      <c r="NS66" s="113"/>
      <c r="NT66" s="113"/>
      <c r="NU66" s="113"/>
      <c r="NV66" s="113"/>
      <c r="NW66" s="113"/>
      <c r="NX66" s="113"/>
      <c r="NY66" s="113"/>
      <c r="NZ66" s="113"/>
      <c r="OA66" s="113"/>
      <c r="OB66" s="113"/>
      <c r="OC66" s="113"/>
      <c r="OD66" s="113"/>
      <c r="OE66" s="113"/>
      <c r="OF66" s="113"/>
      <c r="OG66" s="113"/>
      <c r="OH66" s="113"/>
      <c r="OI66" s="113"/>
      <c r="OJ66" s="113"/>
      <c r="OK66" s="113"/>
      <c r="OL66" s="113"/>
      <c r="OM66" s="113"/>
      <c r="ON66" s="113"/>
      <c r="OO66" s="113"/>
      <c r="OP66" s="113"/>
      <c r="OQ66" s="113"/>
      <c r="OR66" s="113"/>
      <c r="OS66" s="113"/>
      <c r="OT66" s="113"/>
      <c r="OU66" s="113"/>
      <c r="OV66" s="113"/>
      <c r="OW66" s="113"/>
      <c r="OX66" s="113"/>
      <c r="OY66" s="113"/>
      <c r="OZ66" s="113"/>
      <c r="PA66" s="113"/>
      <c r="PB66" s="113"/>
      <c r="PC66" s="113"/>
      <c r="PD66" s="113"/>
      <c r="PE66" s="113"/>
      <c r="PF66" s="113"/>
      <c r="PG66" s="113"/>
      <c r="PH66" s="113"/>
      <c r="PI66" s="113"/>
      <c r="PJ66" s="113"/>
      <c r="PK66" s="113"/>
      <c r="PL66" s="113"/>
      <c r="PM66" s="113"/>
      <c r="PN66" s="113"/>
      <c r="PO66" s="113"/>
      <c r="PP66" s="113"/>
      <c r="PQ66" s="113"/>
      <c r="PR66" s="113"/>
      <c r="PS66" s="113"/>
      <c r="PT66" s="113"/>
      <c r="PU66" s="113"/>
      <c r="PV66" s="113"/>
      <c r="PW66" s="113"/>
      <c r="PX66" s="113"/>
      <c r="PY66" s="113"/>
      <c r="PZ66" s="113"/>
      <c r="QA66" s="113"/>
      <c r="QB66" s="113"/>
      <c r="QC66" s="113"/>
      <c r="QD66" s="113"/>
      <c r="QE66" s="113"/>
      <c r="QF66" s="113"/>
      <c r="QG66" s="113"/>
      <c r="QH66" s="113"/>
      <c r="QI66" s="113"/>
      <c r="QJ66" s="113"/>
      <c r="QK66" s="113"/>
      <c r="QL66" s="113"/>
      <c r="QM66" s="113"/>
      <c r="QN66" s="113"/>
      <c r="QO66" s="113"/>
      <c r="QP66" s="113"/>
      <c r="QQ66" s="113"/>
      <c r="QR66" s="113"/>
      <c r="QS66" s="113"/>
      <c r="QT66" s="113"/>
      <c r="QU66" s="113"/>
      <c r="QV66" s="113"/>
      <c r="QW66" s="113"/>
      <c r="QX66" s="113"/>
      <c r="QY66" s="113"/>
      <c r="QZ66" s="113"/>
      <c r="RA66" s="113"/>
      <c r="RB66" s="113"/>
      <c r="RC66" s="113"/>
      <c r="RD66" s="113"/>
      <c r="RE66" s="113"/>
      <c r="RF66" s="113"/>
      <c r="RG66" s="113"/>
      <c r="RH66" s="113"/>
      <c r="RI66" s="113"/>
      <c r="RJ66" s="113"/>
      <c r="RK66" s="113"/>
      <c r="RL66" s="113"/>
      <c r="RM66" s="113"/>
      <c r="RN66" s="113"/>
      <c r="RO66" s="113"/>
      <c r="RP66" s="113"/>
      <c r="RQ66" s="113"/>
      <c r="RR66" s="113"/>
      <c r="RS66" s="113"/>
      <c r="RT66" s="113"/>
      <c r="RU66" s="113"/>
      <c r="RV66" s="113"/>
      <c r="RW66" s="113"/>
      <c r="RX66" s="113"/>
      <c r="RY66" s="113"/>
      <c r="RZ66" s="113"/>
      <c r="SA66" s="113"/>
      <c r="SB66" s="113"/>
      <c r="SC66" s="113"/>
      <c r="SD66" s="113"/>
      <c r="SE66" s="113"/>
      <c r="SF66" s="113"/>
      <c r="SG66" s="113"/>
      <c r="SH66" s="113"/>
      <c r="SI66" s="113"/>
      <c r="SJ66" s="113"/>
      <c r="SK66" s="113"/>
      <c r="SL66" s="113"/>
      <c r="SM66" s="113"/>
      <c r="SN66" s="113"/>
      <c r="SO66" s="113"/>
      <c r="SP66" s="113"/>
      <c r="SQ66" s="113"/>
      <c r="SR66" s="113"/>
      <c r="SS66" s="113"/>
      <c r="ST66" s="113"/>
      <c r="SU66" s="113"/>
      <c r="SV66" s="113"/>
      <c r="SW66" s="113"/>
      <c r="SX66" s="113"/>
      <c r="SY66" s="113"/>
      <c r="SZ66" s="113"/>
      <c r="TA66" s="113"/>
      <c r="TB66" s="113"/>
      <c r="TC66" s="113"/>
      <c r="TD66" s="113"/>
      <c r="TE66" s="113"/>
      <c r="TF66" s="113"/>
      <c r="TG66" s="113"/>
      <c r="TH66" s="113"/>
      <c r="TI66" s="113"/>
      <c r="TJ66" s="113"/>
      <c r="TK66" s="113"/>
      <c r="TL66" s="113"/>
      <c r="TM66" s="113"/>
      <c r="TN66" s="113"/>
      <c r="TO66" s="113"/>
      <c r="TP66" s="113"/>
      <c r="TQ66" s="113"/>
      <c r="TR66" s="113"/>
      <c r="TS66" s="113"/>
      <c r="TT66" s="113"/>
      <c r="TU66" s="113"/>
      <c r="TV66" s="113"/>
      <c r="TW66" s="113"/>
      <c r="TX66" s="113"/>
      <c r="TY66" s="113"/>
      <c r="TZ66" s="113"/>
      <c r="UA66" s="113"/>
      <c r="UB66" s="113"/>
      <c r="UC66" s="113"/>
      <c r="UD66" s="113"/>
      <c r="UE66" s="113"/>
      <c r="UF66" s="113"/>
      <c r="UG66" s="113"/>
      <c r="UH66" s="113"/>
      <c r="UI66" s="113"/>
      <c r="UJ66" s="113"/>
      <c r="UK66" s="113"/>
      <c r="UL66" s="113"/>
      <c r="UM66" s="113"/>
      <c r="UN66" s="113"/>
      <c r="UO66" s="113"/>
      <c r="UP66" s="113"/>
      <c r="UQ66" s="113"/>
      <c r="UR66" s="113"/>
      <c r="US66" s="113"/>
      <c r="UT66" s="113"/>
      <c r="UU66" s="113"/>
      <c r="UV66" s="113"/>
      <c r="UW66" s="113"/>
      <c r="UX66" s="113"/>
      <c r="UY66" s="113"/>
      <c r="UZ66" s="113"/>
      <c r="VA66" s="113"/>
      <c r="VB66" s="113"/>
      <c r="VC66" s="113"/>
      <c r="VD66" s="113"/>
      <c r="VE66" s="113"/>
      <c r="VF66" s="113"/>
      <c r="VG66" s="113"/>
      <c r="VH66" s="113"/>
      <c r="VI66" s="113"/>
      <c r="VJ66" s="113"/>
      <c r="VK66" s="113"/>
      <c r="VL66" s="113"/>
      <c r="VM66" s="113"/>
      <c r="VN66" s="113"/>
      <c r="VO66" s="113"/>
      <c r="VP66" s="113"/>
      <c r="VQ66" s="113"/>
      <c r="VR66" s="113"/>
      <c r="VS66" s="113"/>
      <c r="VT66" s="113"/>
      <c r="VU66" s="113"/>
      <c r="VV66" s="113"/>
      <c r="VW66" s="113"/>
      <c r="VX66" s="113"/>
      <c r="VY66" s="113"/>
      <c r="VZ66" s="113"/>
      <c r="WA66" s="113"/>
      <c r="WB66" s="113"/>
      <c r="WC66" s="113"/>
      <c r="WD66" s="113"/>
      <c r="WE66" s="113"/>
      <c r="WF66" s="113"/>
      <c r="WG66" s="113"/>
      <c r="WH66" s="113"/>
      <c r="WI66" s="113"/>
      <c r="WJ66" s="113"/>
      <c r="WK66" s="113"/>
      <c r="WL66" s="113"/>
      <c r="WM66" s="113"/>
      <c r="WN66" s="113"/>
      <c r="WO66" s="113"/>
      <c r="WP66" s="113"/>
      <c r="WQ66" s="113"/>
      <c r="WR66" s="113"/>
      <c r="WS66" s="113"/>
      <c r="WT66" s="113"/>
      <c r="WU66" s="113"/>
      <c r="WV66" s="113"/>
      <c r="WW66" s="113"/>
      <c r="WX66" s="113"/>
      <c r="WY66" s="113"/>
      <c r="WZ66" s="113"/>
      <c r="XA66" s="113"/>
      <c r="XB66" s="113"/>
      <c r="XC66" s="113"/>
      <c r="XD66" s="113"/>
      <c r="XE66" s="113"/>
      <c r="XF66" s="113"/>
      <c r="XG66" s="113"/>
      <c r="XH66" s="113"/>
      <c r="XI66" s="113"/>
      <c r="XJ66" s="113"/>
      <c r="XK66" s="113"/>
      <c r="XL66" s="113"/>
      <c r="XM66" s="113"/>
      <c r="XN66" s="113"/>
      <c r="XO66" s="113"/>
      <c r="XP66" s="113"/>
      <c r="XQ66" s="113"/>
      <c r="XR66" s="113"/>
      <c r="XS66" s="113"/>
      <c r="XT66" s="113"/>
      <c r="XU66" s="113"/>
      <c r="XV66" s="113"/>
      <c r="XW66" s="113"/>
      <c r="XX66" s="113"/>
      <c r="XY66" s="113"/>
      <c r="XZ66" s="113"/>
      <c r="YA66" s="113"/>
      <c r="YB66" s="113"/>
      <c r="YC66" s="113"/>
      <c r="YD66" s="113"/>
      <c r="YE66" s="113"/>
      <c r="YF66" s="113"/>
      <c r="YG66" s="113"/>
      <c r="YH66" s="113"/>
      <c r="YI66" s="113"/>
      <c r="YJ66" s="113"/>
      <c r="YK66" s="113"/>
      <c r="YL66" s="113"/>
      <c r="YM66" s="113"/>
      <c r="YN66" s="113"/>
      <c r="YO66" s="113"/>
      <c r="YP66" s="113"/>
      <c r="YQ66" s="113"/>
      <c r="YR66" s="113"/>
      <c r="YS66" s="113"/>
      <c r="YT66" s="113"/>
      <c r="YU66" s="113"/>
      <c r="YV66" s="113"/>
      <c r="YW66" s="113"/>
      <c r="YX66" s="113"/>
      <c r="YY66" s="113"/>
      <c r="YZ66" s="113"/>
      <c r="ZA66" s="113"/>
      <c r="ZB66" s="113"/>
      <c r="ZC66" s="113"/>
      <c r="ZD66" s="113"/>
      <c r="ZE66" s="113"/>
      <c r="ZF66" s="113"/>
      <c r="ZG66" s="113"/>
      <c r="ZH66" s="113"/>
      <c r="ZI66" s="113"/>
      <c r="ZJ66" s="113"/>
      <c r="ZK66" s="113"/>
      <c r="ZL66" s="113"/>
      <c r="ZM66" s="113"/>
      <c r="ZN66" s="113"/>
      <c r="ZO66" s="113"/>
      <c r="ZP66" s="113"/>
      <c r="ZQ66" s="113"/>
      <c r="ZR66" s="113"/>
      <c r="ZS66" s="113"/>
      <c r="ZT66" s="113"/>
      <c r="ZU66" s="113"/>
      <c r="ZV66" s="113"/>
      <c r="ZW66" s="113"/>
      <c r="ZX66" s="113"/>
      <c r="ZY66" s="113"/>
      <c r="ZZ66" s="113"/>
      <c r="AAA66" s="113"/>
      <c r="AAB66" s="113"/>
      <c r="AAC66" s="113"/>
      <c r="AAD66" s="113"/>
      <c r="AAE66" s="113"/>
      <c r="AAF66" s="113"/>
      <c r="AAG66" s="113"/>
      <c r="AAH66" s="113"/>
      <c r="AAI66" s="113"/>
      <c r="AAJ66" s="113"/>
      <c r="AAK66" s="113"/>
      <c r="AAL66" s="113"/>
      <c r="AAM66" s="113"/>
      <c r="AAN66" s="113"/>
      <c r="AAO66" s="113"/>
      <c r="AAP66" s="113"/>
      <c r="AAQ66" s="113"/>
      <c r="AAR66" s="113"/>
      <c r="AAS66" s="113"/>
      <c r="AAT66" s="113"/>
      <c r="AAU66" s="113"/>
      <c r="AAV66" s="113"/>
      <c r="AAW66" s="113"/>
      <c r="AAX66" s="113"/>
      <c r="AAY66" s="113"/>
      <c r="AAZ66" s="113"/>
      <c r="ABA66" s="113"/>
      <c r="ABB66" s="113"/>
      <c r="ABC66" s="113"/>
      <c r="ABD66" s="113"/>
      <c r="ABE66" s="113"/>
      <c r="ABF66" s="113"/>
      <c r="ABG66" s="113"/>
      <c r="ABH66" s="113"/>
      <c r="ABI66" s="113"/>
      <c r="ABJ66" s="113"/>
      <c r="ABK66" s="113"/>
      <c r="ABL66" s="113"/>
      <c r="ABM66" s="113"/>
      <c r="ABN66" s="113"/>
      <c r="ABO66" s="113"/>
      <c r="ABP66" s="113"/>
      <c r="ABQ66" s="113"/>
      <c r="ABR66" s="113"/>
      <c r="ABS66" s="113"/>
      <c r="ABT66" s="113"/>
      <c r="ABU66" s="113"/>
      <c r="ABV66" s="113"/>
      <c r="ABW66" s="113"/>
      <c r="ABX66" s="113"/>
      <c r="ABY66" s="113"/>
      <c r="ABZ66" s="113"/>
      <c r="ACA66" s="113"/>
      <c r="ACB66" s="113"/>
      <c r="ACC66" s="113"/>
      <c r="ACD66" s="113"/>
      <c r="ACE66" s="113"/>
      <c r="ACF66" s="113"/>
      <c r="ACG66" s="113"/>
      <c r="ACH66" s="113"/>
      <c r="ACI66" s="113"/>
      <c r="ACJ66" s="113"/>
      <c r="ACK66" s="113"/>
      <c r="ACL66" s="113"/>
      <c r="ACM66" s="113"/>
      <c r="ACN66" s="113"/>
      <c r="ACO66" s="113"/>
      <c r="ACP66" s="113"/>
      <c r="ACQ66" s="113"/>
      <c r="ACR66" s="113"/>
      <c r="ACS66" s="113"/>
      <c r="ACT66" s="113"/>
      <c r="ACU66" s="113"/>
      <c r="ACV66" s="113"/>
      <c r="ACW66" s="113"/>
      <c r="ACX66" s="113"/>
      <c r="ACY66" s="113"/>
      <c r="ACZ66" s="113"/>
      <c r="ADA66" s="113"/>
      <c r="ADB66" s="113"/>
      <c r="ADC66" s="113"/>
      <c r="ADD66" s="113"/>
      <c r="ADE66" s="113"/>
      <c r="ADF66" s="113"/>
      <c r="ADG66" s="113"/>
      <c r="ADH66" s="113"/>
      <c r="ADI66" s="113"/>
      <c r="ADJ66" s="113"/>
      <c r="ADK66" s="113"/>
      <c r="ADL66" s="113"/>
      <c r="ADM66" s="113"/>
      <c r="ADN66" s="113"/>
      <c r="ADO66" s="113"/>
      <c r="ADP66" s="113"/>
      <c r="ADQ66" s="113"/>
      <c r="ADR66" s="113"/>
      <c r="ADS66" s="113"/>
      <c r="ADT66" s="113"/>
      <c r="ADU66" s="113"/>
      <c r="ADV66" s="113"/>
      <c r="ADW66" s="113"/>
      <c r="ADX66" s="113"/>
      <c r="ADY66" s="113"/>
      <c r="ADZ66" s="113"/>
      <c r="AEA66" s="113"/>
      <c r="AEB66" s="113"/>
      <c r="AEC66" s="113"/>
      <c r="AED66" s="113"/>
      <c r="AEE66" s="113"/>
      <c r="AEF66" s="113"/>
      <c r="AEG66" s="113"/>
      <c r="AEH66" s="113"/>
      <c r="AEI66" s="113"/>
      <c r="AEJ66" s="113"/>
      <c r="AEK66" s="113"/>
      <c r="AEL66" s="113"/>
      <c r="AEM66" s="113"/>
      <c r="AEN66" s="113"/>
      <c r="AEO66" s="113"/>
      <c r="AEP66" s="113"/>
      <c r="AEQ66" s="113"/>
      <c r="AER66" s="113"/>
      <c r="AES66" s="113"/>
      <c r="AET66" s="113"/>
      <c r="AEU66" s="113"/>
      <c r="AEV66" s="113"/>
      <c r="AEW66" s="113"/>
      <c r="AEX66" s="113"/>
      <c r="AEY66" s="113"/>
      <c r="AEZ66" s="113"/>
      <c r="AFA66" s="113"/>
      <c r="AFB66" s="113"/>
      <c r="AFC66" s="113"/>
      <c r="AFD66" s="113"/>
      <c r="AFE66" s="113"/>
      <c r="AFF66" s="113"/>
      <c r="AFG66" s="113"/>
      <c r="AFH66" s="113"/>
      <c r="AFI66" s="113"/>
      <c r="AFJ66" s="113"/>
      <c r="AFK66" s="113"/>
      <c r="AFL66" s="113"/>
      <c r="AFM66" s="113"/>
      <c r="AFN66" s="113"/>
      <c r="AFO66" s="113"/>
      <c r="AFP66" s="113"/>
      <c r="AFQ66" s="113"/>
      <c r="AFR66" s="113"/>
      <c r="AFS66" s="113"/>
      <c r="AFT66" s="113"/>
      <c r="AFU66" s="113"/>
      <c r="AFV66" s="113"/>
      <c r="AFW66" s="113"/>
      <c r="AFX66" s="113"/>
      <c r="AFY66" s="113"/>
      <c r="AFZ66" s="113"/>
      <c r="AGA66" s="113"/>
      <c r="AGB66" s="113"/>
      <c r="AGC66" s="113"/>
      <c r="AGD66" s="113"/>
      <c r="AGE66" s="113"/>
      <c r="AGF66" s="113"/>
      <c r="AGG66" s="113"/>
      <c r="AGH66" s="113"/>
      <c r="AGI66" s="113"/>
      <c r="AGJ66" s="113"/>
      <c r="AGK66" s="113"/>
      <c r="AGL66" s="113"/>
      <c r="AGM66" s="113"/>
      <c r="AGN66" s="113"/>
      <c r="AGO66" s="113"/>
      <c r="AGP66" s="113"/>
      <c r="AGQ66" s="113"/>
      <c r="AGR66" s="113"/>
      <c r="AGS66" s="113"/>
      <c r="AGT66" s="113"/>
      <c r="AGU66" s="113"/>
      <c r="AGV66" s="113"/>
      <c r="AGW66" s="113"/>
      <c r="AGX66" s="113"/>
      <c r="AGY66" s="113"/>
      <c r="AGZ66" s="113"/>
      <c r="AHA66" s="113"/>
      <c r="AHB66" s="113"/>
      <c r="AHC66" s="113"/>
      <c r="AHD66" s="113"/>
      <c r="AHE66" s="113"/>
      <c r="AHF66" s="113"/>
      <c r="AHG66" s="113"/>
      <c r="AHH66" s="113"/>
      <c r="AHI66" s="113"/>
      <c r="AHJ66" s="113"/>
      <c r="AHK66" s="113"/>
      <c r="AHL66" s="113"/>
      <c r="AHM66" s="113"/>
      <c r="AHN66" s="113"/>
      <c r="AHO66" s="113"/>
      <c r="AHP66" s="113"/>
      <c r="AHQ66" s="113"/>
      <c r="AHR66" s="113"/>
      <c r="AHS66" s="113"/>
      <c r="AHT66" s="113"/>
      <c r="AHU66" s="113"/>
      <c r="AHV66" s="113"/>
      <c r="AHW66" s="113"/>
      <c r="AHX66" s="113"/>
      <c r="AHY66" s="113"/>
      <c r="AHZ66" s="113"/>
      <c r="AIA66" s="113"/>
      <c r="AIB66" s="113"/>
      <c r="AIC66" s="113"/>
      <c r="AID66" s="113"/>
      <c r="AIE66" s="113"/>
      <c r="AIF66" s="113"/>
      <c r="AIG66" s="113"/>
      <c r="AIH66" s="113"/>
      <c r="AII66" s="113"/>
      <c r="AIJ66" s="113"/>
      <c r="AIK66" s="113"/>
      <c r="AIL66" s="113"/>
      <c r="AIM66" s="113"/>
      <c r="AIN66" s="113"/>
      <c r="AIO66" s="113"/>
      <c r="AIP66" s="113"/>
      <c r="AIQ66" s="113"/>
      <c r="AIR66" s="113"/>
      <c r="AIS66" s="113"/>
      <c r="AIT66" s="113"/>
      <c r="AIU66" s="113"/>
      <c r="AIV66" s="113"/>
      <c r="AIW66" s="113"/>
      <c r="AIX66" s="113"/>
      <c r="AIY66" s="113"/>
      <c r="AIZ66" s="113"/>
      <c r="AJA66" s="113"/>
      <c r="AJB66" s="113"/>
      <c r="AJC66" s="113"/>
      <c r="AJD66" s="113"/>
      <c r="AJE66" s="113"/>
      <c r="AJF66" s="113"/>
      <c r="AJG66" s="113"/>
      <c r="AJH66" s="113"/>
      <c r="AJI66" s="113"/>
      <c r="AJJ66" s="113"/>
      <c r="AJK66" s="113"/>
      <c r="AJL66" s="113"/>
      <c r="AJM66" s="113"/>
      <c r="AJN66" s="113"/>
      <c r="AJO66" s="113"/>
      <c r="AJP66" s="113"/>
      <c r="AJQ66" s="113"/>
      <c r="AJR66" s="113"/>
      <c r="AJS66" s="113"/>
      <c r="AJT66" s="113"/>
      <c r="AJU66" s="113"/>
      <c r="AJV66" s="113"/>
      <c r="AJW66" s="113"/>
      <c r="AJX66" s="113"/>
      <c r="AJY66" s="113"/>
      <c r="AJZ66" s="113"/>
      <c r="AKA66" s="113"/>
      <c r="AKB66" s="113"/>
      <c r="AKC66" s="113"/>
      <c r="AKD66" s="113"/>
      <c r="AKE66" s="113"/>
      <c r="AKF66" s="113"/>
      <c r="AKG66" s="113"/>
      <c r="AKH66" s="113"/>
      <c r="AKI66" s="113"/>
      <c r="AKJ66" s="113"/>
      <c r="AKK66" s="113"/>
      <c r="AKL66" s="113"/>
      <c r="AKM66" s="113"/>
      <c r="AKN66" s="113"/>
      <c r="AKO66" s="113"/>
      <c r="AKP66" s="113"/>
      <c r="AKQ66" s="113"/>
      <c r="AKR66" s="113"/>
      <c r="AKS66" s="113"/>
      <c r="AKT66" s="113"/>
      <c r="AKU66" s="113"/>
      <c r="AKV66" s="113"/>
      <c r="AKW66" s="113"/>
      <c r="AKX66" s="113"/>
      <c r="AKY66" s="113"/>
      <c r="AKZ66" s="113"/>
      <c r="ALA66" s="113"/>
      <c r="ALB66" s="113"/>
      <c r="ALC66" s="113"/>
      <c r="ALD66" s="113"/>
      <c r="ALE66" s="113"/>
      <c r="ALF66" s="113"/>
      <c r="ALG66" s="113"/>
      <c r="ALH66" s="113"/>
      <c r="ALI66" s="113"/>
      <c r="ALJ66" s="113"/>
      <c r="ALK66" s="113"/>
      <c r="ALL66" s="113"/>
      <c r="ALM66" s="113"/>
      <c r="ALN66" s="113"/>
      <c r="ALO66" s="113"/>
      <c r="ALP66" s="113"/>
      <c r="ALQ66" s="113"/>
      <c r="ALR66" s="113"/>
      <c r="ALS66" s="113"/>
      <c r="ALT66" s="113"/>
      <c r="ALU66" s="113"/>
      <c r="ALV66" s="113"/>
      <c r="ALW66" s="113"/>
      <c r="ALX66" s="113"/>
      <c r="ALY66" s="113"/>
      <c r="ALZ66" s="113"/>
    </row>
    <row r="67" spans="1:1014" s="1" customFormat="1" ht="63" thickBot="1">
      <c r="A67" s="182">
        <v>5</v>
      </c>
      <c r="B67" s="161" t="s">
        <v>425</v>
      </c>
      <c r="C67" s="161" t="s">
        <v>426</v>
      </c>
      <c r="D67" s="171" t="s">
        <v>427</v>
      </c>
      <c r="E67" s="172">
        <v>25731006</v>
      </c>
      <c r="F67" s="173" t="s">
        <v>428</v>
      </c>
      <c r="G67" s="173" t="s">
        <v>379</v>
      </c>
      <c r="H67" s="173" t="s">
        <v>429</v>
      </c>
      <c r="I67" s="172">
        <v>218</v>
      </c>
      <c r="J67" s="174">
        <v>40542</v>
      </c>
      <c r="K67" s="183">
        <v>1332.99</v>
      </c>
      <c r="L67" s="183">
        <v>604.61</v>
      </c>
      <c r="M67" s="184">
        <v>1524.46</v>
      </c>
      <c r="N67" s="184">
        <v>762.23</v>
      </c>
      <c r="O67" s="184">
        <v>362.02</v>
      </c>
      <c r="P67" s="184" t="s">
        <v>3</v>
      </c>
      <c r="Q67" s="184" t="s">
        <v>3</v>
      </c>
      <c r="R67" s="184" t="s">
        <v>3</v>
      </c>
      <c r="S67" s="184" t="s">
        <v>3</v>
      </c>
      <c r="T67" s="184" t="s">
        <v>3</v>
      </c>
      <c r="U67" s="184">
        <v>1162.44</v>
      </c>
      <c r="V67" s="184">
        <v>762.23</v>
      </c>
      <c r="W67" s="184" t="s">
        <v>3</v>
      </c>
      <c r="X67" s="181" t="s">
        <v>439</v>
      </c>
      <c r="Y67" s="185"/>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3"/>
      <c r="FU67" s="113"/>
      <c r="FV67" s="113"/>
      <c r="FW67" s="113"/>
      <c r="FX67" s="113"/>
      <c r="FY67" s="113"/>
      <c r="FZ67" s="113"/>
      <c r="GA67" s="113"/>
      <c r="GB67" s="113"/>
      <c r="GC67" s="113"/>
      <c r="GD67" s="113"/>
      <c r="GE67" s="113"/>
      <c r="GF67" s="113"/>
      <c r="GG67" s="113"/>
      <c r="GH67" s="113"/>
      <c r="GI67" s="113"/>
      <c r="GJ67" s="113"/>
      <c r="GK67" s="113"/>
      <c r="GL67" s="113"/>
      <c r="GM67" s="113"/>
      <c r="GN67" s="113"/>
      <c r="GO67" s="113"/>
      <c r="GP67" s="113"/>
      <c r="GQ67" s="113"/>
      <c r="GR67" s="113"/>
      <c r="GS67" s="113"/>
      <c r="GT67" s="113"/>
      <c r="GU67" s="113"/>
      <c r="GV67" s="113"/>
      <c r="GW67" s="113"/>
      <c r="GX67" s="113"/>
      <c r="GY67" s="113"/>
      <c r="GZ67" s="113"/>
      <c r="HA67" s="113"/>
      <c r="HB67" s="113"/>
      <c r="HC67" s="113"/>
      <c r="HD67" s="113"/>
      <c r="HE67" s="113"/>
      <c r="HF67" s="113"/>
      <c r="HG67" s="113"/>
      <c r="HH67" s="113"/>
      <c r="HI67" s="113"/>
      <c r="HJ67" s="113"/>
      <c r="HK67" s="113"/>
      <c r="HL67" s="113"/>
      <c r="HM67" s="113"/>
      <c r="HN67" s="113"/>
      <c r="HO67" s="113"/>
      <c r="HP67" s="113"/>
      <c r="HQ67" s="113"/>
      <c r="HR67" s="113"/>
      <c r="HS67" s="113"/>
      <c r="HT67" s="113"/>
      <c r="HU67" s="113"/>
      <c r="HV67" s="113"/>
      <c r="HW67" s="113"/>
      <c r="HX67" s="113"/>
      <c r="HY67" s="113"/>
      <c r="HZ67" s="113"/>
      <c r="IA67" s="113"/>
      <c r="IB67" s="113"/>
      <c r="IC67" s="113"/>
      <c r="ID67" s="113"/>
      <c r="IE67" s="113"/>
      <c r="IF67" s="113"/>
      <c r="IG67" s="113"/>
      <c r="IH67" s="113"/>
      <c r="II67" s="113"/>
      <c r="IJ67" s="113"/>
      <c r="IK67" s="113"/>
      <c r="IL67" s="113"/>
      <c r="IM67" s="113"/>
      <c r="IN67" s="113"/>
      <c r="IO67" s="113"/>
      <c r="IP67" s="113"/>
      <c r="IQ67" s="113"/>
      <c r="IR67" s="113"/>
      <c r="IS67" s="113"/>
      <c r="IT67" s="113"/>
      <c r="IU67" s="113"/>
      <c r="IV67" s="113"/>
      <c r="IW67" s="113"/>
      <c r="IX67" s="113"/>
      <c r="IY67" s="113"/>
      <c r="IZ67" s="113"/>
      <c r="JA67" s="113"/>
      <c r="JB67" s="113"/>
      <c r="JC67" s="113"/>
      <c r="JD67" s="113"/>
      <c r="JE67" s="113"/>
      <c r="JF67" s="113"/>
      <c r="JG67" s="113"/>
      <c r="JH67" s="113"/>
      <c r="JI67" s="113"/>
      <c r="JJ67" s="113"/>
      <c r="JK67" s="113"/>
      <c r="JL67" s="113"/>
      <c r="JM67" s="113"/>
      <c r="JN67" s="113"/>
      <c r="JO67" s="113"/>
      <c r="JP67" s="113"/>
      <c r="JQ67" s="113"/>
      <c r="JR67" s="113"/>
      <c r="JS67" s="113"/>
      <c r="JT67" s="113"/>
      <c r="JU67" s="113"/>
      <c r="JV67" s="113"/>
      <c r="JW67" s="113"/>
      <c r="JX67" s="113"/>
      <c r="JY67" s="113"/>
      <c r="JZ67" s="113"/>
      <c r="KA67" s="113"/>
      <c r="KB67" s="113"/>
      <c r="KC67" s="113"/>
      <c r="KD67" s="113"/>
      <c r="KE67" s="113"/>
      <c r="KF67" s="113"/>
      <c r="KG67" s="113"/>
      <c r="KH67" s="113"/>
      <c r="KI67" s="113"/>
      <c r="KJ67" s="113"/>
      <c r="KK67" s="113"/>
      <c r="KL67" s="113"/>
      <c r="KM67" s="113"/>
      <c r="KN67" s="113"/>
      <c r="KO67" s="113"/>
      <c r="KP67" s="113"/>
      <c r="KQ67" s="113"/>
      <c r="KR67" s="113"/>
      <c r="KS67" s="113"/>
      <c r="KT67" s="113"/>
      <c r="KU67" s="113"/>
      <c r="KV67" s="113"/>
      <c r="KW67" s="113"/>
      <c r="KX67" s="113"/>
      <c r="KY67" s="113"/>
      <c r="KZ67" s="113"/>
      <c r="LA67" s="113"/>
      <c r="LB67" s="113"/>
      <c r="LC67" s="113"/>
      <c r="LD67" s="113"/>
      <c r="LE67" s="113"/>
      <c r="LF67" s="113"/>
      <c r="LG67" s="113"/>
      <c r="LH67" s="113"/>
      <c r="LI67" s="113"/>
      <c r="LJ67" s="113"/>
      <c r="LK67" s="113"/>
      <c r="LL67" s="113"/>
      <c r="LM67" s="113"/>
      <c r="LN67" s="113"/>
      <c r="LO67" s="113"/>
      <c r="LP67" s="113"/>
      <c r="LQ67" s="113"/>
      <c r="LR67" s="113"/>
      <c r="LS67" s="113"/>
      <c r="LT67" s="113"/>
      <c r="LU67" s="113"/>
      <c r="LV67" s="113"/>
      <c r="LW67" s="113"/>
      <c r="LX67" s="113"/>
      <c r="LY67" s="113"/>
      <c r="LZ67" s="113"/>
      <c r="MA67" s="113"/>
      <c r="MB67" s="113"/>
      <c r="MC67" s="113"/>
      <c r="MD67" s="113"/>
      <c r="ME67" s="113"/>
      <c r="MF67" s="113"/>
      <c r="MG67" s="113"/>
      <c r="MH67" s="113"/>
      <c r="MI67" s="113"/>
      <c r="MJ67" s="113"/>
      <c r="MK67" s="113"/>
      <c r="ML67" s="113"/>
      <c r="MM67" s="113"/>
      <c r="MN67" s="113"/>
      <c r="MO67" s="113"/>
      <c r="MP67" s="113"/>
      <c r="MQ67" s="113"/>
      <c r="MR67" s="113"/>
      <c r="MS67" s="113"/>
      <c r="MT67" s="113"/>
      <c r="MU67" s="113"/>
      <c r="MV67" s="113"/>
      <c r="MW67" s="113"/>
      <c r="MX67" s="113"/>
      <c r="MY67" s="113"/>
      <c r="MZ67" s="113"/>
      <c r="NA67" s="113"/>
      <c r="NB67" s="113"/>
      <c r="NC67" s="113"/>
      <c r="ND67" s="113"/>
      <c r="NE67" s="113"/>
      <c r="NF67" s="113"/>
      <c r="NG67" s="113"/>
      <c r="NH67" s="113"/>
      <c r="NI67" s="113"/>
      <c r="NJ67" s="113"/>
      <c r="NK67" s="113"/>
      <c r="NL67" s="113"/>
      <c r="NM67" s="113"/>
      <c r="NN67" s="113"/>
      <c r="NO67" s="113"/>
      <c r="NP67" s="113"/>
      <c r="NQ67" s="113"/>
      <c r="NR67" s="113"/>
      <c r="NS67" s="113"/>
      <c r="NT67" s="113"/>
      <c r="NU67" s="113"/>
      <c r="NV67" s="113"/>
      <c r="NW67" s="113"/>
      <c r="NX67" s="113"/>
      <c r="NY67" s="113"/>
      <c r="NZ67" s="113"/>
      <c r="OA67" s="113"/>
      <c r="OB67" s="113"/>
      <c r="OC67" s="113"/>
      <c r="OD67" s="113"/>
      <c r="OE67" s="113"/>
      <c r="OF67" s="113"/>
      <c r="OG67" s="113"/>
      <c r="OH67" s="113"/>
      <c r="OI67" s="113"/>
      <c r="OJ67" s="113"/>
      <c r="OK67" s="113"/>
      <c r="OL67" s="113"/>
      <c r="OM67" s="113"/>
      <c r="ON67" s="113"/>
      <c r="OO67" s="113"/>
      <c r="OP67" s="113"/>
      <c r="OQ67" s="113"/>
      <c r="OR67" s="113"/>
      <c r="OS67" s="113"/>
      <c r="OT67" s="113"/>
      <c r="OU67" s="113"/>
      <c r="OV67" s="113"/>
      <c r="OW67" s="113"/>
      <c r="OX67" s="113"/>
      <c r="OY67" s="113"/>
      <c r="OZ67" s="113"/>
      <c r="PA67" s="113"/>
      <c r="PB67" s="113"/>
      <c r="PC67" s="113"/>
      <c r="PD67" s="113"/>
      <c r="PE67" s="113"/>
      <c r="PF67" s="113"/>
      <c r="PG67" s="113"/>
      <c r="PH67" s="113"/>
      <c r="PI67" s="113"/>
      <c r="PJ67" s="113"/>
      <c r="PK67" s="113"/>
      <c r="PL67" s="113"/>
      <c r="PM67" s="113"/>
      <c r="PN67" s="113"/>
      <c r="PO67" s="113"/>
      <c r="PP67" s="113"/>
      <c r="PQ67" s="113"/>
      <c r="PR67" s="113"/>
      <c r="PS67" s="113"/>
      <c r="PT67" s="113"/>
      <c r="PU67" s="113"/>
      <c r="PV67" s="113"/>
      <c r="PW67" s="113"/>
      <c r="PX67" s="113"/>
      <c r="PY67" s="113"/>
      <c r="PZ67" s="113"/>
      <c r="QA67" s="113"/>
      <c r="QB67" s="113"/>
      <c r="QC67" s="113"/>
      <c r="QD67" s="113"/>
      <c r="QE67" s="113"/>
      <c r="QF67" s="113"/>
      <c r="QG67" s="113"/>
      <c r="QH67" s="113"/>
      <c r="QI67" s="113"/>
      <c r="QJ67" s="113"/>
      <c r="QK67" s="113"/>
      <c r="QL67" s="113"/>
      <c r="QM67" s="113"/>
      <c r="QN67" s="113"/>
      <c r="QO67" s="113"/>
      <c r="QP67" s="113"/>
      <c r="QQ67" s="113"/>
      <c r="QR67" s="113"/>
      <c r="QS67" s="113"/>
      <c r="QT67" s="113"/>
      <c r="QU67" s="113"/>
      <c r="QV67" s="113"/>
      <c r="QW67" s="113"/>
      <c r="QX67" s="113"/>
      <c r="QY67" s="113"/>
      <c r="QZ67" s="113"/>
      <c r="RA67" s="113"/>
      <c r="RB67" s="113"/>
      <c r="RC67" s="113"/>
      <c r="RD67" s="113"/>
      <c r="RE67" s="113"/>
      <c r="RF67" s="113"/>
      <c r="RG67" s="113"/>
      <c r="RH67" s="113"/>
      <c r="RI67" s="113"/>
      <c r="RJ67" s="113"/>
      <c r="RK67" s="113"/>
      <c r="RL67" s="113"/>
      <c r="RM67" s="113"/>
      <c r="RN67" s="113"/>
      <c r="RO67" s="113"/>
      <c r="RP67" s="113"/>
      <c r="RQ67" s="113"/>
      <c r="RR67" s="113"/>
      <c r="RS67" s="113"/>
      <c r="RT67" s="113"/>
      <c r="RU67" s="113"/>
      <c r="RV67" s="113"/>
      <c r="RW67" s="113"/>
      <c r="RX67" s="113"/>
      <c r="RY67" s="113"/>
      <c r="RZ67" s="113"/>
      <c r="SA67" s="113"/>
      <c r="SB67" s="113"/>
      <c r="SC67" s="113"/>
      <c r="SD67" s="113"/>
      <c r="SE67" s="113"/>
      <c r="SF67" s="113"/>
      <c r="SG67" s="113"/>
      <c r="SH67" s="113"/>
      <c r="SI67" s="113"/>
      <c r="SJ67" s="113"/>
      <c r="SK67" s="113"/>
      <c r="SL67" s="113"/>
      <c r="SM67" s="113"/>
      <c r="SN67" s="113"/>
      <c r="SO67" s="113"/>
      <c r="SP67" s="113"/>
      <c r="SQ67" s="113"/>
      <c r="SR67" s="113"/>
      <c r="SS67" s="113"/>
      <c r="ST67" s="113"/>
      <c r="SU67" s="113"/>
      <c r="SV67" s="113"/>
      <c r="SW67" s="113"/>
      <c r="SX67" s="113"/>
      <c r="SY67" s="113"/>
      <c r="SZ67" s="113"/>
      <c r="TA67" s="113"/>
      <c r="TB67" s="113"/>
      <c r="TC67" s="113"/>
      <c r="TD67" s="113"/>
      <c r="TE67" s="113"/>
      <c r="TF67" s="113"/>
      <c r="TG67" s="113"/>
      <c r="TH67" s="113"/>
      <c r="TI67" s="113"/>
      <c r="TJ67" s="113"/>
      <c r="TK67" s="113"/>
      <c r="TL67" s="113"/>
      <c r="TM67" s="113"/>
      <c r="TN67" s="113"/>
      <c r="TO67" s="113"/>
      <c r="TP67" s="113"/>
      <c r="TQ67" s="113"/>
      <c r="TR67" s="113"/>
      <c r="TS67" s="113"/>
      <c r="TT67" s="113"/>
      <c r="TU67" s="113"/>
      <c r="TV67" s="113"/>
      <c r="TW67" s="113"/>
      <c r="TX67" s="113"/>
      <c r="TY67" s="113"/>
      <c r="TZ67" s="113"/>
      <c r="UA67" s="113"/>
      <c r="UB67" s="113"/>
      <c r="UC67" s="113"/>
      <c r="UD67" s="113"/>
      <c r="UE67" s="113"/>
      <c r="UF67" s="113"/>
      <c r="UG67" s="113"/>
      <c r="UH67" s="113"/>
      <c r="UI67" s="113"/>
      <c r="UJ67" s="113"/>
      <c r="UK67" s="113"/>
      <c r="UL67" s="113"/>
      <c r="UM67" s="113"/>
      <c r="UN67" s="113"/>
      <c r="UO67" s="113"/>
      <c r="UP67" s="113"/>
      <c r="UQ67" s="113"/>
      <c r="UR67" s="113"/>
      <c r="US67" s="113"/>
      <c r="UT67" s="113"/>
      <c r="UU67" s="113"/>
      <c r="UV67" s="113"/>
      <c r="UW67" s="113"/>
      <c r="UX67" s="113"/>
      <c r="UY67" s="113"/>
      <c r="UZ67" s="113"/>
      <c r="VA67" s="113"/>
      <c r="VB67" s="113"/>
      <c r="VC67" s="113"/>
      <c r="VD67" s="113"/>
      <c r="VE67" s="113"/>
      <c r="VF67" s="113"/>
      <c r="VG67" s="113"/>
      <c r="VH67" s="113"/>
      <c r="VI67" s="113"/>
      <c r="VJ67" s="113"/>
      <c r="VK67" s="113"/>
      <c r="VL67" s="113"/>
      <c r="VM67" s="113"/>
      <c r="VN67" s="113"/>
      <c r="VO67" s="113"/>
      <c r="VP67" s="113"/>
      <c r="VQ67" s="113"/>
      <c r="VR67" s="113"/>
      <c r="VS67" s="113"/>
      <c r="VT67" s="113"/>
      <c r="VU67" s="113"/>
      <c r="VV67" s="113"/>
      <c r="VW67" s="113"/>
      <c r="VX67" s="113"/>
      <c r="VY67" s="113"/>
      <c r="VZ67" s="113"/>
      <c r="WA67" s="113"/>
      <c r="WB67" s="113"/>
      <c r="WC67" s="113"/>
      <c r="WD67" s="113"/>
      <c r="WE67" s="113"/>
      <c r="WF67" s="113"/>
      <c r="WG67" s="113"/>
      <c r="WH67" s="113"/>
      <c r="WI67" s="113"/>
      <c r="WJ67" s="113"/>
      <c r="WK67" s="113"/>
      <c r="WL67" s="113"/>
      <c r="WM67" s="113"/>
      <c r="WN67" s="113"/>
      <c r="WO67" s="113"/>
      <c r="WP67" s="113"/>
      <c r="WQ67" s="113"/>
      <c r="WR67" s="113"/>
      <c r="WS67" s="113"/>
      <c r="WT67" s="113"/>
      <c r="WU67" s="113"/>
      <c r="WV67" s="113"/>
      <c r="WW67" s="113"/>
      <c r="WX67" s="113"/>
      <c r="WY67" s="113"/>
      <c r="WZ67" s="113"/>
      <c r="XA67" s="113"/>
      <c r="XB67" s="113"/>
      <c r="XC67" s="113"/>
      <c r="XD67" s="113"/>
      <c r="XE67" s="113"/>
      <c r="XF67" s="113"/>
      <c r="XG67" s="113"/>
      <c r="XH67" s="113"/>
      <c r="XI67" s="113"/>
      <c r="XJ67" s="113"/>
      <c r="XK67" s="113"/>
      <c r="XL67" s="113"/>
      <c r="XM67" s="113"/>
      <c r="XN67" s="113"/>
      <c r="XO67" s="113"/>
      <c r="XP67" s="113"/>
      <c r="XQ67" s="113"/>
      <c r="XR67" s="113"/>
      <c r="XS67" s="113"/>
      <c r="XT67" s="113"/>
      <c r="XU67" s="113"/>
      <c r="XV67" s="113"/>
      <c r="XW67" s="113"/>
      <c r="XX67" s="113"/>
      <c r="XY67" s="113"/>
      <c r="XZ67" s="113"/>
      <c r="YA67" s="113"/>
      <c r="YB67" s="113"/>
      <c r="YC67" s="113"/>
      <c r="YD67" s="113"/>
      <c r="YE67" s="113"/>
      <c r="YF67" s="113"/>
      <c r="YG67" s="113"/>
      <c r="YH67" s="113"/>
      <c r="YI67" s="113"/>
      <c r="YJ67" s="113"/>
      <c r="YK67" s="113"/>
      <c r="YL67" s="113"/>
      <c r="YM67" s="113"/>
      <c r="YN67" s="113"/>
      <c r="YO67" s="113"/>
      <c r="YP67" s="113"/>
      <c r="YQ67" s="113"/>
      <c r="YR67" s="113"/>
      <c r="YS67" s="113"/>
      <c r="YT67" s="113"/>
      <c r="YU67" s="113"/>
      <c r="YV67" s="113"/>
      <c r="YW67" s="113"/>
      <c r="YX67" s="113"/>
      <c r="YY67" s="113"/>
      <c r="YZ67" s="113"/>
      <c r="ZA67" s="113"/>
      <c r="ZB67" s="113"/>
      <c r="ZC67" s="113"/>
      <c r="ZD67" s="113"/>
      <c r="ZE67" s="113"/>
      <c r="ZF67" s="113"/>
      <c r="ZG67" s="113"/>
      <c r="ZH67" s="113"/>
      <c r="ZI67" s="113"/>
      <c r="ZJ67" s="113"/>
      <c r="ZK67" s="113"/>
      <c r="ZL67" s="113"/>
      <c r="ZM67" s="113"/>
      <c r="ZN67" s="113"/>
      <c r="ZO67" s="113"/>
      <c r="ZP67" s="113"/>
      <c r="ZQ67" s="113"/>
      <c r="ZR67" s="113"/>
      <c r="ZS67" s="113"/>
      <c r="ZT67" s="113"/>
      <c r="ZU67" s="113"/>
      <c r="ZV67" s="113"/>
      <c r="ZW67" s="113"/>
      <c r="ZX67" s="113"/>
      <c r="ZY67" s="113"/>
      <c r="ZZ67" s="113"/>
      <c r="AAA67" s="113"/>
      <c r="AAB67" s="113"/>
      <c r="AAC67" s="113"/>
      <c r="AAD67" s="113"/>
      <c r="AAE67" s="113"/>
      <c r="AAF67" s="113"/>
      <c r="AAG67" s="113"/>
      <c r="AAH67" s="113"/>
      <c r="AAI67" s="113"/>
      <c r="AAJ67" s="113"/>
      <c r="AAK67" s="113"/>
      <c r="AAL67" s="113"/>
      <c r="AAM67" s="113"/>
      <c r="AAN67" s="113"/>
      <c r="AAO67" s="113"/>
      <c r="AAP67" s="113"/>
      <c r="AAQ67" s="113"/>
      <c r="AAR67" s="113"/>
      <c r="AAS67" s="113"/>
      <c r="AAT67" s="113"/>
      <c r="AAU67" s="113"/>
      <c r="AAV67" s="113"/>
      <c r="AAW67" s="113"/>
      <c r="AAX67" s="113"/>
      <c r="AAY67" s="113"/>
      <c r="AAZ67" s="113"/>
      <c r="ABA67" s="113"/>
      <c r="ABB67" s="113"/>
      <c r="ABC67" s="113"/>
      <c r="ABD67" s="113"/>
      <c r="ABE67" s="113"/>
      <c r="ABF67" s="113"/>
      <c r="ABG67" s="113"/>
      <c r="ABH67" s="113"/>
      <c r="ABI67" s="113"/>
      <c r="ABJ67" s="113"/>
      <c r="ABK67" s="113"/>
      <c r="ABL67" s="113"/>
      <c r="ABM67" s="113"/>
      <c r="ABN67" s="113"/>
      <c r="ABO67" s="113"/>
      <c r="ABP67" s="113"/>
      <c r="ABQ67" s="113"/>
      <c r="ABR67" s="113"/>
      <c r="ABS67" s="113"/>
      <c r="ABT67" s="113"/>
      <c r="ABU67" s="113"/>
      <c r="ABV67" s="113"/>
      <c r="ABW67" s="113"/>
      <c r="ABX67" s="113"/>
      <c r="ABY67" s="113"/>
      <c r="ABZ67" s="113"/>
      <c r="ACA67" s="113"/>
      <c r="ACB67" s="113"/>
      <c r="ACC67" s="113"/>
      <c r="ACD67" s="113"/>
      <c r="ACE67" s="113"/>
      <c r="ACF67" s="113"/>
      <c r="ACG67" s="113"/>
      <c r="ACH67" s="113"/>
      <c r="ACI67" s="113"/>
      <c r="ACJ67" s="113"/>
      <c r="ACK67" s="113"/>
      <c r="ACL67" s="113"/>
      <c r="ACM67" s="113"/>
      <c r="ACN67" s="113"/>
      <c r="ACO67" s="113"/>
      <c r="ACP67" s="113"/>
      <c r="ACQ67" s="113"/>
      <c r="ACR67" s="113"/>
      <c r="ACS67" s="113"/>
      <c r="ACT67" s="113"/>
      <c r="ACU67" s="113"/>
      <c r="ACV67" s="113"/>
      <c r="ACW67" s="113"/>
      <c r="ACX67" s="113"/>
      <c r="ACY67" s="113"/>
      <c r="ACZ67" s="113"/>
      <c r="ADA67" s="113"/>
      <c r="ADB67" s="113"/>
      <c r="ADC67" s="113"/>
      <c r="ADD67" s="113"/>
      <c r="ADE67" s="113"/>
      <c r="ADF67" s="113"/>
      <c r="ADG67" s="113"/>
      <c r="ADH67" s="113"/>
      <c r="ADI67" s="113"/>
      <c r="ADJ67" s="113"/>
      <c r="ADK67" s="113"/>
      <c r="ADL67" s="113"/>
      <c r="ADM67" s="113"/>
      <c r="ADN67" s="113"/>
      <c r="ADO67" s="113"/>
      <c r="ADP67" s="113"/>
      <c r="ADQ67" s="113"/>
      <c r="ADR67" s="113"/>
      <c r="ADS67" s="113"/>
      <c r="ADT67" s="113"/>
      <c r="ADU67" s="113"/>
      <c r="ADV67" s="113"/>
      <c r="ADW67" s="113"/>
      <c r="ADX67" s="113"/>
      <c r="ADY67" s="113"/>
      <c r="ADZ67" s="113"/>
      <c r="AEA67" s="113"/>
      <c r="AEB67" s="113"/>
      <c r="AEC67" s="113"/>
      <c r="AED67" s="113"/>
      <c r="AEE67" s="113"/>
      <c r="AEF67" s="113"/>
      <c r="AEG67" s="113"/>
      <c r="AEH67" s="113"/>
      <c r="AEI67" s="113"/>
      <c r="AEJ67" s="113"/>
      <c r="AEK67" s="113"/>
      <c r="AEL67" s="113"/>
      <c r="AEM67" s="113"/>
      <c r="AEN67" s="113"/>
      <c r="AEO67" s="113"/>
      <c r="AEP67" s="113"/>
      <c r="AEQ67" s="113"/>
      <c r="AER67" s="113"/>
      <c r="AES67" s="113"/>
      <c r="AET67" s="113"/>
      <c r="AEU67" s="113"/>
      <c r="AEV67" s="113"/>
      <c r="AEW67" s="113"/>
      <c r="AEX67" s="113"/>
      <c r="AEY67" s="113"/>
      <c r="AEZ67" s="113"/>
      <c r="AFA67" s="113"/>
      <c r="AFB67" s="113"/>
      <c r="AFC67" s="113"/>
      <c r="AFD67" s="113"/>
      <c r="AFE67" s="113"/>
      <c r="AFF67" s="113"/>
      <c r="AFG67" s="113"/>
      <c r="AFH67" s="113"/>
      <c r="AFI67" s="113"/>
      <c r="AFJ67" s="113"/>
      <c r="AFK67" s="113"/>
      <c r="AFL67" s="113"/>
      <c r="AFM67" s="113"/>
      <c r="AFN67" s="113"/>
      <c r="AFO67" s="113"/>
      <c r="AFP67" s="113"/>
      <c r="AFQ67" s="113"/>
      <c r="AFR67" s="113"/>
      <c r="AFS67" s="113"/>
      <c r="AFT67" s="113"/>
      <c r="AFU67" s="113"/>
      <c r="AFV67" s="113"/>
      <c r="AFW67" s="113"/>
      <c r="AFX67" s="113"/>
      <c r="AFY67" s="113"/>
      <c r="AFZ67" s="113"/>
      <c r="AGA67" s="113"/>
      <c r="AGB67" s="113"/>
      <c r="AGC67" s="113"/>
      <c r="AGD67" s="113"/>
      <c r="AGE67" s="113"/>
      <c r="AGF67" s="113"/>
      <c r="AGG67" s="113"/>
      <c r="AGH67" s="113"/>
      <c r="AGI67" s="113"/>
      <c r="AGJ67" s="113"/>
      <c r="AGK67" s="113"/>
      <c r="AGL67" s="113"/>
      <c r="AGM67" s="113"/>
      <c r="AGN67" s="113"/>
      <c r="AGO67" s="113"/>
      <c r="AGP67" s="113"/>
      <c r="AGQ67" s="113"/>
      <c r="AGR67" s="113"/>
      <c r="AGS67" s="113"/>
      <c r="AGT67" s="113"/>
      <c r="AGU67" s="113"/>
      <c r="AGV67" s="113"/>
      <c r="AGW67" s="113"/>
      <c r="AGX67" s="113"/>
      <c r="AGY67" s="113"/>
      <c r="AGZ67" s="113"/>
      <c r="AHA67" s="113"/>
      <c r="AHB67" s="113"/>
      <c r="AHC67" s="113"/>
      <c r="AHD67" s="113"/>
      <c r="AHE67" s="113"/>
      <c r="AHF67" s="113"/>
      <c r="AHG67" s="113"/>
      <c r="AHH67" s="113"/>
      <c r="AHI67" s="113"/>
      <c r="AHJ67" s="113"/>
      <c r="AHK67" s="113"/>
      <c r="AHL67" s="113"/>
      <c r="AHM67" s="113"/>
      <c r="AHN67" s="113"/>
      <c r="AHO67" s="113"/>
      <c r="AHP67" s="113"/>
      <c r="AHQ67" s="113"/>
      <c r="AHR67" s="113"/>
      <c r="AHS67" s="113"/>
      <c r="AHT67" s="113"/>
      <c r="AHU67" s="113"/>
      <c r="AHV67" s="113"/>
      <c r="AHW67" s="113"/>
      <c r="AHX67" s="113"/>
      <c r="AHY67" s="113"/>
      <c r="AHZ67" s="113"/>
      <c r="AIA67" s="113"/>
      <c r="AIB67" s="113"/>
      <c r="AIC67" s="113"/>
      <c r="AID67" s="113"/>
      <c r="AIE67" s="113"/>
      <c r="AIF67" s="113"/>
      <c r="AIG67" s="113"/>
      <c r="AIH67" s="113"/>
      <c r="AII67" s="113"/>
      <c r="AIJ67" s="113"/>
      <c r="AIK67" s="113"/>
      <c r="AIL67" s="113"/>
      <c r="AIM67" s="113"/>
      <c r="AIN67" s="113"/>
      <c r="AIO67" s="113"/>
      <c r="AIP67" s="113"/>
      <c r="AIQ67" s="113"/>
      <c r="AIR67" s="113"/>
      <c r="AIS67" s="113"/>
      <c r="AIT67" s="113"/>
      <c r="AIU67" s="113"/>
      <c r="AIV67" s="113"/>
      <c r="AIW67" s="113"/>
      <c r="AIX67" s="113"/>
      <c r="AIY67" s="113"/>
      <c r="AIZ67" s="113"/>
      <c r="AJA67" s="113"/>
      <c r="AJB67" s="113"/>
      <c r="AJC67" s="113"/>
      <c r="AJD67" s="113"/>
      <c r="AJE67" s="113"/>
      <c r="AJF67" s="113"/>
      <c r="AJG67" s="113"/>
      <c r="AJH67" s="113"/>
      <c r="AJI67" s="113"/>
      <c r="AJJ67" s="113"/>
      <c r="AJK67" s="113"/>
      <c r="AJL67" s="113"/>
      <c r="AJM67" s="113"/>
      <c r="AJN67" s="113"/>
      <c r="AJO67" s="113"/>
      <c r="AJP67" s="113"/>
      <c r="AJQ67" s="113"/>
      <c r="AJR67" s="113"/>
      <c r="AJS67" s="113"/>
      <c r="AJT67" s="113"/>
      <c r="AJU67" s="113"/>
      <c r="AJV67" s="113"/>
      <c r="AJW67" s="113"/>
      <c r="AJX67" s="113"/>
      <c r="AJY67" s="113"/>
      <c r="AJZ67" s="113"/>
      <c r="AKA67" s="113"/>
      <c r="AKB67" s="113"/>
      <c r="AKC67" s="113"/>
      <c r="AKD67" s="113"/>
      <c r="AKE67" s="113"/>
      <c r="AKF67" s="113"/>
      <c r="AKG67" s="113"/>
      <c r="AKH67" s="113"/>
      <c r="AKI67" s="113"/>
      <c r="AKJ67" s="113"/>
      <c r="AKK67" s="113"/>
      <c r="AKL67" s="113"/>
      <c r="AKM67" s="113"/>
      <c r="AKN67" s="113"/>
      <c r="AKO67" s="113"/>
      <c r="AKP67" s="113"/>
      <c r="AKQ67" s="113"/>
      <c r="AKR67" s="113"/>
      <c r="AKS67" s="113"/>
      <c r="AKT67" s="113"/>
      <c r="AKU67" s="113"/>
      <c r="AKV67" s="113"/>
      <c r="AKW67" s="113"/>
      <c r="AKX67" s="113"/>
      <c r="AKY67" s="113"/>
      <c r="AKZ67" s="113"/>
      <c r="ALA67" s="113"/>
      <c r="ALB67" s="113"/>
      <c r="ALC67" s="113"/>
      <c r="ALD67" s="113"/>
      <c r="ALE67" s="113"/>
      <c r="ALF67" s="113"/>
      <c r="ALG67" s="113"/>
      <c r="ALH67" s="113"/>
      <c r="ALI67" s="113"/>
      <c r="ALJ67" s="113"/>
      <c r="ALK67" s="113"/>
      <c r="ALL67" s="113"/>
      <c r="ALM67" s="113"/>
      <c r="ALN67" s="113"/>
      <c r="ALO67" s="113"/>
      <c r="ALP67" s="113"/>
      <c r="ALQ67" s="113"/>
      <c r="ALR67" s="113"/>
      <c r="ALS67" s="113"/>
      <c r="ALT67" s="113"/>
      <c r="ALU67" s="113"/>
      <c r="ALV67" s="113"/>
      <c r="ALW67" s="113"/>
      <c r="ALX67" s="113"/>
      <c r="ALY67" s="113"/>
      <c r="ALZ67" s="113"/>
    </row>
    <row r="68" spans="1:1014" s="114" customFormat="1" ht="21" customHeight="1" thickBot="1">
      <c r="A68" s="186"/>
      <c r="B68" s="187" t="s">
        <v>4</v>
      </c>
      <c r="C68" s="187"/>
      <c r="D68" s="188"/>
      <c r="E68" s="188"/>
      <c r="F68" s="189"/>
      <c r="G68" s="189"/>
      <c r="H68" s="189"/>
      <c r="I68" s="188"/>
      <c r="J68" s="188"/>
      <c r="K68" s="190">
        <v>56917.96</v>
      </c>
      <c r="L68" s="190">
        <v>24949.7</v>
      </c>
      <c r="M68" s="190">
        <v>49901.67</v>
      </c>
      <c r="N68" s="190">
        <v>33451.269999999997</v>
      </c>
      <c r="O68" s="190">
        <v>14976.92</v>
      </c>
      <c r="P68" s="190">
        <v>11607.73</v>
      </c>
      <c r="Q68" s="190">
        <v>13821.82</v>
      </c>
      <c r="R68" s="190">
        <v>11647.74</v>
      </c>
      <c r="S68" s="190">
        <v>11781</v>
      </c>
      <c r="T68" s="190">
        <v>5917.15</v>
      </c>
      <c r="U68" s="190">
        <v>9320.19</v>
      </c>
      <c r="V68" s="190">
        <v>4279.8999999999996</v>
      </c>
      <c r="W68" s="190">
        <v>5107.97</v>
      </c>
      <c r="X68" s="189"/>
      <c r="Y68" s="191"/>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c r="ES68" s="113"/>
      <c r="ET68" s="113"/>
      <c r="EU68" s="113"/>
      <c r="EV68" s="113"/>
      <c r="EW68" s="113"/>
      <c r="EX68" s="113"/>
      <c r="EY68" s="113"/>
      <c r="EZ68" s="113"/>
      <c r="FA68" s="113"/>
      <c r="FB68" s="113"/>
      <c r="FC68" s="113"/>
      <c r="FD68" s="113"/>
      <c r="FE68" s="113"/>
      <c r="FF68" s="113"/>
      <c r="FG68" s="113"/>
      <c r="FH68" s="113"/>
      <c r="FI68" s="113"/>
      <c r="FJ68" s="113"/>
      <c r="FK68" s="113"/>
      <c r="FL68" s="113"/>
      <c r="FM68" s="113"/>
      <c r="FN68" s="113"/>
      <c r="FO68" s="113"/>
      <c r="FP68" s="113"/>
      <c r="FQ68" s="113"/>
      <c r="FR68" s="113"/>
      <c r="FS68" s="113"/>
      <c r="FT68" s="113"/>
      <c r="FU68" s="113"/>
      <c r="FV68" s="113"/>
      <c r="FW68" s="113"/>
      <c r="FX68" s="113"/>
      <c r="FY68" s="113"/>
      <c r="FZ68" s="113"/>
      <c r="GA68" s="113"/>
      <c r="GB68" s="113"/>
      <c r="GC68" s="113"/>
      <c r="GD68" s="113"/>
      <c r="GE68" s="113"/>
      <c r="GF68" s="113"/>
      <c r="GG68" s="113"/>
      <c r="GH68" s="113"/>
      <c r="GI68" s="113"/>
      <c r="GJ68" s="113"/>
      <c r="GK68" s="113"/>
      <c r="GL68" s="113"/>
      <c r="GM68" s="113"/>
      <c r="GN68" s="113"/>
      <c r="GO68" s="113"/>
      <c r="GP68" s="113"/>
      <c r="GQ68" s="113"/>
      <c r="GR68" s="113"/>
      <c r="GS68" s="113"/>
      <c r="GT68" s="113"/>
      <c r="GU68" s="113"/>
      <c r="GV68" s="113"/>
      <c r="GW68" s="113"/>
      <c r="GX68" s="113"/>
      <c r="GY68" s="113"/>
      <c r="GZ68" s="113"/>
      <c r="HA68" s="113"/>
      <c r="HB68" s="113"/>
      <c r="HC68" s="113"/>
      <c r="HD68" s="113"/>
      <c r="HE68" s="113"/>
      <c r="HF68" s="113"/>
      <c r="HG68" s="113"/>
      <c r="HH68" s="113"/>
      <c r="HI68" s="113"/>
      <c r="HJ68" s="113"/>
      <c r="HK68" s="113"/>
      <c r="HL68" s="113"/>
      <c r="HM68" s="113"/>
      <c r="HN68" s="113"/>
      <c r="HO68" s="113"/>
      <c r="HP68" s="113"/>
      <c r="HQ68" s="113"/>
      <c r="HR68" s="113"/>
      <c r="HS68" s="113"/>
      <c r="HT68" s="113"/>
      <c r="HU68" s="113"/>
      <c r="HV68" s="113"/>
      <c r="HW68" s="113"/>
      <c r="HX68" s="113"/>
      <c r="HY68" s="113"/>
      <c r="HZ68" s="113"/>
      <c r="IA68" s="113"/>
      <c r="IB68" s="113"/>
      <c r="IC68" s="113"/>
      <c r="ID68" s="113"/>
      <c r="IE68" s="113"/>
      <c r="IF68" s="113"/>
      <c r="IG68" s="113"/>
      <c r="IH68" s="113"/>
      <c r="II68" s="113"/>
      <c r="IJ68" s="113"/>
      <c r="IK68" s="113"/>
      <c r="IL68" s="113"/>
      <c r="IM68" s="113"/>
      <c r="IN68" s="113"/>
      <c r="IO68" s="113"/>
      <c r="IP68" s="113"/>
      <c r="IQ68" s="113"/>
      <c r="IR68" s="113"/>
      <c r="IS68" s="113"/>
      <c r="IT68" s="113"/>
      <c r="IU68" s="113"/>
      <c r="IV68" s="113"/>
      <c r="IW68" s="113"/>
      <c r="IX68" s="113"/>
      <c r="IY68" s="113"/>
      <c r="IZ68" s="113"/>
      <c r="JA68" s="113"/>
      <c r="JB68" s="113"/>
      <c r="JC68" s="113"/>
      <c r="JD68" s="113"/>
      <c r="JE68" s="113"/>
      <c r="JF68" s="113"/>
      <c r="JG68" s="113"/>
      <c r="JH68" s="113"/>
      <c r="JI68" s="113"/>
      <c r="JJ68" s="113"/>
      <c r="JK68" s="113"/>
      <c r="JL68" s="113"/>
      <c r="JM68" s="113"/>
      <c r="JN68" s="113"/>
      <c r="JO68" s="113"/>
      <c r="JP68" s="113"/>
      <c r="JQ68" s="113"/>
      <c r="JR68" s="113"/>
      <c r="JS68" s="113"/>
      <c r="JT68" s="113"/>
      <c r="JU68" s="113"/>
      <c r="JV68" s="113"/>
      <c r="JW68" s="113"/>
      <c r="JX68" s="113"/>
      <c r="JY68" s="113"/>
      <c r="JZ68" s="113"/>
      <c r="KA68" s="113"/>
      <c r="KB68" s="113"/>
      <c r="KC68" s="113"/>
      <c r="KD68" s="113"/>
      <c r="KE68" s="113"/>
      <c r="KF68" s="113"/>
      <c r="KG68" s="113"/>
      <c r="KH68" s="113"/>
      <c r="KI68" s="113"/>
      <c r="KJ68" s="113"/>
      <c r="KK68" s="113"/>
      <c r="KL68" s="113"/>
      <c r="KM68" s="113"/>
      <c r="KN68" s="113"/>
      <c r="KO68" s="113"/>
      <c r="KP68" s="113"/>
      <c r="KQ68" s="113"/>
      <c r="KR68" s="113"/>
      <c r="KS68" s="113"/>
      <c r="KT68" s="113"/>
      <c r="KU68" s="113"/>
      <c r="KV68" s="113"/>
      <c r="KW68" s="113"/>
      <c r="KX68" s="113"/>
      <c r="KY68" s="113"/>
      <c r="KZ68" s="113"/>
      <c r="LA68" s="113"/>
      <c r="LB68" s="113"/>
      <c r="LC68" s="113"/>
      <c r="LD68" s="113"/>
      <c r="LE68" s="113"/>
      <c r="LF68" s="113"/>
      <c r="LG68" s="113"/>
      <c r="LH68" s="113"/>
      <c r="LI68" s="113"/>
      <c r="LJ68" s="113"/>
      <c r="LK68" s="113"/>
      <c r="LL68" s="113"/>
      <c r="LM68" s="113"/>
      <c r="LN68" s="113"/>
      <c r="LO68" s="113"/>
      <c r="LP68" s="113"/>
      <c r="LQ68" s="113"/>
      <c r="LR68" s="113"/>
      <c r="LS68" s="113"/>
      <c r="LT68" s="113"/>
      <c r="LU68" s="113"/>
      <c r="LV68" s="113"/>
      <c r="LW68" s="113"/>
      <c r="LX68" s="113"/>
      <c r="LY68" s="113"/>
      <c r="LZ68" s="113"/>
      <c r="MA68" s="113"/>
      <c r="MB68" s="113"/>
      <c r="MC68" s="113"/>
      <c r="MD68" s="113"/>
      <c r="ME68" s="113"/>
      <c r="MF68" s="113"/>
      <c r="MG68" s="113"/>
      <c r="MH68" s="113"/>
      <c r="MI68" s="113"/>
      <c r="MJ68" s="113"/>
      <c r="MK68" s="113"/>
      <c r="ML68" s="113"/>
      <c r="MM68" s="113"/>
      <c r="MN68" s="113"/>
      <c r="MO68" s="113"/>
      <c r="MP68" s="113"/>
      <c r="MQ68" s="113"/>
      <c r="MR68" s="113"/>
      <c r="MS68" s="113"/>
      <c r="MT68" s="113"/>
      <c r="MU68" s="113"/>
      <c r="MV68" s="113"/>
      <c r="MW68" s="113"/>
      <c r="MX68" s="113"/>
      <c r="MY68" s="113"/>
      <c r="MZ68" s="113"/>
      <c r="NA68" s="113"/>
      <c r="NB68" s="113"/>
      <c r="NC68" s="113"/>
      <c r="ND68" s="113"/>
      <c r="NE68" s="113"/>
      <c r="NF68" s="113"/>
      <c r="NG68" s="113"/>
      <c r="NH68" s="113"/>
      <c r="NI68" s="113"/>
      <c r="NJ68" s="113"/>
      <c r="NK68" s="113"/>
      <c r="NL68" s="113"/>
      <c r="NM68" s="113"/>
      <c r="NN68" s="113"/>
      <c r="NO68" s="113"/>
      <c r="NP68" s="113"/>
      <c r="NQ68" s="113"/>
      <c r="NR68" s="113"/>
      <c r="NS68" s="113"/>
      <c r="NT68" s="113"/>
      <c r="NU68" s="113"/>
      <c r="NV68" s="113"/>
      <c r="NW68" s="113"/>
      <c r="NX68" s="113"/>
      <c r="NY68" s="113"/>
      <c r="NZ68" s="113"/>
      <c r="OA68" s="113"/>
      <c r="OB68" s="113"/>
      <c r="OC68" s="113"/>
      <c r="OD68" s="113"/>
      <c r="OE68" s="113"/>
      <c r="OF68" s="113"/>
      <c r="OG68" s="113"/>
      <c r="OH68" s="113"/>
      <c r="OI68" s="113"/>
      <c r="OJ68" s="113"/>
      <c r="OK68" s="113"/>
      <c r="OL68" s="113"/>
      <c r="OM68" s="113"/>
      <c r="ON68" s="113"/>
      <c r="OO68" s="113"/>
      <c r="OP68" s="113"/>
      <c r="OQ68" s="113"/>
      <c r="OR68" s="113"/>
      <c r="OS68" s="113"/>
      <c r="OT68" s="113"/>
      <c r="OU68" s="113"/>
      <c r="OV68" s="113"/>
      <c r="OW68" s="113"/>
      <c r="OX68" s="113"/>
      <c r="OY68" s="113"/>
      <c r="OZ68" s="113"/>
      <c r="PA68" s="113"/>
      <c r="PB68" s="113"/>
      <c r="PC68" s="113"/>
      <c r="PD68" s="113"/>
      <c r="PE68" s="113"/>
      <c r="PF68" s="113"/>
      <c r="PG68" s="113"/>
      <c r="PH68" s="113"/>
      <c r="PI68" s="113"/>
      <c r="PJ68" s="113"/>
      <c r="PK68" s="113"/>
      <c r="PL68" s="113"/>
      <c r="PM68" s="113"/>
      <c r="PN68" s="113"/>
      <c r="PO68" s="113"/>
      <c r="PP68" s="113"/>
      <c r="PQ68" s="113"/>
      <c r="PR68" s="113"/>
      <c r="PS68" s="113"/>
      <c r="PT68" s="113"/>
      <c r="PU68" s="113"/>
      <c r="PV68" s="113"/>
      <c r="PW68" s="113"/>
      <c r="PX68" s="113"/>
      <c r="PY68" s="113"/>
      <c r="PZ68" s="113"/>
      <c r="QA68" s="113"/>
      <c r="QB68" s="113"/>
      <c r="QC68" s="113"/>
      <c r="QD68" s="113"/>
      <c r="QE68" s="113"/>
      <c r="QF68" s="113"/>
      <c r="QG68" s="113"/>
      <c r="QH68" s="113"/>
      <c r="QI68" s="113"/>
      <c r="QJ68" s="113"/>
      <c r="QK68" s="113"/>
      <c r="QL68" s="113"/>
      <c r="QM68" s="113"/>
      <c r="QN68" s="113"/>
      <c r="QO68" s="113"/>
      <c r="QP68" s="113"/>
      <c r="QQ68" s="113"/>
      <c r="QR68" s="113"/>
      <c r="QS68" s="113"/>
      <c r="QT68" s="113"/>
      <c r="QU68" s="113"/>
      <c r="QV68" s="113"/>
      <c r="QW68" s="113"/>
      <c r="QX68" s="113"/>
      <c r="QY68" s="113"/>
      <c r="QZ68" s="113"/>
      <c r="RA68" s="113"/>
      <c r="RB68" s="113"/>
      <c r="RC68" s="113"/>
      <c r="RD68" s="113"/>
      <c r="RE68" s="113"/>
      <c r="RF68" s="113"/>
      <c r="RG68" s="113"/>
      <c r="RH68" s="113"/>
      <c r="RI68" s="113"/>
      <c r="RJ68" s="113"/>
      <c r="RK68" s="113"/>
      <c r="RL68" s="113"/>
      <c r="RM68" s="113"/>
      <c r="RN68" s="113"/>
      <c r="RO68" s="113"/>
      <c r="RP68" s="113"/>
      <c r="RQ68" s="113"/>
      <c r="RR68" s="113"/>
      <c r="RS68" s="113"/>
      <c r="RT68" s="113"/>
      <c r="RU68" s="113"/>
      <c r="RV68" s="113"/>
      <c r="RW68" s="113"/>
      <c r="RX68" s="113"/>
      <c r="RY68" s="113"/>
      <c r="RZ68" s="113"/>
      <c r="SA68" s="113"/>
      <c r="SB68" s="113"/>
      <c r="SC68" s="113"/>
      <c r="SD68" s="113"/>
      <c r="SE68" s="113"/>
      <c r="SF68" s="113"/>
      <c r="SG68" s="113"/>
      <c r="SH68" s="113"/>
      <c r="SI68" s="113"/>
      <c r="SJ68" s="113"/>
      <c r="SK68" s="113"/>
      <c r="SL68" s="113"/>
      <c r="SM68" s="113"/>
      <c r="SN68" s="113"/>
      <c r="SO68" s="113"/>
      <c r="SP68" s="113"/>
      <c r="SQ68" s="113"/>
      <c r="SR68" s="113"/>
      <c r="SS68" s="113"/>
      <c r="ST68" s="113"/>
      <c r="SU68" s="113"/>
      <c r="SV68" s="113"/>
      <c r="SW68" s="113"/>
      <c r="SX68" s="113"/>
      <c r="SY68" s="113"/>
      <c r="SZ68" s="113"/>
      <c r="TA68" s="113"/>
      <c r="TB68" s="113"/>
      <c r="TC68" s="113"/>
      <c r="TD68" s="113"/>
      <c r="TE68" s="113"/>
      <c r="TF68" s="113"/>
      <c r="TG68" s="113"/>
      <c r="TH68" s="113"/>
      <c r="TI68" s="113"/>
      <c r="TJ68" s="113"/>
      <c r="TK68" s="113"/>
      <c r="TL68" s="113"/>
      <c r="TM68" s="113"/>
      <c r="TN68" s="113"/>
      <c r="TO68" s="113"/>
      <c r="TP68" s="113"/>
      <c r="TQ68" s="113"/>
      <c r="TR68" s="113"/>
      <c r="TS68" s="113"/>
      <c r="TT68" s="113"/>
      <c r="TU68" s="113"/>
      <c r="TV68" s="113"/>
      <c r="TW68" s="113"/>
      <c r="TX68" s="113"/>
      <c r="TY68" s="113"/>
      <c r="TZ68" s="113"/>
      <c r="UA68" s="113"/>
      <c r="UB68" s="113"/>
      <c r="UC68" s="113"/>
      <c r="UD68" s="113"/>
      <c r="UE68" s="113"/>
      <c r="UF68" s="113"/>
      <c r="UG68" s="113"/>
      <c r="UH68" s="113"/>
      <c r="UI68" s="113"/>
      <c r="UJ68" s="113"/>
      <c r="UK68" s="113"/>
      <c r="UL68" s="113"/>
      <c r="UM68" s="113"/>
      <c r="UN68" s="113"/>
      <c r="UO68" s="113"/>
      <c r="UP68" s="113"/>
      <c r="UQ68" s="113"/>
      <c r="UR68" s="113"/>
      <c r="US68" s="113"/>
      <c r="UT68" s="113"/>
      <c r="UU68" s="113"/>
      <c r="UV68" s="113"/>
      <c r="UW68" s="113"/>
      <c r="UX68" s="113"/>
      <c r="UY68" s="113"/>
      <c r="UZ68" s="113"/>
      <c r="VA68" s="113"/>
      <c r="VB68" s="113"/>
      <c r="VC68" s="113"/>
      <c r="VD68" s="113"/>
      <c r="VE68" s="113"/>
      <c r="VF68" s="113"/>
      <c r="VG68" s="113"/>
      <c r="VH68" s="113"/>
      <c r="VI68" s="113"/>
      <c r="VJ68" s="113"/>
      <c r="VK68" s="113"/>
      <c r="VL68" s="113"/>
      <c r="VM68" s="113"/>
      <c r="VN68" s="113"/>
      <c r="VO68" s="113"/>
      <c r="VP68" s="113"/>
      <c r="VQ68" s="113"/>
      <c r="VR68" s="113"/>
      <c r="VS68" s="113"/>
      <c r="VT68" s="113"/>
      <c r="VU68" s="113"/>
      <c r="VV68" s="113"/>
      <c r="VW68" s="113"/>
      <c r="VX68" s="113"/>
      <c r="VY68" s="113"/>
      <c r="VZ68" s="113"/>
      <c r="WA68" s="113"/>
      <c r="WB68" s="113"/>
      <c r="WC68" s="113"/>
      <c r="WD68" s="113"/>
      <c r="WE68" s="113"/>
      <c r="WF68" s="113"/>
      <c r="WG68" s="113"/>
      <c r="WH68" s="113"/>
      <c r="WI68" s="113"/>
      <c r="WJ68" s="113"/>
      <c r="WK68" s="113"/>
      <c r="WL68" s="113"/>
      <c r="WM68" s="113"/>
      <c r="WN68" s="113"/>
      <c r="WO68" s="113"/>
      <c r="WP68" s="113"/>
      <c r="WQ68" s="113"/>
      <c r="WR68" s="113"/>
      <c r="WS68" s="113"/>
      <c r="WT68" s="113"/>
      <c r="WU68" s="113"/>
      <c r="WV68" s="113"/>
      <c r="WW68" s="113"/>
      <c r="WX68" s="113"/>
      <c r="WY68" s="113"/>
      <c r="WZ68" s="113"/>
      <c r="XA68" s="113"/>
      <c r="XB68" s="113"/>
      <c r="XC68" s="113"/>
      <c r="XD68" s="113"/>
      <c r="XE68" s="113"/>
      <c r="XF68" s="113"/>
      <c r="XG68" s="113"/>
      <c r="XH68" s="113"/>
      <c r="XI68" s="113"/>
      <c r="XJ68" s="113"/>
      <c r="XK68" s="113"/>
      <c r="XL68" s="113"/>
      <c r="XM68" s="113"/>
      <c r="XN68" s="113"/>
      <c r="XO68" s="113"/>
      <c r="XP68" s="113"/>
      <c r="XQ68" s="113"/>
      <c r="XR68" s="113"/>
      <c r="XS68" s="113"/>
      <c r="XT68" s="113"/>
      <c r="XU68" s="113"/>
      <c r="XV68" s="113"/>
      <c r="XW68" s="113"/>
      <c r="XX68" s="113"/>
      <c r="XY68" s="113"/>
      <c r="XZ68" s="113"/>
      <c r="YA68" s="113"/>
      <c r="YB68" s="113"/>
      <c r="YC68" s="113"/>
      <c r="YD68" s="113"/>
      <c r="YE68" s="113"/>
      <c r="YF68" s="113"/>
      <c r="YG68" s="113"/>
      <c r="YH68" s="113"/>
      <c r="YI68" s="113"/>
      <c r="YJ68" s="113"/>
      <c r="YK68" s="113"/>
      <c r="YL68" s="113"/>
      <c r="YM68" s="113"/>
      <c r="YN68" s="113"/>
      <c r="YO68" s="113"/>
      <c r="YP68" s="113"/>
      <c r="YQ68" s="113"/>
      <c r="YR68" s="113"/>
      <c r="YS68" s="113"/>
      <c r="YT68" s="113"/>
      <c r="YU68" s="113"/>
      <c r="YV68" s="113"/>
      <c r="YW68" s="113"/>
      <c r="YX68" s="113"/>
      <c r="YY68" s="113"/>
      <c r="YZ68" s="113"/>
      <c r="ZA68" s="113"/>
      <c r="ZB68" s="113"/>
      <c r="ZC68" s="113"/>
      <c r="ZD68" s="113"/>
      <c r="ZE68" s="113"/>
      <c r="ZF68" s="113"/>
      <c r="ZG68" s="113"/>
      <c r="ZH68" s="113"/>
      <c r="ZI68" s="113"/>
      <c r="ZJ68" s="113"/>
      <c r="ZK68" s="113"/>
      <c r="ZL68" s="113"/>
      <c r="ZM68" s="113"/>
      <c r="ZN68" s="113"/>
      <c r="ZO68" s="113"/>
      <c r="ZP68" s="113"/>
      <c r="ZQ68" s="113"/>
      <c r="ZR68" s="113"/>
      <c r="ZS68" s="113"/>
      <c r="ZT68" s="113"/>
      <c r="ZU68" s="113"/>
      <c r="ZV68" s="113"/>
      <c r="ZW68" s="113"/>
      <c r="ZX68" s="113"/>
      <c r="ZY68" s="113"/>
      <c r="ZZ68" s="113"/>
      <c r="AAA68" s="113"/>
      <c r="AAB68" s="113"/>
      <c r="AAC68" s="113"/>
      <c r="AAD68" s="113"/>
      <c r="AAE68" s="113"/>
      <c r="AAF68" s="113"/>
      <c r="AAG68" s="113"/>
      <c r="AAH68" s="113"/>
      <c r="AAI68" s="113"/>
      <c r="AAJ68" s="113"/>
      <c r="AAK68" s="113"/>
      <c r="AAL68" s="113"/>
      <c r="AAM68" s="113"/>
      <c r="AAN68" s="113"/>
      <c r="AAO68" s="113"/>
      <c r="AAP68" s="113"/>
      <c r="AAQ68" s="113"/>
      <c r="AAR68" s="113"/>
      <c r="AAS68" s="113"/>
      <c r="AAT68" s="113"/>
      <c r="AAU68" s="113"/>
      <c r="AAV68" s="113"/>
      <c r="AAW68" s="113"/>
      <c r="AAX68" s="113"/>
      <c r="AAY68" s="113"/>
      <c r="AAZ68" s="113"/>
      <c r="ABA68" s="113"/>
      <c r="ABB68" s="113"/>
      <c r="ABC68" s="113"/>
      <c r="ABD68" s="113"/>
      <c r="ABE68" s="113"/>
      <c r="ABF68" s="113"/>
      <c r="ABG68" s="113"/>
      <c r="ABH68" s="113"/>
      <c r="ABI68" s="113"/>
      <c r="ABJ68" s="113"/>
      <c r="ABK68" s="113"/>
      <c r="ABL68" s="113"/>
      <c r="ABM68" s="113"/>
      <c r="ABN68" s="113"/>
      <c r="ABO68" s="113"/>
      <c r="ABP68" s="113"/>
      <c r="ABQ68" s="113"/>
      <c r="ABR68" s="113"/>
      <c r="ABS68" s="113"/>
      <c r="ABT68" s="113"/>
      <c r="ABU68" s="113"/>
      <c r="ABV68" s="113"/>
      <c r="ABW68" s="113"/>
      <c r="ABX68" s="113"/>
      <c r="ABY68" s="113"/>
      <c r="ABZ68" s="113"/>
      <c r="ACA68" s="113"/>
      <c r="ACB68" s="113"/>
      <c r="ACC68" s="113"/>
      <c r="ACD68" s="113"/>
      <c r="ACE68" s="113"/>
      <c r="ACF68" s="113"/>
      <c r="ACG68" s="113"/>
      <c r="ACH68" s="113"/>
      <c r="ACI68" s="113"/>
      <c r="ACJ68" s="113"/>
      <c r="ACK68" s="113"/>
      <c r="ACL68" s="113"/>
      <c r="ACM68" s="113"/>
      <c r="ACN68" s="113"/>
      <c r="ACO68" s="113"/>
      <c r="ACP68" s="113"/>
      <c r="ACQ68" s="113"/>
      <c r="ACR68" s="113"/>
      <c r="ACS68" s="113"/>
      <c r="ACT68" s="113"/>
      <c r="ACU68" s="113"/>
      <c r="ACV68" s="113"/>
      <c r="ACW68" s="113"/>
      <c r="ACX68" s="113"/>
      <c r="ACY68" s="113"/>
      <c r="ACZ68" s="113"/>
      <c r="ADA68" s="113"/>
      <c r="ADB68" s="113"/>
      <c r="ADC68" s="113"/>
      <c r="ADD68" s="113"/>
      <c r="ADE68" s="113"/>
      <c r="ADF68" s="113"/>
      <c r="ADG68" s="113"/>
      <c r="ADH68" s="113"/>
      <c r="ADI68" s="113"/>
      <c r="ADJ68" s="113"/>
      <c r="ADK68" s="113"/>
      <c r="ADL68" s="113"/>
      <c r="ADM68" s="113"/>
      <c r="ADN68" s="113"/>
      <c r="ADO68" s="113"/>
      <c r="ADP68" s="113"/>
      <c r="ADQ68" s="113"/>
      <c r="ADR68" s="113"/>
      <c r="ADS68" s="113"/>
      <c r="ADT68" s="113"/>
      <c r="ADU68" s="113"/>
      <c r="ADV68" s="113"/>
      <c r="ADW68" s="113"/>
      <c r="ADX68" s="113"/>
      <c r="ADY68" s="113"/>
      <c r="ADZ68" s="113"/>
      <c r="AEA68" s="113"/>
      <c r="AEB68" s="113"/>
      <c r="AEC68" s="113"/>
      <c r="AED68" s="113"/>
      <c r="AEE68" s="113"/>
      <c r="AEF68" s="113"/>
      <c r="AEG68" s="113"/>
      <c r="AEH68" s="113"/>
      <c r="AEI68" s="113"/>
      <c r="AEJ68" s="113"/>
      <c r="AEK68" s="113"/>
      <c r="AEL68" s="113"/>
      <c r="AEM68" s="113"/>
      <c r="AEN68" s="113"/>
      <c r="AEO68" s="113"/>
      <c r="AEP68" s="113"/>
      <c r="AEQ68" s="113"/>
      <c r="AER68" s="113"/>
      <c r="AES68" s="113"/>
      <c r="AET68" s="113"/>
      <c r="AEU68" s="113"/>
      <c r="AEV68" s="113"/>
      <c r="AEW68" s="113"/>
      <c r="AEX68" s="113"/>
      <c r="AEY68" s="113"/>
      <c r="AEZ68" s="113"/>
      <c r="AFA68" s="113"/>
      <c r="AFB68" s="113"/>
      <c r="AFC68" s="113"/>
      <c r="AFD68" s="113"/>
      <c r="AFE68" s="113"/>
      <c r="AFF68" s="113"/>
      <c r="AFG68" s="113"/>
      <c r="AFH68" s="113"/>
      <c r="AFI68" s="113"/>
      <c r="AFJ68" s="113"/>
      <c r="AFK68" s="113"/>
      <c r="AFL68" s="113"/>
      <c r="AFM68" s="113"/>
      <c r="AFN68" s="113"/>
      <c r="AFO68" s="113"/>
      <c r="AFP68" s="113"/>
      <c r="AFQ68" s="113"/>
      <c r="AFR68" s="113"/>
      <c r="AFS68" s="113"/>
      <c r="AFT68" s="113"/>
      <c r="AFU68" s="113"/>
      <c r="AFV68" s="113"/>
      <c r="AFW68" s="113"/>
      <c r="AFX68" s="113"/>
      <c r="AFY68" s="113"/>
      <c r="AFZ68" s="113"/>
      <c r="AGA68" s="113"/>
      <c r="AGB68" s="113"/>
      <c r="AGC68" s="113"/>
      <c r="AGD68" s="113"/>
      <c r="AGE68" s="113"/>
      <c r="AGF68" s="113"/>
      <c r="AGG68" s="113"/>
      <c r="AGH68" s="113"/>
      <c r="AGI68" s="113"/>
      <c r="AGJ68" s="113"/>
      <c r="AGK68" s="113"/>
      <c r="AGL68" s="113"/>
      <c r="AGM68" s="113"/>
      <c r="AGN68" s="113"/>
      <c r="AGO68" s="113"/>
      <c r="AGP68" s="113"/>
      <c r="AGQ68" s="113"/>
      <c r="AGR68" s="113"/>
      <c r="AGS68" s="113"/>
      <c r="AGT68" s="113"/>
      <c r="AGU68" s="113"/>
      <c r="AGV68" s="113"/>
      <c r="AGW68" s="113"/>
      <c r="AGX68" s="113"/>
      <c r="AGY68" s="113"/>
      <c r="AGZ68" s="113"/>
      <c r="AHA68" s="113"/>
      <c r="AHB68" s="113"/>
      <c r="AHC68" s="113"/>
      <c r="AHD68" s="113"/>
      <c r="AHE68" s="113"/>
      <c r="AHF68" s="113"/>
      <c r="AHG68" s="113"/>
      <c r="AHH68" s="113"/>
      <c r="AHI68" s="113"/>
      <c r="AHJ68" s="113"/>
      <c r="AHK68" s="113"/>
      <c r="AHL68" s="113"/>
      <c r="AHM68" s="113"/>
      <c r="AHN68" s="113"/>
      <c r="AHO68" s="113"/>
      <c r="AHP68" s="113"/>
      <c r="AHQ68" s="113"/>
      <c r="AHR68" s="113"/>
      <c r="AHS68" s="113"/>
      <c r="AHT68" s="113"/>
      <c r="AHU68" s="113"/>
      <c r="AHV68" s="113"/>
      <c r="AHW68" s="113"/>
      <c r="AHX68" s="113"/>
      <c r="AHY68" s="113"/>
      <c r="AHZ68" s="113"/>
      <c r="AIA68" s="113"/>
      <c r="AIB68" s="113"/>
      <c r="AIC68" s="113"/>
      <c r="AID68" s="113"/>
      <c r="AIE68" s="113"/>
      <c r="AIF68" s="113"/>
      <c r="AIG68" s="113"/>
      <c r="AIH68" s="113"/>
      <c r="AII68" s="113"/>
      <c r="AIJ68" s="113"/>
      <c r="AIK68" s="113"/>
      <c r="AIL68" s="113"/>
      <c r="AIM68" s="113"/>
      <c r="AIN68" s="113"/>
      <c r="AIO68" s="113"/>
      <c r="AIP68" s="113"/>
      <c r="AIQ68" s="113"/>
      <c r="AIR68" s="113"/>
      <c r="AIS68" s="113"/>
      <c r="AIT68" s="113"/>
      <c r="AIU68" s="113"/>
      <c r="AIV68" s="113"/>
      <c r="AIW68" s="113"/>
      <c r="AIX68" s="113"/>
      <c r="AIY68" s="113"/>
      <c r="AIZ68" s="113"/>
      <c r="AJA68" s="113"/>
      <c r="AJB68" s="113"/>
      <c r="AJC68" s="113"/>
      <c r="AJD68" s="113"/>
      <c r="AJE68" s="113"/>
      <c r="AJF68" s="113"/>
      <c r="AJG68" s="113"/>
      <c r="AJH68" s="113"/>
      <c r="AJI68" s="113"/>
      <c r="AJJ68" s="113"/>
      <c r="AJK68" s="113"/>
      <c r="AJL68" s="113"/>
      <c r="AJM68" s="113"/>
      <c r="AJN68" s="113"/>
      <c r="AJO68" s="113"/>
      <c r="AJP68" s="113"/>
      <c r="AJQ68" s="113"/>
      <c r="AJR68" s="113"/>
      <c r="AJS68" s="113"/>
      <c r="AJT68" s="113"/>
      <c r="AJU68" s="113"/>
      <c r="AJV68" s="113"/>
      <c r="AJW68" s="113"/>
      <c r="AJX68" s="113"/>
      <c r="AJY68" s="113"/>
      <c r="AJZ68" s="113"/>
      <c r="AKA68" s="113"/>
      <c r="AKB68" s="113"/>
      <c r="AKC68" s="113"/>
      <c r="AKD68" s="113"/>
      <c r="AKE68" s="113"/>
      <c r="AKF68" s="113"/>
      <c r="AKG68" s="113"/>
      <c r="AKH68" s="113"/>
      <c r="AKI68" s="113"/>
      <c r="AKJ68" s="113"/>
      <c r="AKK68" s="113"/>
      <c r="AKL68" s="113"/>
      <c r="AKM68" s="113"/>
      <c r="AKN68" s="113"/>
      <c r="AKO68" s="113"/>
      <c r="AKP68" s="113"/>
      <c r="AKQ68" s="113"/>
      <c r="AKR68" s="113"/>
      <c r="AKS68" s="113"/>
      <c r="AKT68" s="113"/>
      <c r="AKU68" s="113"/>
      <c r="AKV68" s="113"/>
      <c r="AKW68" s="113"/>
      <c r="AKX68" s="113"/>
      <c r="AKY68" s="113"/>
      <c r="AKZ68" s="113"/>
      <c r="ALA68" s="113"/>
      <c r="ALB68" s="113"/>
      <c r="ALC68" s="113"/>
      <c r="ALD68" s="113"/>
      <c r="ALE68" s="113"/>
      <c r="ALF68" s="113"/>
      <c r="ALG68" s="113"/>
      <c r="ALH68" s="113"/>
      <c r="ALI68" s="113"/>
      <c r="ALJ68" s="113"/>
      <c r="ALK68" s="113"/>
      <c r="ALL68" s="113"/>
      <c r="ALM68" s="113"/>
      <c r="ALN68" s="113"/>
      <c r="ALO68" s="113"/>
      <c r="ALP68" s="113"/>
      <c r="ALQ68" s="113"/>
      <c r="ALR68" s="113"/>
      <c r="ALS68" s="113"/>
      <c r="ALT68" s="113"/>
      <c r="ALU68" s="113"/>
      <c r="ALV68" s="113"/>
      <c r="ALW68" s="113"/>
      <c r="ALX68" s="113"/>
      <c r="ALY68" s="113"/>
      <c r="ALZ68" s="113"/>
    </row>
    <row r="69" spans="1:1014" s="73" customFormat="1" ht="46.8">
      <c r="A69" s="192">
        <v>1</v>
      </c>
      <c r="B69" s="193" t="s">
        <v>359</v>
      </c>
      <c r="C69" s="192">
        <v>5449242</v>
      </c>
      <c r="D69" s="640" t="s">
        <v>441</v>
      </c>
      <c r="E69" s="640"/>
      <c r="F69" s="640"/>
      <c r="G69" s="640"/>
      <c r="H69" s="640"/>
      <c r="I69" s="640"/>
      <c r="J69" s="640"/>
      <c r="K69" s="640"/>
      <c r="L69" s="640"/>
      <c r="M69" s="640"/>
      <c r="N69" s="640"/>
      <c r="O69" s="640"/>
      <c r="P69" s="640"/>
      <c r="Q69" s="640"/>
      <c r="R69" s="640"/>
      <c r="S69" s="640"/>
      <c r="T69" s="640"/>
      <c r="U69" s="640"/>
      <c r="V69" s="640"/>
      <c r="W69" s="640"/>
      <c r="X69" s="640"/>
      <c r="Y69" s="640"/>
    </row>
    <row r="70" spans="1:1014" s="73" customFormat="1" ht="46.8">
      <c r="A70" s="4">
        <v>1</v>
      </c>
      <c r="B70" s="3" t="s">
        <v>358</v>
      </c>
      <c r="C70" s="4" t="s">
        <v>3</v>
      </c>
      <c r="D70" s="4" t="s">
        <v>3</v>
      </c>
      <c r="E70" s="4" t="s">
        <v>3</v>
      </c>
      <c r="F70" s="4" t="s">
        <v>3</v>
      </c>
      <c r="G70" s="4" t="s">
        <v>3</v>
      </c>
      <c r="H70" s="4" t="s">
        <v>3</v>
      </c>
      <c r="I70" s="4" t="s">
        <v>3</v>
      </c>
      <c r="J70" s="4" t="s">
        <v>3</v>
      </c>
      <c r="K70" s="4" t="s">
        <v>3</v>
      </c>
      <c r="L70" s="4" t="s">
        <v>3</v>
      </c>
      <c r="M70" s="4" t="s">
        <v>3</v>
      </c>
      <c r="N70" s="4" t="s">
        <v>3</v>
      </c>
      <c r="O70" s="4" t="s">
        <v>3</v>
      </c>
      <c r="P70" s="4" t="s">
        <v>3</v>
      </c>
      <c r="Q70" s="4" t="s">
        <v>3</v>
      </c>
      <c r="R70" s="4" t="s">
        <v>3</v>
      </c>
      <c r="S70" s="4" t="s">
        <v>3</v>
      </c>
      <c r="T70" s="4" t="s">
        <v>3</v>
      </c>
      <c r="U70" s="4" t="s">
        <v>3</v>
      </c>
      <c r="V70" s="4" t="s">
        <v>3</v>
      </c>
      <c r="W70" s="4" t="s">
        <v>3</v>
      </c>
      <c r="X70" s="4" t="s">
        <v>3</v>
      </c>
      <c r="Y70" s="4" t="s">
        <v>3</v>
      </c>
    </row>
    <row r="71" spans="1:1014" s="114" customFormat="1" ht="21" customHeight="1">
      <c r="A71" s="639" t="s">
        <v>4</v>
      </c>
      <c r="B71" s="639"/>
      <c r="C71" s="639"/>
      <c r="D71" s="639"/>
      <c r="E71" s="639"/>
      <c r="F71" s="639"/>
      <c r="G71" s="639"/>
      <c r="H71" s="639"/>
      <c r="I71" s="639"/>
      <c r="J71" s="639"/>
      <c r="K71" s="194">
        <f>K68+K62</f>
        <v>606703.12</v>
      </c>
      <c r="L71" s="194">
        <f t="shared" ref="L71:W71" si="1">L68+L62</f>
        <v>315812.31</v>
      </c>
      <c r="M71" s="194">
        <f t="shared" si="1"/>
        <v>864884.96999999986</v>
      </c>
      <c r="N71" s="194">
        <f t="shared" si="1"/>
        <v>254299.06</v>
      </c>
      <c r="O71" s="194">
        <f t="shared" si="1"/>
        <v>152660.49</v>
      </c>
      <c r="P71" s="194">
        <f t="shared" si="1"/>
        <v>52078.28</v>
      </c>
      <c r="Q71" s="194">
        <f t="shared" si="1"/>
        <v>162372.95000000001</v>
      </c>
      <c r="R71" s="194">
        <f t="shared" si="1"/>
        <v>53728.59</v>
      </c>
      <c r="S71" s="194">
        <f t="shared" si="1"/>
        <v>236892.32</v>
      </c>
      <c r="T71" s="194">
        <f t="shared" si="1"/>
        <v>65958.12999999999</v>
      </c>
      <c r="U71" s="194">
        <f t="shared" si="1"/>
        <v>313341.63</v>
      </c>
      <c r="V71" s="194">
        <f t="shared" si="1"/>
        <v>82535.58</v>
      </c>
      <c r="W71" s="194">
        <f t="shared" si="1"/>
        <v>5107.97</v>
      </c>
      <c r="X71" s="180" t="s">
        <v>3</v>
      </c>
      <c r="Y71" s="180" t="s">
        <v>3</v>
      </c>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c r="ES71" s="113"/>
      <c r="ET71" s="113"/>
      <c r="EU71" s="113"/>
      <c r="EV71" s="113"/>
      <c r="EW71" s="113"/>
      <c r="EX71" s="113"/>
      <c r="EY71" s="113"/>
      <c r="EZ71" s="113"/>
      <c r="FA71" s="113"/>
      <c r="FB71" s="113"/>
      <c r="FC71" s="113"/>
      <c r="FD71" s="113"/>
      <c r="FE71" s="113"/>
      <c r="FF71" s="113"/>
      <c r="FG71" s="113"/>
      <c r="FH71" s="113"/>
      <c r="FI71" s="113"/>
      <c r="FJ71" s="113"/>
      <c r="FK71" s="113"/>
      <c r="FL71" s="113"/>
      <c r="FM71" s="113"/>
      <c r="FN71" s="113"/>
      <c r="FO71" s="113"/>
      <c r="FP71" s="113"/>
      <c r="FQ71" s="113"/>
      <c r="FR71" s="113"/>
      <c r="FS71" s="113"/>
      <c r="FT71" s="113"/>
      <c r="FU71" s="113"/>
      <c r="FV71" s="113"/>
      <c r="FW71" s="113"/>
      <c r="FX71" s="113"/>
      <c r="FY71" s="113"/>
      <c r="FZ71" s="113"/>
      <c r="GA71" s="113"/>
      <c r="GB71" s="113"/>
      <c r="GC71" s="113"/>
      <c r="GD71" s="113"/>
      <c r="GE71" s="113"/>
      <c r="GF71" s="113"/>
      <c r="GG71" s="113"/>
      <c r="GH71" s="113"/>
      <c r="GI71" s="113"/>
      <c r="GJ71" s="113"/>
      <c r="GK71" s="113"/>
      <c r="GL71" s="113"/>
      <c r="GM71" s="113"/>
      <c r="GN71" s="113"/>
      <c r="GO71" s="113"/>
      <c r="GP71" s="113"/>
      <c r="GQ71" s="113"/>
      <c r="GR71" s="113"/>
      <c r="GS71" s="113"/>
      <c r="GT71" s="113"/>
      <c r="GU71" s="113"/>
      <c r="GV71" s="113"/>
      <c r="GW71" s="113"/>
      <c r="GX71" s="113"/>
      <c r="GY71" s="113"/>
      <c r="GZ71" s="113"/>
      <c r="HA71" s="113"/>
      <c r="HB71" s="113"/>
      <c r="HC71" s="113"/>
      <c r="HD71" s="113"/>
      <c r="HE71" s="113"/>
      <c r="HF71" s="113"/>
      <c r="HG71" s="113"/>
      <c r="HH71" s="113"/>
      <c r="HI71" s="113"/>
      <c r="HJ71" s="113"/>
      <c r="HK71" s="113"/>
      <c r="HL71" s="113"/>
      <c r="HM71" s="113"/>
      <c r="HN71" s="113"/>
      <c r="HO71" s="113"/>
      <c r="HP71" s="113"/>
      <c r="HQ71" s="113"/>
      <c r="HR71" s="113"/>
      <c r="HS71" s="113"/>
      <c r="HT71" s="113"/>
      <c r="HU71" s="113"/>
      <c r="HV71" s="113"/>
      <c r="HW71" s="113"/>
      <c r="HX71" s="113"/>
      <c r="HY71" s="113"/>
      <c r="HZ71" s="113"/>
      <c r="IA71" s="113"/>
      <c r="IB71" s="113"/>
      <c r="IC71" s="113"/>
      <c r="ID71" s="113"/>
      <c r="IE71" s="113"/>
      <c r="IF71" s="113"/>
      <c r="IG71" s="113"/>
      <c r="IH71" s="113"/>
      <c r="II71" s="113"/>
      <c r="IJ71" s="113"/>
      <c r="IK71" s="113"/>
      <c r="IL71" s="113"/>
      <c r="IM71" s="113"/>
      <c r="IN71" s="113"/>
      <c r="IO71" s="113"/>
      <c r="IP71" s="113"/>
      <c r="IQ71" s="113"/>
      <c r="IR71" s="113"/>
      <c r="IS71" s="113"/>
      <c r="IT71" s="113"/>
      <c r="IU71" s="113"/>
      <c r="IV71" s="113"/>
      <c r="IW71" s="113"/>
      <c r="IX71" s="113"/>
      <c r="IY71" s="113"/>
      <c r="IZ71" s="113"/>
      <c r="JA71" s="113"/>
      <c r="JB71" s="113"/>
      <c r="JC71" s="113"/>
      <c r="JD71" s="113"/>
      <c r="JE71" s="113"/>
      <c r="JF71" s="113"/>
      <c r="JG71" s="113"/>
      <c r="JH71" s="113"/>
      <c r="JI71" s="113"/>
      <c r="JJ71" s="113"/>
      <c r="JK71" s="113"/>
      <c r="JL71" s="113"/>
      <c r="JM71" s="113"/>
      <c r="JN71" s="113"/>
      <c r="JO71" s="113"/>
      <c r="JP71" s="113"/>
      <c r="JQ71" s="113"/>
      <c r="JR71" s="113"/>
      <c r="JS71" s="113"/>
      <c r="JT71" s="113"/>
      <c r="JU71" s="113"/>
      <c r="JV71" s="113"/>
      <c r="JW71" s="113"/>
      <c r="JX71" s="113"/>
      <c r="JY71" s="113"/>
      <c r="JZ71" s="113"/>
      <c r="KA71" s="113"/>
      <c r="KB71" s="113"/>
      <c r="KC71" s="113"/>
      <c r="KD71" s="113"/>
      <c r="KE71" s="113"/>
      <c r="KF71" s="113"/>
      <c r="KG71" s="113"/>
      <c r="KH71" s="113"/>
      <c r="KI71" s="113"/>
      <c r="KJ71" s="113"/>
      <c r="KK71" s="113"/>
      <c r="KL71" s="113"/>
      <c r="KM71" s="113"/>
      <c r="KN71" s="113"/>
      <c r="KO71" s="113"/>
      <c r="KP71" s="113"/>
      <c r="KQ71" s="113"/>
      <c r="KR71" s="113"/>
      <c r="KS71" s="113"/>
      <c r="KT71" s="113"/>
      <c r="KU71" s="113"/>
      <c r="KV71" s="113"/>
      <c r="KW71" s="113"/>
      <c r="KX71" s="113"/>
      <c r="KY71" s="113"/>
      <c r="KZ71" s="113"/>
      <c r="LA71" s="113"/>
      <c r="LB71" s="113"/>
      <c r="LC71" s="113"/>
      <c r="LD71" s="113"/>
      <c r="LE71" s="113"/>
      <c r="LF71" s="113"/>
      <c r="LG71" s="113"/>
      <c r="LH71" s="113"/>
      <c r="LI71" s="113"/>
      <c r="LJ71" s="113"/>
      <c r="LK71" s="113"/>
      <c r="LL71" s="113"/>
      <c r="LM71" s="113"/>
      <c r="LN71" s="113"/>
      <c r="LO71" s="113"/>
      <c r="LP71" s="113"/>
      <c r="LQ71" s="113"/>
      <c r="LR71" s="113"/>
      <c r="LS71" s="113"/>
      <c r="LT71" s="113"/>
      <c r="LU71" s="113"/>
      <c r="LV71" s="113"/>
      <c r="LW71" s="113"/>
      <c r="LX71" s="113"/>
      <c r="LY71" s="113"/>
      <c r="LZ71" s="113"/>
      <c r="MA71" s="113"/>
      <c r="MB71" s="113"/>
      <c r="MC71" s="113"/>
      <c r="MD71" s="113"/>
      <c r="ME71" s="113"/>
      <c r="MF71" s="113"/>
      <c r="MG71" s="113"/>
      <c r="MH71" s="113"/>
      <c r="MI71" s="113"/>
      <c r="MJ71" s="113"/>
      <c r="MK71" s="113"/>
      <c r="ML71" s="113"/>
      <c r="MM71" s="113"/>
      <c r="MN71" s="113"/>
      <c r="MO71" s="113"/>
      <c r="MP71" s="113"/>
      <c r="MQ71" s="113"/>
      <c r="MR71" s="113"/>
      <c r="MS71" s="113"/>
      <c r="MT71" s="113"/>
      <c r="MU71" s="113"/>
      <c r="MV71" s="113"/>
      <c r="MW71" s="113"/>
      <c r="MX71" s="113"/>
      <c r="MY71" s="113"/>
      <c r="MZ71" s="113"/>
      <c r="NA71" s="113"/>
      <c r="NB71" s="113"/>
      <c r="NC71" s="113"/>
      <c r="ND71" s="113"/>
      <c r="NE71" s="113"/>
      <c r="NF71" s="113"/>
      <c r="NG71" s="113"/>
      <c r="NH71" s="113"/>
      <c r="NI71" s="113"/>
      <c r="NJ71" s="113"/>
      <c r="NK71" s="113"/>
      <c r="NL71" s="113"/>
      <c r="NM71" s="113"/>
      <c r="NN71" s="113"/>
      <c r="NO71" s="113"/>
      <c r="NP71" s="113"/>
      <c r="NQ71" s="113"/>
      <c r="NR71" s="113"/>
      <c r="NS71" s="113"/>
      <c r="NT71" s="113"/>
      <c r="NU71" s="113"/>
      <c r="NV71" s="113"/>
      <c r="NW71" s="113"/>
      <c r="NX71" s="113"/>
      <c r="NY71" s="113"/>
      <c r="NZ71" s="113"/>
      <c r="OA71" s="113"/>
      <c r="OB71" s="113"/>
      <c r="OC71" s="113"/>
      <c r="OD71" s="113"/>
      <c r="OE71" s="113"/>
      <c r="OF71" s="113"/>
      <c r="OG71" s="113"/>
      <c r="OH71" s="113"/>
      <c r="OI71" s="113"/>
      <c r="OJ71" s="113"/>
      <c r="OK71" s="113"/>
      <c r="OL71" s="113"/>
      <c r="OM71" s="113"/>
      <c r="ON71" s="113"/>
      <c r="OO71" s="113"/>
      <c r="OP71" s="113"/>
      <c r="OQ71" s="113"/>
      <c r="OR71" s="113"/>
      <c r="OS71" s="113"/>
      <c r="OT71" s="113"/>
      <c r="OU71" s="113"/>
      <c r="OV71" s="113"/>
      <c r="OW71" s="113"/>
      <c r="OX71" s="113"/>
      <c r="OY71" s="113"/>
      <c r="OZ71" s="113"/>
      <c r="PA71" s="113"/>
      <c r="PB71" s="113"/>
      <c r="PC71" s="113"/>
      <c r="PD71" s="113"/>
      <c r="PE71" s="113"/>
      <c r="PF71" s="113"/>
      <c r="PG71" s="113"/>
      <c r="PH71" s="113"/>
      <c r="PI71" s="113"/>
      <c r="PJ71" s="113"/>
      <c r="PK71" s="113"/>
      <c r="PL71" s="113"/>
      <c r="PM71" s="113"/>
      <c r="PN71" s="113"/>
      <c r="PO71" s="113"/>
      <c r="PP71" s="113"/>
      <c r="PQ71" s="113"/>
      <c r="PR71" s="113"/>
      <c r="PS71" s="113"/>
      <c r="PT71" s="113"/>
      <c r="PU71" s="113"/>
      <c r="PV71" s="113"/>
      <c r="PW71" s="113"/>
      <c r="PX71" s="113"/>
      <c r="PY71" s="113"/>
      <c r="PZ71" s="113"/>
      <c r="QA71" s="113"/>
      <c r="QB71" s="113"/>
      <c r="QC71" s="113"/>
      <c r="QD71" s="113"/>
      <c r="QE71" s="113"/>
      <c r="QF71" s="113"/>
      <c r="QG71" s="113"/>
      <c r="QH71" s="113"/>
      <c r="QI71" s="113"/>
      <c r="QJ71" s="113"/>
      <c r="QK71" s="113"/>
      <c r="QL71" s="113"/>
      <c r="QM71" s="113"/>
      <c r="QN71" s="113"/>
      <c r="QO71" s="113"/>
      <c r="QP71" s="113"/>
      <c r="QQ71" s="113"/>
      <c r="QR71" s="113"/>
      <c r="QS71" s="113"/>
      <c r="QT71" s="113"/>
      <c r="QU71" s="113"/>
      <c r="QV71" s="113"/>
      <c r="QW71" s="113"/>
      <c r="QX71" s="113"/>
      <c r="QY71" s="113"/>
      <c r="QZ71" s="113"/>
      <c r="RA71" s="113"/>
      <c r="RB71" s="113"/>
      <c r="RC71" s="113"/>
      <c r="RD71" s="113"/>
      <c r="RE71" s="113"/>
      <c r="RF71" s="113"/>
      <c r="RG71" s="113"/>
      <c r="RH71" s="113"/>
      <c r="RI71" s="113"/>
      <c r="RJ71" s="113"/>
      <c r="RK71" s="113"/>
      <c r="RL71" s="113"/>
      <c r="RM71" s="113"/>
      <c r="RN71" s="113"/>
      <c r="RO71" s="113"/>
      <c r="RP71" s="113"/>
      <c r="RQ71" s="113"/>
      <c r="RR71" s="113"/>
      <c r="RS71" s="113"/>
      <c r="RT71" s="113"/>
      <c r="RU71" s="113"/>
      <c r="RV71" s="113"/>
      <c r="RW71" s="113"/>
      <c r="RX71" s="113"/>
      <c r="RY71" s="113"/>
      <c r="RZ71" s="113"/>
      <c r="SA71" s="113"/>
      <c r="SB71" s="113"/>
      <c r="SC71" s="113"/>
      <c r="SD71" s="113"/>
      <c r="SE71" s="113"/>
      <c r="SF71" s="113"/>
      <c r="SG71" s="113"/>
      <c r="SH71" s="113"/>
      <c r="SI71" s="113"/>
      <c r="SJ71" s="113"/>
      <c r="SK71" s="113"/>
      <c r="SL71" s="113"/>
      <c r="SM71" s="113"/>
      <c r="SN71" s="113"/>
      <c r="SO71" s="113"/>
      <c r="SP71" s="113"/>
      <c r="SQ71" s="113"/>
      <c r="SR71" s="113"/>
      <c r="SS71" s="113"/>
      <c r="ST71" s="113"/>
      <c r="SU71" s="113"/>
      <c r="SV71" s="113"/>
      <c r="SW71" s="113"/>
      <c r="SX71" s="113"/>
      <c r="SY71" s="113"/>
      <c r="SZ71" s="113"/>
      <c r="TA71" s="113"/>
      <c r="TB71" s="113"/>
      <c r="TC71" s="113"/>
      <c r="TD71" s="113"/>
      <c r="TE71" s="113"/>
      <c r="TF71" s="113"/>
      <c r="TG71" s="113"/>
      <c r="TH71" s="113"/>
      <c r="TI71" s="113"/>
      <c r="TJ71" s="113"/>
      <c r="TK71" s="113"/>
      <c r="TL71" s="113"/>
      <c r="TM71" s="113"/>
      <c r="TN71" s="113"/>
      <c r="TO71" s="113"/>
      <c r="TP71" s="113"/>
      <c r="TQ71" s="113"/>
      <c r="TR71" s="113"/>
      <c r="TS71" s="113"/>
      <c r="TT71" s="113"/>
      <c r="TU71" s="113"/>
      <c r="TV71" s="113"/>
      <c r="TW71" s="113"/>
      <c r="TX71" s="113"/>
      <c r="TY71" s="113"/>
      <c r="TZ71" s="113"/>
      <c r="UA71" s="113"/>
      <c r="UB71" s="113"/>
      <c r="UC71" s="113"/>
      <c r="UD71" s="113"/>
      <c r="UE71" s="113"/>
      <c r="UF71" s="113"/>
      <c r="UG71" s="113"/>
      <c r="UH71" s="113"/>
      <c r="UI71" s="113"/>
      <c r="UJ71" s="113"/>
      <c r="UK71" s="113"/>
      <c r="UL71" s="113"/>
      <c r="UM71" s="113"/>
      <c r="UN71" s="113"/>
      <c r="UO71" s="113"/>
      <c r="UP71" s="113"/>
      <c r="UQ71" s="113"/>
      <c r="UR71" s="113"/>
      <c r="US71" s="113"/>
      <c r="UT71" s="113"/>
      <c r="UU71" s="113"/>
      <c r="UV71" s="113"/>
      <c r="UW71" s="113"/>
      <c r="UX71" s="113"/>
      <c r="UY71" s="113"/>
      <c r="UZ71" s="113"/>
      <c r="VA71" s="113"/>
      <c r="VB71" s="113"/>
      <c r="VC71" s="113"/>
      <c r="VD71" s="113"/>
      <c r="VE71" s="113"/>
      <c r="VF71" s="113"/>
      <c r="VG71" s="113"/>
      <c r="VH71" s="113"/>
      <c r="VI71" s="113"/>
      <c r="VJ71" s="113"/>
      <c r="VK71" s="113"/>
      <c r="VL71" s="113"/>
      <c r="VM71" s="113"/>
      <c r="VN71" s="113"/>
      <c r="VO71" s="113"/>
      <c r="VP71" s="113"/>
      <c r="VQ71" s="113"/>
      <c r="VR71" s="113"/>
      <c r="VS71" s="113"/>
      <c r="VT71" s="113"/>
      <c r="VU71" s="113"/>
      <c r="VV71" s="113"/>
      <c r="VW71" s="113"/>
      <c r="VX71" s="113"/>
      <c r="VY71" s="113"/>
      <c r="VZ71" s="113"/>
      <c r="WA71" s="113"/>
      <c r="WB71" s="113"/>
      <c r="WC71" s="113"/>
      <c r="WD71" s="113"/>
      <c r="WE71" s="113"/>
      <c r="WF71" s="113"/>
      <c r="WG71" s="113"/>
      <c r="WH71" s="113"/>
      <c r="WI71" s="113"/>
      <c r="WJ71" s="113"/>
      <c r="WK71" s="113"/>
      <c r="WL71" s="113"/>
      <c r="WM71" s="113"/>
      <c r="WN71" s="113"/>
      <c r="WO71" s="113"/>
      <c r="WP71" s="113"/>
      <c r="WQ71" s="113"/>
      <c r="WR71" s="113"/>
      <c r="WS71" s="113"/>
      <c r="WT71" s="113"/>
      <c r="WU71" s="113"/>
      <c r="WV71" s="113"/>
      <c r="WW71" s="113"/>
      <c r="WX71" s="113"/>
      <c r="WY71" s="113"/>
      <c r="WZ71" s="113"/>
      <c r="XA71" s="113"/>
      <c r="XB71" s="113"/>
      <c r="XC71" s="113"/>
      <c r="XD71" s="113"/>
      <c r="XE71" s="113"/>
      <c r="XF71" s="113"/>
      <c r="XG71" s="113"/>
      <c r="XH71" s="113"/>
      <c r="XI71" s="113"/>
      <c r="XJ71" s="113"/>
      <c r="XK71" s="113"/>
      <c r="XL71" s="113"/>
      <c r="XM71" s="113"/>
      <c r="XN71" s="113"/>
      <c r="XO71" s="113"/>
      <c r="XP71" s="113"/>
      <c r="XQ71" s="113"/>
      <c r="XR71" s="113"/>
      <c r="XS71" s="113"/>
      <c r="XT71" s="113"/>
      <c r="XU71" s="113"/>
      <c r="XV71" s="113"/>
      <c r="XW71" s="113"/>
      <c r="XX71" s="113"/>
      <c r="XY71" s="113"/>
      <c r="XZ71" s="113"/>
      <c r="YA71" s="113"/>
      <c r="YB71" s="113"/>
      <c r="YC71" s="113"/>
      <c r="YD71" s="113"/>
      <c r="YE71" s="113"/>
      <c r="YF71" s="113"/>
      <c r="YG71" s="113"/>
      <c r="YH71" s="113"/>
      <c r="YI71" s="113"/>
      <c r="YJ71" s="113"/>
      <c r="YK71" s="113"/>
      <c r="YL71" s="113"/>
      <c r="YM71" s="113"/>
      <c r="YN71" s="113"/>
      <c r="YO71" s="113"/>
      <c r="YP71" s="113"/>
      <c r="YQ71" s="113"/>
      <c r="YR71" s="113"/>
      <c r="YS71" s="113"/>
      <c r="YT71" s="113"/>
      <c r="YU71" s="113"/>
      <c r="YV71" s="113"/>
      <c r="YW71" s="113"/>
      <c r="YX71" s="113"/>
      <c r="YY71" s="113"/>
      <c r="YZ71" s="113"/>
      <c r="ZA71" s="113"/>
      <c r="ZB71" s="113"/>
      <c r="ZC71" s="113"/>
      <c r="ZD71" s="113"/>
      <c r="ZE71" s="113"/>
      <c r="ZF71" s="113"/>
      <c r="ZG71" s="113"/>
      <c r="ZH71" s="113"/>
      <c r="ZI71" s="113"/>
      <c r="ZJ71" s="113"/>
      <c r="ZK71" s="113"/>
      <c r="ZL71" s="113"/>
      <c r="ZM71" s="113"/>
      <c r="ZN71" s="113"/>
      <c r="ZO71" s="113"/>
      <c r="ZP71" s="113"/>
      <c r="ZQ71" s="113"/>
      <c r="ZR71" s="113"/>
      <c r="ZS71" s="113"/>
      <c r="ZT71" s="113"/>
      <c r="ZU71" s="113"/>
      <c r="ZV71" s="113"/>
      <c r="ZW71" s="113"/>
      <c r="ZX71" s="113"/>
      <c r="ZY71" s="113"/>
      <c r="ZZ71" s="113"/>
      <c r="AAA71" s="113"/>
      <c r="AAB71" s="113"/>
      <c r="AAC71" s="113"/>
      <c r="AAD71" s="113"/>
      <c r="AAE71" s="113"/>
      <c r="AAF71" s="113"/>
      <c r="AAG71" s="113"/>
      <c r="AAH71" s="113"/>
      <c r="AAI71" s="113"/>
      <c r="AAJ71" s="113"/>
      <c r="AAK71" s="113"/>
      <c r="AAL71" s="113"/>
      <c r="AAM71" s="113"/>
      <c r="AAN71" s="113"/>
      <c r="AAO71" s="113"/>
      <c r="AAP71" s="113"/>
      <c r="AAQ71" s="113"/>
      <c r="AAR71" s="113"/>
      <c r="AAS71" s="113"/>
      <c r="AAT71" s="113"/>
      <c r="AAU71" s="113"/>
      <c r="AAV71" s="113"/>
      <c r="AAW71" s="113"/>
      <c r="AAX71" s="113"/>
      <c r="AAY71" s="113"/>
      <c r="AAZ71" s="113"/>
      <c r="ABA71" s="113"/>
      <c r="ABB71" s="113"/>
      <c r="ABC71" s="113"/>
      <c r="ABD71" s="113"/>
      <c r="ABE71" s="113"/>
      <c r="ABF71" s="113"/>
      <c r="ABG71" s="113"/>
      <c r="ABH71" s="113"/>
      <c r="ABI71" s="113"/>
      <c r="ABJ71" s="113"/>
      <c r="ABK71" s="113"/>
      <c r="ABL71" s="113"/>
      <c r="ABM71" s="113"/>
      <c r="ABN71" s="113"/>
      <c r="ABO71" s="113"/>
      <c r="ABP71" s="113"/>
      <c r="ABQ71" s="113"/>
      <c r="ABR71" s="113"/>
      <c r="ABS71" s="113"/>
      <c r="ABT71" s="113"/>
      <c r="ABU71" s="113"/>
      <c r="ABV71" s="113"/>
      <c r="ABW71" s="113"/>
      <c r="ABX71" s="113"/>
      <c r="ABY71" s="113"/>
      <c r="ABZ71" s="113"/>
      <c r="ACA71" s="113"/>
      <c r="ACB71" s="113"/>
      <c r="ACC71" s="113"/>
      <c r="ACD71" s="113"/>
      <c r="ACE71" s="113"/>
      <c r="ACF71" s="113"/>
      <c r="ACG71" s="113"/>
      <c r="ACH71" s="113"/>
      <c r="ACI71" s="113"/>
      <c r="ACJ71" s="113"/>
      <c r="ACK71" s="113"/>
      <c r="ACL71" s="113"/>
      <c r="ACM71" s="113"/>
      <c r="ACN71" s="113"/>
      <c r="ACO71" s="113"/>
      <c r="ACP71" s="113"/>
      <c r="ACQ71" s="113"/>
      <c r="ACR71" s="113"/>
      <c r="ACS71" s="113"/>
      <c r="ACT71" s="113"/>
      <c r="ACU71" s="113"/>
      <c r="ACV71" s="113"/>
      <c r="ACW71" s="113"/>
      <c r="ACX71" s="113"/>
      <c r="ACY71" s="113"/>
      <c r="ACZ71" s="113"/>
      <c r="ADA71" s="113"/>
      <c r="ADB71" s="113"/>
      <c r="ADC71" s="113"/>
      <c r="ADD71" s="113"/>
      <c r="ADE71" s="113"/>
      <c r="ADF71" s="113"/>
      <c r="ADG71" s="113"/>
      <c r="ADH71" s="113"/>
      <c r="ADI71" s="113"/>
      <c r="ADJ71" s="113"/>
      <c r="ADK71" s="113"/>
      <c r="ADL71" s="113"/>
      <c r="ADM71" s="113"/>
      <c r="ADN71" s="113"/>
      <c r="ADO71" s="113"/>
      <c r="ADP71" s="113"/>
      <c r="ADQ71" s="113"/>
      <c r="ADR71" s="113"/>
      <c r="ADS71" s="113"/>
      <c r="ADT71" s="113"/>
      <c r="ADU71" s="113"/>
      <c r="ADV71" s="113"/>
      <c r="ADW71" s="113"/>
      <c r="ADX71" s="113"/>
      <c r="ADY71" s="113"/>
      <c r="ADZ71" s="113"/>
      <c r="AEA71" s="113"/>
      <c r="AEB71" s="113"/>
      <c r="AEC71" s="113"/>
      <c r="AED71" s="113"/>
      <c r="AEE71" s="113"/>
      <c r="AEF71" s="113"/>
      <c r="AEG71" s="113"/>
      <c r="AEH71" s="113"/>
      <c r="AEI71" s="113"/>
      <c r="AEJ71" s="113"/>
      <c r="AEK71" s="113"/>
      <c r="AEL71" s="113"/>
      <c r="AEM71" s="113"/>
      <c r="AEN71" s="113"/>
      <c r="AEO71" s="113"/>
      <c r="AEP71" s="113"/>
      <c r="AEQ71" s="113"/>
      <c r="AER71" s="113"/>
      <c r="AES71" s="113"/>
      <c r="AET71" s="113"/>
      <c r="AEU71" s="113"/>
      <c r="AEV71" s="113"/>
      <c r="AEW71" s="113"/>
      <c r="AEX71" s="113"/>
      <c r="AEY71" s="113"/>
      <c r="AEZ71" s="113"/>
      <c r="AFA71" s="113"/>
      <c r="AFB71" s="113"/>
      <c r="AFC71" s="113"/>
      <c r="AFD71" s="113"/>
      <c r="AFE71" s="113"/>
      <c r="AFF71" s="113"/>
      <c r="AFG71" s="113"/>
      <c r="AFH71" s="113"/>
      <c r="AFI71" s="113"/>
      <c r="AFJ71" s="113"/>
      <c r="AFK71" s="113"/>
      <c r="AFL71" s="113"/>
      <c r="AFM71" s="113"/>
      <c r="AFN71" s="113"/>
      <c r="AFO71" s="113"/>
      <c r="AFP71" s="113"/>
      <c r="AFQ71" s="113"/>
      <c r="AFR71" s="113"/>
      <c r="AFS71" s="113"/>
      <c r="AFT71" s="113"/>
      <c r="AFU71" s="113"/>
      <c r="AFV71" s="113"/>
      <c r="AFW71" s="113"/>
      <c r="AFX71" s="113"/>
      <c r="AFY71" s="113"/>
      <c r="AFZ71" s="113"/>
      <c r="AGA71" s="113"/>
      <c r="AGB71" s="113"/>
      <c r="AGC71" s="113"/>
      <c r="AGD71" s="113"/>
      <c r="AGE71" s="113"/>
      <c r="AGF71" s="113"/>
      <c r="AGG71" s="113"/>
      <c r="AGH71" s="113"/>
      <c r="AGI71" s="113"/>
      <c r="AGJ71" s="113"/>
      <c r="AGK71" s="113"/>
      <c r="AGL71" s="113"/>
      <c r="AGM71" s="113"/>
      <c r="AGN71" s="113"/>
      <c r="AGO71" s="113"/>
      <c r="AGP71" s="113"/>
      <c r="AGQ71" s="113"/>
      <c r="AGR71" s="113"/>
      <c r="AGS71" s="113"/>
      <c r="AGT71" s="113"/>
      <c r="AGU71" s="113"/>
      <c r="AGV71" s="113"/>
      <c r="AGW71" s="113"/>
      <c r="AGX71" s="113"/>
      <c r="AGY71" s="113"/>
      <c r="AGZ71" s="113"/>
      <c r="AHA71" s="113"/>
      <c r="AHB71" s="113"/>
      <c r="AHC71" s="113"/>
      <c r="AHD71" s="113"/>
      <c r="AHE71" s="113"/>
      <c r="AHF71" s="113"/>
      <c r="AHG71" s="113"/>
      <c r="AHH71" s="113"/>
      <c r="AHI71" s="113"/>
      <c r="AHJ71" s="113"/>
      <c r="AHK71" s="113"/>
      <c r="AHL71" s="113"/>
      <c r="AHM71" s="113"/>
      <c r="AHN71" s="113"/>
      <c r="AHO71" s="113"/>
      <c r="AHP71" s="113"/>
      <c r="AHQ71" s="113"/>
      <c r="AHR71" s="113"/>
      <c r="AHS71" s="113"/>
      <c r="AHT71" s="113"/>
      <c r="AHU71" s="113"/>
      <c r="AHV71" s="113"/>
      <c r="AHW71" s="113"/>
      <c r="AHX71" s="113"/>
      <c r="AHY71" s="113"/>
      <c r="AHZ71" s="113"/>
      <c r="AIA71" s="113"/>
      <c r="AIB71" s="113"/>
      <c r="AIC71" s="113"/>
      <c r="AID71" s="113"/>
      <c r="AIE71" s="113"/>
      <c r="AIF71" s="113"/>
      <c r="AIG71" s="113"/>
      <c r="AIH71" s="113"/>
      <c r="AII71" s="113"/>
      <c r="AIJ71" s="113"/>
      <c r="AIK71" s="113"/>
      <c r="AIL71" s="113"/>
      <c r="AIM71" s="113"/>
      <c r="AIN71" s="113"/>
      <c r="AIO71" s="113"/>
      <c r="AIP71" s="113"/>
      <c r="AIQ71" s="113"/>
      <c r="AIR71" s="113"/>
      <c r="AIS71" s="113"/>
      <c r="AIT71" s="113"/>
      <c r="AIU71" s="113"/>
      <c r="AIV71" s="113"/>
      <c r="AIW71" s="113"/>
      <c r="AIX71" s="113"/>
      <c r="AIY71" s="113"/>
      <c r="AIZ71" s="113"/>
      <c r="AJA71" s="113"/>
      <c r="AJB71" s="113"/>
      <c r="AJC71" s="113"/>
      <c r="AJD71" s="113"/>
      <c r="AJE71" s="113"/>
      <c r="AJF71" s="113"/>
      <c r="AJG71" s="113"/>
      <c r="AJH71" s="113"/>
      <c r="AJI71" s="113"/>
      <c r="AJJ71" s="113"/>
      <c r="AJK71" s="113"/>
      <c r="AJL71" s="113"/>
      <c r="AJM71" s="113"/>
      <c r="AJN71" s="113"/>
      <c r="AJO71" s="113"/>
      <c r="AJP71" s="113"/>
      <c r="AJQ71" s="113"/>
      <c r="AJR71" s="113"/>
      <c r="AJS71" s="113"/>
      <c r="AJT71" s="113"/>
      <c r="AJU71" s="113"/>
      <c r="AJV71" s="113"/>
      <c r="AJW71" s="113"/>
      <c r="AJX71" s="113"/>
      <c r="AJY71" s="113"/>
      <c r="AJZ71" s="113"/>
      <c r="AKA71" s="113"/>
      <c r="AKB71" s="113"/>
      <c r="AKC71" s="113"/>
      <c r="AKD71" s="113"/>
      <c r="AKE71" s="113"/>
      <c r="AKF71" s="113"/>
      <c r="AKG71" s="113"/>
      <c r="AKH71" s="113"/>
      <c r="AKI71" s="113"/>
      <c r="AKJ71" s="113"/>
      <c r="AKK71" s="113"/>
      <c r="AKL71" s="113"/>
      <c r="AKM71" s="113"/>
      <c r="AKN71" s="113"/>
      <c r="AKO71" s="113"/>
      <c r="AKP71" s="113"/>
      <c r="AKQ71" s="113"/>
      <c r="AKR71" s="113"/>
      <c r="AKS71" s="113"/>
      <c r="AKT71" s="113"/>
      <c r="AKU71" s="113"/>
      <c r="AKV71" s="113"/>
      <c r="AKW71" s="113"/>
      <c r="AKX71" s="113"/>
      <c r="AKY71" s="113"/>
      <c r="AKZ71" s="113"/>
      <c r="ALA71" s="113"/>
      <c r="ALB71" s="113"/>
      <c r="ALC71" s="113"/>
      <c r="ALD71" s="113"/>
      <c r="ALE71" s="113"/>
      <c r="ALF71" s="113"/>
      <c r="ALG71" s="113"/>
      <c r="ALH71" s="113"/>
      <c r="ALI71" s="113"/>
      <c r="ALJ71" s="113"/>
      <c r="ALK71" s="113"/>
      <c r="ALL71" s="113"/>
      <c r="ALM71" s="113"/>
      <c r="ALN71" s="113"/>
      <c r="ALO71" s="113"/>
      <c r="ALP71" s="113"/>
      <c r="ALQ71" s="113"/>
      <c r="ALR71" s="113"/>
      <c r="ALS71" s="113"/>
      <c r="ALT71" s="113"/>
      <c r="ALU71" s="113"/>
      <c r="ALV71" s="113"/>
      <c r="ALW71" s="113"/>
      <c r="ALX71" s="113"/>
      <c r="ALY71" s="113"/>
      <c r="ALZ71" s="113"/>
    </row>
    <row r="74" spans="1:1014">
      <c r="B74" s="609" t="s">
        <v>442</v>
      </c>
      <c r="C74" s="609"/>
      <c r="D74" s="609"/>
      <c r="E74" s="609"/>
      <c r="F74" s="609"/>
      <c r="G74" s="609"/>
      <c r="H74" s="609"/>
      <c r="I74" s="609"/>
      <c r="J74" s="609"/>
      <c r="K74" s="609"/>
    </row>
  </sheetData>
  <mergeCells count="43">
    <mergeCell ref="A71:J71"/>
    <mergeCell ref="B74:K74"/>
    <mergeCell ref="X7:X9"/>
    <mergeCell ref="U8:V8"/>
    <mergeCell ref="M8:N8"/>
    <mergeCell ref="O8:P8"/>
    <mergeCell ref="D69:Y69"/>
    <mergeCell ref="W30:W34"/>
    <mergeCell ref="M30:M34"/>
    <mergeCell ref="N30:N34"/>
    <mergeCell ref="Q30:Q34"/>
    <mergeCell ref="P30:P34"/>
    <mergeCell ref="V30:V34"/>
    <mergeCell ref="R30:R34"/>
    <mergeCell ref="S30:S34"/>
    <mergeCell ref="T30:T34"/>
    <mergeCell ref="A3:Y3"/>
    <mergeCell ref="X1:Y1"/>
    <mergeCell ref="A4:Y4"/>
    <mergeCell ref="A5:Y5"/>
    <mergeCell ref="Q8:R8"/>
    <mergeCell ref="A7:A9"/>
    <mergeCell ref="B7:C8"/>
    <mergeCell ref="D7:E8"/>
    <mergeCell ref="I7:J8"/>
    <mergeCell ref="K7:N7"/>
    <mergeCell ref="O7:V7"/>
    <mergeCell ref="F7:H8"/>
    <mergeCell ref="S8:T8"/>
    <mergeCell ref="W7:W9"/>
    <mergeCell ref="Y7:Y9"/>
    <mergeCell ref="K8:L8"/>
    <mergeCell ref="U30:U34"/>
    <mergeCell ref="A30:A34"/>
    <mergeCell ref="K30:K34"/>
    <mergeCell ref="L30:L34"/>
    <mergeCell ref="O30:O34"/>
    <mergeCell ref="B30:B34"/>
    <mergeCell ref="C30:C34"/>
    <mergeCell ref="D30:D34"/>
    <mergeCell ref="E30:E34"/>
    <mergeCell ref="I30:I34"/>
    <mergeCell ref="J30:J34"/>
  </mergeCells>
  <pageMargins left="0.19685039370078741" right="0.19685039370078741" top="0.98425196850393704" bottom="0.19685039370078741" header="0" footer="0"/>
  <pageSetup paperSize="9" scale="3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6</vt:i4>
      </vt:variant>
    </vt:vector>
  </HeadingPairs>
  <TitlesOfParts>
    <vt:vector size="9" baseType="lpstr">
      <vt:lpstr>4А для публікації </vt:lpstr>
      <vt:lpstr>Форма 5</vt:lpstr>
      <vt:lpstr>Форма 6</vt:lpstr>
      <vt:lpstr>'4А для публікації '!Заголовки_для_печати</vt:lpstr>
      <vt:lpstr>'Форма 5'!Заголовки_для_печати</vt:lpstr>
      <vt:lpstr>'Форма 6'!Заголовки_для_печати</vt:lpstr>
      <vt:lpstr>'4А для публікації '!Область_печати</vt:lpstr>
      <vt:lpstr>'Форма 5'!Область_печати</vt:lpstr>
      <vt:lpstr>'Форма 6'!Область_печати</vt:lpstr>
    </vt:vector>
  </TitlesOfParts>
  <Company>SPecialiST RePack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cp:lastPrinted>2018-04-12T08:29:25Z</cp:lastPrinted>
  <dcterms:created xsi:type="dcterms:W3CDTF">2017-12-01T13:10:12Z</dcterms:created>
  <dcterms:modified xsi:type="dcterms:W3CDTF">2019-01-11T07:56:25Z</dcterms:modified>
</cp:coreProperties>
</file>